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10" activeTab="19"/>
  </bookViews>
  <sheets>
    <sheet name="20170201" sheetId="4" r:id="rId1"/>
    <sheet name="20170203" sheetId="5" r:id="rId2"/>
    <sheet name="20170204" sheetId="6" r:id="rId3"/>
    <sheet name="20170206" sheetId="7" r:id="rId4"/>
    <sheet name="20170207" sheetId="8" r:id="rId5"/>
    <sheet name="20170208" sheetId="9" r:id="rId6"/>
    <sheet name="20170209" sheetId="10" r:id="rId7"/>
    <sheet name="20170210" sheetId="11" r:id="rId8"/>
    <sheet name="20170213" sheetId="12" r:id="rId9"/>
    <sheet name="20170214" sheetId="13" r:id="rId10"/>
    <sheet name="20170215" sheetId="14" r:id="rId11"/>
    <sheet name="20170216" sheetId="15" r:id="rId12"/>
    <sheet name="20170217" sheetId="16" r:id="rId13"/>
    <sheet name="20170220" sheetId="17" r:id="rId14"/>
    <sheet name="20170221" sheetId="18" r:id="rId15"/>
    <sheet name="20170222" sheetId="19" r:id="rId16"/>
    <sheet name="20170223" sheetId="20" r:id="rId17"/>
    <sheet name="20170224" sheetId="21" r:id="rId18"/>
    <sheet name="20170227" sheetId="22" r:id="rId19"/>
    <sheet name="20170228" sheetId="23" r:id="rId20"/>
    <sheet name="Sheet1" sheetId="1" r:id="rId21"/>
    <sheet name="Sheet2" sheetId="2" r:id="rId22"/>
    <sheet name="Sheet3" sheetId="3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xlnm._FilterDatabase" localSheetId="0" hidden="1">'20170201'!$B$1:$I$71</definedName>
    <definedName name="_xlnm._FilterDatabase" localSheetId="1" hidden="1">'20170203'!$B$1:$I$71</definedName>
    <definedName name="_xlnm._FilterDatabase" localSheetId="2" hidden="1">'20170204'!$B$1:$I$71</definedName>
    <definedName name="_xlnm._FilterDatabase" localSheetId="3" hidden="1">'20170206'!$B$1:$I$71</definedName>
    <definedName name="_xlnm._FilterDatabase" localSheetId="4" hidden="1">'20170207'!$B$1:$I$71</definedName>
    <definedName name="_xlnm._FilterDatabase" localSheetId="5" hidden="1">'20170208'!$B$1:$I$71</definedName>
    <definedName name="_xlnm._FilterDatabase" localSheetId="6" hidden="1">'20170209'!$B$1:$I$72</definedName>
    <definedName name="_xlnm._FilterDatabase" localSheetId="7" hidden="1">'20170210'!$B$1:$I$72</definedName>
    <definedName name="_xlnm._FilterDatabase" localSheetId="8" hidden="1">'20170213'!$B$1:$I$72</definedName>
    <definedName name="_xlnm._FilterDatabase" localSheetId="9" hidden="1">'20170214'!$B$1:$I$71</definedName>
    <definedName name="_xlnm._FilterDatabase" localSheetId="10" hidden="1">'20170215'!$B$1:$I$70</definedName>
    <definedName name="_xlnm._FilterDatabase" localSheetId="11" hidden="1">'20170216'!$B$1:$I$70</definedName>
    <definedName name="_xlnm._FilterDatabase" localSheetId="12" hidden="1">'20170217'!$B$1:$I$70</definedName>
    <definedName name="_xlnm._FilterDatabase" localSheetId="13" hidden="1">'20170220'!$B$1:$I$70</definedName>
    <definedName name="_xlnm._FilterDatabase" localSheetId="14" hidden="1">'20170221'!$B$1:$I$71</definedName>
    <definedName name="_xlnm._FilterDatabase" localSheetId="15" hidden="1">'20170222'!$B$1:$I$73</definedName>
    <definedName name="_xlnm._FilterDatabase" localSheetId="16" hidden="1">'20170223'!$B$1:$I$74</definedName>
    <definedName name="_xlnm._FilterDatabase" localSheetId="17" hidden="1">'20170224'!$B$1:$I$75</definedName>
    <definedName name="_xlnm._FilterDatabase" localSheetId="18" hidden="1">'20170227'!$B$1:$I$73</definedName>
    <definedName name="_xlnm._FilterDatabase" localSheetId="19" hidden="1">'20170228'!$B$1:$I$73</definedName>
  </definedNames>
  <calcPr calcId="144525"/>
</workbook>
</file>

<file path=xl/calcChain.xml><?xml version="1.0" encoding="utf-8"?>
<calcChain xmlns="http://schemas.openxmlformats.org/spreadsheetml/2006/main">
  <c r="H2" i="23" l="1"/>
  <c r="I2" i="23"/>
  <c r="L2" i="23"/>
  <c r="H3" i="23"/>
  <c r="I3" i="23"/>
  <c r="L3" i="23"/>
  <c r="H4" i="23"/>
  <c r="I4" i="23" s="1"/>
  <c r="H5" i="23"/>
  <c r="I5" i="23"/>
  <c r="L5" i="23"/>
  <c r="H6" i="23"/>
  <c r="I6" i="23" s="1"/>
  <c r="H7" i="23"/>
  <c r="I7" i="23"/>
  <c r="H8" i="23"/>
  <c r="I8" i="23" s="1"/>
  <c r="H9" i="23"/>
  <c r="I9" i="23" s="1"/>
  <c r="H10" i="23"/>
  <c r="I10" i="23" s="1"/>
  <c r="H11" i="23"/>
  <c r="I11" i="23" s="1"/>
  <c r="L11" i="23" s="1"/>
  <c r="H12" i="23"/>
  <c r="I12" i="23" s="1"/>
  <c r="H15" i="23"/>
  <c r="I15" i="23"/>
  <c r="H17" i="23"/>
  <c r="H16" i="23" s="1"/>
  <c r="H18" i="23"/>
  <c r="I18" i="23" s="1"/>
  <c r="H21" i="23"/>
  <c r="H20" i="23" s="1"/>
  <c r="H22" i="23"/>
  <c r="I22" i="23" s="1"/>
  <c r="H24" i="23"/>
  <c r="I24" i="23" s="1"/>
  <c r="H25" i="23"/>
  <c r="I25" i="23"/>
  <c r="H26" i="23"/>
  <c r="I26" i="23" s="1"/>
  <c r="H27" i="23"/>
  <c r="I27" i="23" s="1"/>
  <c r="H29" i="23"/>
  <c r="I29" i="23" s="1"/>
  <c r="H31" i="23"/>
  <c r="I31" i="23" s="1"/>
  <c r="H33" i="23"/>
  <c r="I33" i="23"/>
  <c r="H34" i="23"/>
  <c r="I34" i="23" s="1"/>
  <c r="H35" i="23"/>
  <c r="I35" i="23"/>
  <c r="H36" i="23"/>
  <c r="I36" i="23" s="1"/>
  <c r="H38" i="23"/>
  <c r="I38" i="23" s="1"/>
  <c r="H39" i="23"/>
  <c r="I39" i="23" s="1"/>
  <c r="H40" i="23"/>
  <c r="H41" i="23"/>
  <c r="I41" i="23"/>
  <c r="H43" i="23"/>
  <c r="I43" i="23" s="1"/>
  <c r="H44" i="23"/>
  <c r="I44" i="23"/>
  <c r="H45" i="23"/>
  <c r="I45" i="23"/>
  <c r="H47" i="23"/>
  <c r="I47" i="23"/>
  <c r="L47" i="23"/>
  <c r="H48" i="23"/>
  <c r="I48" i="23" s="1"/>
  <c r="H50" i="23"/>
  <c r="L50" i="23"/>
  <c r="H51" i="23"/>
  <c r="H52" i="23"/>
  <c r="I52" i="23" s="1"/>
  <c r="H54" i="23"/>
  <c r="L54" i="23"/>
  <c r="H55" i="23"/>
  <c r="L55" i="23" s="1"/>
  <c r="L56" i="23"/>
  <c r="H59" i="23"/>
  <c r="L59" i="23" s="1"/>
  <c r="H60" i="23"/>
  <c r="I60" i="23" s="1"/>
  <c r="H62" i="23"/>
  <c r="I62" i="23" s="1"/>
  <c r="H63" i="23"/>
  <c r="I63" i="23" s="1"/>
  <c r="H64" i="23"/>
  <c r="H65" i="23"/>
  <c r="L65" i="23" s="1"/>
  <c r="I65" i="23"/>
  <c r="H66" i="23"/>
  <c r="I66" i="23" s="1"/>
  <c r="H67" i="23"/>
  <c r="I67" i="23"/>
  <c r="H68" i="23"/>
  <c r="I68" i="23"/>
  <c r="H70" i="23"/>
  <c r="I70" i="23" s="1"/>
  <c r="H71" i="23"/>
  <c r="I71" i="23" s="1"/>
  <c r="H72" i="23"/>
  <c r="I72" i="23" s="1"/>
  <c r="H73" i="23"/>
  <c r="I73" i="23" s="1"/>
  <c r="H2" i="22"/>
  <c r="I2" i="22" s="1"/>
  <c r="L2" i="22" s="1"/>
  <c r="H3" i="22"/>
  <c r="I3" i="22" s="1"/>
  <c r="L3" i="22" s="1"/>
  <c r="H4" i="22"/>
  <c r="I4" i="22" s="1"/>
  <c r="H5" i="22"/>
  <c r="I5" i="22"/>
  <c r="L5" i="22"/>
  <c r="H7" i="22"/>
  <c r="I7" i="22" s="1"/>
  <c r="H8" i="22"/>
  <c r="I8" i="22"/>
  <c r="H9" i="22"/>
  <c r="I9" i="22" s="1"/>
  <c r="L9" i="22" s="1"/>
  <c r="H10" i="22"/>
  <c r="I10" i="22" s="1"/>
  <c r="H11" i="22"/>
  <c r="I11" i="22"/>
  <c r="H12" i="22"/>
  <c r="I12" i="22" s="1"/>
  <c r="H17" i="22"/>
  <c r="H16" i="22" s="1"/>
  <c r="H18" i="22"/>
  <c r="H21" i="22"/>
  <c r="H20" i="22" s="1"/>
  <c r="H22" i="22"/>
  <c r="I22" i="22" s="1"/>
  <c r="H24" i="22"/>
  <c r="H25" i="22"/>
  <c r="I25" i="22"/>
  <c r="L25" i="22"/>
  <c r="H26" i="22"/>
  <c r="I26" i="22" s="1"/>
  <c r="L26" i="22" s="1"/>
  <c r="H27" i="22"/>
  <c r="I27" i="22" s="1"/>
  <c r="H29" i="22"/>
  <c r="I29" i="22"/>
  <c r="H31" i="22"/>
  <c r="I31" i="22" s="1"/>
  <c r="H33" i="22"/>
  <c r="I33" i="22" s="1"/>
  <c r="L33" i="22" s="1"/>
  <c r="H34" i="22"/>
  <c r="I34" i="22" s="1"/>
  <c r="H35" i="22"/>
  <c r="I35" i="22"/>
  <c r="H36" i="22"/>
  <c r="I36" i="22" s="1"/>
  <c r="H38" i="22"/>
  <c r="I38" i="22" s="1"/>
  <c r="L38" i="22" s="1"/>
  <c r="H39" i="22"/>
  <c r="I39" i="22" s="1"/>
  <c r="H40" i="22"/>
  <c r="I40" i="22" s="1"/>
  <c r="H41" i="22"/>
  <c r="I41" i="22"/>
  <c r="H43" i="22"/>
  <c r="I43" i="22" s="1"/>
  <c r="H44" i="22"/>
  <c r="I44" i="22" s="1"/>
  <c r="H45" i="22"/>
  <c r="I45" i="22" s="1"/>
  <c r="H47" i="22"/>
  <c r="I47" i="22" s="1"/>
  <c r="L47" i="22" s="1"/>
  <c r="H48" i="22"/>
  <c r="I48" i="22" s="1"/>
  <c r="H50" i="22"/>
  <c r="L50" i="22" s="1"/>
  <c r="H51" i="22"/>
  <c r="H52" i="22"/>
  <c r="I52" i="22" s="1"/>
  <c r="H54" i="22"/>
  <c r="L54" i="22" s="1"/>
  <c r="H55" i="22"/>
  <c r="L55" i="22" s="1"/>
  <c r="L56" i="22"/>
  <c r="H59" i="22"/>
  <c r="L59" i="22" s="1"/>
  <c r="H60" i="22"/>
  <c r="I60" i="22" s="1"/>
  <c r="H62" i="22"/>
  <c r="I62" i="22" s="1"/>
  <c r="H63" i="22"/>
  <c r="I63" i="22" s="1"/>
  <c r="H64" i="22"/>
  <c r="I64" i="22" s="1"/>
  <c r="L64" i="22" s="1"/>
  <c r="H65" i="22"/>
  <c r="I65" i="22" s="1"/>
  <c r="L65" i="22" s="1"/>
  <c r="H66" i="22"/>
  <c r="I66" i="22" s="1"/>
  <c r="H67" i="22"/>
  <c r="H68" i="22"/>
  <c r="I68" i="22"/>
  <c r="H70" i="22"/>
  <c r="I70" i="22" s="1"/>
  <c r="H71" i="22"/>
  <c r="I71" i="22" s="1"/>
  <c r="H72" i="22"/>
  <c r="I72" i="22"/>
  <c r="H73" i="22"/>
  <c r="I73" i="22" s="1"/>
  <c r="H2" i="21"/>
  <c r="I2" i="21"/>
  <c r="H3" i="21"/>
  <c r="I3" i="21" s="1"/>
  <c r="H4" i="21"/>
  <c r="I4" i="21"/>
  <c r="H5" i="21"/>
  <c r="I5" i="21"/>
  <c r="H7" i="21"/>
  <c r="I7" i="21"/>
  <c r="H8" i="21"/>
  <c r="I8" i="21" s="1"/>
  <c r="H9" i="21"/>
  <c r="H10" i="21"/>
  <c r="L10" i="21" s="1"/>
  <c r="I10" i="21"/>
  <c r="H11" i="21"/>
  <c r="I11" i="21" s="1"/>
  <c r="H12" i="21"/>
  <c r="I12" i="21"/>
  <c r="H15" i="21"/>
  <c r="I15" i="21"/>
  <c r="H16" i="21"/>
  <c r="I16" i="21" s="1"/>
  <c r="H17" i="21"/>
  <c r="H18" i="21"/>
  <c r="L18" i="21" s="1"/>
  <c r="I18" i="21"/>
  <c r="H19" i="21"/>
  <c r="I19" i="21" s="1"/>
  <c r="H22" i="21"/>
  <c r="H21" i="21" s="1"/>
  <c r="I22" i="21"/>
  <c r="H23" i="21"/>
  <c r="I23" i="21"/>
  <c r="L23" i="21"/>
  <c r="H25" i="21"/>
  <c r="I25" i="21" s="1"/>
  <c r="H26" i="21"/>
  <c r="I26" i="21"/>
  <c r="H27" i="21"/>
  <c r="I27" i="21" s="1"/>
  <c r="H28" i="21"/>
  <c r="I28" i="21" s="1"/>
  <c r="H30" i="21"/>
  <c r="I30" i="21" s="1"/>
  <c r="H32" i="21"/>
  <c r="I32" i="21"/>
  <c r="H34" i="21"/>
  <c r="I34" i="21"/>
  <c r="L34" i="21"/>
  <c r="H35" i="21"/>
  <c r="I35" i="21" s="1"/>
  <c r="H36" i="21"/>
  <c r="I36" i="21" s="1"/>
  <c r="H37" i="21"/>
  <c r="H39" i="21"/>
  <c r="L39" i="21" s="1"/>
  <c r="I39" i="21"/>
  <c r="H40" i="21"/>
  <c r="I40" i="21"/>
  <c r="L40" i="21"/>
  <c r="H41" i="21"/>
  <c r="I41" i="21" s="1"/>
  <c r="H42" i="21"/>
  <c r="I42" i="21"/>
  <c r="H44" i="21"/>
  <c r="I44" i="21" s="1"/>
  <c r="H45" i="21"/>
  <c r="I45" i="21" s="1"/>
  <c r="H46" i="21"/>
  <c r="I46" i="21"/>
  <c r="H48" i="21"/>
  <c r="I48" i="21"/>
  <c r="L48" i="21"/>
  <c r="H49" i="21"/>
  <c r="I49" i="21" s="1"/>
  <c r="H51" i="21"/>
  <c r="L51" i="21"/>
  <c r="H52" i="21"/>
  <c r="H53" i="21"/>
  <c r="I53" i="21" s="1"/>
  <c r="H55" i="21"/>
  <c r="L55" i="21" s="1"/>
  <c r="H56" i="21"/>
  <c r="L56" i="21" s="1"/>
  <c r="L57" i="21"/>
  <c r="H60" i="21"/>
  <c r="L60" i="21"/>
  <c r="H61" i="21"/>
  <c r="I61" i="21"/>
  <c r="H62" i="21"/>
  <c r="I62" i="21"/>
  <c r="H63" i="21"/>
  <c r="I63" i="21"/>
  <c r="H64" i="21"/>
  <c r="I64" i="21"/>
  <c r="H65" i="21"/>
  <c r="I65" i="21" s="1"/>
  <c r="H66" i="21"/>
  <c r="I66" i="21" s="1"/>
  <c r="H67" i="21"/>
  <c r="I67" i="21"/>
  <c r="L67" i="21"/>
  <c r="H68" i="21"/>
  <c r="H69" i="21"/>
  <c r="I69" i="21" s="1"/>
  <c r="H70" i="21"/>
  <c r="I70" i="21" s="1"/>
  <c r="H73" i="21"/>
  <c r="H74" i="21"/>
  <c r="I74" i="21" s="1"/>
  <c r="H75" i="21"/>
  <c r="I75" i="21" s="1"/>
  <c r="H2" i="20"/>
  <c r="I2" i="20"/>
  <c r="L2" i="20"/>
  <c r="H3" i="20"/>
  <c r="I3" i="20"/>
  <c r="L3" i="20"/>
  <c r="H4" i="20"/>
  <c r="I4" i="20" s="1"/>
  <c r="H5" i="20"/>
  <c r="I5" i="20"/>
  <c r="L5" i="20"/>
  <c r="H7" i="20"/>
  <c r="I7" i="20" s="1"/>
  <c r="H8" i="20"/>
  <c r="I8" i="20"/>
  <c r="H9" i="20"/>
  <c r="I9" i="20"/>
  <c r="H10" i="20"/>
  <c r="I10" i="20" s="1"/>
  <c r="H11" i="20"/>
  <c r="I11" i="20"/>
  <c r="H12" i="20"/>
  <c r="I12" i="20" s="1"/>
  <c r="H15" i="20"/>
  <c r="I15" i="20"/>
  <c r="H16" i="20"/>
  <c r="I16" i="20"/>
  <c r="H18" i="20"/>
  <c r="H17" i="20" s="1"/>
  <c r="H19" i="20"/>
  <c r="I19" i="20" s="1"/>
  <c r="H21" i="20"/>
  <c r="L21" i="20" s="1"/>
  <c r="I21" i="20"/>
  <c r="H22" i="20"/>
  <c r="I22" i="20"/>
  <c r="L22" i="20"/>
  <c r="H23" i="20"/>
  <c r="I23" i="20" s="1"/>
  <c r="H25" i="20"/>
  <c r="I25" i="20"/>
  <c r="H26" i="20"/>
  <c r="H27" i="20"/>
  <c r="I27" i="20"/>
  <c r="L27" i="20"/>
  <c r="H28" i="20"/>
  <c r="I28" i="20" s="1"/>
  <c r="H30" i="20"/>
  <c r="I30" i="20"/>
  <c r="H32" i="20"/>
  <c r="I32" i="20" s="1"/>
  <c r="H34" i="20"/>
  <c r="I34" i="20"/>
  <c r="H35" i="20"/>
  <c r="I35" i="20" s="1"/>
  <c r="H36" i="20"/>
  <c r="I36" i="20" s="1"/>
  <c r="H37" i="20"/>
  <c r="I37" i="20"/>
  <c r="L37" i="20"/>
  <c r="H39" i="20"/>
  <c r="I39" i="20" s="1"/>
  <c r="L39" i="20" s="1"/>
  <c r="H40" i="20"/>
  <c r="I40" i="20" s="1"/>
  <c r="H41" i="20"/>
  <c r="I41" i="20"/>
  <c r="H42" i="20"/>
  <c r="I42" i="20" s="1"/>
  <c r="H44" i="20"/>
  <c r="I44" i="20" s="1"/>
  <c r="H45" i="20"/>
  <c r="I45" i="20"/>
  <c r="H46" i="20"/>
  <c r="I46" i="20" s="1"/>
  <c r="L46" i="20" s="1"/>
  <c r="H48" i="20"/>
  <c r="I48" i="20"/>
  <c r="L48" i="20" s="1"/>
  <c r="H49" i="20"/>
  <c r="I49" i="20" s="1"/>
  <c r="H50" i="20"/>
  <c r="I50" i="20" s="1"/>
  <c r="L50" i="20" s="1"/>
  <c r="H51" i="20"/>
  <c r="L51" i="20"/>
  <c r="H52" i="20"/>
  <c r="H53" i="20"/>
  <c r="I53" i="20" s="1"/>
  <c r="H55" i="20"/>
  <c r="L55" i="20" s="1"/>
  <c r="H56" i="20"/>
  <c r="L56" i="20" s="1"/>
  <c r="L57" i="20"/>
  <c r="H60" i="20"/>
  <c r="L60" i="20"/>
  <c r="H62" i="20"/>
  <c r="I62" i="20"/>
  <c r="H63" i="20"/>
  <c r="I63" i="20"/>
  <c r="H64" i="20"/>
  <c r="I64" i="20"/>
  <c r="L64" i="20" s="1"/>
  <c r="H65" i="20"/>
  <c r="I65" i="20" s="1"/>
  <c r="H66" i="20"/>
  <c r="I66" i="20"/>
  <c r="H67" i="20"/>
  <c r="I67" i="20" s="1"/>
  <c r="L67" i="20" s="1"/>
  <c r="H68" i="20"/>
  <c r="I68" i="20"/>
  <c r="L68" i="20" s="1"/>
  <c r="H69" i="20"/>
  <c r="I69" i="20" s="1"/>
  <c r="H70" i="20"/>
  <c r="I70" i="20" s="1"/>
  <c r="H73" i="20"/>
  <c r="I73" i="20"/>
  <c r="L73" i="20" s="1"/>
  <c r="H74" i="20"/>
  <c r="I74" i="20" s="1"/>
  <c r="I20" i="23" l="1"/>
  <c r="L20" i="23"/>
  <c r="L45" i="23"/>
  <c r="L33" i="23"/>
  <c r="L36" i="23"/>
  <c r="L26" i="23"/>
  <c r="I64" i="23"/>
  <c r="L64" i="23" s="1"/>
  <c r="I21" i="23"/>
  <c r="L21" i="23" s="1"/>
  <c r="L25" i="23"/>
  <c r="L35" i="23"/>
  <c r="L71" i="23"/>
  <c r="L38" i="23"/>
  <c r="L31" i="23"/>
  <c r="L29" i="23"/>
  <c r="L10" i="23"/>
  <c r="L67" i="23"/>
  <c r="L44" i="23"/>
  <c r="I40" i="23"/>
  <c r="L40" i="23" s="1"/>
  <c r="L24" i="23"/>
  <c r="L63" i="23"/>
  <c r="L18" i="23"/>
  <c r="L9" i="23"/>
  <c r="I16" i="23"/>
  <c r="L16" i="23" s="1"/>
  <c r="L73" i="23"/>
  <c r="L70" i="23"/>
  <c r="L66" i="23"/>
  <c r="L62" i="23"/>
  <c r="L43" i="23"/>
  <c r="L39" i="23"/>
  <c r="L34" i="23"/>
  <c r="L27" i="23"/>
  <c r="L22" i="23"/>
  <c r="L17" i="23"/>
  <c r="L12" i="23"/>
  <c r="I17" i="23"/>
  <c r="L31" i="22"/>
  <c r="L29" i="22"/>
  <c r="L45" i="22"/>
  <c r="L44" i="22"/>
  <c r="L36" i="22"/>
  <c r="L35" i="22"/>
  <c r="L12" i="22"/>
  <c r="L11" i="22"/>
  <c r="L67" i="22"/>
  <c r="L71" i="22"/>
  <c r="I67" i="22"/>
  <c r="L63" i="22"/>
  <c r="L40" i="22"/>
  <c r="I24" i="22"/>
  <c r="L24" i="22" s="1"/>
  <c r="I18" i="22"/>
  <c r="L18" i="22" s="1"/>
  <c r="I16" i="22"/>
  <c r="L16" i="22" s="1"/>
  <c r="I20" i="22"/>
  <c r="L20" i="22"/>
  <c r="L73" i="22"/>
  <c r="L70" i="22"/>
  <c r="L66" i="22"/>
  <c r="L62" i="22"/>
  <c r="L43" i="22"/>
  <c r="L39" i="22"/>
  <c r="L34" i="22"/>
  <c r="L27" i="22"/>
  <c r="L22" i="22"/>
  <c r="I21" i="22"/>
  <c r="L21" i="22" s="1"/>
  <c r="L17" i="22"/>
  <c r="L10" i="22"/>
  <c r="I17" i="22"/>
  <c r="L9" i="21"/>
  <c r="L73" i="21"/>
  <c r="L75" i="21"/>
  <c r="I73" i="21"/>
  <c r="L64" i="21"/>
  <c r="I17" i="21"/>
  <c r="L17" i="21" s="1"/>
  <c r="I9" i="21"/>
  <c r="L44" i="21"/>
  <c r="L28" i="21"/>
  <c r="I21" i="21"/>
  <c r="L21" i="21" s="1"/>
  <c r="L66" i="21"/>
  <c r="L46" i="21"/>
  <c r="L32" i="21"/>
  <c r="L35" i="21"/>
  <c r="L27" i="21"/>
  <c r="L26" i="21"/>
  <c r="L3" i="21"/>
  <c r="L2" i="21"/>
  <c r="I68" i="21"/>
  <c r="L68" i="21" s="1"/>
  <c r="I37" i="21"/>
  <c r="L37" i="21" s="1"/>
  <c r="L22" i="21"/>
  <c r="L12" i="21"/>
  <c r="L5" i="21"/>
  <c r="L69" i="21"/>
  <c r="L65" i="21"/>
  <c r="L45" i="21"/>
  <c r="L41" i="21"/>
  <c r="L36" i="21"/>
  <c r="L30" i="21"/>
  <c r="L25" i="21"/>
  <c r="L19" i="21"/>
  <c r="L11" i="21"/>
  <c r="L34" i="20"/>
  <c r="I26" i="20"/>
  <c r="L26" i="20" s="1"/>
  <c r="L41" i="20"/>
  <c r="L36" i="20"/>
  <c r="L9" i="20"/>
  <c r="L66" i="20"/>
  <c r="L32" i="20"/>
  <c r="L30" i="20"/>
  <c r="L12" i="20"/>
  <c r="L11" i="20"/>
  <c r="L25" i="20"/>
  <c r="L19" i="20"/>
  <c r="L45" i="20"/>
  <c r="I17" i="20"/>
  <c r="L17" i="20" s="1"/>
  <c r="L74" i="20"/>
  <c r="L69" i="20"/>
  <c r="L65" i="20"/>
  <c r="L44" i="20"/>
  <c r="L40" i="20"/>
  <c r="L35" i="20"/>
  <c r="L28" i="20"/>
  <c r="L23" i="20"/>
  <c r="L10" i="20"/>
  <c r="I18" i="20"/>
  <c r="L18" i="20" s="1"/>
  <c r="H2" i="19"/>
  <c r="I2" i="19" s="1"/>
  <c r="H3" i="19"/>
  <c r="I3" i="19"/>
  <c r="L3" i="19" s="1"/>
  <c r="H4" i="19"/>
  <c r="I4" i="19"/>
  <c r="H5" i="19"/>
  <c r="H7" i="19"/>
  <c r="I7" i="19" s="1"/>
  <c r="H8" i="19"/>
  <c r="I8" i="19" s="1"/>
  <c r="H9" i="19"/>
  <c r="I9" i="19" s="1"/>
  <c r="H10" i="19"/>
  <c r="I10" i="19" s="1"/>
  <c r="H11" i="19"/>
  <c r="H12" i="19"/>
  <c r="H15" i="19"/>
  <c r="I15" i="19"/>
  <c r="H16" i="19"/>
  <c r="I16" i="19" s="1"/>
  <c r="H18" i="19"/>
  <c r="H17" i="19" s="1"/>
  <c r="H19" i="19"/>
  <c r="H21" i="19"/>
  <c r="H22" i="19"/>
  <c r="I22" i="19"/>
  <c r="L22" i="19"/>
  <c r="H23" i="19"/>
  <c r="I23" i="19" s="1"/>
  <c r="H25" i="19"/>
  <c r="H26" i="19"/>
  <c r="I26" i="19" s="1"/>
  <c r="H27" i="19"/>
  <c r="I27" i="19"/>
  <c r="L27" i="19" s="1"/>
  <c r="H28" i="19"/>
  <c r="I28" i="19"/>
  <c r="L28" i="19"/>
  <c r="H30" i="19"/>
  <c r="H32" i="19"/>
  <c r="I32" i="19"/>
  <c r="H34" i="19"/>
  <c r="I34" i="19" s="1"/>
  <c r="H35" i="19"/>
  <c r="I35" i="19" s="1"/>
  <c r="L35" i="19" s="1"/>
  <c r="H36" i="19"/>
  <c r="H38" i="19"/>
  <c r="I38" i="19"/>
  <c r="H39" i="19"/>
  <c r="I39" i="19" s="1"/>
  <c r="H40" i="19"/>
  <c r="I40" i="19" s="1"/>
  <c r="H41" i="19"/>
  <c r="I41" i="19" s="1"/>
  <c r="H43" i="19"/>
  <c r="I43" i="19" s="1"/>
  <c r="H44" i="19"/>
  <c r="I44" i="19"/>
  <c r="L44" i="19" s="1"/>
  <c r="H45" i="19"/>
  <c r="H47" i="19"/>
  <c r="I47" i="19" s="1"/>
  <c r="H48" i="19"/>
  <c r="I48" i="19" s="1"/>
  <c r="H49" i="19"/>
  <c r="H50" i="19"/>
  <c r="L50" i="19" s="1"/>
  <c r="H51" i="19"/>
  <c r="H52" i="19"/>
  <c r="I52" i="19"/>
  <c r="H54" i="19"/>
  <c r="L54" i="19" s="1"/>
  <c r="H55" i="19"/>
  <c r="L55" i="19"/>
  <c r="L56" i="19"/>
  <c r="H59" i="19"/>
  <c r="L59" i="19" s="1"/>
  <c r="H61" i="19"/>
  <c r="I61" i="19"/>
  <c r="H62" i="19"/>
  <c r="I62" i="19" s="1"/>
  <c r="H63" i="19"/>
  <c r="I63" i="19" s="1"/>
  <c r="H64" i="19"/>
  <c r="I64" i="19" s="1"/>
  <c r="H65" i="19"/>
  <c r="I65" i="19" s="1"/>
  <c r="H66" i="19"/>
  <c r="H67" i="19"/>
  <c r="H68" i="19"/>
  <c r="I68" i="19"/>
  <c r="L68" i="19"/>
  <c r="H69" i="19"/>
  <c r="I69" i="19" s="1"/>
  <c r="H72" i="19"/>
  <c r="I72" i="19"/>
  <c r="H73" i="19"/>
  <c r="I73" i="19" s="1"/>
  <c r="H2" i="18"/>
  <c r="I2" i="18"/>
  <c r="H3" i="18"/>
  <c r="I3" i="18" s="1"/>
  <c r="H4" i="18"/>
  <c r="I4" i="18" s="1"/>
  <c r="H5" i="18"/>
  <c r="H7" i="18"/>
  <c r="I7" i="18"/>
  <c r="H8" i="18"/>
  <c r="I8" i="18" s="1"/>
  <c r="H9" i="18"/>
  <c r="I9" i="18"/>
  <c r="L9" i="18"/>
  <c r="H10" i="18"/>
  <c r="I10" i="18" s="1"/>
  <c r="L10" i="18" s="1"/>
  <c r="H11" i="18"/>
  <c r="H12" i="18"/>
  <c r="I12" i="18"/>
  <c r="H15" i="18"/>
  <c r="I15" i="18" s="1"/>
  <c r="H16" i="18"/>
  <c r="I16" i="18" s="1"/>
  <c r="H18" i="18"/>
  <c r="H17" i="18" s="1"/>
  <c r="H19" i="18"/>
  <c r="H22" i="18"/>
  <c r="H21" i="18" s="1"/>
  <c r="I22" i="18"/>
  <c r="H23" i="18"/>
  <c r="I23" i="18" s="1"/>
  <c r="L23" i="18" s="1"/>
  <c r="H25" i="18"/>
  <c r="H26" i="18"/>
  <c r="I26" i="18" s="1"/>
  <c r="H27" i="18"/>
  <c r="I27" i="18"/>
  <c r="L27" i="18"/>
  <c r="H29" i="18"/>
  <c r="I29" i="18" s="1"/>
  <c r="L29" i="18" s="1"/>
  <c r="H31" i="18"/>
  <c r="H33" i="18"/>
  <c r="I33" i="18"/>
  <c r="H34" i="18"/>
  <c r="I34" i="18"/>
  <c r="L34" i="18"/>
  <c r="H35" i="18"/>
  <c r="I35" i="18" s="1"/>
  <c r="L35" i="18" s="1"/>
  <c r="H37" i="18"/>
  <c r="H38" i="18"/>
  <c r="I38" i="18"/>
  <c r="H39" i="18"/>
  <c r="I39" i="18" s="1"/>
  <c r="H40" i="18"/>
  <c r="I40" i="18" s="1"/>
  <c r="H42" i="18"/>
  <c r="I42" i="18" s="1"/>
  <c r="H43" i="18"/>
  <c r="L43" i="18" s="1"/>
  <c r="I43" i="18"/>
  <c r="H45" i="18"/>
  <c r="I45" i="18"/>
  <c r="L45" i="18"/>
  <c r="H46" i="18"/>
  <c r="I46" i="18" s="1"/>
  <c r="H47" i="18"/>
  <c r="I47" i="18"/>
  <c r="L47" i="18"/>
  <c r="H48" i="18"/>
  <c r="L48" i="18" s="1"/>
  <c r="H49" i="18"/>
  <c r="H50" i="18"/>
  <c r="I50" i="18" s="1"/>
  <c r="H52" i="18"/>
  <c r="L52" i="18" s="1"/>
  <c r="H53" i="18"/>
  <c r="L53" i="18" s="1"/>
  <c r="L54" i="18"/>
  <c r="H57" i="18"/>
  <c r="L57" i="18" s="1"/>
  <c r="H59" i="18"/>
  <c r="I59" i="18" s="1"/>
  <c r="H60" i="18"/>
  <c r="I60" i="18" s="1"/>
  <c r="H61" i="18"/>
  <c r="L61" i="18" s="1"/>
  <c r="I61" i="18"/>
  <c r="H62" i="18"/>
  <c r="H63" i="18"/>
  <c r="I63" i="18"/>
  <c r="H64" i="18"/>
  <c r="H65" i="18"/>
  <c r="I65" i="18"/>
  <c r="H66" i="18"/>
  <c r="H67" i="18"/>
  <c r="I67" i="18"/>
  <c r="H70" i="18"/>
  <c r="L70" i="18" s="1"/>
  <c r="I70" i="18"/>
  <c r="H71" i="18"/>
  <c r="I17" i="19" l="1"/>
  <c r="L17" i="19" s="1"/>
  <c r="L73" i="19"/>
  <c r="L72" i="19"/>
  <c r="L64" i="19"/>
  <c r="L63" i="19"/>
  <c r="L47" i="19"/>
  <c r="L39" i="19"/>
  <c r="L38" i="19"/>
  <c r="L23" i="19"/>
  <c r="L9" i="19"/>
  <c r="L65" i="19"/>
  <c r="L43" i="19"/>
  <c r="L40" i="19"/>
  <c r="L34" i="19"/>
  <c r="L32" i="19"/>
  <c r="L10" i="19"/>
  <c r="I67" i="19"/>
  <c r="L67" i="19" s="1"/>
  <c r="L26" i="19"/>
  <c r="I21" i="19"/>
  <c r="L21" i="19" s="1"/>
  <c r="I18" i="19"/>
  <c r="L18" i="19" s="1"/>
  <c r="I12" i="19"/>
  <c r="L12" i="19" s="1"/>
  <c r="I5" i="19"/>
  <c r="L5" i="19" s="1"/>
  <c r="L2" i="19"/>
  <c r="I66" i="19"/>
  <c r="L66" i="19" s="1"/>
  <c r="I49" i="19"/>
  <c r="L49" i="19" s="1"/>
  <c r="I45" i="19"/>
  <c r="L45" i="19" s="1"/>
  <c r="I36" i="19"/>
  <c r="L36" i="19" s="1"/>
  <c r="I30" i="19"/>
  <c r="L30" i="19" s="1"/>
  <c r="I25" i="19"/>
  <c r="L25" i="19" s="1"/>
  <c r="I19" i="19"/>
  <c r="L19" i="19" s="1"/>
  <c r="I11" i="19"/>
  <c r="L11" i="19" s="1"/>
  <c r="L65" i="18"/>
  <c r="I21" i="18"/>
  <c r="L21" i="18" s="1"/>
  <c r="L63" i="18"/>
  <c r="L39" i="18"/>
  <c r="L38" i="18"/>
  <c r="L12" i="18"/>
  <c r="L3" i="18"/>
  <c r="L2" i="18"/>
  <c r="I64" i="18"/>
  <c r="L64" i="18" s="1"/>
  <c r="L22" i="18"/>
  <c r="I5" i="18"/>
  <c r="L5" i="18" s="1"/>
  <c r="L42" i="18"/>
  <c r="L26" i="18"/>
  <c r="L33" i="18"/>
  <c r="I17" i="18"/>
  <c r="L17" i="18" s="1"/>
  <c r="I71" i="18"/>
  <c r="L71" i="18" s="1"/>
  <c r="I66" i="18"/>
  <c r="L66" i="18" s="1"/>
  <c r="I62" i="18"/>
  <c r="L62" i="18" s="1"/>
  <c r="I37" i="18"/>
  <c r="L37" i="18" s="1"/>
  <c r="I31" i="18"/>
  <c r="L31" i="18" s="1"/>
  <c r="I25" i="18"/>
  <c r="L25" i="18" s="1"/>
  <c r="I19" i="18"/>
  <c r="L19" i="18" s="1"/>
  <c r="I11" i="18"/>
  <c r="L11" i="18" s="1"/>
  <c r="I18" i="18"/>
  <c r="L18" i="18" s="1"/>
  <c r="H2" i="17"/>
  <c r="I2" i="17" s="1"/>
  <c r="L2" i="17" s="1"/>
  <c r="H3" i="17"/>
  <c r="I3" i="17"/>
  <c r="L3" i="17" s="1"/>
  <c r="H4" i="17"/>
  <c r="I4" i="17" s="1"/>
  <c r="H5" i="17"/>
  <c r="I5" i="17" s="1"/>
  <c r="L5" i="17" s="1"/>
  <c r="H7" i="17"/>
  <c r="I7" i="17"/>
  <c r="H8" i="17"/>
  <c r="I8" i="17"/>
  <c r="H9" i="17"/>
  <c r="I9" i="17"/>
  <c r="H10" i="17"/>
  <c r="I10" i="17" s="1"/>
  <c r="H11" i="17"/>
  <c r="I11" i="17"/>
  <c r="H12" i="17"/>
  <c r="H15" i="17"/>
  <c r="I15" i="17" s="1"/>
  <c r="H16" i="17"/>
  <c r="I16" i="17" s="1"/>
  <c r="H18" i="17"/>
  <c r="H17" i="17" s="1"/>
  <c r="H19" i="17"/>
  <c r="I19" i="17"/>
  <c r="H22" i="17"/>
  <c r="I22" i="17" s="1"/>
  <c r="H23" i="17"/>
  <c r="I23" i="17" s="1"/>
  <c r="H25" i="17"/>
  <c r="H26" i="17"/>
  <c r="H27" i="17"/>
  <c r="L27" i="17" s="1"/>
  <c r="I27" i="17"/>
  <c r="H29" i="17"/>
  <c r="I29" i="17" s="1"/>
  <c r="H31" i="17"/>
  <c r="I31" i="17"/>
  <c r="H33" i="17"/>
  <c r="I33" i="17"/>
  <c r="H34" i="17"/>
  <c r="L34" i="17" s="1"/>
  <c r="I34" i="17"/>
  <c r="H35" i="17"/>
  <c r="I35" i="17" s="1"/>
  <c r="H37" i="17"/>
  <c r="I37" i="17"/>
  <c r="H38" i="17"/>
  <c r="I38" i="17" s="1"/>
  <c r="H39" i="17"/>
  <c r="I39" i="17"/>
  <c r="H40" i="17"/>
  <c r="I40" i="17" s="1"/>
  <c r="H42" i="17"/>
  <c r="I42" i="17"/>
  <c r="H43" i="17"/>
  <c r="L43" i="17" s="1"/>
  <c r="I43" i="17"/>
  <c r="H45" i="17"/>
  <c r="I45" i="17" s="1"/>
  <c r="H46" i="17"/>
  <c r="I46" i="17"/>
  <c r="H47" i="17"/>
  <c r="I47" i="17" s="1"/>
  <c r="H48" i="17"/>
  <c r="L48" i="17" s="1"/>
  <c r="H49" i="17"/>
  <c r="H50" i="17"/>
  <c r="I50" i="17" s="1"/>
  <c r="H52" i="17"/>
  <c r="L52" i="17"/>
  <c r="H53" i="17"/>
  <c r="L53" i="17" s="1"/>
  <c r="L54" i="17"/>
  <c r="H57" i="17"/>
  <c r="L57" i="17" s="1"/>
  <c r="H59" i="17"/>
  <c r="I59" i="17" s="1"/>
  <c r="H60" i="17"/>
  <c r="I60" i="17"/>
  <c r="H61" i="17"/>
  <c r="I61" i="17" s="1"/>
  <c r="H62" i="17"/>
  <c r="I62" i="17" s="1"/>
  <c r="H63" i="17"/>
  <c r="I63" i="17" s="1"/>
  <c r="H64" i="17"/>
  <c r="I64" i="17"/>
  <c r="H65" i="17"/>
  <c r="I65" i="17" s="1"/>
  <c r="H66" i="17"/>
  <c r="I66" i="17"/>
  <c r="H69" i="17"/>
  <c r="H70" i="17"/>
  <c r="I70" i="17" s="1"/>
  <c r="H3" i="16"/>
  <c r="I3" i="16" s="1"/>
  <c r="L3" i="16" s="1"/>
  <c r="H4" i="16"/>
  <c r="I4" i="16"/>
  <c r="H5" i="16"/>
  <c r="I5" i="16"/>
  <c r="L5" i="16" s="1"/>
  <c r="H8" i="16"/>
  <c r="I8" i="16" s="1"/>
  <c r="H9" i="16"/>
  <c r="I9" i="16" s="1"/>
  <c r="H10" i="16"/>
  <c r="I10" i="16"/>
  <c r="L10" i="16" s="1"/>
  <c r="H11" i="16"/>
  <c r="I11" i="16" s="1"/>
  <c r="L11" i="16" s="1"/>
  <c r="H12" i="16"/>
  <c r="H15" i="16"/>
  <c r="I15" i="16" s="1"/>
  <c r="H16" i="16"/>
  <c r="I16" i="16" s="1"/>
  <c r="H18" i="16"/>
  <c r="I18" i="16" s="1"/>
  <c r="L18" i="16" s="1"/>
  <c r="H19" i="16"/>
  <c r="I19" i="16" s="1"/>
  <c r="L19" i="16" s="1"/>
  <c r="H22" i="16"/>
  <c r="H21" i="16" s="1"/>
  <c r="H23" i="16"/>
  <c r="I23" i="16" s="1"/>
  <c r="L23" i="16" s="1"/>
  <c r="H24" i="16"/>
  <c r="I24" i="16" s="1"/>
  <c r="L24" i="16" s="1"/>
  <c r="H25" i="16"/>
  <c r="I25" i="16" s="1"/>
  <c r="H26" i="16"/>
  <c r="I26" i="16" s="1"/>
  <c r="H29" i="16"/>
  <c r="I29" i="16"/>
  <c r="L29" i="16" s="1"/>
  <c r="H31" i="16"/>
  <c r="H33" i="16"/>
  <c r="I33" i="16" s="1"/>
  <c r="H34" i="16"/>
  <c r="I34" i="16" s="1"/>
  <c r="H35" i="16"/>
  <c r="I35" i="16"/>
  <c r="L35" i="16" s="1"/>
  <c r="H37" i="16"/>
  <c r="I37" i="16" s="1"/>
  <c r="H38" i="16"/>
  <c r="I38" i="16" s="1"/>
  <c r="L38" i="16" s="1"/>
  <c r="H39" i="16"/>
  <c r="I39" i="16" s="1"/>
  <c r="H40" i="16"/>
  <c r="I40" i="16" s="1"/>
  <c r="H42" i="16"/>
  <c r="I42" i="16" s="1"/>
  <c r="L42" i="16" s="1"/>
  <c r="H43" i="16"/>
  <c r="I43" i="16" s="1"/>
  <c r="H45" i="16"/>
  <c r="I45" i="16" s="1"/>
  <c r="H46" i="16"/>
  <c r="I46" i="16" s="1"/>
  <c r="H47" i="16"/>
  <c r="I47" i="16" s="1"/>
  <c r="H48" i="16"/>
  <c r="L48" i="16"/>
  <c r="H49" i="16"/>
  <c r="H50" i="16"/>
  <c r="I50" i="16" s="1"/>
  <c r="H52" i="16"/>
  <c r="L52" i="16" s="1"/>
  <c r="H53" i="16"/>
  <c r="L53" i="16" s="1"/>
  <c r="H54" i="16"/>
  <c r="I54" i="16" s="1"/>
  <c r="H57" i="16"/>
  <c r="L57" i="16"/>
  <c r="H59" i="16"/>
  <c r="I59" i="16" s="1"/>
  <c r="H60" i="16"/>
  <c r="I60" i="16"/>
  <c r="H62" i="16"/>
  <c r="H63" i="16"/>
  <c r="I63" i="16" s="1"/>
  <c r="H64" i="16"/>
  <c r="H65" i="16"/>
  <c r="L65" i="16" s="1"/>
  <c r="I65" i="16"/>
  <c r="H66" i="16"/>
  <c r="I66" i="16"/>
  <c r="H69" i="16"/>
  <c r="I69" i="16" s="1"/>
  <c r="H70" i="16"/>
  <c r="I70" i="16"/>
  <c r="L70" i="16"/>
  <c r="H3" i="15"/>
  <c r="I3" i="15" s="1"/>
  <c r="H4" i="15"/>
  <c r="I4" i="15" s="1"/>
  <c r="H5" i="15"/>
  <c r="H8" i="15"/>
  <c r="I8" i="15" s="1"/>
  <c r="H9" i="15"/>
  <c r="I9" i="15" s="1"/>
  <c r="H10" i="15"/>
  <c r="H11" i="15"/>
  <c r="H12" i="15"/>
  <c r="I12" i="15" s="1"/>
  <c r="H15" i="15"/>
  <c r="I15" i="15" s="1"/>
  <c r="H16" i="15"/>
  <c r="I16" i="15" s="1"/>
  <c r="H18" i="15"/>
  <c r="H19" i="15"/>
  <c r="I19" i="15" s="1"/>
  <c r="H22" i="15"/>
  <c r="H21" i="15" s="1"/>
  <c r="I21" i="15" s="1"/>
  <c r="I22" i="15"/>
  <c r="L22" i="15" s="1"/>
  <c r="H23" i="15"/>
  <c r="H24" i="15"/>
  <c r="I24" i="15"/>
  <c r="H25" i="15"/>
  <c r="I25" i="15" s="1"/>
  <c r="H26" i="15"/>
  <c r="I26" i="15" s="1"/>
  <c r="H29" i="15"/>
  <c r="H31" i="15"/>
  <c r="H33" i="15"/>
  <c r="L33" i="15" s="1"/>
  <c r="I33" i="15"/>
  <c r="H34" i="15"/>
  <c r="I34" i="15" s="1"/>
  <c r="H35" i="15"/>
  <c r="H37" i="15"/>
  <c r="I37" i="15" s="1"/>
  <c r="H38" i="15"/>
  <c r="I38" i="15"/>
  <c r="L38" i="15" s="1"/>
  <c r="H39" i="15"/>
  <c r="L39" i="15" s="1"/>
  <c r="I39" i="15"/>
  <c r="H40" i="15"/>
  <c r="I40" i="15" s="1"/>
  <c r="H42" i="15"/>
  <c r="L42" i="15" s="1"/>
  <c r="I42" i="15"/>
  <c r="H43" i="15"/>
  <c r="I43" i="15" s="1"/>
  <c r="H45" i="15"/>
  <c r="H46" i="15"/>
  <c r="I46" i="15" s="1"/>
  <c r="H47" i="15"/>
  <c r="I47" i="15"/>
  <c r="L47" i="15" s="1"/>
  <c r="H48" i="15"/>
  <c r="L48" i="15" s="1"/>
  <c r="H49" i="15"/>
  <c r="H50" i="15"/>
  <c r="I50" i="15" s="1"/>
  <c r="H52" i="15"/>
  <c r="L52" i="15"/>
  <c r="H53" i="15"/>
  <c r="L53" i="15" s="1"/>
  <c r="H54" i="15"/>
  <c r="I54" i="15"/>
  <c r="L54" i="15"/>
  <c r="H57" i="15"/>
  <c r="L57" i="15" s="1"/>
  <c r="H59" i="15"/>
  <c r="I59" i="15"/>
  <c r="H60" i="15"/>
  <c r="I60" i="15" s="1"/>
  <c r="H62" i="15"/>
  <c r="I62" i="15" s="1"/>
  <c r="H63" i="15"/>
  <c r="I63" i="15" s="1"/>
  <c r="H64" i="15"/>
  <c r="H65" i="15"/>
  <c r="H66" i="15"/>
  <c r="I66" i="15" s="1"/>
  <c r="H69" i="15"/>
  <c r="H70" i="15"/>
  <c r="I70" i="15" s="1"/>
  <c r="H3" i="14"/>
  <c r="I3" i="14" s="1"/>
  <c r="H4" i="14"/>
  <c r="I4" i="14" s="1"/>
  <c r="H5" i="14"/>
  <c r="I5" i="14" s="1"/>
  <c r="H8" i="14"/>
  <c r="I8" i="14" s="1"/>
  <c r="H9" i="14"/>
  <c r="I9" i="14" s="1"/>
  <c r="H10" i="14"/>
  <c r="I10" i="14" s="1"/>
  <c r="H11" i="14"/>
  <c r="I11" i="14" s="1"/>
  <c r="H12" i="14"/>
  <c r="I12" i="14" s="1"/>
  <c r="H15" i="14"/>
  <c r="I15" i="14" s="1"/>
  <c r="H16" i="14"/>
  <c r="I16" i="14" s="1"/>
  <c r="H18" i="14"/>
  <c r="I18" i="14"/>
  <c r="H19" i="14"/>
  <c r="I19" i="14" s="1"/>
  <c r="H22" i="14"/>
  <c r="H21" i="14" s="1"/>
  <c r="H23" i="14"/>
  <c r="I23" i="14" s="1"/>
  <c r="H24" i="14"/>
  <c r="I24" i="14"/>
  <c r="L24" i="14" s="1"/>
  <c r="H25" i="14"/>
  <c r="I25" i="14"/>
  <c r="L25" i="14"/>
  <c r="H26" i="14"/>
  <c r="I26" i="14" s="1"/>
  <c r="H29" i="14"/>
  <c r="I29" i="14"/>
  <c r="H31" i="14"/>
  <c r="I31" i="14" s="1"/>
  <c r="H33" i="14"/>
  <c r="I33" i="14" s="1"/>
  <c r="L33" i="14" s="1"/>
  <c r="H34" i="14"/>
  <c r="I34" i="14" s="1"/>
  <c r="H35" i="14"/>
  <c r="I35" i="14"/>
  <c r="H37" i="14"/>
  <c r="I37" i="14" s="1"/>
  <c r="H38" i="14"/>
  <c r="I38" i="14" s="1"/>
  <c r="H39" i="14"/>
  <c r="I39" i="14" s="1"/>
  <c r="H40" i="14"/>
  <c r="I40" i="14" s="1"/>
  <c r="H42" i="14"/>
  <c r="I42" i="14"/>
  <c r="L42" i="14"/>
  <c r="H43" i="14"/>
  <c r="I43" i="14" s="1"/>
  <c r="H45" i="14"/>
  <c r="I45" i="14"/>
  <c r="H46" i="14"/>
  <c r="I46" i="14" s="1"/>
  <c r="H47" i="14"/>
  <c r="I47" i="14" s="1"/>
  <c r="H48" i="14"/>
  <c r="L48" i="14"/>
  <c r="H49" i="14"/>
  <c r="H50" i="14"/>
  <c r="I50" i="14" s="1"/>
  <c r="H52" i="14"/>
  <c r="L52" i="14" s="1"/>
  <c r="H53" i="14"/>
  <c r="L53" i="14" s="1"/>
  <c r="H54" i="14"/>
  <c r="I54" i="14" s="1"/>
  <c r="H57" i="14"/>
  <c r="L57" i="14" s="1"/>
  <c r="H59" i="14"/>
  <c r="I59" i="14"/>
  <c r="H60" i="14"/>
  <c r="I60" i="14" s="1"/>
  <c r="H62" i="14"/>
  <c r="I62" i="14"/>
  <c r="L62" i="14"/>
  <c r="H63" i="14"/>
  <c r="I63" i="14" s="1"/>
  <c r="H64" i="14"/>
  <c r="I64" i="14"/>
  <c r="H65" i="14"/>
  <c r="I65" i="14"/>
  <c r="H66" i="14"/>
  <c r="I66" i="14"/>
  <c r="H69" i="14"/>
  <c r="I69" i="14" s="1"/>
  <c r="H70" i="14"/>
  <c r="I70" i="14" s="1"/>
  <c r="L26" i="17" l="1"/>
  <c r="L64" i="17"/>
  <c r="L9" i="17"/>
  <c r="I69" i="17"/>
  <c r="L69" i="17" s="1"/>
  <c r="L42" i="17"/>
  <c r="L33" i="17"/>
  <c r="I26" i="17"/>
  <c r="I12" i="17"/>
  <c r="L12" i="17" s="1"/>
  <c r="L39" i="17"/>
  <c r="H21" i="17"/>
  <c r="I21" i="17" s="1"/>
  <c r="L21" i="17" s="1"/>
  <c r="L11" i="17"/>
  <c r="L63" i="17"/>
  <c r="L47" i="17"/>
  <c r="L38" i="17"/>
  <c r="L37" i="17"/>
  <c r="L22" i="17"/>
  <c r="L31" i="17"/>
  <c r="I25" i="17"/>
  <c r="L25" i="17" s="1"/>
  <c r="L19" i="17"/>
  <c r="L62" i="17"/>
  <c r="I17" i="17"/>
  <c r="L17" i="17" s="1"/>
  <c r="L70" i="17"/>
  <c r="L65" i="17"/>
  <c r="L61" i="17"/>
  <c r="L45" i="17"/>
  <c r="L35" i="17"/>
  <c r="L29" i="17"/>
  <c r="L23" i="17"/>
  <c r="L10" i="17"/>
  <c r="I18" i="17"/>
  <c r="L18" i="17" s="1"/>
  <c r="H17" i="16"/>
  <c r="I17" i="16" s="1"/>
  <c r="L37" i="16"/>
  <c r="L64" i="16"/>
  <c r="L12" i="16"/>
  <c r="L69" i="16"/>
  <c r="I64" i="16"/>
  <c r="I62" i="16"/>
  <c r="L62" i="16" s="1"/>
  <c r="I31" i="16"/>
  <c r="L31" i="16" s="1"/>
  <c r="I12" i="16"/>
  <c r="L45" i="16"/>
  <c r="I21" i="16"/>
  <c r="L21" i="16"/>
  <c r="L33" i="16"/>
  <c r="L25" i="16"/>
  <c r="L63" i="16"/>
  <c r="L54" i="16"/>
  <c r="L47" i="16"/>
  <c r="L43" i="16"/>
  <c r="L39" i="16"/>
  <c r="L34" i="16"/>
  <c r="L26" i="16"/>
  <c r="L9" i="16"/>
  <c r="I22" i="16"/>
  <c r="L22" i="16" s="1"/>
  <c r="L12" i="15"/>
  <c r="L65" i="15"/>
  <c r="L62" i="15"/>
  <c r="L43" i="15"/>
  <c r="L34" i="15"/>
  <c r="L25" i="15"/>
  <c r="L24" i="15"/>
  <c r="L63" i="15"/>
  <c r="L26" i="15"/>
  <c r="L21" i="15"/>
  <c r="L19" i="15"/>
  <c r="L9" i="15"/>
  <c r="L70" i="15"/>
  <c r="I65" i="15"/>
  <c r="L37" i="15"/>
  <c r="I31" i="15"/>
  <c r="L31" i="15" s="1"/>
  <c r="I11" i="15"/>
  <c r="L11" i="15" s="1"/>
  <c r="L3" i="15"/>
  <c r="L23" i="15"/>
  <c r="I69" i="15"/>
  <c r="L69" i="15" s="1"/>
  <c r="I64" i="15"/>
  <c r="L64" i="15" s="1"/>
  <c r="I45" i="15"/>
  <c r="L45" i="15" s="1"/>
  <c r="I35" i="15"/>
  <c r="L35" i="15" s="1"/>
  <c r="I29" i="15"/>
  <c r="L29" i="15" s="1"/>
  <c r="I23" i="15"/>
  <c r="I18" i="15"/>
  <c r="L18" i="15" s="1"/>
  <c r="H17" i="15"/>
  <c r="I10" i="15"/>
  <c r="L10" i="15" s="1"/>
  <c r="I5" i="15"/>
  <c r="L5" i="15" s="1"/>
  <c r="L70" i="14"/>
  <c r="L65" i="14"/>
  <c r="L37" i="14"/>
  <c r="L35" i="14"/>
  <c r="L19" i="14"/>
  <c r="L18" i="14"/>
  <c r="L11" i="14"/>
  <c r="L10" i="14"/>
  <c r="L3" i="14"/>
  <c r="L64" i="14"/>
  <c r="L45" i="14"/>
  <c r="L38" i="14"/>
  <c r="L31" i="14"/>
  <c r="L29" i="14"/>
  <c r="H17" i="14"/>
  <c r="I17" i="14" s="1"/>
  <c r="L12" i="14"/>
  <c r="L5" i="14"/>
  <c r="L69" i="14"/>
  <c r="L23" i="14"/>
  <c r="I21" i="14"/>
  <c r="L21" i="14" s="1"/>
  <c r="L63" i="14"/>
  <c r="L43" i="14"/>
  <c r="L39" i="14"/>
  <c r="L34" i="14"/>
  <c r="L54" i="14"/>
  <c r="L47" i="14"/>
  <c r="L26" i="14"/>
  <c r="L9" i="14"/>
  <c r="I22" i="14"/>
  <c r="L22" i="14" s="1"/>
  <c r="H3" i="13"/>
  <c r="I3" i="13" s="1"/>
  <c r="H4" i="13"/>
  <c r="I4" i="13" s="1"/>
  <c r="H5" i="13"/>
  <c r="I5" i="13" s="1"/>
  <c r="H8" i="13"/>
  <c r="I8" i="13" s="1"/>
  <c r="H9" i="13"/>
  <c r="I9" i="13" s="1"/>
  <c r="H10" i="13"/>
  <c r="I10" i="13"/>
  <c r="H11" i="13"/>
  <c r="I11" i="13" s="1"/>
  <c r="H12" i="13"/>
  <c r="I12" i="13" s="1"/>
  <c r="L12" i="13" s="1"/>
  <c r="H13" i="13"/>
  <c r="I13" i="13" s="1"/>
  <c r="H16" i="13"/>
  <c r="I16" i="13" s="1"/>
  <c r="H17" i="13"/>
  <c r="I17" i="13" s="1"/>
  <c r="H19" i="13"/>
  <c r="L19" i="13" s="1"/>
  <c r="I19" i="13"/>
  <c r="H20" i="13"/>
  <c r="I20" i="13" s="1"/>
  <c r="L20" i="13" s="1"/>
  <c r="H23" i="13"/>
  <c r="I23" i="13"/>
  <c r="H24" i="13"/>
  <c r="I24" i="13" s="1"/>
  <c r="H25" i="13"/>
  <c r="I25" i="13" s="1"/>
  <c r="L25" i="13" s="1"/>
  <c r="H26" i="13"/>
  <c r="I26" i="13" s="1"/>
  <c r="H27" i="13"/>
  <c r="I27" i="13" s="1"/>
  <c r="H30" i="13"/>
  <c r="I30" i="13" s="1"/>
  <c r="H32" i="13"/>
  <c r="I32" i="13" s="1"/>
  <c r="L32" i="13" s="1"/>
  <c r="H34" i="13"/>
  <c r="I34" i="13" s="1"/>
  <c r="H35" i="13"/>
  <c r="I35" i="13" s="1"/>
  <c r="H36" i="13"/>
  <c r="I36" i="13"/>
  <c r="L36" i="13" s="1"/>
  <c r="H38" i="13"/>
  <c r="I38" i="13" s="1"/>
  <c r="L38" i="13" s="1"/>
  <c r="H39" i="13"/>
  <c r="I39" i="13" s="1"/>
  <c r="H40" i="13"/>
  <c r="H41" i="13"/>
  <c r="I41" i="13"/>
  <c r="H43" i="13"/>
  <c r="I43" i="13" s="1"/>
  <c r="H44" i="13"/>
  <c r="I44" i="13" s="1"/>
  <c r="H46" i="13"/>
  <c r="I46" i="13"/>
  <c r="L46" i="13" s="1"/>
  <c r="H47" i="13"/>
  <c r="I47" i="13" s="1"/>
  <c r="H48" i="13"/>
  <c r="I48" i="13"/>
  <c r="H49" i="13"/>
  <c r="L49" i="13" s="1"/>
  <c r="H50" i="13"/>
  <c r="H51" i="13"/>
  <c r="I51" i="13" s="1"/>
  <c r="H53" i="13"/>
  <c r="L53" i="13" s="1"/>
  <c r="H54" i="13"/>
  <c r="L54" i="13" s="1"/>
  <c r="H55" i="13"/>
  <c r="H58" i="13"/>
  <c r="L58" i="13"/>
  <c r="H60" i="13"/>
  <c r="I60" i="13" s="1"/>
  <c r="H61" i="13"/>
  <c r="I61" i="13" s="1"/>
  <c r="H63" i="13"/>
  <c r="I63" i="13" s="1"/>
  <c r="H64" i="13"/>
  <c r="H65" i="13"/>
  <c r="I65" i="13" s="1"/>
  <c r="H66" i="13"/>
  <c r="I66" i="13" s="1"/>
  <c r="L66" i="13" s="1"/>
  <c r="H67" i="13"/>
  <c r="I67" i="13" s="1"/>
  <c r="H70" i="13"/>
  <c r="I70" i="13"/>
  <c r="L70" i="13" s="1"/>
  <c r="H71" i="13"/>
  <c r="I71" i="13" s="1"/>
  <c r="L71" i="13" s="1"/>
  <c r="H3" i="12"/>
  <c r="I3" i="12" s="1"/>
  <c r="H4" i="12"/>
  <c r="I4" i="12"/>
  <c r="H5" i="12"/>
  <c r="I5" i="12" s="1"/>
  <c r="L5" i="12" s="1"/>
  <c r="H7" i="12"/>
  <c r="I7" i="12" s="1"/>
  <c r="H8" i="12"/>
  <c r="I8" i="12"/>
  <c r="H9" i="12"/>
  <c r="I9" i="12" s="1"/>
  <c r="L9" i="12" s="1"/>
  <c r="H10" i="12"/>
  <c r="I10" i="12" s="1"/>
  <c r="H11" i="12"/>
  <c r="H12" i="12"/>
  <c r="I12" i="12" s="1"/>
  <c r="L12" i="12" s="1"/>
  <c r="H13" i="12"/>
  <c r="I13" i="12" s="1"/>
  <c r="L13" i="12" s="1"/>
  <c r="H16" i="12"/>
  <c r="I16" i="12" s="1"/>
  <c r="H17" i="12"/>
  <c r="I17" i="12" s="1"/>
  <c r="H19" i="12"/>
  <c r="H20" i="12"/>
  <c r="I20" i="12" s="1"/>
  <c r="L20" i="12" s="1"/>
  <c r="H23" i="12"/>
  <c r="H22" i="12" s="1"/>
  <c r="H24" i="12"/>
  <c r="H25" i="12"/>
  <c r="I25" i="12" s="1"/>
  <c r="L25" i="12" s="1"/>
  <c r="H26" i="12"/>
  <c r="I26" i="12" s="1"/>
  <c r="L26" i="12" s="1"/>
  <c r="H27" i="12"/>
  <c r="I27" i="12" s="1"/>
  <c r="H30" i="12"/>
  <c r="I30" i="12" s="1"/>
  <c r="H32" i="12"/>
  <c r="I32" i="12" s="1"/>
  <c r="L32" i="12" s="1"/>
  <c r="H34" i="12"/>
  <c r="I34" i="12" s="1"/>
  <c r="L34" i="12" s="1"/>
  <c r="H35" i="12"/>
  <c r="I35" i="12" s="1"/>
  <c r="H36" i="12"/>
  <c r="H38" i="12"/>
  <c r="I38" i="12" s="1"/>
  <c r="L38" i="12" s="1"/>
  <c r="H39" i="12"/>
  <c r="I39" i="12"/>
  <c r="L39" i="12" s="1"/>
  <c r="H40" i="12"/>
  <c r="I40" i="12" s="1"/>
  <c r="H41" i="12"/>
  <c r="I41" i="12"/>
  <c r="H43" i="12"/>
  <c r="I43" i="12" s="1"/>
  <c r="L43" i="12" s="1"/>
  <c r="H44" i="12"/>
  <c r="I44" i="12" s="1"/>
  <c r="H46" i="12"/>
  <c r="I46" i="12"/>
  <c r="H47" i="12"/>
  <c r="I47" i="12" s="1"/>
  <c r="H48" i="12"/>
  <c r="I48" i="12" s="1"/>
  <c r="H49" i="12"/>
  <c r="L49" i="12"/>
  <c r="H50" i="12"/>
  <c r="H51" i="12"/>
  <c r="I51" i="12" s="1"/>
  <c r="H53" i="12"/>
  <c r="L53" i="12" s="1"/>
  <c r="H54" i="12"/>
  <c r="L54" i="12" s="1"/>
  <c r="H55" i="12"/>
  <c r="I55" i="12" s="1"/>
  <c r="H58" i="12"/>
  <c r="L58" i="12" s="1"/>
  <c r="H59" i="12"/>
  <c r="I59" i="12" s="1"/>
  <c r="L59" i="12" s="1"/>
  <c r="H60" i="12"/>
  <c r="I60" i="12" s="1"/>
  <c r="H61" i="12"/>
  <c r="I61" i="12" s="1"/>
  <c r="H62" i="12"/>
  <c r="I62" i="12" s="1"/>
  <c r="H64" i="12"/>
  <c r="I64" i="12" s="1"/>
  <c r="H65" i="12"/>
  <c r="I65" i="12" s="1"/>
  <c r="L65" i="12" s="1"/>
  <c r="H66" i="12"/>
  <c r="I66" i="12"/>
  <c r="L66" i="12" s="1"/>
  <c r="H67" i="12"/>
  <c r="I67" i="12" s="1"/>
  <c r="H68" i="12"/>
  <c r="I68" i="12" s="1"/>
  <c r="H71" i="12"/>
  <c r="I71" i="12"/>
  <c r="L71" i="12" s="1"/>
  <c r="H72" i="12"/>
  <c r="I72" i="12" s="1"/>
  <c r="H3" i="10"/>
  <c r="I3" i="10" s="1"/>
  <c r="H6" i="10"/>
  <c r="I6" i="10" s="1"/>
  <c r="H29" i="10"/>
  <c r="I29" i="10" s="1"/>
  <c r="H32" i="10"/>
  <c r="I32" i="10" s="1"/>
  <c r="H38" i="10"/>
  <c r="I38" i="10" s="1"/>
  <c r="L38" i="10" s="1"/>
  <c r="H51" i="10"/>
  <c r="I51" i="10" s="1"/>
  <c r="H67" i="10"/>
  <c r="I67" i="10" s="1"/>
  <c r="H2" i="11"/>
  <c r="I2" i="11" s="1"/>
  <c r="H3" i="11"/>
  <c r="I3" i="11" s="1"/>
  <c r="H4" i="11"/>
  <c r="I4" i="11"/>
  <c r="H5" i="11"/>
  <c r="I5" i="11"/>
  <c r="H6" i="11"/>
  <c r="I6" i="11"/>
  <c r="H7" i="11"/>
  <c r="I7" i="11" s="1"/>
  <c r="H8" i="11"/>
  <c r="I8" i="11" s="1"/>
  <c r="H9" i="11"/>
  <c r="I9" i="11" s="1"/>
  <c r="H10" i="11"/>
  <c r="I10" i="11" s="1"/>
  <c r="H11" i="11"/>
  <c r="H12" i="11"/>
  <c r="I12" i="11" s="1"/>
  <c r="L12" i="11" s="1"/>
  <c r="H13" i="11"/>
  <c r="I13" i="11"/>
  <c r="L13" i="11" s="1"/>
  <c r="H14" i="11"/>
  <c r="I14" i="11" s="1"/>
  <c r="H16" i="11"/>
  <c r="I16" i="11" s="1"/>
  <c r="H17" i="11"/>
  <c r="I17" i="11"/>
  <c r="H19" i="11"/>
  <c r="H18" i="11" s="1"/>
  <c r="H20" i="11"/>
  <c r="I20" i="11" s="1"/>
  <c r="L20" i="11" s="1"/>
  <c r="H23" i="11"/>
  <c r="H24" i="11"/>
  <c r="I24" i="11" s="1"/>
  <c r="H25" i="11"/>
  <c r="I25" i="11"/>
  <c r="H26" i="11"/>
  <c r="I26" i="11" s="1"/>
  <c r="H27" i="11"/>
  <c r="I27" i="11" s="1"/>
  <c r="H29" i="11"/>
  <c r="I29" i="11"/>
  <c r="L29" i="11" s="1"/>
  <c r="H30" i="11"/>
  <c r="I30" i="11" s="1"/>
  <c r="H31" i="11"/>
  <c r="I31" i="11" s="1"/>
  <c r="H32" i="11"/>
  <c r="H34" i="11"/>
  <c r="I34" i="11" s="1"/>
  <c r="L34" i="11" s="1"/>
  <c r="H35" i="11"/>
  <c r="I35" i="11" s="1"/>
  <c r="L35" i="11" s="1"/>
  <c r="H36" i="11"/>
  <c r="I36" i="11" s="1"/>
  <c r="H38" i="11"/>
  <c r="I38" i="11"/>
  <c r="H39" i="11"/>
  <c r="I39" i="11"/>
  <c r="H40" i="11"/>
  <c r="I40" i="11" s="1"/>
  <c r="L40" i="11" s="1"/>
  <c r="H41" i="11"/>
  <c r="I41" i="11" s="1"/>
  <c r="H43" i="11"/>
  <c r="I43" i="11" s="1"/>
  <c r="L43" i="11" s="1"/>
  <c r="H44" i="11"/>
  <c r="I44" i="11"/>
  <c r="L44" i="11" s="1"/>
  <c r="H46" i="11"/>
  <c r="I46" i="11" s="1"/>
  <c r="H47" i="11"/>
  <c r="I47" i="11"/>
  <c r="H48" i="11"/>
  <c r="I48" i="11"/>
  <c r="H49" i="11"/>
  <c r="L49" i="11" s="1"/>
  <c r="H50" i="11"/>
  <c r="H51" i="11"/>
  <c r="I51" i="11" s="1"/>
  <c r="H53" i="11"/>
  <c r="L53" i="11" s="1"/>
  <c r="H54" i="11"/>
  <c r="L54" i="11" s="1"/>
  <c r="H55" i="11"/>
  <c r="I55" i="11" s="1"/>
  <c r="L55" i="11" s="1"/>
  <c r="H58" i="11"/>
  <c r="L58" i="11" s="1"/>
  <c r="H59" i="11"/>
  <c r="I59" i="11" s="1"/>
  <c r="L59" i="11" s="1"/>
  <c r="H60" i="11"/>
  <c r="I60" i="11"/>
  <c r="L60" i="11" s="1"/>
  <c r="H61" i="11"/>
  <c r="I61" i="11" s="1"/>
  <c r="H62" i="11"/>
  <c r="I62" i="11" s="1"/>
  <c r="H64" i="11"/>
  <c r="I64" i="11" s="1"/>
  <c r="H65" i="11"/>
  <c r="H66" i="11"/>
  <c r="I66" i="11" s="1"/>
  <c r="L66" i="11" s="1"/>
  <c r="H67" i="11"/>
  <c r="I67" i="11"/>
  <c r="L67" i="11" s="1"/>
  <c r="H68" i="11"/>
  <c r="I68" i="11" s="1"/>
  <c r="H71" i="11"/>
  <c r="I71" i="11" s="1"/>
  <c r="L71" i="11" s="1"/>
  <c r="H72" i="11"/>
  <c r="I72" i="11" s="1"/>
  <c r="H2" i="10"/>
  <c r="I2" i="10" s="1"/>
  <c r="H5" i="10"/>
  <c r="I5" i="10" s="1"/>
  <c r="H7" i="10"/>
  <c r="I7" i="10" s="1"/>
  <c r="H9" i="10"/>
  <c r="I9" i="10" s="1"/>
  <c r="H11" i="10"/>
  <c r="I11" i="10" s="1"/>
  <c r="L11" i="10" s="1"/>
  <c r="H12" i="10"/>
  <c r="I12" i="10" s="1"/>
  <c r="H13" i="10"/>
  <c r="I13" i="10" s="1"/>
  <c r="H14" i="10"/>
  <c r="I14" i="10" s="1"/>
  <c r="H16" i="10"/>
  <c r="I16" i="10" s="1"/>
  <c r="H17" i="10"/>
  <c r="I17" i="10" s="1"/>
  <c r="H19" i="10"/>
  <c r="H18" i="10" s="1"/>
  <c r="H23" i="10"/>
  <c r="I23" i="10" s="1"/>
  <c r="H25" i="10"/>
  <c r="I25" i="10" s="1"/>
  <c r="H26" i="10"/>
  <c r="I26" i="10" s="1"/>
  <c r="H39" i="10"/>
  <c r="I39" i="10" s="1"/>
  <c r="H44" i="10"/>
  <c r="H47" i="10"/>
  <c r="I47" i="10" s="1"/>
  <c r="H50" i="10"/>
  <c r="H55" i="10"/>
  <c r="I55" i="10" s="1"/>
  <c r="H59" i="10"/>
  <c r="I59" i="10" s="1"/>
  <c r="H60" i="10"/>
  <c r="I60" i="10" s="1"/>
  <c r="H61" i="10"/>
  <c r="I61" i="10" s="1"/>
  <c r="H62" i="10"/>
  <c r="I62" i="10" s="1"/>
  <c r="H65" i="10"/>
  <c r="I65" i="10" s="1"/>
  <c r="L65" i="10" s="1"/>
  <c r="H66" i="10"/>
  <c r="I66" i="10" s="1"/>
  <c r="H72" i="10"/>
  <c r="I72" i="10" s="1"/>
  <c r="L17" i="16" l="1"/>
  <c r="I17" i="15"/>
  <c r="L17" i="15" s="1"/>
  <c r="L17" i="14"/>
  <c r="L65" i="13"/>
  <c r="H18" i="13"/>
  <c r="L48" i="13"/>
  <c r="L24" i="13"/>
  <c r="L23" i="13"/>
  <c r="L3" i="13"/>
  <c r="L30" i="13"/>
  <c r="L27" i="13"/>
  <c r="H22" i="13"/>
  <c r="I22" i="13" s="1"/>
  <c r="L11" i="13"/>
  <c r="L10" i="13"/>
  <c r="L64" i="13"/>
  <c r="L55" i="13"/>
  <c r="I64" i="13"/>
  <c r="I55" i="13"/>
  <c r="L44" i="13"/>
  <c r="I40" i="13"/>
  <c r="L40" i="13" s="1"/>
  <c r="L35" i="13"/>
  <c r="L5" i="13"/>
  <c r="L63" i="13"/>
  <c r="L43" i="13"/>
  <c r="L39" i="13"/>
  <c r="L34" i="13"/>
  <c r="L26" i="13"/>
  <c r="L13" i="13"/>
  <c r="L9" i="13"/>
  <c r="L64" i="12"/>
  <c r="L46" i="12"/>
  <c r="H18" i="12"/>
  <c r="I18" i="12" s="1"/>
  <c r="L30" i="12"/>
  <c r="I36" i="12"/>
  <c r="L36" i="12" s="1"/>
  <c r="I24" i="12"/>
  <c r="L24" i="12" s="1"/>
  <c r="I19" i="12"/>
  <c r="L19" i="12" s="1"/>
  <c r="I11" i="12"/>
  <c r="L11" i="12" s="1"/>
  <c r="I22" i="12"/>
  <c r="L22" i="12" s="1"/>
  <c r="L72" i="12"/>
  <c r="L67" i="12"/>
  <c r="L60" i="12"/>
  <c r="L55" i="12"/>
  <c r="L48" i="12"/>
  <c r="L44" i="12"/>
  <c r="L40" i="12"/>
  <c r="L35" i="12"/>
  <c r="L27" i="12"/>
  <c r="L18" i="12"/>
  <c r="L10" i="12"/>
  <c r="L7" i="12"/>
  <c r="L3" i="12"/>
  <c r="I23" i="12"/>
  <c r="L23" i="12" s="1"/>
  <c r="H68" i="10"/>
  <c r="I68" i="10" s="1"/>
  <c r="H64" i="10"/>
  <c r="I64" i="10" s="1"/>
  <c r="L64" i="10" s="1"/>
  <c r="H49" i="10"/>
  <c r="L49" i="10" s="1"/>
  <c r="H48" i="10"/>
  <c r="I48" i="10" s="1"/>
  <c r="H41" i="10"/>
  <c r="I41" i="10" s="1"/>
  <c r="H58" i="10"/>
  <c r="L58" i="10" s="1"/>
  <c r="H4" i="10"/>
  <c r="I4" i="10" s="1"/>
  <c r="H53" i="10"/>
  <c r="L53" i="10" s="1"/>
  <c r="H46" i="10"/>
  <c r="I46" i="10" s="1"/>
  <c r="L46" i="10" s="1"/>
  <c r="H35" i="10"/>
  <c r="I35" i="10" s="1"/>
  <c r="L35" i="10" s="1"/>
  <c r="H34" i="10"/>
  <c r="I34" i="10" s="1"/>
  <c r="H30" i="10"/>
  <c r="I30" i="10" s="1"/>
  <c r="H71" i="10"/>
  <c r="I71" i="10" s="1"/>
  <c r="H40" i="10"/>
  <c r="I40" i="10" s="1"/>
  <c r="L40" i="10" s="1"/>
  <c r="H20" i="10"/>
  <c r="I20" i="10" s="1"/>
  <c r="H8" i="10"/>
  <c r="I8" i="10" s="1"/>
  <c r="H43" i="10"/>
  <c r="I43" i="10" s="1"/>
  <c r="H24" i="10"/>
  <c r="I24" i="10" s="1"/>
  <c r="L48" i="11"/>
  <c r="L39" i="11"/>
  <c r="L25" i="11"/>
  <c r="I19" i="11"/>
  <c r="L18" i="11"/>
  <c r="I18" i="11"/>
  <c r="L72" i="11"/>
  <c r="L30" i="11"/>
  <c r="L24" i="11"/>
  <c r="L9" i="11"/>
  <c r="L3" i="11"/>
  <c r="I65" i="11"/>
  <c r="L65" i="11" s="1"/>
  <c r="L38" i="11"/>
  <c r="I32" i="11"/>
  <c r="L32" i="11" s="1"/>
  <c r="H22" i="11"/>
  <c r="I22" i="11" s="1"/>
  <c r="L19" i="11"/>
  <c r="I11" i="11"/>
  <c r="L11" i="11" s="1"/>
  <c r="L5" i="11"/>
  <c r="L27" i="11"/>
  <c r="I23" i="11"/>
  <c r="L23" i="11" s="1"/>
  <c r="L64" i="11"/>
  <c r="L46" i="11"/>
  <c r="L36" i="11"/>
  <c r="L31" i="11"/>
  <c r="L26" i="11"/>
  <c r="L14" i="11"/>
  <c r="L10" i="11"/>
  <c r="L7" i="11"/>
  <c r="L23" i="10"/>
  <c r="H22" i="10"/>
  <c r="I22" i="10" s="1"/>
  <c r="L22" i="10" s="1"/>
  <c r="L44" i="10"/>
  <c r="L72" i="10"/>
  <c r="L67" i="10"/>
  <c r="L60" i="10"/>
  <c r="L55" i="10"/>
  <c r="L30" i="10"/>
  <c r="L14" i="10"/>
  <c r="L13" i="10"/>
  <c r="L7" i="10"/>
  <c r="L5" i="10"/>
  <c r="L32" i="10"/>
  <c r="L26" i="10"/>
  <c r="L25" i="10"/>
  <c r="L9" i="10"/>
  <c r="L48" i="10"/>
  <c r="I44" i="10"/>
  <c r="L20" i="10"/>
  <c r="I18" i="10"/>
  <c r="L18" i="10" s="1"/>
  <c r="L71" i="10"/>
  <c r="L66" i="10"/>
  <c r="L59" i="10"/>
  <c r="L43" i="10"/>
  <c r="L39" i="10"/>
  <c r="L34" i="10"/>
  <c r="L29" i="10"/>
  <c r="L12" i="10"/>
  <c r="L3" i="10"/>
  <c r="I19" i="10"/>
  <c r="L19" i="10" s="1"/>
  <c r="H3" i="9"/>
  <c r="I3" i="9" s="1"/>
  <c r="L3" i="9" s="1"/>
  <c r="H4" i="9"/>
  <c r="I4" i="9" s="1"/>
  <c r="H5" i="9"/>
  <c r="I5" i="9" s="1"/>
  <c r="H7" i="9"/>
  <c r="H8" i="9"/>
  <c r="I8" i="9" s="1"/>
  <c r="H9" i="9"/>
  <c r="I9" i="9"/>
  <c r="H10" i="9"/>
  <c r="I10" i="9" s="1"/>
  <c r="L10" i="9" s="1"/>
  <c r="H11" i="9"/>
  <c r="I11" i="9" s="1"/>
  <c r="L11" i="9" s="1"/>
  <c r="H12" i="9"/>
  <c r="I12" i="9" s="1"/>
  <c r="H13" i="9"/>
  <c r="I13" i="9" s="1"/>
  <c r="H14" i="9"/>
  <c r="I14" i="9" s="1"/>
  <c r="H16" i="9"/>
  <c r="I16" i="9" s="1"/>
  <c r="H17" i="9"/>
  <c r="H18" i="9"/>
  <c r="I18" i="9" s="1"/>
  <c r="L18" i="9" s="1"/>
  <c r="H19" i="9"/>
  <c r="I19" i="9" s="1"/>
  <c r="L19" i="9" s="1"/>
  <c r="H22" i="9"/>
  <c r="I22" i="9" s="1"/>
  <c r="H23" i="9"/>
  <c r="I23" i="9" s="1"/>
  <c r="L23" i="9" s="1"/>
  <c r="H24" i="9"/>
  <c r="I24" i="9" s="1"/>
  <c r="L24" i="9" s="1"/>
  <c r="H26" i="9"/>
  <c r="I26" i="9" s="1"/>
  <c r="H28" i="9"/>
  <c r="I28" i="9"/>
  <c r="H29" i="9"/>
  <c r="I29" i="9" s="1"/>
  <c r="H30" i="9"/>
  <c r="I30" i="9" s="1"/>
  <c r="L30" i="9" s="1"/>
  <c r="H31" i="9"/>
  <c r="I31" i="9" s="1"/>
  <c r="H33" i="9"/>
  <c r="I33" i="9" s="1"/>
  <c r="H34" i="9"/>
  <c r="H35" i="9"/>
  <c r="I35" i="9" s="1"/>
  <c r="L35" i="9" s="1"/>
  <c r="H37" i="9"/>
  <c r="I37" i="9" s="1"/>
  <c r="H38" i="9"/>
  <c r="H39" i="9"/>
  <c r="I39" i="9" s="1"/>
  <c r="L39" i="9" s="1"/>
  <c r="H40" i="9"/>
  <c r="I40" i="9" s="1"/>
  <c r="H43" i="9"/>
  <c r="I43" i="9" s="1"/>
  <c r="H45" i="9"/>
  <c r="I45" i="9" s="1"/>
  <c r="H46" i="9"/>
  <c r="I46" i="9" s="1"/>
  <c r="H47" i="9"/>
  <c r="H48" i="9"/>
  <c r="L48" i="9"/>
  <c r="H49" i="9"/>
  <c r="H50" i="9"/>
  <c r="I50" i="9" s="1"/>
  <c r="H52" i="9"/>
  <c r="L52" i="9"/>
  <c r="H53" i="9"/>
  <c r="L53" i="9" s="1"/>
  <c r="H54" i="9"/>
  <c r="I54" i="9" s="1"/>
  <c r="H57" i="9"/>
  <c r="L57" i="9"/>
  <c r="H58" i="9"/>
  <c r="I58" i="9" s="1"/>
  <c r="H59" i="9"/>
  <c r="I59" i="9" s="1"/>
  <c r="H60" i="9"/>
  <c r="I60" i="9" s="1"/>
  <c r="H61" i="9"/>
  <c r="I61" i="9" s="1"/>
  <c r="H63" i="9"/>
  <c r="I63" i="9" s="1"/>
  <c r="H64" i="9"/>
  <c r="I64" i="9" s="1"/>
  <c r="L64" i="9" s="1"/>
  <c r="H65" i="9"/>
  <c r="I65" i="9" s="1"/>
  <c r="H66" i="9"/>
  <c r="H67" i="9"/>
  <c r="I67" i="9"/>
  <c r="H70" i="9"/>
  <c r="I70" i="9" s="1"/>
  <c r="H71" i="9"/>
  <c r="I71" i="9" s="1"/>
  <c r="H3" i="8"/>
  <c r="I3" i="8" s="1"/>
  <c r="H4" i="8"/>
  <c r="I4" i="8"/>
  <c r="H5" i="8"/>
  <c r="H7" i="8"/>
  <c r="I7" i="8" s="1"/>
  <c r="H8" i="8"/>
  <c r="I8" i="8"/>
  <c r="H9" i="8"/>
  <c r="I9" i="8" s="1"/>
  <c r="H10" i="8"/>
  <c r="I10" i="8" s="1"/>
  <c r="H11" i="8"/>
  <c r="I11" i="8" s="1"/>
  <c r="L11" i="8" s="1"/>
  <c r="H12" i="8"/>
  <c r="I12" i="8" s="1"/>
  <c r="L12" i="8" s="1"/>
  <c r="H13" i="8"/>
  <c r="I13" i="8"/>
  <c r="H14" i="8"/>
  <c r="I14" i="8" s="1"/>
  <c r="H16" i="8"/>
  <c r="I16" i="8" s="1"/>
  <c r="H18" i="8"/>
  <c r="H17" i="8" s="1"/>
  <c r="H19" i="8"/>
  <c r="I19" i="8"/>
  <c r="L19" i="8" s="1"/>
  <c r="H22" i="8"/>
  <c r="H23" i="8"/>
  <c r="I23" i="8" s="1"/>
  <c r="H24" i="8"/>
  <c r="I24" i="8"/>
  <c r="L24" i="8" s="1"/>
  <c r="H26" i="8"/>
  <c r="I26" i="8" s="1"/>
  <c r="L26" i="8" s="1"/>
  <c r="H28" i="8"/>
  <c r="I28" i="8"/>
  <c r="H29" i="8"/>
  <c r="I29" i="8" s="1"/>
  <c r="H30" i="8"/>
  <c r="I30" i="8"/>
  <c r="L30" i="8" s="1"/>
  <c r="H31" i="8"/>
  <c r="I31" i="8" s="1"/>
  <c r="L31" i="8" s="1"/>
  <c r="H33" i="8"/>
  <c r="H34" i="8"/>
  <c r="I34" i="8" s="1"/>
  <c r="H35" i="8"/>
  <c r="I35" i="8"/>
  <c r="L35" i="8" s="1"/>
  <c r="H37" i="8"/>
  <c r="I37" i="8" s="1"/>
  <c r="L37" i="8" s="1"/>
  <c r="H38" i="8"/>
  <c r="I38" i="8"/>
  <c r="H39" i="8"/>
  <c r="I39" i="8" s="1"/>
  <c r="H40" i="8"/>
  <c r="I40" i="8" s="1"/>
  <c r="H43" i="8"/>
  <c r="I43" i="8"/>
  <c r="H45" i="8"/>
  <c r="I45" i="8" s="1"/>
  <c r="H46" i="8"/>
  <c r="I46" i="8"/>
  <c r="H47" i="8"/>
  <c r="H48" i="8"/>
  <c r="L48" i="8" s="1"/>
  <c r="H49" i="8"/>
  <c r="H50" i="8"/>
  <c r="I50" i="8" s="1"/>
  <c r="H52" i="8"/>
  <c r="L52" i="8"/>
  <c r="H53" i="8"/>
  <c r="L53" i="8" s="1"/>
  <c r="H54" i="8"/>
  <c r="I54" i="8"/>
  <c r="H57" i="8"/>
  <c r="L57" i="8" s="1"/>
  <c r="H58" i="8"/>
  <c r="I58" i="8" s="1"/>
  <c r="L58" i="8" s="1"/>
  <c r="H59" i="8"/>
  <c r="I59" i="8"/>
  <c r="H60" i="8"/>
  <c r="I60" i="8" s="1"/>
  <c r="H61" i="8"/>
  <c r="I61" i="8" s="1"/>
  <c r="H63" i="8"/>
  <c r="I63" i="8" s="1"/>
  <c r="H64" i="8"/>
  <c r="I64" i="8"/>
  <c r="L64" i="8" s="1"/>
  <c r="H65" i="8"/>
  <c r="I65" i="8" s="1"/>
  <c r="L65" i="8" s="1"/>
  <c r="H66" i="8"/>
  <c r="I66" i="8"/>
  <c r="H67" i="8"/>
  <c r="I67" i="8" s="1"/>
  <c r="H70" i="8"/>
  <c r="I70" i="8" s="1"/>
  <c r="L70" i="8" s="1"/>
  <c r="H71" i="8"/>
  <c r="I71" i="8"/>
  <c r="H3" i="7"/>
  <c r="I3" i="7" s="1"/>
  <c r="H4" i="7"/>
  <c r="I4" i="7" s="1"/>
  <c r="H8" i="7"/>
  <c r="I8" i="7" s="1"/>
  <c r="H9" i="7"/>
  <c r="I9" i="7" s="1"/>
  <c r="L9" i="7" s="1"/>
  <c r="H10" i="7"/>
  <c r="I10" i="7" s="1"/>
  <c r="H11" i="7"/>
  <c r="I11" i="7" s="1"/>
  <c r="H12" i="7"/>
  <c r="I12" i="7"/>
  <c r="L12" i="7" s="1"/>
  <c r="H13" i="7"/>
  <c r="I13" i="7" s="1"/>
  <c r="L13" i="7" s="1"/>
  <c r="H14" i="7"/>
  <c r="I14" i="7" s="1"/>
  <c r="H16" i="7"/>
  <c r="I16" i="7" s="1"/>
  <c r="H18" i="7"/>
  <c r="H17" i="7" s="1"/>
  <c r="H19" i="7"/>
  <c r="I19" i="7"/>
  <c r="H22" i="7"/>
  <c r="H21" i="7" s="1"/>
  <c r="H23" i="7"/>
  <c r="I23" i="7" s="1"/>
  <c r="H24" i="7"/>
  <c r="I24" i="7"/>
  <c r="H28" i="7"/>
  <c r="I28" i="7" s="1"/>
  <c r="H29" i="7"/>
  <c r="I29" i="7" s="1"/>
  <c r="L29" i="7" s="1"/>
  <c r="H30" i="7"/>
  <c r="I30" i="7" s="1"/>
  <c r="H31" i="7"/>
  <c r="I31" i="7" s="1"/>
  <c r="H33" i="7"/>
  <c r="I33" i="7" s="1"/>
  <c r="H34" i="7"/>
  <c r="I34" i="7" s="1"/>
  <c r="L34" i="7" s="1"/>
  <c r="H35" i="7"/>
  <c r="I35" i="7" s="1"/>
  <c r="H37" i="7"/>
  <c r="I37" i="7" s="1"/>
  <c r="H38" i="7"/>
  <c r="I38" i="7"/>
  <c r="L38" i="7" s="1"/>
  <c r="H39" i="7"/>
  <c r="I39" i="7" s="1"/>
  <c r="L39" i="7" s="1"/>
  <c r="H40" i="7"/>
  <c r="I40" i="7" s="1"/>
  <c r="H43" i="7"/>
  <c r="I43" i="7" s="1"/>
  <c r="H45" i="7"/>
  <c r="I45" i="7" s="1"/>
  <c r="L45" i="7" s="1"/>
  <c r="H46" i="7"/>
  <c r="I46" i="7" s="1"/>
  <c r="H47" i="7"/>
  <c r="I47" i="7" s="1"/>
  <c r="H48" i="7"/>
  <c r="L48" i="7" s="1"/>
  <c r="H49" i="7"/>
  <c r="H50" i="7"/>
  <c r="I50" i="7" s="1"/>
  <c r="H52" i="7"/>
  <c r="L52" i="7"/>
  <c r="H53" i="7"/>
  <c r="L53" i="7" s="1"/>
  <c r="H54" i="7"/>
  <c r="I54" i="7" s="1"/>
  <c r="H57" i="7"/>
  <c r="L57" i="7" s="1"/>
  <c r="H58" i="7"/>
  <c r="I58" i="7" s="1"/>
  <c r="H59" i="7"/>
  <c r="I59" i="7" s="1"/>
  <c r="H60" i="7"/>
  <c r="I60" i="7" s="1"/>
  <c r="H61" i="7"/>
  <c r="I61" i="7" s="1"/>
  <c r="H63" i="7"/>
  <c r="I63" i="7" s="1"/>
  <c r="L63" i="7" s="1"/>
  <c r="H64" i="7"/>
  <c r="I64" i="7" s="1"/>
  <c r="H65" i="7"/>
  <c r="H66" i="7"/>
  <c r="I66" i="7" s="1"/>
  <c r="H67" i="7"/>
  <c r="I67" i="7" s="1"/>
  <c r="H70" i="7"/>
  <c r="I70" i="7" s="1"/>
  <c r="H71" i="7"/>
  <c r="I71" i="7" s="1"/>
  <c r="H3" i="6"/>
  <c r="I3" i="6" s="1"/>
  <c r="L3" i="6" s="1"/>
  <c r="H4" i="6"/>
  <c r="I4" i="6" s="1"/>
  <c r="H6" i="6"/>
  <c r="I6" i="6"/>
  <c r="H7" i="6"/>
  <c r="I7" i="6" s="1"/>
  <c r="H8" i="6"/>
  <c r="I8" i="6"/>
  <c r="H9" i="6"/>
  <c r="I9" i="6" s="1"/>
  <c r="H10" i="6"/>
  <c r="H11" i="6"/>
  <c r="I11" i="6"/>
  <c r="L11" i="6"/>
  <c r="H12" i="6"/>
  <c r="I12" i="6" s="1"/>
  <c r="L12" i="6" s="1"/>
  <c r="H13" i="6"/>
  <c r="I13" i="6" s="1"/>
  <c r="H14" i="6"/>
  <c r="I14" i="6"/>
  <c r="H16" i="6"/>
  <c r="I16" i="6" s="1"/>
  <c r="H18" i="6"/>
  <c r="H19" i="6"/>
  <c r="I19" i="6" s="1"/>
  <c r="H22" i="6"/>
  <c r="H21" i="6" s="1"/>
  <c r="H23" i="6"/>
  <c r="I23" i="6" s="1"/>
  <c r="H24" i="6"/>
  <c r="I24" i="6" s="1"/>
  <c r="H28" i="6"/>
  <c r="I28" i="6" s="1"/>
  <c r="L28" i="6" s="1"/>
  <c r="H29" i="6"/>
  <c r="I29" i="6" s="1"/>
  <c r="H30" i="6"/>
  <c r="I30" i="6" s="1"/>
  <c r="H31" i="6"/>
  <c r="I31" i="6"/>
  <c r="H33" i="6"/>
  <c r="I33" i="6" s="1"/>
  <c r="L33" i="6" s="1"/>
  <c r="H34" i="6"/>
  <c r="I34" i="6" s="1"/>
  <c r="H35" i="6"/>
  <c r="H37" i="6"/>
  <c r="I37" i="6" s="1"/>
  <c r="H38" i="6"/>
  <c r="I38" i="6" s="1"/>
  <c r="L38" i="6" s="1"/>
  <c r="H39" i="6"/>
  <c r="I39" i="6" s="1"/>
  <c r="H40" i="6"/>
  <c r="I40" i="6" s="1"/>
  <c r="H43" i="6"/>
  <c r="I43" i="6" s="1"/>
  <c r="L43" i="6" s="1"/>
  <c r="H45" i="6"/>
  <c r="I45" i="6" s="1"/>
  <c r="H46" i="6"/>
  <c r="I46" i="6" s="1"/>
  <c r="H47" i="6"/>
  <c r="I47" i="6" s="1"/>
  <c r="L47" i="6" s="1"/>
  <c r="H48" i="6"/>
  <c r="L48" i="6" s="1"/>
  <c r="H49" i="6"/>
  <c r="H50" i="6"/>
  <c r="I50" i="6" s="1"/>
  <c r="H52" i="6"/>
  <c r="L52" i="6" s="1"/>
  <c r="H53" i="6"/>
  <c r="L53" i="6" s="1"/>
  <c r="H54" i="6"/>
  <c r="I54" i="6" s="1"/>
  <c r="L54" i="6" s="1"/>
  <c r="H57" i="6"/>
  <c r="L57" i="6" s="1"/>
  <c r="H58" i="6"/>
  <c r="L58" i="6" s="1"/>
  <c r="H59" i="6"/>
  <c r="I59" i="6" s="1"/>
  <c r="H60" i="6"/>
  <c r="I60" i="6"/>
  <c r="H61" i="6"/>
  <c r="I61" i="6" s="1"/>
  <c r="H63" i="6"/>
  <c r="I63" i="6"/>
  <c r="H64" i="6"/>
  <c r="H65" i="6"/>
  <c r="I65" i="6" s="1"/>
  <c r="L65" i="6" s="1"/>
  <c r="H66" i="6"/>
  <c r="I66" i="6" s="1"/>
  <c r="H67" i="6"/>
  <c r="I67" i="6" s="1"/>
  <c r="H70" i="6"/>
  <c r="I70" i="6" s="1"/>
  <c r="L70" i="6" s="1"/>
  <c r="H71" i="6"/>
  <c r="I71" i="6" s="1"/>
  <c r="H3" i="5"/>
  <c r="I3" i="5" s="1"/>
  <c r="L3" i="5" s="1"/>
  <c r="H4" i="5"/>
  <c r="I4" i="5" s="1"/>
  <c r="H6" i="5"/>
  <c r="I6" i="5"/>
  <c r="H7" i="5"/>
  <c r="I7" i="5" s="1"/>
  <c r="H8" i="5"/>
  <c r="I8" i="5" s="1"/>
  <c r="H9" i="5"/>
  <c r="I9" i="5" s="1"/>
  <c r="H10" i="5"/>
  <c r="I10" i="5" s="1"/>
  <c r="H11" i="5"/>
  <c r="I11" i="5" s="1"/>
  <c r="L11" i="5" s="1"/>
  <c r="H12" i="5"/>
  <c r="I12" i="5"/>
  <c r="L12" i="5"/>
  <c r="H13" i="5"/>
  <c r="I13" i="5" s="1"/>
  <c r="H14" i="5"/>
  <c r="I14" i="5" s="1"/>
  <c r="H16" i="5"/>
  <c r="I16" i="5"/>
  <c r="H18" i="5"/>
  <c r="H17" i="5" s="1"/>
  <c r="H19" i="5"/>
  <c r="I19" i="5"/>
  <c r="L19" i="5" s="1"/>
  <c r="H22" i="5"/>
  <c r="H21" i="5" s="1"/>
  <c r="H23" i="5"/>
  <c r="I23" i="5" s="1"/>
  <c r="H24" i="5"/>
  <c r="I24" i="5"/>
  <c r="L24" i="5" s="1"/>
  <c r="H28" i="5"/>
  <c r="I28" i="5" s="1"/>
  <c r="L28" i="5" s="1"/>
  <c r="H29" i="5"/>
  <c r="I29" i="5" s="1"/>
  <c r="H30" i="5"/>
  <c r="I30" i="5" s="1"/>
  <c r="H31" i="5"/>
  <c r="I31" i="5"/>
  <c r="L31" i="5" s="1"/>
  <c r="H33" i="5"/>
  <c r="I33" i="5" s="1"/>
  <c r="L33" i="5" s="1"/>
  <c r="H34" i="5"/>
  <c r="I34" i="5" s="1"/>
  <c r="H35" i="5"/>
  <c r="I35" i="5" s="1"/>
  <c r="H37" i="5"/>
  <c r="I37" i="5" s="1"/>
  <c r="L37" i="5" s="1"/>
  <c r="H38" i="5"/>
  <c r="I38" i="5" s="1"/>
  <c r="H39" i="5"/>
  <c r="I39" i="5" s="1"/>
  <c r="H40" i="5"/>
  <c r="I40" i="5" s="1"/>
  <c r="H43" i="5"/>
  <c r="I43" i="5" s="1"/>
  <c r="L43" i="5" s="1"/>
  <c r="H45" i="5"/>
  <c r="I45" i="5" s="1"/>
  <c r="H46" i="5"/>
  <c r="I46" i="5" s="1"/>
  <c r="H47" i="5"/>
  <c r="I47" i="5" s="1"/>
  <c r="L47" i="5" s="1"/>
  <c r="H48" i="5"/>
  <c r="L48" i="5" s="1"/>
  <c r="H49" i="5"/>
  <c r="H50" i="5"/>
  <c r="I50" i="5" s="1"/>
  <c r="H52" i="5"/>
  <c r="L52" i="5" s="1"/>
  <c r="H53" i="5"/>
  <c r="L53" i="5" s="1"/>
  <c r="H54" i="5"/>
  <c r="I54" i="5" s="1"/>
  <c r="L54" i="5" s="1"/>
  <c r="H57" i="5"/>
  <c r="L57" i="5" s="1"/>
  <c r="H58" i="5"/>
  <c r="L58" i="5" s="1"/>
  <c r="H59" i="5"/>
  <c r="I59" i="5" s="1"/>
  <c r="H60" i="5"/>
  <c r="I60" i="5" s="1"/>
  <c r="H61" i="5"/>
  <c r="I61" i="5" s="1"/>
  <c r="H63" i="5"/>
  <c r="I63" i="5" s="1"/>
  <c r="H64" i="5"/>
  <c r="I64" i="5" s="1"/>
  <c r="L64" i="5" s="1"/>
  <c r="H65" i="5"/>
  <c r="I65" i="5" s="1"/>
  <c r="L65" i="5" s="1"/>
  <c r="H66" i="5"/>
  <c r="I66" i="5" s="1"/>
  <c r="H67" i="5"/>
  <c r="I67" i="5" s="1"/>
  <c r="H70" i="5"/>
  <c r="I70" i="5" s="1"/>
  <c r="L70" i="5" s="1"/>
  <c r="H71" i="5"/>
  <c r="I71" i="5" s="1"/>
  <c r="I18" i="13" l="1"/>
  <c r="L18" i="13" s="1"/>
  <c r="L22" i="13"/>
  <c r="H31" i="10"/>
  <c r="H36" i="10"/>
  <c r="L24" i="10"/>
  <c r="H27" i="10"/>
  <c r="I27" i="10" s="1"/>
  <c r="L27" i="10" s="1"/>
  <c r="H10" i="10"/>
  <c r="H54" i="10"/>
  <c r="L54" i="10" s="1"/>
  <c r="L22" i="11"/>
  <c r="L63" i="9"/>
  <c r="I34" i="9"/>
  <c r="L34" i="9" s="1"/>
  <c r="I7" i="9"/>
  <c r="L7" i="9" s="1"/>
  <c r="L22" i="9"/>
  <c r="L9" i="9"/>
  <c r="L59" i="9"/>
  <c r="L45" i="9"/>
  <c r="L43" i="9"/>
  <c r="L29" i="9"/>
  <c r="L28" i="9"/>
  <c r="H21" i="9"/>
  <c r="I21" i="9" s="1"/>
  <c r="L14" i="9"/>
  <c r="L13" i="9"/>
  <c r="L71" i="9"/>
  <c r="I66" i="9"/>
  <c r="L66" i="9" s="1"/>
  <c r="L54" i="9"/>
  <c r="I47" i="9"/>
  <c r="L47" i="9" s="1"/>
  <c r="I38" i="9"/>
  <c r="L38" i="9" s="1"/>
  <c r="L33" i="9"/>
  <c r="I17" i="9"/>
  <c r="L17" i="9" s="1"/>
  <c r="L5" i="9"/>
  <c r="L70" i="9"/>
  <c r="L65" i="9"/>
  <c r="L58" i="9"/>
  <c r="L37" i="9"/>
  <c r="L31" i="9"/>
  <c r="L26" i="9"/>
  <c r="L21" i="9"/>
  <c r="L12" i="9"/>
  <c r="L43" i="8"/>
  <c r="H21" i="8"/>
  <c r="I21" i="8" s="1"/>
  <c r="L21" i="8" s="1"/>
  <c r="L13" i="8"/>
  <c r="L71" i="8"/>
  <c r="L66" i="8"/>
  <c r="L59" i="8"/>
  <c r="L54" i="8"/>
  <c r="L38" i="8"/>
  <c r="L28" i="8"/>
  <c r="I47" i="8"/>
  <c r="L47" i="8" s="1"/>
  <c r="I33" i="8"/>
  <c r="L33" i="8" s="1"/>
  <c r="I22" i="8"/>
  <c r="L22" i="8" s="1"/>
  <c r="L9" i="8"/>
  <c r="I5" i="8"/>
  <c r="L5" i="8" s="1"/>
  <c r="I17" i="8"/>
  <c r="L17" i="8" s="1"/>
  <c r="L63" i="8"/>
  <c r="L45" i="8"/>
  <c r="L39" i="8"/>
  <c r="L34" i="8"/>
  <c r="L29" i="8"/>
  <c r="L23" i="8"/>
  <c r="L14" i="8"/>
  <c r="L10" i="8"/>
  <c r="L7" i="8"/>
  <c r="L3" i="8"/>
  <c r="I18" i="8"/>
  <c r="L18" i="8" s="1"/>
  <c r="L66" i="7"/>
  <c r="L54" i="7"/>
  <c r="L47" i="7"/>
  <c r="L28" i="7"/>
  <c r="L24" i="7"/>
  <c r="L19" i="7"/>
  <c r="L3" i="7"/>
  <c r="L71" i="7"/>
  <c r="L70" i="7"/>
  <c r="L59" i="7"/>
  <c r="L58" i="7"/>
  <c r="L43" i="7"/>
  <c r="L33" i="7"/>
  <c r="L31" i="7"/>
  <c r="I65" i="7"/>
  <c r="L65" i="7" s="1"/>
  <c r="L37" i="7"/>
  <c r="L11" i="7"/>
  <c r="I17" i="7"/>
  <c r="L17" i="7" s="1"/>
  <c r="I21" i="7"/>
  <c r="L21" i="7" s="1"/>
  <c r="L64" i="7"/>
  <c r="L35" i="7"/>
  <c r="L30" i="7"/>
  <c r="L23" i="7"/>
  <c r="I22" i="7"/>
  <c r="L22" i="7" s="1"/>
  <c r="L14" i="7"/>
  <c r="L10" i="7"/>
  <c r="I18" i="7"/>
  <c r="L18" i="7" s="1"/>
  <c r="L31" i="6"/>
  <c r="L37" i="6"/>
  <c r="L19" i="6"/>
  <c r="L64" i="6"/>
  <c r="I64" i="6"/>
  <c r="H17" i="6"/>
  <c r="I17" i="6" s="1"/>
  <c r="L14" i="6"/>
  <c r="L24" i="6"/>
  <c r="L23" i="6"/>
  <c r="L63" i="6"/>
  <c r="I35" i="6"/>
  <c r="L35" i="6" s="1"/>
  <c r="L30" i="6"/>
  <c r="I18" i="6"/>
  <c r="L18" i="6" s="1"/>
  <c r="I10" i="6"/>
  <c r="L10" i="6" s="1"/>
  <c r="I21" i="6"/>
  <c r="L21" i="6" s="1"/>
  <c r="L71" i="6"/>
  <c r="L66" i="6"/>
  <c r="L59" i="6"/>
  <c r="L45" i="6"/>
  <c r="L39" i="6"/>
  <c r="L34" i="6"/>
  <c r="L29" i="6"/>
  <c r="L13" i="6"/>
  <c r="L9" i="6"/>
  <c r="I22" i="6"/>
  <c r="L22" i="6" s="1"/>
  <c r="L38" i="5"/>
  <c r="I21" i="5"/>
  <c r="L21" i="5" s="1"/>
  <c r="I17" i="5"/>
  <c r="L17" i="5"/>
  <c r="L71" i="5"/>
  <c r="L66" i="5"/>
  <c r="L59" i="5"/>
  <c r="L45" i="5"/>
  <c r="L39" i="5"/>
  <c r="L34" i="5"/>
  <c r="L29" i="5"/>
  <c r="L22" i="5"/>
  <c r="L13" i="5"/>
  <c r="L9" i="5"/>
  <c r="L63" i="5"/>
  <c r="L35" i="5"/>
  <c r="L30" i="5"/>
  <c r="L23" i="5"/>
  <c r="I22" i="5"/>
  <c r="L18" i="5"/>
  <c r="L14" i="5"/>
  <c r="L10" i="5"/>
  <c r="I18" i="5"/>
  <c r="H3" i="4"/>
  <c r="I3" i="4" s="1"/>
  <c r="H4" i="4"/>
  <c r="I4" i="4"/>
  <c r="H6" i="4"/>
  <c r="I6" i="4" s="1"/>
  <c r="H7" i="4"/>
  <c r="I7" i="4" s="1"/>
  <c r="H8" i="4"/>
  <c r="I8" i="4" s="1"/>
  <c r="H9" i="4"/>
  <c r="I9" i="4" s="1"/>
  <c r="H10" i="4"/>
  <c r="I10" i="4" s="1"/>
  <c r="L10" i="4" s="1"/>
  <c r="H11" i="4"/>
  <c r="I11" i="4"/>
  <c r="L11" i="4" s="1"/>
  <c r="H12" i="4"/>
  <c r="I12" i="4" s="1"/>
  <c r="H13" i="4"/>
  <c r="H14" i="4"/>
  <c r="I14" i="4" s="1"/>
  <c r="L14" i="4" s="1"/>
  <c r="H16" i="4"/>
  <c r="I16" i="4" s="1"/>
  <c r="H18" i="4"/>
  <c r="H17" i="4" s="1"/>
  <c r="H19" i="4"/>
  <c r="I19" i="4"/>
  <c r="L19" i="4" s="1"/>
  <c r="H21" i="4"/>
  <c r="I21" i="4" s="1"/>
  <c r="H22" i="4"/>
  <c r="I22" i="4"/>
  <c r="H23" i="4"/>
  <c r="I23" i="4" s="1"/>
  <c r="L23" i="4" s="1"/>
  <c r="H24" i="4"/>
  <c r="I24" i="4" s="1"/>
  <c r="L24" i="4" s="1"/>
  <c r="H28" i="4"/>
  <c r="I28" i="4" s="1"/>
  <c r="H29" i="4"/>
  <c r="I29" i="4"/>
  <c r="H30" i="4"/>
  <c r="I30" i="4" s="1"/>
  <c r="L30" i="4" s="1"/>
  <c r="H31" i="4"/>
  <c r="I31" i="4"/>
  <c r="L31" i="4" s="1"/>
  <c r="H33" i="4"/>
  <c r="I33" i="4" s="1"/>
  <c r="H34" i="4"/>
  <c r="I34" i="4" s="1"/>
  <c r="H35" i="4"/>
  <c r="I35" i="4" s="1"/>
  <c r="L35" i="4" s="1"/>
  <c r="H37" i="4"/>
  <c r="I37" i="4" s="1"/>
  <c r="L37" i="4" s="1"/>
  <c r="H38" i="4"/>
  <c r="I38" i="4" s="1"/>
  <c r="H39" i="4"/>
  <c r="I39" i="4"/>
  <c r="H40" i="4"/>
  <c r="I40" i="4" s="1"/>
  <c r="H43" i="4"/>
  <c r="I43" i="4" s="1"/>
  <c r="H45" i="4"/>
  <c r="I45" i="4"/>
  <c r="H46" i="4"/>
  <c r="I46" i="4" s="1"/>
  <c r="H47" i="4"/>
  <c r="I47" i="4" s="1"/>
  <c r="H48" i="4"/>
  <c r="L48" i="4"/>
  <c r="H49" i="4"/>
  <c r="L49" i="4"/>
  <c r="H50" i="4"/>
  <c r="I50" i="4"/>
  <c r="H52" i="4"/>
  <c r="L52" i="4"/>
  <c r="H53" i="4"/>
  <c r="L53" i="4"/>
  <c r="H54" i="4"/>
  <c r="I54" i="4"/>
  <c r="L54" i="4" s="1"/>
  <c r="H57" i="4"/>
  <c r="L57" i="4" s="1"/>
  <c r="H58" i="4"/>
  <c r="L58" i="4" s="1"/>
  <c r="H59" i="4"/>
  <c r="I59" i="4" s="1"/>
  <c r="H60" i="4"/>
  <c r="I60" i="4" s="1"/>
  <c r="H61" i="4"/>
  <c r="I61" i="4" s="1"/>
  <c r="H63" i="4"/>
  <c r="I63" i="4"/>
  <c r="H64" i="4"/>
  <c r="I64" i="4" s="1"/>
  <c r="L64" i="4" s="1"/>
  <c r="H65" i="4"/>
  <c r="I65" i="4"/>
  <c r="L65" i="4" s="1"/>
  <c r="H66" i="4"/>
  <c r="I66" i="4" s="1"/>
  <c r="H67" i="4"/>
  <c r="I67" i="4" s="1"/>
  <c r="H70" i="4"/>
  <c r="I70" i="4"/>
  <c r="L70" i="4" s="1"/>
  <c r="H71" i="4"/>
  <c r="I71" i="4" s="1"/>
  <c r="I36" i="10" l="1"/>
  <c r="L36" i="10"/>
  <c r="I31" i="10"/>
  <c r="L31" i="10"/>
  <c r="I10" i="10"/>
  <c r="L10" i="10"/>
  <c r="L17" i="6"/>
  <c r="L45" i="4"/>
  <c r="L39" i="4"/>
  <c r="L29" i="4"/>
  <c r="L63" i="4"/>
  <c r="L9" i="4"/>
  <c r="L34" i="4"/>
  <c r="L22" i="4"/>
  <c r="I13" i="4"/>
  <c r="L13" i="4" s="1"/>
  <c r="I17" i="4"/>
  <c r="L17" i="4" s="1"/>
  <c r="L71" i="4"/>
  <c r="L66" i="4"/>
  <c r="L59" i="4"/>
  <c r="L47" i="4"/>
  <c r="L43" i="4"/>
  <c r="L38" i="4"/>
  <c r="L33" i="4"/>
  <c r="L28" i="4"/>
  <c r="L21" i="4"/>
  <c r="L12" i="4"/>
  <c r="L3" i="4"/>
  <c r="I18" i="4"/>
  <c r="L18" i="4" s="1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1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70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1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71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1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71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19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19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1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1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2012年1月20日取消保税。
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1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2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2015年7月22日取消保税2016年2月5日变更为保税,2016年6月17日取消保税。2016你12月23日变更为保税。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rFont val="宋体"/>
            <family val="3"/>
            <charset val="134"/>
          </rPr>
          <t xml:space="preserve">微软用户:User:
</t>
        </r>
        <r>
          <rPr>
            <b/>
            <sz val="9"/>
            <rFont val="宋体"/>
            <family val="3"/>
            <charset val="134"/>
          </rPr>
          <t>2015年7月22日取消保税2016年2月5日变更为保税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2015年1月30取消保税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微软用户:2015年2月6日取消保税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sharedStrings.xml><?xml version="1.0" encoding="utf-8"?>
<sst xmlns="http://schemas.openxmlformats.org/spreadsheetml/2006/main" count="7988" uniqueCount="334">
  <si>
    <t>ZHHJ-CC-16099,SN80170109007(3000)/SN80170109008(3000)/SN80170109009（4000）</t>
  </si>
  <si>
    <t>包罐</t>
  </si>
  <si>
    <t>混合芳烃</t>
  </si>
  <si>
    <t>浮顶</t>
  </si>
  <si>
    <t>TK808</t>
  </si>
  <si>
    <t>保税</t>
  </si>
  <si>
    <t>TK807</t>
  </si>
  <si>
    <t>TK806</t>
  </si>
  <si>
    <t>TK805</t>
  </si>
  <si>
    <t>对二甲苯</t>
  </si>
  <si>
    <t>TK804</t>
  </si>
  <si>
    <t>ZHHJ-CC-16029</t>
  </si>
  <si>
    <t>2016.04.10</t>
  </si>
  <si>
    <t>2016.03.10</t>
  </si>
  <si>
    <t>TK803</t>
  </si>
  <si>
    <t>SN80170127001</t>
  </si>
  <si>
    <t>HJ8017011307（5005）/SN80170122005( 10431.389)/SN80170124002(4085.671)/SN80170124003(3050)</t>
  </si>
  <si>
    <t>TK802</t>
  </si>
  <si>
    <t>TK801</t>
  </si>
  <si>
    <t>铝内浮盘</t>
  </si>
  <si>
    <t>TK707</t>
  </si>
  <si>
    <t>YH80161212002恒E1612016（28108.54）</t>
  </si>
  <si>
    <t xml:space="preserve">包罐 </t>
  </si>
  <si>
    <t>TK706</t>
  </si>
  <si>
    <t>ZHHJ-CC-16100/SN80170109010恒E1701011(2000)/SN80170109010恒E1701012(3000)、SN80170109010恒E1701018(500)</t>
  </si>
  <si>
    <t>ZHHJ-CC-16100/SN80170109010恒E1701018(500)</t>
  </si>
  <si>
    <t>TK705</t>
  </si>
  <si>
    <t>航空煤油</t>
  </si>
  <si>
    <t>TK704</t>
  </si>
  <si>
    <t>TK703</t>
  </si>
  <si>
    <t>TK702</t>
  </si>
  <si>
    <t>SN80170113003</t>
  </si>
  <si>
    <t>甲醇</t>
  </si>
  <si>
    <t>TK701</t>
  </si>
  <si>
    <t>TK606</t>
  </si>
  <si>
    <t>ZHHJ-CC-16002</t>
  </si>
  <si>
    <t>2016.12.31</t>
  </si>
  <si>
    <t>2016.01.01</t>
  </si>
  <si>
    <t>TK605</t>
  </si>
  <si>
    <t>TK604</t>
  </si>
  <si>
    <r>
      <t>ZHHJ-CC-16022</t>
    </r>
    <r>
      <rPr>
        <b/>
        <sz val="9"/>
        <rFont val="宋体"/>
        <family val="3"/>
        <charset val="134"/>
      </rPr>
      <t xml:space="preserve"> 内贸/SN80170117001（2847.511）</t>
    </r>
  </si>
  <si>
    <t>2016.03.1/2016.12.31</t>
  </si>
  <si>
    <t>2016.01.1/2016.2.1</t>
  </si>
  <si>
    <t>冰醋酸</t>
  </si>
  <si>
    <t>固定顶</t>
  </si>
  <si>
    <t>TK603</t>
  </si>
  <si>
    <t>TK602</t>
  </si>
  <si>
    <t>TK601</t>
  </si>
  <si>
    <t>TK512</t>
  </si>
  <si>
    <t>ZHHJ-CC-17005 HJ8017010701</t>
  </si>
  <si>
    <t>二乙二醇</t>
  </si>
  <si>
    <t>TK511</t>
  </si>
  <si>
    <t>TK510</t>
  </si>
  <si>
    <t>SN80161124005、SN80161224001（1584.571）</t>
  </si>
  <si>
    <t>TK509</t>
  </si>
  <si>
    <t>TK508</t>
  </si>
  <si>
    <t>TK507</t>
  </si>
  <si>
    <t>SN80161224001</t>
  </si>
  <si>
    <t>SN80161208001(2079.923)</t>
  </si>
  <si>
    <t>TK506</t>
  </si>
  <si>
    <t>宁波HJ80170101003恒E1701007（525)/宁波HJ8017011302恒E1701019(525)</t>
  </si>
  <si>
    <t>苯乙烯</t>
  </si>
  <si>
    <t>SN80170104004恒E1701023(525)</t>
  </si>
  <si>
    <t>TK505</t>
  </si>
  <si>
    <t>TK504</t>
  </si>
  <si>
    <t>佛山HJ8017011303恒E1701014（525）/HJ8017011304恒E1701015（2050）/HJ8017012001恒E1701021(519.425)/HJ8017012002恒E1701022(1038.85)</t>
  </si>
  <si>
    <t>TK503</t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</si>
  <si>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  <charset val="134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  <charset val="134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  <charset val="134"/>
      </rPr>
      <t>539.234</t>
    </r>
    <r>
      <rPr>
        <sz val="9"/>
        <rFont val="宋体"/>
        <family val="3"/>
        <charset val="134"/>
      </rPr>
      <t>）发到结余</t>
    </r>
    <r>
      <rPr>
        <sz val="9"/>
        <rFont val="Verdana"/>
        <family val="2"/>
        <charset val="134"/>
      </rPr>
      <t>540</t>
    </r>
    <r>
      <rPr>
        <sz val="9"/>
        <rFont val="宋体"/>
        <family val="3"/>
        <charset val="134"/>
      </rPr>
      <t>吨，</t>
    </r>
    <r>
      <rPr>
        <sz val="9"/>
        <rFont val="Verdana"/>
        <family val="2"/>
        <charset val="134"/>
      </rPr>
      <t>CIQ</t>
    </r>
    <r>
      <rPr>
        <sz val="9"/>
        <rFont val="宋体"/>
        <family val="3"/>
        <charset val="134"/>
      </rPr>
      <t>要量罐</t>
    </r>
  </si>
  <si>
    <t>α烯烃（C10）</t>
  </si>
  <si>
    <t>TK502</t>
  </si>
  <si>
    <t>ZHHJ-CC-16096 YH80161206001(983)/ZHHJ-CC-17004 YH80170102002(500.357)</t>
  </si>
  <si>
    <t>二甘醇</t>
  </si>
  <si>
    <t>TK501</t>
  </si>
  <si>
    <t>TK410</t>
  </si>
  <si>
    <t>内浮顶</t>
  </si>
  <si>
    <t>TK409</t>
  </si>
  <si>
    <t>TK408</t>
  </si>
  <si>
    <t>TK407</t>
  </si>
  <si>
    <t>TK406</t>
  </si>
  <si>
    <t>TK405</t>
  </si>
  <si>
    <t>TK404</t>
  </si>
  <si>
    <t>TK403</t>
  </si>
  <si>
    <t>HHJ-CC-16011，NH417V17001A</t>
  </si>
  <si>
    <t>丙酮</t>
  </si>
  <si>
    <t>TK402</t>
  </si>
  <si>
    <t>ZHHJ-CC-16048</t>
  </si>
  <si>
    <t>液碱</t>
  </si>
  <si>
    <t>TK401</t>
  </si>
  <si>
    <t xml:space="preserve">015、SN80161003001(3986)、HJ8016112602（5001）/SN80170102003(2033.916)
</t>
  </si>
  <si>
    <t>2017.12.31</t>
  </si>
  <si>
    <t>2002.11.27</t>
  </si>
  <si>
    <t xml:space="preserve">015,/SN80161116005(9358)、SN80161205001（8578）
 </t>
  </si>
  <si>
    <t>2010.12.01</t>
  </si>
  <si>
    <t>钢内浮顶</t>
  </si>
  <si>
    <t>TK304</t>
  </si>
  <si>
    <t>TK303</t>
  </si>
  <si>
    <t>TK302</t>
  </si>
  <si>
    <t>/HJ8016120901(5005)/SN80170102003(8486.106)</t>
  </si>
  <si>
    <t>SN80161124003(5002)、YH80161204001（4751）YH80161204002（4751）、YH80161204003（4751）/HJ8016121901(5003)</t>
  </si>
  <si>
    <t>TK301</t>
  </si>
  <si>
    <t>ZHHJ-CC-16092/HJ8017010202(521)/HJ8017010203(1012)</t>
  </si>
  <si>
    <t>TK207</t>
  </si>
  <si>
    <t>TK206</t>
  </si>
  <si>
    <t>HJ8017012201</t>
  </si>
  <si>
    <t>TK205</t>
  </si>
  <si>
    <t>TK204</t>
  </si>
  <si>
    <t>ZHHJ-CC-16092 HJ8017010202(1514)</t>
  </si>
  <si>
    <t>ZHHJ-CC-16092、HJ8017010202(1514)</t>
  </si>
  <si>
    <t>TK203</t>
  </si>
  <si>
    <t>ZHHJ-CC-16089</t>
  </si>
  <si>
    <t>2016.12.07</t>
  </si>
  <si>
    <t>2016.11.08</t>
  </si>
  <si>
    <t>石脑油</t>
  </si>
  <si>
    <t>TK202</t>
  </si>
  <si>
    <t>正十四烷烃</t>
  </si>
  <si>
    <t>TK201</t>
  </si>
  <si>
    <t>SN80170121001(2851)</t>
  </si>
  <si>
    <t>乙二醇</t>
  </si>
  <si>
    <t>TK105B</t>
  </si>
  <si>
    <t>HJ8017012007(2872)</t>
  </si>
  <si>
    <t>2015.01.01</t>
  </si>
  <si>
    <t>TK105A</t>
  </si>
  <si>
    <t>内贸</t>
  </si>
  <si>
    <t>2011.12.23</t>
  </si>
  <si>
    <t xml:space="preserve"> </t>
  </si>
  <si>
    <t>TK104</t>
  </si>
  <si>
    <t>/</t>
  </si>
  <si>
    <t>2007.06.1</t>
  </si>
  <si>
    <t>TK103</t>
  </si>
  <si>
    <t>TK102</t>
  </si>
  <si>
    <t>TK101</t>
  </si>
  <si>
    <t>备注</t>
  </si>
  <si>
    <t>合同结束</t>
  </si>
  <si>
    <t>合同开始</t>
  </si>
  <si>
    <t>罐容</t>
  </si>
  <si>
    <t>未放行量</t>
  </si>
  <si>
    <t>财务
控量</t>
  </si>
  <si>
    <t>海关放行
数量</t>
  </si>
  <si>
    <t>当日结存</t>
  </si>
  <si>
    <t>租罐性质</t>
  </si>
  <si>
    <t>客户名称</t>
    <phoneticPr fontId="4" type="noConversion"/>
  </si>
  <si>
    <t>品名</t>
  </si>
  <si>
    <t>属性</t>
  </si>
  <si>
    <t>结构形式</t>
  </si>
  <si>
    <t>罐号</t>
  </si>
  <si>
    <t>盘点日期</t>
    <phoneticPr fontId="3" type="noConversion"/>
  </si>
  <si>
    <t>ZHHJ-CC-16022 内贸/SN80170117001（2847.511）</t>
  </si>
  <si>
    <t>甲基叔丁基醚</t>
    <phoneticPr fontId="3" type="noConversion"/>
  </si>
  <si>
    <t>珠海华润包装材料有限公司</t>
  </si>
  <si>
    <t>广东泰宝聚合物有限公司</t>
  </si>
  <si>
    <t>宁波中宇石化有限公司</t>
    <phoneticPr fontId="3" type="noConversion"/>
  </si>
  <si>
    <t>舟山浙物石油化工有限公司</t>
  </si>
  <si>
    <t>广州宏协贸易有限公司</t>
  </si>
  <si>
    <t>浙江物产化工集团宁波有限公司</t>
    <phoneticPr fontId="4" type="noConversion"/>
  </si>
  <si>
    <t>华润化工国际贸易（上海）有限公司</t>
  </si>
  <si>
    <t>广东奇化化工交易中心股份有限公司</t>
    <phoneticPr fontId="3" type="noConversion"/>
  </si>
  <si>
    <t>广州市大仓投资发展有限公司</t>
    <phoneticPr fontId="4" type="noConversion"/>
  </si>
  <si>
    <t>塞拉尼斯（南京）化工有限公司</t>
  </si>
  <si>
    <t>珠海碧辟化工有限公司</t>
  </si>
  <si>
    <t>道达尔石化(佛山)有限公司</t>
  </si>
  <si>
    <t>广东奇化化工交易中心股份有限公司</t>
  </si>
  <si>
    <t>珠海长成新能股份有限公司</t>
  </si>
  <si>
    <t>江苏汇鸿国际集团中鼎控股股份有限公司</t>
    <phoneticPr fontId="3" type="noConversion"/>
  </si>
  <si>
    <t>上海申祺实业有限公司</t>
  </si>
  <si>
    <t>广州市维穗化工有限公司</t>
  </si>
  <si>
    <t>中国航空油料集团公司</t>
  </si>
  <si>
    <t>南京扬子石化碧辟乙酰有限责任公司</t>
  </si>
  <si>
    <t>中石化（香港）航空燃油有限公司</t>
  </si>
  <si>
    <t>中国航空油料集团公司</t>
    <phoneticPr fontId="3" type="noConversion"/>
  </si>
  <si>
    <t>广州大兴石油化工有限公司</t>
    <phoneticPr fontId="3" type="noConversion"/>
  </si>
  <si>
    <t>珠海实友化工有限公司</t>
  </si>
  <si>
    <t>广西铁投冠信贸易有限公司</t>
  </si>
  <si>
    <t>珠海华城环保科技有限公司</t>
    <phoneticPr fontId="4" type="noConversion"/>
  </si>
  <si>
    <t>百富洋澳门离岸商业服务有限公司</t>
    <phoneticPr fontId="4" type="noConversion"/>
  </si>
  <si>
    <t>Gunvor Singapore Pte.Ltd</t>
  </si>
  <si>
    <t>珠海碧辟化工有限公司</t>
    <phoneticPr fontId="3" type="noConversion"/>
  </si>
  <si>
    <t>珠海碧辟化工有限公司</t>
    <phoneticPr fontId="3" type="noConversion"/>
  </si>
  <si>
    <t>截止时间早上08：00</t>
  </si>
  <si>
    <t>广东泰宝聚合物有限公司</t>
    <phoneticPr fontId="3" type="noConversion"/>
  </si>
  <si>
    <t>HJ8017011307（5005）/SN80170122005( 10431.389)/SN80170124002(4085.671)/SN80170124003(3050)/SN80170203001（5000）</t>
    <phoneticPr fontId="4" type="noConversion"/>
  </si>
  <si>
    <t>ZHHJ-CC-17005 HJ8017010701/HJ8017012006(1021)</t>
    <phoneticPr fontId="4" type="noConversion"/>
  </si>
  <si>
    <t>ZHHJ-CC-16100/SN80170109010恒E1701018(500)/SN80170109010恒E1702001(4000)</t>
    <phoneticPr fontId="4" type="noConversion"/>
  </si>
  <si>
    <t>SN80170101004恒E1701023(525)</t>
    <phoneticPr fontId="4" type="noConversion"/>
  </si>
  <si>
    <t>SN80170127003恒E1702002(1000)</t>
    <phoneticPr fontId="4" type="noConversion"/>
  </si>
  <si>
    <t>SN80170124003(3050)/SN80170203001（5000）/SN80170202002(4883)</t>
    <phoneticPr fontId="4" type="noConversion"/>
  </si>
  <si>
    <t>ZHHJ-CC-16100/SN80170109010恒E1702001(4000)</t>
    <phoneticPr fontId="4" type="noConversion"/>
  </si>
  <si>
    <t>ZHHJ-CC-17005 HJ8017010701/HJ8017012006(1021)</t>
    <phoneticPr fontId="4" type="noConversion"/>
  </si>
  <si>
    <t>SN80170101004恒E1701023(525)</t>
    <phoneticPr fontId="4" type="noConversion"/>
  </si>
  <si>
    <t>/ZHHJ-CC-17004 YH80170102002(500.357)</t>
    <phoneticPr fontId="4" type="noConversion"/>
  </si>
  <si>
    <t>SN80170127003恒E1702002(1000)</t>
    <phoneticPr fontId="4" type="noConversion"/>
  </si>
  <si>
    <t>SN80170205004</t>
    <phoneticPr fontId="4" type="noConversion"/>
  </si>
  <si>
    <t>SN80170205003(950)/SN80170205004(1053)</t>
    <phoneticPr fontId="4" type="noConversion"/>
  </si>
  <si>
    <t>ZHHJ-CC-16099,SN80170109007(3000)/SN80170109008(3000)/SN80170109009（4000）</t>
    <phoneticPr fontId="4" type="noConversion"/>
  </si>
  <si>
    <t>YH80161212002恒E1612016（28108.54）控量7111.054</t>
    <phoneticPr fontId="4" type="noConversion"/>
  </si>
  <si>
    <t>SN80170127003恒E1702002(1000)、SN80170127002恒E1702003(2500)</t>
    <phoneticPr fontId="4" type="noConversion"/>
  </si>
  <si>
    <t>SN80170205004</t>
    <phoneticPr fontId="4" type="noConversion"/>
  </si>
  <si>
    <t>SN80170205003(950)/SN80170205004(1053)</t>
    <phoneticPr fontId="4" type="noConversion"/>
  </si>
  <si>
    <t>平潭县捷运油料有限公司</t>
    <phoneticPr fontId="3" type="noConversion"/>
  </si>
  <si>
    <t>正十四烷烃</t>
    <phoneticPr fontId="3" type="noConversion"/>
  </si>
  <si>
    <t>甲基叔丁基醚</t>
    <phoneticPr fontId="4" type="noConversion"/>
  </si>
  <si>
    <t>正十四烷烃</t>
    <phoneticPr fontId="3" type="noConversion"/>
  </si>
  <si>
    <t>ZHHJ-CC-16099,SN80170109007(3000)/SN80170109008(3000)/SN80170109009（4000）</t>
    <phoneticPr fontId="4" type="noConversion"/>
  </si>
  <si>
    <t>MTBE</t>
    <phoneticPr fontId="4" type="noConversion"/>
  </si>
  <si>
    <t>甲醇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</si>
  <si>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</si>
  <si>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</si>
  <si>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HJ8017020301</t>
    <phoneticPr fontId="4" type="noConversion"/>
  </si>
  <si>
    <t>甲基叔丁基醚</t>
    <phoneticPr fontId="4" type="noConversion"/>
  </si>
  <si>
    <t>SN80170128001(2564.978)</t>
    <phoneticPr fontId="4" type="noConversion"/>
  </si>
  <si>
    <t>SN80170128001</t>
    <phoneticPr fontId="4" type="noConversion"/>
  </si>
  <si>
    <t>SN80170205004</t>
    <phoneticPr fontId="4" type="noConversion"/>
  </si>
  <si>
    <t>HJ8017020301</t>
    <phoneticPr fontId="4" type="noConversion"/>
  </si>
  <si>
    <t>SN80170205003(950)/SN80170205004(1053)</t>
    <phoneticPr fontId="4" type="noConversion"/>
  </si>
  <si>
    <t>ZHHJ-CC-16099,SN80170109007(3000)/SN80170109008(3000)/SN80170109009（4000）</t>
    <phoneticPr fontId="4" type="noConversion"/>
  </si>
  <si>
    <t>/SN80170208001(5249)/SN80170208002(5249)、SN80170209003（10499）</t>
    <phoneticPr fontId="4" type="noConversion"/>
  </si>
  <si>
    <t>MTBE</t>
    <phoneticPr fontId="4" type="noConversion"/>
  </si>
  <si>
    <t>YH80161212002恒E1612016（28108.54）控量7111.054</t>
    <phoneticPr fontId="4" type="noConversion"/>
  </si>
  <si>
    <t>ZHHJ-CC-16100/SN80170109010恒E1702001(4000)</t>
    <phoneticPr fontId="4" type="noConversion"/>
  </si>
  <si>
    <t>ZHHJ-CC-17005 HJ8017010701/HJ8017012006(1021)</t>
    <phoneticPr fontId="4" type="noConversion"/>
  </si>
  <si>
    <t>SN80170128001(2564.978)</t>
    <phoneticPr fontId="4" type="noConversion"/>
  </si>
  <si>
    <t>SN80170101004恒E1701023(525)</t>
    <phoneticPr fontId="4" type="noConversion"/>
  </si>
  <si>
    <t>/ZHHJ-CC-17004 YH80170102002(500.357)/SN80170205005(523)</t>
    <phoneticPr fontId="4" type="noConversion"/>
  </si>
  <si>
    <t>SN80170128001</t>
    <phoneticPr fontId="4" type="noConversion"/>
  </si>
  <si>
    <t>甲醇</t>
    <phoneticPr fontId="4" type="noConversion"/>
  </si>
  <si>
    <t>SN80170127003恒E1702002(1000)、SN80170127002恒E1702003(2500)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</si>
  <si>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</si>
  <si>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</si>
  <si>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/SN80170208001(5249)/SN80170208002(5249)、SN80170209003（10499）</t>
    <phoneticPr fontId="4" type="noConversion"/>
  </si>
  <si>
    <t>YH80161212002恒E1612016（28108.54）</t>
    <phoneticPr fontId="4" type="noConversion"/>
  </si>
  <si>
    <t>/ZHHJ-CC-17004 YH80170102002(500.357)/SN80170205005(523)</t>
    <phoneticPr fontId="4" type="noConversion"/>
  </si>
  <si>
    <t>SN80170205003(950)/SN80170205004(1053)</t>
    <phoneticPr fontId="4" type="noConversion"/>
  </si>
  <si>
    <t>ZHHJ-CC-16099,SN80170109007(3000)/SN80170109008(3000)/SN80170109009（4000）</t>
    <phoneticPr fontId="4" type="noConversion"/>
  </si>
  <si>
    <t>/SN80170208001(5249)/SN80170208002(5249)、SN80170209003（10499）</t>
    <phoneticPr fontId="4" type="noConversion"/>
  </si>
  <si>
    <t>YH80161212002恒E1612016（28108.54）</t>
    <phoneticPr fontId="4" type="noConversion"/>
  </si>
  <si>
    <t>ZHHJ-CC-17005 HJ8017010701/ZHHJ-CC-17008 HJ8017012006(1021)</t>
    <phoneticPr fontId="4" type="noConversion"/>
  </si>
  <si>
    <t>SN80170128001(2564.978)</t>
    <phoneticPr fontId="4" type="noConversion"/>
  </si>
  <si>
    <t>/宁波HJ8017011302恒E1701019(525)</t>
    <phoneticPr fontId="4" type="noConversion"/>
  </si>
  <si>
    <t>SN80170101004恒E1701023(525)</t>
    <phoneticPr fontId="4" type="noConversion"/>
  </si>
  <si>
    <t>/ZHHJ-CC-17004 YH80170102002(500.357)/SN80170205005(523)</t>
    <phoneticPr fontId="4" type="noConversion"/>
  </si>
  <si>
    <t>SN80170128001</t>
    <phoneticPr fontId="4" type="noConversion"/>
  </si>
  <si>
    <t>甲醇</t>
    <phoneticPr fontId="4" type="noConversion"/>
  </si>
  <si>
    <t>SN80170127003恒E1702002(1000)、SN80170127002恒E1702003(2500)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</si>
  <si>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</si>
  <si>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</si>
  <si>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正十四烷</t>
  </si>
  <si>
    <t>SN80170205003(950)/SN80170205004(1053)</t>
    <phoneticPr fontId="4" type="noConversion"/>
  </si>
  <si>
    <t>甲基叔丁基醚</t>
    <phoneticPr fontId="4" type="noConversion"/>
  </si>
  <si>
    <t>SN80170209003（10499）SN80170203002（9902）</t>
    <phoneticPr fontId="4" type="noConversion"/>
  </si>
  <si>
    <t>SN80170113003（15.091）、SN80170206002(1184.528)</t>
    <phoneticPr fontId="4" type="noConversion"/>
  </si>
  <si>
    <t>ZHHJ-CC-17005 HJ8017010701/ZHHJ-CC-17008 HJ8017012006(1021)</t>
    <phoneticPr fontId="4" type="noConversion"/>
  </si>
  <si>
    <t>SN80161124005、SN80161224001（455.451）/SN80170206002(2794.245)</t>
    <phoneticPr fontId="4" type="noConversion"/>
  </si>
  <si>
    <t>SN80170206002</t>
    <phoneticPr fontId="4" type="noConversion"/>
  </si>
  <si>
    <t>/宁波HJ8017011302恒E1701019(525)</t>
    <phoneticPr fontId="4" type="noConversion"/>
  </si>
  <si>
    <t>SN80170101004恒E1701023(525)/宁波HJ8017012005恒E1702007(519.425)</t>
    <phoneticPr fontId="4" type="noConversion"/>
  </si>
  <si>
    <t>SN80170205002</t>
    <phoneticPr fontId="4" type="noConversion"/>
  </si>
  <si>
    <t>SN80170127003恒E1702002(1000)、SN80170127002恒E1702003(2500)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</si>
  <si>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</si>
  <si>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</si>
  <si>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SN80170205003(950)/SN80170205004(1053)</t>
    <phoneticPr fontId="4" type="noConversion"/>
  </si>
  <si>
    <t>甲基叔丁基醚</t>
    <phoneticPr fontId="4" type="noConversion"/>
  </si>
  <si>
    <t>SN80170127003恒E1702002(1000)、SN80170127002恒E1702003(2500)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</si>
  <si>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</si>
  <si>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</si>
  <si>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ZHHJ-CC-16092、HJ8017010202(1514)</t>
    <phoneticPr fontId="4" type="noConversion"/>
  </si>
  <si>
    <t>SN80170205003(950)/SN80170205004(1053)</t>
    <phoneticPr fontId="4" type="noConversion"/>
  </si>
  <si>
    <t>YH80170127001（8363.625）</t>
    <phoneticPr fontId="4" type="noConversion"/>
  </si>
  <si>
    <t>混合芳烃</t>
    <phoneticPr fontId="4" type="noConversion"/>
  </si>
  <si>
    <t>ZHHJ-CC-16092、HJ8017010202(1514)</t>
    <phoneticPr fontId="4" type="noConversion"/>
  </si>
  <si>
    <t>SN80170215002(953.481)SN80170215003(1906.961)</t>
    <phoneticPr fontId="4" type="noConversion"/>
  </si>
  <si>
    <t>SN80170215009(1920.172)</t>
    <phoneticPr fontId="4" type="noConversion"/>
  </si>
  <si>
    <t>广东泰宝聚合物有限公司</t>
    <phoneticPr fontId="3" type="noConversion"/>
  </si>
  <si>
    <t>重庆五矿能源有限公司</t>
    <phoneticPr fontId="4" type="noConversion"/>
  </si>
  <si>
    <t>ZHHJ-CC-16099,SN80170109007(3000)/SN80170109008(3000)/SN80170109009（4000）</t>
    <phoneticPr fontId="4" type="noConversion"/>
  </si>
  <si>
    <t>ZHHJ-CC-17012</t>
  </si>
  <si>
    <t>ZHHJ-CC-17007</t>
  </si>
  <si>
    <t xml:space="preserve">包罐 </t>
    <phoneticPr fontId="4" type="noConversion"/>
  </si>
  <si>
    <t>浙江物产宁波</t>
    <phoneticPr fontId="4" type="noConversion"/>
  </si>
  <si>
    <t>甲醇</t>
    <phoneticPr fontId="4" type="noConversion"/>
  </si>
  <si>
    <t>SN80170127003恒E1702002(1000)、SN80170127002恒E1702003(2500)</t>
    <phoneticPr fontId="4" type="noConversion"/>
  </si>
  <si>
    <t>ZHHJ-CC-16092/HJ8017010203(1012)</t>
    <phoneticPr fontId="4" type="noConversion"/>
  </si>
  <si>
    <t>ZHHJ-CC-16092/HJ8017010202(521)/HJ8017010203(1012)</t>
    <phoneticPr fontId="4" type="noConversion"/>
  </si>
  <si>
    <t>ZHHJ-CC-16092、HJ8017010202(1514)</t>
    <phoneticPr fontId="4" type="noConversion"/>
  </si>
  <si>
    <t>重庆五矿能源有限公司</t>
    <phoneticPr fontId="11" type="noConversion"/>
  </si>
  <si>
    <t>重庆五矿机械进出口有限公司</t>
    <phoneticPr fontId="4" type="noConversion"/>
  </si>
  <si>
    <t>ZHHJ-CC-17002   SN80161124005、SN80161224001（455.451）/SN80170206002(2794.245)</t>
    <phoneticPr fontId="4" type="noConversion"/>
  </si>
  <si>
    <t>ZHHJ-CC-17002   SN80170206002</t>
    <phoneticPr fontId="4" type="noConversion"/>
  </si>
  <si>
    <t>ZHHJ-CC-17002  SN80170128001(2564.978)</t>
    <phoneticPr fontId="4" type="noConversion"/>
  </si>
  <si>
    <t>SN80170101004恒E1701023(525)/宁波HJ8017012005恒E1702007(519.425)、SN80170127004恒E1702009（499.362）</t>
    <phoneticPr fontId="4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</si>
  <si>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  <charset val="134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  <charset val="134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  <charset val="134"/>
      </rPr>
      <t>539.234</t>
    </r>
    <r>
      <rPr>
        <sz val="9"/>
        <rFont val="宋体"/>
        <family val="3"/>
        <charset val="134"/>
      </rPr>
      <t>）清完罐，</t>
    </r>
    <r>
      <rPr>
        <sz val="9"/>
        <rFont val="Verdana"/>
        <family val="2"/>
        <charset val="134"/>
      </rPr>
      <t>CIQ要看空罐</t>
    </r>
    <phoneticPr fontId="4" type="noConversion"/>
  </si>
  <si>
    <t>ZHHJ-CC-17002  SN80170128001</t>
    <phoneticPr fontId="4" type="noConversion"/>
  </si>
  <si>
    <t>ZHHJ-CC-17002 SN80170128001</t>
    <phoneticPr fontId="4" type="noConversion"/>
  </si>
  <si>
    <t>ZHHJ-CC-16070</t>
  </si>
  <si>
    <t>SN80170127003恒E1702002(1000)、SN80170127002恒E1702003(2500)/YH80170218001恒I1702011(2067.273)/YH80170218002恒E1702010(1050)</t>
    <phoneticPr fontId="4" type="noConversion"/>
  </si>
  <si>
    <t>、YH80161204003（4751）/HJ8016121901(5003)</t>
    <phoneticPr fontId="4" type="noConversion"/>
  </si>
  <si>
    <t>/宁波HJ8017011302恒E1701019(525)/宁波HJ8017012005恒E1702007(519.425)</t>
    <phoneticPr fontId="4" type="noConversion"/>
  </si>
  <si>
    <t>SN80170101004恒E1701023(525)/SN80170127004恒E1702009（499.362）</t>
    <phoneticPr fontId="4" type="noConversion"/>
  </si>
  <si>
    <t>ZHHJ-CC-16092、HJ8017010202(1514)</t>
    <phoneticPr fontId="4" type="noConversion"/>
  </si>
  <si>
    <r>
      <t>ZHHJ-CC-16064/YH80160919001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  <charset val="134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  <charset val="134"/>
      </rPr>
      <t>539.234</t>
    </r>
    <r>
      <rPr>
        <sz val="9"/>
        <rFont val="宋体"/>
        <family val="3"/>
        <charset val="134"/>
      </rPr>
      <t>）清完罐，</t>
    </r>
    <r>
      <rPr>
        <sz val="9"/>
        <rFont val="Verdana"/>
        <family val="2"/>
        <charset val="134"/>
      </rPr>
      <t>CIQ</t>
    </r>
    <r>
      <rPr>
        <sz val="9"/>
        <rFont val="宋体"/>
        <family val="3"/>
        <charset val="134"/>
      </rPr>
      <t>要看空罐</t>
    </r>
    <phoneticPr fontId="4" type="noConversion"/>
  </si>
  <si>
    <t>南京新化原化学有限公司</t>
    <phoneticPr fontId="3" type="noConversion"/>
  </si>
  <si>
    <t>广西铁投冠信贸易有限公司</t>
    <phoneticPr fontId="3" type="noConversion"/>
  </si>
  <si>
    <t>甲基叔丁基醚</t>
    <phoneticPr fontId="4" type="noConversion"/>
  </si>
  <si>
    <t>YH80161212001恒E1702013(12000)</t>
    <phoneticPr fontId="4" type="noConversion"/>
  </si>
  <si>
    <t>广州大兴石油化工有限公司</t>
  </si>
  <si>
    <t>汽油</t>
    <phoneticPr fontId="4" type="noConversion"/>
  </si>
  <si>
    <t>SN80170209003（10499）SN80170203002（9902）SN80170220001(5002)</t>
    <phoneticPr fontId="4" type="noConversion"/>
  </si>
  <si>
    <t>佛山HJ8017011303恒E1701014（525）/HJ8017011304恒E1701015（2050）/HJ8017012001恒E1701021(519.425)/HJ8017012002恒E1701022(1038.85)</t>
    <phoneticPr fontId="4" type="noConversion"/>
  </si>
  <si>
    <t>佳豪国际有限公司</t>
    <phoneticPr fontId="4" type="noConversion"/>
  </si>
  <si>
    <t>ZHHJ-CC-16099,SN80170109007(3000)/SN80170109008(3000)/SN80170109009（4000）</t>
    <phoneticPr fontId="4" type="noConversion"/>
  </si>
  <si>
    <t>YH80161212001恒E1702013(12000)</t>
    <phoneticPr fontId="4" type="noConversion"/>
  </si>
  <si>
    <t>汽油</t>
    <phoneticPr fontId="4" type="noConversion"/>
  </si>
  <si>
    <t>SN80170225001</t>
  </si>
  <si>
    <t>SN80170209003（10499）SN80170203002（9902）SN80170220001(5002)</t>
    <phoneticPr fontId="4" type="noConversion"/>
  </si>
  <si>
    <t>YH80170127001（8363.625）</t>
    <phoneticPr fontId="4" type="noConversion"/>
  </si>
  <si>
    <t>ZHHJ-CC-17012/YH80170215001恒E1702016（10000）</t>
    <phoneticPr fontId="4" type="noConversion"/>
  </si>
  <si>
    <t xml:space="preserve">包罐 </t>
    <phoneticPr fontId="4" type="noConversion"/>
  </si>
  <si>
    <t>混合芳烃</t>
    <phoneticPr fontId="4" type="noConversion"/>
  </si>
  <si>
    <t>ZHHJ-CC-17005 HJ8017010701/ZHHJ-CC-17008 HJ8017012006(1021)</t>
    <phoneticPr fontId="4" type="noConversion"/>
  </si>
  <si>
    <t>ZHHJ-CC-17002   SN80161124005、SN80161224001（455.451）/SN80170206002(2794.245)</t>
    <phoneticPr fontId="4" type="noConversion"/>
  </si>
  <si>
    <t>ZHHJ-CC-17002   SN80170206002</t>
    <phoneticPr fontId="4" type="noConversion"/>
  </si>
  <si>
    <t>ZHHJ-CC-17002  SN80170128001(2564.978)</t>
    <phoneticPr fontId="4" type="noConversion"/>
  </si>
  <si>
    <t>/宁波HJ8017011302恒E1701019(525)/宁波HJ8017012005恒E1702007(519.425)</t>
    <phoneticPr fontId="4" type="noConversion"/>
  </si>
  <si>
    <t>SN80170101004恒E1701023(525)/SN80170127004恒E1702009（499.362）</t>
    <phoneticPr fontId="4" type="noConversion"/>
  </si>
  <si>
    <t>佛山HJ8017011303恒E1701014（525）/HJ8017011304恒E1701015（2050）/HJ8017012001恒E1701021(519.425)/HJ8017012002恒E1701022(1038.85)</t>
    <phoneticPr fontId="4" type="noConversion"/>
  </si>
  <si>
    <t>/ZHHJ-CC-17004 YH80170102002(500.357)/SN80170205005(523)</t>
    <phoneticPr fontId="4" type="noConversion"/>
  </si>
  <si>
    <t>ZHHJ-CC-17002  SN80170128001</t>
    <phoneticPr fontId="4" type="noConversion"/>
  </si>
  <si>
    <t>ZHHJ-CC-17002 SN80170128001</t>
    <phoneticPr fontId="4" type="noConversion"/>
  </si>
  <si>
    <t>ZHHJ-CC-17002   SN80170206002</t>
    <phoneticPr fontId="4" type="noConversion"/>
  </si>
  <si>
    <t>甲醇</t>
    <phoneticPr fontId="4" type="noConversion"/>
  </si>
  <si>
    <t>SN80170127003恒E1702002(1000)、SN80170127002恒E1702003(2500)/YH80170218001恒I1702011(2067.273)/YH80170218002恒E1702010(1050)</t>
    <phoneticPr fontId="4" type="noConversion"/>
  </si>
  <si>
    <t>ZHHJ-CC-17011</t>
  </si>
  <si>
    <t>ZHHJ-CC-16092、HJ8017010202(1514)</t>
    <phoneticPr fontId="4" type="noConversion"/>
  </si>
  <si>
    <t>SN8017022501(4027.704)</t>
  </si>
  <si>
    <t>SN80170215009(1920.172)SN8017022501(4027.704)</t>
    <phoneticPr fontId="4" type="noConversion"/>
  </si>
  <si>
    <t>万向资源有限公司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</si>
</sst>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);[Red]\(0.0\)"/>
    <numFmt numFmtId="178" formatCode="0.000_ "/>
    <numFmt numFmtId="179" formatCode="0.00000_);[Red]\(0.00000\)"/>
    <numFmt numFmtId="180" formatCode="yyyy\.mm\.dd"/>
    <numFmt numFmtId="181" formatCode="0.000_);[Red]\(0.000\)"/>
    <numFmt numFmtId="182" formatCode="0.00_);[Red]\(0.00\)"/>
  </numFmts>
  <fonts count="12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b/>
      <sz val="9"/>
      <name val="宋体"/>
      <family val="3"/>
      <charset val="134"/>
    </font>
    <font>
      <sz val="9"/>
      <name val="Verdana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34">
    <xf numFmtId="0" fontId="0" fillId="0" borderId="0" xfId="0"/>
    <xf numFmtId="0" fontId="2" fillId="0" borderId="0" xfId="1" applyFont="1"/>
    <xf numFmtId="0" fontId="4" fillId="0" borderId="0" xfId="1" applyFont="1"/>
    <xf numFmtId="0" fontId="4" fillId="0" borderId="0" xfId="1" applyFont="1" applyFill="1" applyAlignment="1">
      <alignment horizontal="center"/>
    </xf>
    <xf numFmtId="49" fontId="4" fillId="0" borderId="0" xfId="1" applyNumberFormat="1" applyFont="1" applyAlignment="1">
      <alignment horizontal="center"/>
    </xf>
    <xf numFmtId="176" fontId="4" fillId="0" borderId="0" xfId="1" applyNumberFormat="1" applyFont="1" applyFill="1"/>
    <xf numFmtId="177" fontId="4" fillId="0" borderId="0" xfId="1" applyNumberFormat="1" applyFont="1" applyFill="1"/>
    <xf numFmtId="176" fontId="5" fillId="0" borderId="0" xfId="1" applyNumberFormat="1" applyFont="1" applyFill="1" applyAlignment="1">
      <alignment horizontal="center"/>
    </xf>
    <xf numFmtId="178" fontId="4" fillId="0" borderId="0" xfId="1" applyNumberFormat="1" applyFont="1" applyFill="1"/>
    <xf numFmtId="0" fontId="4" fillId="0" borderId="0" xfId="1" applyFont="1" applyFill="1"/>
    <xf numFmtId="0" fontId="4" fillId="0" borderId="0" xfId="1" applyFont="1" applyFill="1" applyAlignment="1">
      <alignment horizontal="center" vertical="center"/>
    </xf>
    <xf numFmtId="179" fontId="4" fillId="0" borderId="0" xfId="1" applyNumberFormat="1" applyFont="1" applyFill="1"/>
    <xf numFmtId="0" fontId="4" fillId="0" borderId="0" xfId="1" applyFont="1" applyAlignment="1">
      <alignment horizontal="center" vertical="center"/>
    </xf>
    <xf numFmtId="178" fontId="4" fillId="0" borderId="0" xfId="1" applyNumberFormat="1" applyFont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/>
    </xf>
    <xf numFmtId="178" fontId="7" fillId="2" borderId="1" xfId="1" applyNumberFormat="1" applyFont="1" applyFill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7" fontId="7" fillId="2" borderId="1" xfId="1" applyNumberFormat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wrapText="1"/>
    </xf>
    <xf numFmtId="0" fontId="8" fillId="2" borderId="1" xfId="1" applyFont="1" applyFill="1" applyBorder="1" applyAlignment="1">
      <alignment horizontal="center" vertical="center" wrapText="1"/>
    </xf>
    <xf numFmtId="182" fontId="4" fillId="2" borderId="1" xfId="1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0" borderId="0" xfId="2" applyFont="1"/>
    <xf numFmtId="0" fontId="4" fillId="0" borderId="0" xfId="2" applyFont="1" applyFill="1" applyAlignment="1">
      <alignment horizontal="center"/>
    </xf>
    <xf numFmtId="49" fontId="4" fillId="0" borderId="0" xfId="2" applyNumberFormat="1" applyFont="1" applyAlignment="1">
      <alignment horizontal="center"/>
    </xf>
    <xf numFmtId="176" fontId="4" fillId="0" borderId="0" xfId="2" applyNumberFormat="1" applyFont="1" applyFill="1"/>
    <xf numFmtId="177" fontId="4" fillId="0" borderId="0" xfId="2" applyNumberFormat="1" applyFont="1" applyFill="1"/>
    <xf numFmtId="176" fontId="5" fillId="0" borderId="0" xfId="2" applyNumberFormat="1" applyFont="1" applyFill="1" applyAlignment="1">
      <alignment horizontal="center"/>
    </xf>
    <xf numFmtId="178" fontId="4" fillId="0" borderId="0" xfId="2" applyNumberFormat="1" applyFont="1" applyFill="1"/>
    <xf numFmtId="0" fontId="4" fillId="0" borderId="0" xfId="2" applyFont="1" applyFill="1"/>
    <xf numFmtId="0" fontId="4" fillId="0" borderId="0" xfId="2" applyFont="1" applyFill="1" applyAlignment="1">
      <alignment horizontal="center" vertical="center"/>
    </xf>
    <xf numFmtId="179" fontId="4" fillId="0" borderId="0" xfId="2" applyNumberFormat="1" applyFont="1" applyFill="1"/>
    <xf numFmtId="0" fontId="4" fillId="0" borderId="0" xfId="2" applyFont="1" applyAlignment="1">
      <alignment horizontal="center" vertical="center"/>
    </xf>
    <xf numFmtId="178" fontId="4" fillId="0" borderId="0" xfId="2" applyNumberFormat="1" applyFont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178" fontId="7" fillId="2" borderId="1" xfId="2" applyNumberFormat="1" applyFont="1" applyFill="1" applyBorder="1" applyAlignment="1">
      <alignment horizontal="center" vertical="center"/>
    </xf>
    <xf numFmtId="178" fontId="7" fillId="2" borderId="1" xfId="2" applyNumberFormat="1" applyFont="1" applyFill="1" applyBorder="1" applyAlignment="1">
      <alignment horizontal="center" vertical="center" wrapText="1"/>
    </xf>
    <xf numFmtId="176" fontId="7" fillId="2" borderId="1" xfId="2" applyNumberFormat="1" applyFont="1" applyFill="1" applyBorder="1" applyAlignment="1">
      <alignment horizontal="center" vertical="center" wrapText="1"/>
    </xf>
    <xf numFmtId="177" fontId="7" fillId="2" borderId="1" xfId="2" applyNumberFormat="1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178" fontId="4" fillId="2" borderId="1" xfId="2" applyNumberFormat="1" applyFont="1" applyFill="1" applyBorder="1" applyAlignment="1">
      <alignment horizontal="center" vertical="center"/>
    </xf>
    <xf numFmtId="181" fontId="4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80" fontId="4" fillId="2" borderId="1" xfId="2" applyNumberFormat="1" applyFont="1" applyFill="1" applyBorder="1" applyAlignment="1">
      <alignment horizontal="center" vertical="center"/>
    </xf>
    <xf numFmtId="14" fontId="4" fillId="2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wrapText="1"/>
    </xf>
    <xf numFmtId="0" fontId="8" fillId="2" borderId="1" xfId="2" applyFont="1" applyFill="1" applyBorder="1" applyAlignment="1">
      <alignment horizontal="center" vertical="center" wrapText="1"/>
    </xf>
    <xf numFmtId="182" fontId="4" fillId="2" borderId="1" xfId="2" applyNumberFormat="1" applyFont="1" applyFill="1" applyBorder="1" applyAlignment="1">
      <alignment horizontal="center" vertical="center"/>
    </xf>
    <xf numFmtId="180" fontId="4" fillId="2" borderId="1" xfId="2" applyNumberFormat="1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177" fontId="4" fillId="2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180" fontId="4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81" fontId="4" fillId="0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182" fontId="4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 wrapText="1"/>
    </xf>
    <xf numFmtId="177" fontId="7" fillId="0" borderId="1" xfId="1" applyNumberFormat="1" applyFont="1" applyFill="1" applyBorder="1" applyAlignment="1">
      <alignment horizontal="center" vertical="center" wrapText="1"/>
    </xf>
    <xf numFmtId="178" fontId="7" fillId="0" borderId="1" xfId="1" applyNumberFormat="1" applyFont="1" applyFill="1" applyBorder="1" applyAlignment="1">
      <alignment horizontal="center" vertical="center" wrapText="1"/>
    </xf>
    <xf numFmtId="178" fontId="7" fillId="0" borderId="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 wrapText="1"/>
    </xf>
    <xf numFmtId="14" fontId="4" fillId="0" borderId="1" xfId="2" applyNumberFormat="1" applyFont="1" applyFill="1" applyBorder="1" applyAlignment="1">
      <alignment horizontal="center" vertical="center"/>
    </xf>
    <xf numFmtId="180" fontId="4" fillId="0" borderId="1" xfId="2" applyNumberFormat="1" applyFont="1" applyFill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/>
    </xf>
    <xf numFmtId="181" fontId="4" fillId="0" borderId="1" xfId="2" applyNumberFormat="1" applyFont="1" applyFill="1" applyBorder="1" applyAlignment="1">
      <alignment horizontal="center" vertical="center"/>
    </xf>
    <xf numFmtId="178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14" fontId="4" fillId="0" borderId="1" xfId="2" applyNumberFormat="1" applyFont="1" applyFill="1" applyBorder="1" applyAlignment="1">
      <alignment horizontal="center" vertical="center" wrapText="1"/>
    </xf>
    <xf numFmtId="180" fontId="4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182" fontId="4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 wrapText="1"/>
    </xf>
    <xf numFmtId="177" fontId="7" fillId="0" borderId="1" xfId="2" applyNumberFormat="1" applyFont="1" applyFill="1" applyBorder="1" applyAlignment="1">
      <alignment horizontal="center" vertical="center" wrapText="1"/>
    </xf>
    <xf numFmtId="178" fontId="7" fillId="0" borderId="1" xfId="2" applyNumberFormat="1" applyFont="1" applyFill="1" applyBorder="1" applyAlignment="1">
      <alignment horizontal="center" vertical="center" wrapText="1"/>
    </xf>
    <xf numFmtId="178" fontId="7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177" fontId="4" fillId="0" borderId="1" xfId="2" applyNumberFormat="1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7" fillId="0" borderId="0" xfId="2" applyFont="1" applyFill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78" fontId="7" fillId="0" borderId="2" xfId="2" applyNumberFormat="1" applyFont="1" applyFill="1" applyBorder="1" applyAlignment="1">
      <alignment horizontal="center" vertical="center"/>
    </xf>
    <xf numFmtId="178" fontId="7" fillId="0" borderId="2" xfId="2" applyNumberFormat="1" applyFont="1" applyFill="1" applyBorder="1" applyAlignment="1">
      <alignment horizontal="center" vertical="center" wrapText="1"/>
    </xf>
    <xf numFmtId="176" fontId="7" fillId="0" borderId="2" xfId="2" applyNumberFormat="1" applyFont="1" applyFill="1" applyBorder="1" applyAlignment="1">
      <alignment horizontal="center" vertical="center" wrapText="1"/>
    </xf>
    <xf numFmtId="177" fontId="7" fillId="0" borderId="2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wrapText="1"/>
    </xf>
    <xf numFmtId="14" fontId="7" fillId="0" borderId="2" xfId="2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49" fontId="7" fillId="0" borderId="2" xfId="2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41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2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0130"/>
      <sheetName val="0131"/>
      <sheetName val="0131 0800后"/>
      <sheetName val="海关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6">
          <cell r="G6">
            <v>714.93899999999996</v>
          </cell>
        </row>
        <row r="8">
          <cell r="G8">
            <v>1710.5029999999958</v>
          </cell>
        </row>
        <row r="12">
          <cell r="G12">
            <v>1726.2809999999999</v>
          </cell>
        </row>
        <row r="14">
          <cell r="G14">
            <v>1692.6399999999994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14372</v>
          </cell>
        </row>
        <row r="34">
          <cell r="G34">
            <v>4387.7529999999824</v>
          </cell>
        </row>
        <row r="36">
          <cell r="G36">
            <v>3496.5419999999999</v>
          </cell>
        </row>
        <row r="40">
          <cell r="G40">
            <v>13391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7">
          <cell r="G57">
            <v>1098.6790000000001</v>
          </cell>
        </row>
        <row r="59">
          <cell r="G59">
            <v>886.72700000000009</v>
          </cell>
        </row>
        <row r="61">
          <cell r="G61">
            <v>1096.2820000000002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3607.9570000000522</v>
          </cell>
        </row>
        <row r="74">
          <cell r="G74">
            <v>934.32800000000032</v>
          </cell>
        </row>
        <row r="76">
          <cell r="G76">
            <v>2596.4419999999977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3331.9750000000076</v>
          </cell>
        </row>
        <row r="103">
          <cell r="G103">
            <v>17526.61</v>
          </cell>
        </row>
        <row r="105">
          <cell r="G105">
            <v>36667.325000000084</v>
          </cell>
        </row>
        <row r="107">
          <cell r="G107">
            <v>2414.5110000000168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9876.0309999999954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8670.5459999999875</v>
          </cell>
        </row>
        <row r="128">
          <cell r="G128">
            <v>9946.3690000000006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9">
          <cell r="G139">
            <v>12005.106</v>
          </cell>
        </row>
        <row r="141">
          <cell r="G141">
            <v>6761.6299999999992</v>
          </cell>
        </row>
      </sheetData>
      <sheetData sheetId="6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G6">
            <v>477.85899999999992</v>
          </cell>
        </row>
        <row r="8">
          <cell r="G8">
            <v>1383.3429999999958</v>
          </cell>
        </row>
        <row r="10">
          <cell r="G10">
            <v>1312.4040000000296</v>
          </cell>
        </row>
        <row r="16">
          <cell r="G16">
            <v>1577.7090000000003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0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432.577</v>
          </cell>
        </row>
        <row r="31">
          <cell r="G31">
            <v>301.68</v>
          </cell>
        </row>
        <row r="33">
          <cell r="G33">
            <v>14522</v>
          </cell>
        </row>
        <row r="35">
          <cell r="G35">
            <v>2172.7529999999824</v>
          </cell>
        </row>
        <row r="37">
          <cell r="G37">
            <v>2350.4299999999998</v>
          </cell>
        </row>
        <row r="41">
          <cell r="G41">
            <v>8709</v>
          </cell>
        </row>
        <row r="43">
          <cell r="G43">
            <v>7210.4545719999624</v>
          </cell>
        </row>
        <row r="45">
          <cell r="G45">
            <v>6134.7419999999993</v>
          </cell>
        </row>
        <row r="47">
          <cell r="G47">
            <v>104.73299999999995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9">
          <cell r="G59">
            <v>1098.6790000000001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557.34299999999985</v>
          </cell>
        </row>
        <row r="71">
          <cell r="G71">
            <v>2002.9199999999992</v>
          </cell>
        </row>
        <row r="75">
          <cell r="G75">
            <v>3248.5270000000528</v>
          </cell>
        </row>
        <row r="76">
          <cell r="G76">
            <v>530.77800000000036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3759.3360000000002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2409.6100000000006</v>
          </cell>
        </row>
        <row r="100">
          <cell r="G100">
            <v>4217.264000000001</v>
          </cell>
        </row>
        <row r="102">
          <cell r="G102">
            <v>2732.8750000000073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1813.6990000000169</v>
          </cell>
        </row>
        <row r="118">
          <cell r="G118">
            <v>1767.3689999999997</v>
          </cell>
        </row>
        <row r="123">
          <cell r="G123">
            <v>5259.3309999999983</v>
          </cell>
        </row>
        <row r="124">
          <cell r="G124">
            <v>410.39999999999964</v>
          </cell>
        </row>
        <row r="128">
          <cell r="G128">
            <v>8339.3289999999961</v>
          </cell>
        </row>
        <row r="130">
          <cell r="G130">
            <v>14706.423999999999</v>
          </cell>
        </row>
        <row r="131">
          <cell r="G131">
            <v>9946.3690000000006</v>
          </cell>
        </row>
        <row r="133">
          <cell r="G133">
            <v>14976.093999999999</v>
          </cell>
        </row>
        <row r="135">
          <cell r="G135">
            <v>23765.582999999973</v>
          </cell>
        </row>
        <row r="142">
          <cell r="G142">
            <v>12005.106</v>
          </cell>
        </row>
        <row r="144">
          <cell r="G144">
            <v>2962.3899999999985</v>
          </cell>
        </row>
      </sheetData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G6">
            <v>430.61899999999991</v>
          </cell>
        </row>
        <row r="8">
          <cell r="G8">
            <v>1383.3429999999958</v>
          </cell>
        </row>
        <row r="10">
          <cell r="G10">
            <v>858.02400000002945</v>
          </cell>
        </row>
        <row r="16">
          <cell r="G16">
            <v>1425.6890000000003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432.577</v>
          </cell>
        </row>
        <row r="31">
          <cell r="G31">
            <v>183.01999999999998</v>
          </cell>
        </row>
        <row r="33">
          <cell r="G33">
            <v>18661</v>
          </cell>
        </row>
        <row r="35">
          <cell r="G35">
            <v>2172.7529999999824</v>
          </cell>
        </row>
        <row r="37">
          <cell r="G37">
            <v>2350.4299999999998</v>
          </cell>
        </row>
        <row r="41">
          <cell r="G41">
            <v>6730</v>
          </cell>
        </row>
        <row r="43">
          <cell r="G43">
            <v>5216.4545719999624</v>
          </cell>
        </row>
        <row r="45">
          <cell r="G45">
            <v>6134.7419999999993</v>
          </cell>
        </row>
        <row r="47">
          <cell r="G47">
            <v>104.73299999999995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9">
          <cell r="G59">
            <v>1098.6790000000001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557.34299999999985</v>
          </cell>
        </row>
        <row r="71">
          <cell r="G71">
            <v>2002.9199999999992</v>
          </cell>
        </row>
        <row r="75">
          <cell r="G75">
            <v>3220.6870000000526</v>
          </cell>
        </row>
        <row r="76">
          <cell r="G76">
            <v>501.77800000000036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3576.9760000000001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2409.6100000000006</v>
          </cell>
        </row>
        <row r="100">
          <cell r="G100">
            <v>4217.264000000001</v>
          </cell>
        </row>
        <row r="102">
          <cell r="G102">
            <v>2494.6350000000075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1351.3190000000168</v>
          </cell>
        </row>
        <row r="118">
          <cell r="G118">
            <v>1767.3689999999997</v>
          </cell>
        </row>
        <row r="123">
          <cell r="G123">
            <v>4128.3309999999983</v>
          </cell>
        </row>
        <row r="124">
          <cell r="G124">
            <v>946.5</v>
          </cell>
        </row>
        <row r="128">
          <cell r="G128">
            <v>8339.3289999999961</v>
          </cell>
        </row>
        <row r="130">
          <cell r="G130">
            <v>14706.423999999999</v>
          </cell>
        </row>
        <row r="131">
          <cell r="G131">
            <v>9946.3690000000006</v>
          </cell>
        </row>
        <row r="133">
          <cell r="G133">
            <v>14976.093999999999</v>
          </cell>
        </row>
        <row r="135">
          <cell r="G135">
            <v>23765.582999999973</v>
          </cell>
        </row>
        <row r="142">
          <cell r="G142">
            <v>12005.106</v>
          </cell>
        </row>
        <row r="144">
          <cell r="G144">
            <v>2636.6699999999983</v>
          </cell>
        </row>
      </sheetData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G6">
            <v>430.61899999999991</v>
          </cell>
        </row>
        <row r="8">
          <cell r="G8">
            <v>1383.3429999999958</v>
          </cell>
        </row>
        <row r="10">
          <cell r="G10">
            <v>494.46400000002905</v>
          </cell>
        </row>
        <row r="16">
          <cell r="G16">
            <v>1200.1090000000002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313.9369999999999</v>
          </cell>
        </row>
        <row r="31">
          <cell r="G31">
            <v>99.71999999999997</v>
          </cell>
        </row>
        <row r="33">
          <cell r="G33">
            <v>17551</v>
          </cell>
        </row>
        <row r="35">
          <cell r="G35">
            <v>2172.7529999999824</v>
          </cell>
        </row>
        <row r="37">
          <cell r="G37">
            <v>2350.4299999999998</v>
          </cell>
        </row>
        <row r="41">
          <cell r="G41">
            <v>6730</v>
          </cell>
        </row>
        <row r="43">
          <cell r="G43">
            <v>5216.4545719999624</v>
          </cell>
        </row>
        <row r="45">
          <cell r="G45">
            <v>6134.7419999999993</v>
          </cell>
        </row>
        <row r="47">
          <cell r="G47">
            <v>71.873000000000047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9">
          <cell r="G59">
            <v>1098.6790000000001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557.34299999999985</v>
          </cell>
        </row>
        <row r="71">
          <cell r="G71">
            <v>2002.9199999999992</v>
          </cell>
        </row>
        <row r="75">
          <cell r="G75">
            <v>3165.2070000000526</v>
          </cell>
        </row>
        <row r="76">
          <cell r="G76">
            <v>415.75800000000038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3249.6959999999999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2409.6100000000006</v>
          </cell>
        </row>
        <row r="100">
          <cell r="G100">
            <v>4217.264000000001</v>
          </cell>
        </row>
        <row r="102">
          <cell r="G102">
            <v>2278.4350000000068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1199.619000000017</v>
          </cell>
        </row>
        <row r="118">
          <cell r="G118">
            <v>1767.3689999999997</v>
          </cell>
        </row>
        <row r="123">
          <cell r="G123">
            <v>4098.3309999999983</v>
          </cell>
        </row>
        <row r="124">
          <cell r="G124">
            <v>9.0400000000008731</v>
          </cell>
        </row>
        <row r="128">
          <cell r="G128">
            <v>8339.3289999999961</v>
          </cell>
        </row>
        <row r="130">
          <cell r="G130">
            <v>14706.423999999999</v>
          </cell>
        </row>
        <row r="131">
          <cell r="G131">
            <v>9946.3690000000006</v>
          </cell>
        </row>
        <row r="133">
          <cell r="G133">
            <v>14976.093999999999</v>
          </cell>
        </row>
        <row r="135">
          <cell r="G135">
            <v>23765.582999999973</v>
          </cell>
        </row>
        <row r="142">
          <cell r="G142">
            <v>12005.106</v>
          </cell>
        </row>
        <row r="144">
          <cell r="G144">
            <v>2030.2899999999981</v>
          </cell>
        </row>
      </sheetData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6">
          <cell r="G6">
            <v>430.61899999999991</v>
          </cell>
        </row>
        <row r="8">
          <cell r="G8">
            <v>1383.3429999999958</v>
          </cell>
        </row>
        <row r="10">
          <cell r="G10">
            <v>7.4240000000281725</v>
          </cell>
        </row>
        <row r="16">
          <cell r="G16">
            <v>1028.9090000000001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195.19699999999989</v>
          </cell>
        </row>
        <row r="31">
          <cell r="G31">
            <v>40.399999999999977</v>
          </cell>
        </row>
        <row r="33">
          <cell r="G33">
            <v>16501</v>
          </cell>
        </row>
        <row r="35">
          <cell r="G35">
            <v>12119.121999999981</v>
          </cell>
        </row>
        <row r="37">
          <cell r="G37">
            <v>1102.0700000000002</v>
          </cell>
        </row>
        <row r="41">
          <cell r="G41">
            <v>6730</v>
          </cell>
        </row>
        <row r="43">
          <cell r="G43">
            <v>5216.4545719999624</v>
          </cell>
        </row>
        <row r="45">
          <cell r="G45">
            <v>6134.7419999999993</v>
          </cell>
        </row>
        <row r="47">
          <cell r="G47">
            <v>45.452999999999975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9">
          <cell r="G59">
            <v>1098.6790000000001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557.34299999999985</v>
          </cell>
        </row>
        <row r="71">
          <cell r="G71">
            <v>2002.9199999999992</v>
          </cell>
        </row>
        <row r="75">
          <cell r="G75">
            <v>3137.4670000000528</v>
          </cell>
        </row>
        <row r="76">
          <cell r="G76">
            <v>300.99800000000039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2978.7359999999999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1013.1140000000005</v>
          </cell>
        </row>
        <row r="100">
          <cell r="G100">
            <v>4217.264000000001</v>
          </cell>
        </row>
        <row r="102">
          <cell r="G102">
            <v>2040.5950000000066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868.27900000001682</v>
          </cell>
        </row>
        <row r="118">
          <cell r="G118">
            <v>764.82299999999941</v>
          </cell>
        </row>
        <row r="123">
          <cell r="G123">
            <v>3098.3309999999983</v>
          </cell>
        </row>
        <row r="124">
          <cell r="G124">
            <v>219.60000000000036</v>
          </cell>
        </row>
        <row r="128">
          <cell r="G128">
            <v>8339.3289999999961</v>
          </cell>
        </row>
        <row r="130">
          <cell r="G130">
            <v>11144.368000000002</v>
          </cell>
        </row>
        <row r="131">
          <cell r="G131">
            <v>0</v>
          </cell>
        </row>
        <row r="133">
          <cell r="G133">
            <v>14976.093999999999</v>
          </cell>
        </row>
        <row r="135">
          <cell r="G135">
            <v>23765.582999999973</v>
          </cell>
        </row>
        <row r="142">
          <cell r="G142">
            <v>12005.106</v>
          </cell>
        </row>
        <row r="144">
          <cell r="G144">
            <v>1972.7499999999982</v>
          </cell>
        </row>
      </sheetData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G3">
            <v>417.77499999999964</v>
          </cell>
        </row>
        <row r="6">
          <cell r="G6">
            <v>406.89899999999989</v>
          </cell>
        </row>
        <row r="8">
          <cell r="G8">
            <v>1383.3429999999958</v>
          </cell>
        </row>
        <row r="10">
          <cell r="G10">
            <v>1435.8320000000276</v>
          </cell>
        </row>
        <row r="14">
          <cell r="G14">
            <v>434.54400000000169</v>
          </cell>
        </row>
        <row r="16">
          <cell r="G16">
            <v>983.40900000000011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165.65699999999993</v>
          </cell>
        </row>
        <row r="31">
          <cell r="G31">
            <v>0</v>
          </cell>
        </row>
        <row r="33">
          <cell r="G33">
            <v>18380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11014</v>
          </cell>
        </row>
        <row r="43">
          <cell r="G43">
            <v>5216.4545719999624</v>
          </cell>
        </row>
        <row r="45">
          <cell r="G45">
            <v>5300.851999999999</v>
          </cell>
        </row>
        <row r="49">
          <cell r="G49">
            <v>2969.3919999999998</v>
          </cell>
        </row>
        <row r="52">
          <cell r="G52">
            <v>2144.2040000000002</v>
          </cell>
        </row>
        <row r="54">
          <cell r="G54">
            <v>4007.2739999999999</v>
          </cell>
        </row>
        <row r="60">
          <cell r="G60">
            <v>1098.6790000000001</v>
          </cell>
        </row>
        <row r="64">
          <cell r="G64">
            <v>1096.2820000000002</v>
          </cell>
        </row>
        <row r="68">
          <cell r="G68">
            <v>931.53000000000031</v>
          </cell>
        </row>
        <row r="70">
          <cell r="G70">
            <v>557.34299999999985</v>
          </cell>
        </row>
        <row r="72">
          <cell r="G72">
            <v>2002.9199999999992</v>
          </cell>
        </row>
        <row r="76">
          <cell r="G76">
            <v>4161.1360000000532</v>
          </cell>
        </row>
        <row r="77">
          <cell r="G77">
            <v>300.99800000000039</v>
          </cell>
        </row>
        <row r="79">
          <cell r="G79">
            <v>31.463999999997668</v>
          </cell>
        </row>
        <row r="82">
          <cell r="G82">
            <v>2564.9780000000001</v>
          </cell>
        </row>
        <row r="86">
          <cell r="G86">
            <v>2032.8110000000001</v>
          </cell>
        </row>
        <row r="88">
          <cell r="G88">
            <v>2606.8559999999998</v>
          </cell>
        </row>
        <row r="94">
          <cell r="G94">
            <v>2006.1080000000002</v>
          </cell>
        </row>
        <row r="95">
          <cell r="G95">
            <v>1000</v>
          </cell>
        </row>
        <row r="97">
          <cell r="G97">
            <v>2.4439999999940483</v>
          </cell>
        </row>
        <row r="99">
          <cell r="G99">
            <v>1013.1140000000005</v>
          </cell>
        </row>
        <row r="101">
          <cell r="G101">
            <v>4217.264000000001</v>
          </cell>
        </row>
        <row r="103">
          <cell r="G103">
            <v>1289.2750000000069</v>
          </cell>
        </row>
        <row r="107">
          <cell r="G107">
            <v>15130.712</v>
          </cell>
        </row>
        <row r="109">
          <cell r="G109">
            <v>30364.863000000081</v>
          </cell>
        </row>
        <row r="119">
          <cell r="G119">
            <v>764.82299999999941</v>
          </cell>
        </row>
        <row r="124">
          <cell r="G124">
            <v>798.33099999999831</v>
          </cell>
        </row>
        <row r="125">
          <cell r="G125">
            <v>12.239999999999782</v>
          </cell>
        </row>
        <row r="127">
          <cell r="G127">
            <v>32336.734</v>
          </cell>
        </row>
        <row r="129">
          <cell r="G129">
            <v>8339.3289999999961</v>
          </cell>
        </row>
        <row r="131">
          <cell r="G131">
            <v>2537.9239999999991</v>
          </cell>
        </row>
        <row r="132">
          <cell r="G132">
            <v>0</v>
          </cell>
        </row>
        <row r="134">
          <cell r="G134">
            <v>14976.093999999999</v>
          </cell>
        </row>
        <row r="136">
          <cell r="G136">
            <v>23765.582999999973</v>
          </cell>
        </row>
        <row r="143">
          <cell r="G143">
            <v>12005.106</v>
          </cell>
        </row>
        <row r="145">
          <cell r="G145">
            <v>1972.7499999999982</v>
          </cell>
        </row>
      </sheetData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G3">
            <v>417.77499999999964</v>
          </cell>
        </row>
        <row r="6">
          <cell r="G6">
            <v>383.19899999999984</v>
          </cell>
        </row>
        <row r="8">
          <cell r="G8">
            <v>1383.3429999999958</v>
          </cell>
        </row>
        <row r="10">
          <cell r="G10">
            <v>1411.6920000000282</v>
          </cell>
        </row>
        <row r="14">
          <cell r="G14">
            <v>8.5640000000021246</v>
          </cell>
        </row>
        <row r="16">
          <cell r="G16">
            <v>923.62900000000013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136.33699999999999</v>
          </cell>
        </row>
        <row r="31">
          <cell r="G31">
            <v>0</v>
          </cell>
        </row>
        <row r="33">
          <cell r="G33">
            <v>18380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6317</v>
          </cell>
        </row>
        <row r="43">
          <cell r="G43">
            <v>5216.4545719999624</v>
          </cell>
        </row>
        <row r="45">
          <cell r="G45">
            <v>5300.851999999999</v>
          </cell>
        </row>
        <row r="49">
          <cell r="G49">
            <v>2514.0319999999997</v>
          </cell>
        </row>
        <row r="52">
          <cell r="G52">
            <v>2144.2040000000002</v>
          </cell>
        </row>
        <row r="54">
          <cell r="G54">
            <v>4007.2739999999999</v>
          </cell>
        </row>
        <row r="60">
          <cell r="G60">
            <v>1098.6790000000001</v>
          </cell>
        </row>
        <row r="64">
          <cell r="G64">
            <v>1096.2820000000002</v>
          </cell>
        </row>
        <row r="68">
          <cell r="G68">
            <v>872.19000000000028</v>
          </cell>
        </row>
        <row r="70">
          <cell r="G70">
            <v>557.34299999999985</v>
          </cell>
        </row>
        <row r="72">
          <cell r="G72">
            <v>2002.9199999999992</v>
          </cell>
        </row>
        <row r="76">
          <cell r="G76">
            <v>4132.3160000000535</v>
          </cell>
        </row>
        <row r="77">
          <cell r="G77">
            <v>300.99800000000039</v>
          </cell>
        </row>
        <row r="79">
          <cell r="G79">
            <v>31.463999999997668</v>
          </cell>
        </row>
        <row r="82">
          <cell r="G82">
            <v>2564.9780000000001</v>
          </cell>
        </row>
        <row r="86">
          <cell r="G86">
            <v>1723.211</v>
          </cell>
        </row>
        <row r="88">
          <cell r="G88">
            <v>2518.1359999999995</v>
          </cell>
        </row>
        <row r="94">
          <cell r="G94">
            <v>2006.1080000000002</v>
          </cell>
        </row>
        <row r="95">
          <cell r="G95">
            <v>1000</v>
          </cell>
        </row>
        <row r="97">
          <cell r="G97">
            <v>2.4439999999940483</v>
          </cell>
        </row>
        <row r="99">
          <cell r="G99">
            <v>1013.1140000000005</v>
          </cell>
        </row>
        <row r="101">
          <cell r="G101">
            <v>4217.264000000001</v>
          </cell>
        </row>
        <row r="103">
          <cell r="G103">
            <v>986.43500000000677</v>
          </cell>
        </row>
        <row r="107">
          <cell r="G107">
            <v>15130.712</v>
          </cell>
        </row>
        <row r="109">
          <cell r="G109">
            <v>27967.621000000079</v>
          </cell>
        </row>
        <row r="119">
          <cell r="G119">
            <v>764.82299999999941</v>
          </cell>
        </row>
        <row r="124">
          <cell r="G124">
            <v>301.33099999999831</v>
          </cell>
        </row>
        <row r="125">
          <cell r="G125">
            <v>117.45999999999913</v>
          </cell>
        </row>
        <row r="127">
          <cell r="G127">
            <v>12365.038</v>
          </cell>
        </row>
        <row r="128">
          <cell r="G128">
            <v>19971.696</v>
          </cell>
        </row>
        <row r="130">
          <cell r="G130">
            <v>8339.3289999999961</v>
          </cell>
        </row>
        <row r="132">
          <cell r="G132">
            <v>7537.3190000000031</v>
          </cell>
        </row>
        <row r="133">
          <cell r="G133">
            <v>0</v>
          </cell>
        </row>
        <row r="135">
          <cell r="G135">
            <v>14976.093999999999</v>
          </cell>
        </row>
        <row r="137">
          <cell r="G137">
            <v>23765.582999999973</v>
          </cell>
        </row>
        <row r="144">
          <cell r="G144">
            <v>12005.106</v>
          </cell>
        </row>
        <row r="146">
          <cell r="G146">
            <v>1857.7899999999981</v>
          </cell>
        </row>
      </sheetData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0222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">
          <cell r="G3">
            <v>417.77499999999964</v>
          </cell>
        </row>
        <row r="6">
          <cell r="G6">
            <v>383.19899999999984</v>
          </cell>
        </row>
        <row r="8">
          <cell r="G8">
            <v>1231.9229999999957</v>
          </cell>
        </row>
        <row r="10">
          <cell r="G10">
            <v>958.1920000000282</v>
          </cell>
        </row>
        <row r="14">
          <cell r="G14">
            <v>2997.3480000000018</v>
          </cell>
        </row>
        <row r="16">
          <cell r="G16">
            <v>835.14900000000011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106.85699999999997</v>
          </cell>
        </row>
        <row r="31">
          <cell r="G31">
            <v>0</v>
          </cell>
        </row>
        <row r="33">
          <cell r="G33">
            <v>17730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6317</v>
          </cell>
        </row>
        <row r="43">
          <cell r="G43">
            <v>5216.4545719999624</v>
          </cell>
        </row>
        <row r="45">
          <cell r="G45">
            <v>5300.851999999999</v>
          </cell>
        </row>
        <row r="49">
          <cell r="G49">
            <v>1442.2679999999996</v>
          </cell>
        </row>
        <row r="50">
          <cell r="G50">
            <v>981.86400000000003</v>
          </cell>
        </row>
        <row r="53">
          <cell r="G53">
            <v>2144.2040000000002</v>
          </cell>
        </row>
        <row r="55">
          <cell r="G55">
            <v>4007.2739999999999</v>
          </cell>
        </row>
        <row r="61">
          <cell r="G61">
            <v>1098.6790000000001</v>
          </cell>
        </row>
        <row r="65">
          <cell r="G65">
            <v>1096.2820000000002</v>
          </cell>
        </row>
        <row r="69">
          <cell r="G69">
            <v>842.57000000000028</v>
          </cell>
        </row>
        <row r="71">
          <cell r="G71">
            <v>557.34299999999985</v>
          </cell>
        </row>
        <row r="73">
          <cell r="G73">
            <v>2002.9199999999992</v>
          </cell>
        </row>
        <row r="77">
          <cell r="G77">
            <v>4104.3560000000534</v>
          </cell>
        </row>
        <row r="78">
          <cell r="G78">
            <v>214.19800000000043</v>
          </cell>
        </row>
        <row r="80">
          <cell r="G80">
            <v>31.463999999997668</v>
          </cell>
        </row>
        <row r="83">
          <cell r="G83">
            <v>2564.9780000000001</v>
          </cell>
        </row>
        <row r="87">
          <cell r="G87">
            <v>1723.211</v>
          </cell>
        </row>
        <row r="89">
          <cell r="G89">
            <v>111.61999999999989</v>
          </cell>
        </row>
        <row r="91">
          <cell r="G91">
            <v>2318.136</v>
          </cell>
        </row>
        <row r="95">
          <cell r="G95">
            <v>2006.1080000000002</v>
          </cell>
        </row>
        <row r="96">
          <cell r="G96">
            <v>1000</v>
          </cell>
        </row>
        <row r="98">
          <cell r="G98">
            <v>2.4439999999940483</v>
          </cell>
        </row>
        <row r="100">
          <cell r="G100">
            <v>1013.1140000000005</v>
          </cell>
        </row>
        <row r="102">
          <cell r="G102">
            <v>4217.264000000001</v>
          </cell>
        </row>
        <row r="104">
          <cell r="G104">
            <v>899.91500000000633</v>
          </cell>
        </row>
        <row r="108">
          <cell r="G108">
            <v>12742.686000000002</v>
          </cell>
        </row>
        <row r="110">
          <cell r="G110">
            <v>27967.621000000079</v>
          </cell>
        </row>
        <row r="120">
          <cell r="G120">
            <v>764.82299999999941</v>
          </cell>
        </row>
        <row r="125">
          <cell r="G125">
            <v>301.33099999999831</v>
          </cell>
        </row>
        <row r="126">
          <cell r="G126">
            <v>32.319999999999709</v>
          </cell>
        </row>
        <row r="128">
          <cell r="G128">
            <v>12365.038</v>
          </cell>
        </row>
        <row r="129">
          <cell r="G129">
            <v>19971.696</v>
          </cell>
        </row>
        <row r="131">
          <cell r="G131">
            <v>8094.2089999999953</v>
          </cell>
        </row>
        <row r="133">
          <cell r="G133">
            <v>7537.3190000000031</v>
          </cell>
        </row>
        <row r="134">
          <cell r="G134">
            <v>0</v>
          </cell>
        </row>
        <row r="136">
          <cell r="G136">
            <v>14976.093999999999</v>
          </cell>
        </row>
        <row r="138">
          <cell r="G138">
            <v>23765.582999999973</v>
          </cell>
        </row>
        <row r="145">
          <cell r="G145">
            <v>12005.106</v>
          </cell>
        </row>
        <row r="147">
          <cell r="G147">
            <v>1566.409999999998</v>
          </cell>
        </row>
      </sheetData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0222"/>
      <sheetName val="0223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G3">
            <v>417.77499999999964</v>
          </cell>
        </row>
        <row r="6">
          <cell r="G6">
            <v>359.51899999999989</v>
          </cell>
        </row>
        <row r="8">
          <cell r="G8">
            <v>761.02299999999582</v>
          </cell>
        </row>
        <row r="10">
          <cell r="G10">
            <v>19.672000000027765</v>
          </cell>
        </row>
        <row r="14">
          <cell r="G14">
            <v>2721.5880000000016</v>
          </cell>
        </row>
        <row r="16">
          <cell r="G16">
            <v>691.8090000000002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77.277000000000044</v>
          </cell>
        </row>
        <row r="31">
          <cell r="G31">
            <v>0</v>
          </cell>
        </row>
        <row r="33">
          <cell r="G33">
            <v>17886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6317</v>
          </cell>
        </row>
        <row r="43">
          <cell r="G43">
            <v>5216.4545719999624</v>
          </cell>
        </row>
        <row r="45">
          <cell r="G45">
            <v>5300.851999999999</v>
          </cell>
        </row>
        <row r="49">
          <cell r="G49">
            <v>1442.2679999999996</v>
          </cell>
        </row>
        <row r="50">
          <cell r="G50">
            <v>981.86400000000003</v>
          </cell>
        </row>
        <row r="53">
          <cell r="G53">
            <v>2144.2040000000002</v>
          </cell>
        </row>
        <row r="55">
          <cell r="G55">
            <v>4007.2739999999999</v>
          </cell>
        </row>
        <row r="61">
          <cell r="G61">
            <v>1098.6790000000001</v>
          </cell>
        </row>
        <row r="65">
          <cell r="G65">
            <v>1096.2820000000002</v>
          </cell>
        </row>
        <row r="69">
          <cell r="G69">
            <v>783.15000000000032</v>
          </cell>
        </row>
        <row r="71">
          <cell r="G71">
            <v>18.10899999999981</v>
          </cell>
        </row>
        <row r="72">
          <cell r="G72">
            <v>458.95400000000006</v>
          </cell>
        </row>
        <row r="74">
          <cell r="G74">
            <v>2002.9199999999992</v>
          </cell>
        </row>
        <row r="78">
          <cell r="G78">
            <v>3561.2230000000536</v>
          </cell>
        </row>
        <row r="79">
          <cell r="G79">
            <v>732.09100000000046</v>
          </cell>
        </row>
        <row r="81">
          <cell r="G81">
            <v>31.463999999997668</v>
          </cell>
        </row>
        <row r="84">
          <cell r="G84">
            <v>2564.9780000000001</v>
          </cell>
        </row>
        <row r="88">
          <cell r="G88">
            <v>1693.3710000000001</v>
          </cell>
        </row>
        <row r="90">
          <cell r="G90">
            <v>53.099999999999454</v>
          </cell>
        </row>
        <row r="92">
          <cell r="G92">
            <v>2318.136</v>
          </cell>
        </row>
        <row r="96">
          <cell r="G96">
            <v>2006.1080000000002</v>
          </cell>
        </row>
        <row r="97">
          <cell r="G97">
            <v>1000</v>
          </cell>
        </row>
        <row r="99">
          <cell r="G99">
            <v>2.4439999999940483</v>
          </cell>
        </row>
        <row r="101">
          <cell r="G101">
            <v>1013.1140000000005</v>
          </cell>
        </row>
        <row r="103">
          <cell r="G103">
            <v>4217.264000000001</v>
          </cell>
        </row>
        <row r="105">
          <cell r="G105">
            <v>899.91500000000633</v>
          </cell>
        </row>
        <row r="109">
          <cell r="G109">
            <v>12742.686000000002</v>
          </cell>
        </row>
        <row r="111">
          <cell r="G111">
            <v>27967.621000000079</v>
          </cell>
        </row>
        <row r="121">
          <cell r="G121">
            <v>764.82299999999941</v>
          </cell>
        </row>
        <row r="126">
          <cell r="G126">
            <v>0</v>
          </cell>
        </row>
        <row r="127">
          <cell r="G127">
            <v>73.671000000000276</v>
          </cell>
        </row>
        <row r="129">
          <cell r="G129">
            <v>12365.038</v>
          </cell>
        </row>
        <row r="130">
          <cell r="G130">
            <v>19971.696</v>
          </cell>
        </row>
        <row r="132">
          <cell r="G132">
            <v>7330.9289999999955</v>
          </cell>
        </row>
        <row r="134">
          <cell r="G134">
            <v>7537.3190000000031</v>
          </cell>
        </row>
        <row r="135">
          <cell r="G135">
            <v>0</v>
          </cell>
        </row>
        <row r="137">
          <cell r="G137">
            <v>14976.093999999999</v>
          </cell>
        </row>
        <row r="139">
          <cell r="G139">
            <v>23765.582999999973</v>
          </cell>
        </row>
        <row r="146">
          <cell r="G146">
            <v>12005.106</v>
          </cell>
        </row>
        <row r="148">
          <cell r="G148">
            <v>1248.8099999999977</v>
          </cell>
        </row>
      </sheetData>
      <sheetData sheetId="2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0222"/>
      <sheetName val="0223"/>
      <sheetName val="0224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G3">
            <v>417.77499999999964</v>
          </cell>
        </row>
        <row r="6">
          <cell r="G6">
            <v>288.29899999999986</v>
          </cell>
        </row>
        <row r="8">
          <cell r="G8">
            <v>587.78299999999581</v>
          </cell>
        </row>
        <row r="10">
          <cell r="G10">
            <v>19.672000000027765</v>
          </cell>
        </row>
        <row r="14">
          <cell r="G14">
            <v>1605.6280000000006</v>
          </cell>
        </row>
        <row r="16">
          <cell r="G16">
            <v>560.04900000000021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970.28</v>
          </cell>
        </row>
        <row r="24">
          <cell r="G24">
            <v>1502.1479999999999</v>
          </cell>
        </row>
        <row r="30">
          <cell r="G30">
            <v>47.59699999999998</v>
          </cell>
        </row>
        <row r="31">
          <cell r="G31">
            <v>0</v>
          </cell>
        </row>
        <row r="33">
          <cell r="G33">
            <v>17315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12303</v>
          </cell>
        </row>
        <row r="43">
          <cell r="G43">
            <v>5216.4545719999624</v>
          </cell>
        </row>
        <row r="45">
          <cell r="G45">
            <v>5300.851999999999</v>
          </cell>
        </row>
        <row r="49">
          <cell r="G49">
            <v>1420.1679999999997</v>
          </cell>
        </row>
        <row r="50">
          <cell r="G50">
            <v>981.86400000000003</v>
          </cell>
        </row>
        <row r="53">
          <cell r="G53">
            <v>2144.2040000000002</v>
          </cell>
        </row>
        <row r="55">
          <cell r="G55">
            <v>4007.2739999999999</v>
          </cell>
        </row>
        <row r="61">
          <cell r="G61">
            <v>1098.6790000000001</v>
          </cell>
        </row>
        <row r="65">
          <cell r="G65">
            <v>1096.2820000000002</v>
          </cell>
        </row>
        <row r="69">
          <cell r="G69">
            <v>753.33000000000027</v>
          </cell>
        </row>
        <row r="71">
          <cell r="G71">
            <v>18.10899999999981</v>
          </cell>
        </row>
        <row r="72">
          <cell r="G72">
            <v>404.89400000000001</v>
          </cell>
        </row>
        <row r="74">
          <cell r="G74">
            <v>755.74599999999919</v>
          </cell>
        </row>
        <row r="78">
          <cell r="G78">
            <v>3505.7230000000536</v>
          </cell>
        </row>
        <row r="79">
          <cell r="G79">
            <v>674.37100000000044</v>
          </cell>
        </row>
        <row r="81">
          <cell r="G81">
            <v>31.463999999997668</v>
          </cell>
        </row>
        <row r="84">
          <cell r="G84">
            <v>2564.9780000000001</v>
          </cell>
        </row>
        <row r="88">
          <cell r="G88">
            <v>1457.771</v>
          </cell>
        </row>
        <row r="90">
          <cell r="G90">
            <v>24.139999999999418</v>
          </cell>
        </row>
        <row r="92">
          <cell r="G92">
            <v>2318.136</v>
          </cell>
        </row>
        <row r="96">
          <cell r="G96">
            <v>2006.1080000000002</v>
          </cell>
        </row>
        <row r="97">
          <cell r="G97">
            <v>1000</v>
          </cell>
        </row>
        <row r="101">
          <cell r="G101">
            <v>1013.1140000000005</v>
          </cell>
        </row>
        <row r="103">
          <cell r="G103">
            <v>4217.264000000001</v>
          </cell>
        </row>
        <row r="105">
          <cell r="G105">
            <v>863.41500000000633</v>
          </cell>
        </row>
        <row r="109">
          <cell r="G109">
            <v>10350.048000000003</v>
          </cell>
        </row>
        <row r="111">
          <cell r="G111">
            <v>27967.621000000079</v>
          </cell>
        </row>
        <row r="121">
          <cell r="G121">
            <v>764.82299999999941</v>
          </cell>
        </row>
        <row r="123">
          <cell r="G123">
            <v>9981.8399999999983</v>
          </cell>
        </row>
        <row r="126">
          <cell r="G126">
            <v>0</v>
          </cell>
        </row>
        <row r="127">
          <cell r="G127">
            <v>9.8909999999996217</v>
          </cell>
        </row>
        <row r="129">
          <cell r="G129">
            <v>12365.038</v>
          </cell>
        </row>
        <row r="130">
          <cell r="G130">
            <v>19971.696</v>
          </cell>
        </row>
        <row r="132">
          <cell r="G132">
            <v>6633.7689999999957</v>
          </cell>
        </row>
        <row r="134">
          <cell r="G134">
            <v>7537.3190000000031</v>
          </cell>
        </row>
        <row r="135">
          <cell r="G135">
            <v>0</v>
          </cell>
        </row>
        <row r="137">
          <cell r="G137">
            <v>14976.093999999999</v>
          </cell>
        </row>
        <row r="139">
          <cell r="G139">
            <v>23765.582999999973</v>
          </cell>
        </row>
        <row r="146">
          <cell r="G146">
            <v>6023.1059999999998</v>
          </cell>
        </row>
        <row r="147">
          <cell r="G147">
            <v>5241.74</v>
          </cell>
        </row>
        <row r="149">
          <cell r="G149">
            <v>893.66999999999825</v>
          </cell>
        </row>
      </sheetData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0222"/>
      <sheetName val="0223"/>
      <sheetName val="0224"/>
      <sheetName val="0225"/>
      <sheetName val="0226-0227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G3">
            <v>417.77499999999964</v>
          </cell>
        </row>
        <row r="6">
          <cell r="G6">
            <v>240.53899999999987</v>
          </cell>
        </row>
        <row r="8">
          <cell r="G8">
            <v>558.20299999999588</v>
          </cell>
        </row>
        <row r="10">
          <cell r="G10">
            <v>1919.9280000000272</v>
          </cell>
        </row>
        <row r="14">
          <cell r="G14">
            <v>1469.0460000000003</v>
          </cell>
        </row>
        <row r="16">
          <cell r="G16">
            <v>413.26900000000023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940.3</v>
          </cell>
        </row>
        <row r="24">
          <cell r="G24">
            <v>1502.1479999999999</v>
          </cell>
        </row>
        <row r="33">
          <cell r="G33">
            <v>13123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9111</v>
          </cell>
        </row>
        <row r="43">
          <cell r="G43">
            <v>5216.4545719999624</v>
          </cell>
        </row>
        <row r="45">
          <cell r="G45">
            <v>4534.1449999999995</v>
          </cell>
        </row>
        <row r="49">
          <cell r="G49">
            <v>1376.0679999999998</v>
          </cell>
        </row>
        <row r="50">
          <cell r="G50">
            <v>981.86400000000003</v>
          </cell>
        </row>
        <row r="53">
          <cell r="G53">
            <v>1386.6840000000002</v>
          </cell>
        </row>
        <row r="55">
          <cell r="G55">
            <v>4007.2739999999999</v>
          </cell>
        </row>
        <row r="61">
          <cell r="G61">
            <v>1098.6790000000001</v>
          </cell>
        </row>
        <row r="65">
          <cell r="G65">
            <v>1096.2820000000002</v>
          </cell>
        </row>
        <row r="69">
          <cell r="G69">
            <v>753.33000000000027</v>
          </cell>
        </row>
        <row r="71">
          <cell r="G71">
            <v>18.10899999999981</v>
          </cell>
        </row>
        <row r="72">
          <cell r="G72">
            <v>375.35400000000004</v>
          </cell>
        </row>
        <row r="74">
          <cell r="G74">
            <v>755.74599999999919</v>
          </cell>
        </row>
        <row r="78">
          <cell r="G78">
            <v>3339.0830000000533</v>
          </cell>
        </row>
        <row r="79">
          <cell r="G79">
            <v>616.69100000000049</v>
          </cell>
        </row>
        <row r="81">
          <cell r="G81">
            <v>31.463999999997668</v>
          </cell>
        </row>
        <row r="84">
          <cell r="G84">
            <v>2564.9780000000001</v>
          </cell>
        </row>
        <row r="88">
          <cell r="G88">
            <v>67.850999999999658</v>
          </cell>
        </row>
        <row r="90">
          <cell r="G90">
            <v>24.139999999999418</v>
          </cell>
        </row>
        <row r="92">
          <cell r="G92">
            <v>2318.136</v>
          </cell>
        </row>
        <row r="96">
          <cell r="G96">
            <v>1935.9680000000003</v>
          </cell>
        </row>
        <row r="97">
          <cell r="G97">
            <v>1000</v>
          </cell>
        </row>
        <row r="101">
          <cell r="G101">
            <v>1013.1140000000005</v>
          </cell>
        </row>
        <row r="103">
          <cell r="G103">
            <v>4217.264000000001</v>
          </cell>
        </row>
        <row r="105">
          <cell r="G105">
            <v>841.91500000000633</v>
          </cell>
        </row>
        <row r="109">
          <cell r="G109">
            <v>7956.9250000000029</v>
          </cell>
        </row>
        <row r="111">
          <cell r="G111">
            <v>27967.621000000079</v>
          </cell>
        </row>
        <row r="121">
          <cell r="G121">
            <v>764.82299999999941</v>
          </cell>
        </row>
        <row r="123">
          <cell r="G123">
            <v>9981.8399999999983</v>
          </cell>
        </row>
        <row r="129">
          <cell r="G129">
            <v>12365.038</v>
          </cell>
        </row>
        <row r="130">
          <cell r="G130">
            <v>19971.696</v>
          </cell>
        </row>
        <row r="132">
          <cell r="G132">
            <v>4702.2489999999952</v>
          </cell>
        </row>
        <row r="134">
          <cell r="G134">
            <v>7537.3190000000031</v>
          </cell>
        </row>
        <row r="135">
          <cell r="G135">
            <v>10477.050999999999</v>
          </cell>
        </row>
        <row r="137">
          <cell r="G137">
            <v>14976.093999999999</v>
          </cell>
        </row>
        <row r="139">
          <cell r="G139">
            <v>11846.198999999971</v>
          </cell>
        </row>
        <row r="144">
          <cell r="G144">
            <v>7234.21</v>
          </cell>
        </row>
        <row r="146">
          <cell r="G146">
            <v>6023.1059999999998</v>
          </cell>
        </row>
        <row r="147">
          <cell r="G147">
            <v>769.84000000000015</v>
          </cell>
        </row>
        <row r="149">
          <cell r="G149">
            <v>56.409999999998035</v>
          </cell>
        </row>
      </sheetData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0130"/>
      <sheetName val="0131"/>
      <sheetName val="0131 0800后"/>
      <sheetName val="0201"/>
      <sheetName val="0202"/>
      <sheetName val="0203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6">
          <cell r="G6">
            <v>667.51900000000001</v>
          </cell>
        </row>
        <row r="8">
          <cell r="G8">
            <v>1710.5029999999958</v>
          </cell>
        </row>
        <row r="12">
          <cell r="G12">
            <v>579.24799999999959</v>
          </cell>
        </row>
        <row r="14">
          <cell r="G14">
            <v>150.85999999999876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14372</v>
          </cell>
        </row>
        <row r="34">
          <cell r="G34">
            <v>2172.7529999999824</v>
          </cell>
        </row>
        <row r="36">
          <cell r="G36">
            <v>3496.5419999999999</v>
          </cell>
        </row>
        <row r="40">
          <cell r="G40">
            <v>13391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7">
          <cell r="G57">
            <v>1098.6790000000001</v>
          </cell>
        </row>
        <row r="59">
          <cell r="G59">
            <v>886.72700000000009</v>
          </cell>
        </row>
        <row r="61">
          <cell r="G61">
            <v>1096.2820000000002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3607.9570000000522</v>
          </cell>
        </row>
        <row r="74">
          <cell r="G74">
            <v>934.32800000000032</v>
          </cell>
        </row>
        <row r="76">
          <cell r="G76">
            <v>2596.4419999999977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2709.6150000000071</v>
          </cell>
        </row>
        <row r="103">
          <cell r="G103">
            <v>17526.61</v>
          </cell>
        </row>
        <row r="105">
          <cell r="G105">
            <v>32753.382000000081</v>
          </cell>
        </row>
        <row r="107">
          <cell r="G107">
            <v>2024.1310000000169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9621.2509999999966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512.93299999998999</v>
          </cell>
        </row>
        <row r="128">
          <cell r="G128">
            <v>9946.3690000000006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9">
          <cell r="G139">
            <v>12005.106</v>
          </cell>
        </row>
        <row r="141">
          <cell r="G141">
            <v>6436.6699999999983</v>
          </cell>
        </row>
      </sheetData>
      <sheetData sheetId="6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0214"/>
      <sheetName val="0215"/>
      <sheetName val="0216"/>
      <sheetName val="0217"/>
      <sheetName val="0218-19"/>
      <sheetName val="0220"/>
      <sheetName val="0221"/>
      <sheetName val="0222"/>
      <sheetName val="0223"/>
      <sheetName val="0224"/>
      <sheetName val="0225"/>
      <sheetName val="0226-0227"/>
      <sheetName val="0228"/>
      <sheetName val="0228 0800后"/>
      <sheetName val="海关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">
          <cell r="G3">
            <v>423.51899999999932</v>
          </cell>
        </row>
        <row r="6">
          <cell r="G6">
            <v>192.79899999999986</v>
          </cell>
        </row>
        <row r="8">
          <cell r="G8">
            <v>528.42299999999591</v>
          </cell>
        </row>
        <row r="10">
          <cell r="G10">
            <v>1772.5080000000271</v>
          </cell>
        </row>
        <row r="12">
          <cell r="G12">
            <v>2520.6060000000007</v>
          </cell>
        </row>
        <row r="14">
          <cell r="G14">
            <v>1043.1260000000002</v>
          </cell>
        </row>
        <row r="16">
          <cell r="G16">
            <v>229.88900000000012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2">
          <cell r="G22">
            <v>910.54</v>
          </cell>
        </row>
        <row r="24">
          <cell r="G24">
            <v>1502.1479999999999</v>
          </cell>
        </row>
        <row r="30">
          <cell r="G30">
            <v>1021.2750000000001</v>
          </cell>
        </row>
        <row r="33">
          <cell r="G33">
            <v>17994</v>
          </cell>
        </row>
        <row r="35">
          <cell r="G35">
            <v>12119.121999999981</v>
          </cell>
        </row>
        <row r="37">
          <cell r="G37">
            <v>4224.8950000000004</v>
          </cell>
        </row>
        <row r="41">
          <cell r="G41">
            <v>5669</v>
          </cell>
        </row>
        <row r="43">
          <cell r="G43">
            <v>5216.4545719999624</v>
          </cell>
        </row>
        <row r="45">
          <cell r="G45">
            <v>4534.1449999999995</v>
          </cell>
        </row>
        <row r="49">
          <cell r="G49">
            <v>1236.1479999999997</v>
          </cell>
        </row>
        <row r="50">
          <cell r="G50">
            <v>981.86400000000003</v>
          </cell>
        </row>
        <row r="53">
          <cell r="G53">
            <v>1257.2440000000001</v>
          </cell>
        </row>
        <row r="55">
          <cell r="G55">
            <v>4007.2739999999999</v>
          </cell>
        </row>
        <row r="61">
          <cell r="G61">
            <v>1098.6790000000001</v>
          </cell>
        </row>
        <row r="65">
          <cell r="G65">
            <v>1096.2820000000002</v>
          </cell>
        </row>
        <row r="69">
          <cell r="G69">
            <v>753.33000000000027</v>
          </cell>
        </row>
        <row r="71">
          <cell r="G71">
            <v>18.10899999999981</v>
          </cell>
        </row>
        <row r="72">
          <cell r="G72">
            <v>375.35400000000004</v>
          </cell>
        </row>
        <row r="74">
          <cell r="G74">
            <v>755.74599999999919</v>
          </cell>
        </row>
        <row r="78">
          <cell r="G78">
            <v>3283.5430000000533</v>
          </cell>
        </row>
        <row r="79">
          <cell r="G79">
            <v>530.29100000000039</v>
          </cell>
        </row>
        <row r="81">
          <cell r="G81">
            <v>31.463999999997668</v>
          </cell>
        </row>
        <row r="84">
          <cell r="G84">
            <v>2564.9780000000001</v>
          </cell>
        </row>
        <row r="88">
          <cell r="G88">
            <v>10.130999999999858</v>
          </cell>
        </row>
        <row r="90">
          <cell r="G90">
            <v>24.139999999999418</v>
          </cell>
        </row>
        <row r="92">
          <cell r="G92">
            <v>2318.136</v>
          </cell>
        </row>
        <row r="96">
          <cell r="G96">
            <v>1787.3680000000004</v>
          </cell>
        </row>
        <row r="97">
          <cell r="G97">
            <v>1000</v>
          </cell>
        </row>
        <row r="101">
          <cell r="G101">
            <v>1013.1140000000005</v>
          </cell>
        </row>
        <row r="103">
          <cell r="G103">
            <v>4217.264000000001</v>
          </cell>
        </row>
        <row r="105">
          <cell r="G105">
            <v>841.91500000000633</v>
          </cell>
        </row>
        <row r="109">
          <cell r="G109">
            <v>7956.9250000000029</v>
          </cell>
        </row>
        <row r="111">
          <cell r="G111">
            <v>27967.621000000079</v>
          </cell>
        </row>
        <row r="121">
          <cell r="G121">
            <v>764.82299999999941</v>
          </cell>
        </row>
        <row r="123">
          <cell r="G123">
            <v>9981.8399999999983</v>
          </cell>
        </row>
        <row r="129">
          <cell r="G129">
            <v>12365.038</v>
          </cell>
        </row>
        <row r="130">
          <cell r="G130">
            <v>19971.696</v>
          </cell>
        </row>
        <row r="132">
          <cell r="G132">
            <v>4001.4289999999955</v>
          </cell>
        </row>
        <row r="134">
          <cell r="G134">
            <v>7537.3190000000031</v>
          </cell>
        </row>
        <row r="135">
          <cell r="G135">
            <v>10477.050999999999</v>
          </cell>
        </row>
        <row r="137">
          <cell r="G137">
            <v>14976.093999999999</v>
          </cell>
        </row>
        <row r="139">
          <cell r="G139">
            <v>11846.198999999971</v>
          </cell>
        </row>
        <row r="145">
          <cell r="G145">
            <v>7234.21</v>
          </cell>
        </row>
        <row r="147">
          <cell r="G147">
            <v>5463.1059999999998</v>
          </cell>
        </row>
        <row r="148">
          <cell r="G148">
            <v>983.31999999999971</v>
          </cell>
        </row>
        <row r="150">
          <cell r="G150">
            <v>4.0499999999974534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0130"/>
      <sheetName val="0131"/>
      <sheetName val="0131 0800后"/>
      <sheetName val="0201"/>
      <sheetName val="0202"/>
      <sheetName val="0203"/>
      <sheetName val="0204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6">
          <cell r="G6">
            <v>620.15899999999999</v>
          </cell>
        </row>
        <row r="8">
          <cell r="G8">
            <v>1710.5029999999958</v>
          </cell>
        </row>
        <row r="12">
          <cell r="G12">
            <v>0.63799999999991996</v>
          </cell>
        </row>
        <row r="14">
          <cell r="G14">
            <v>-2.2400000000016007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14387</v>
          </cell>
        </row>
        <row r="34">
          <cell r="G34">
            <v>2172.7529999999824</v>
          </cell>
        </row>
        <row r="36">
          <cell r="G36">
            <v>3496.5419999999999</v>
          </cell>
        </row>
        <row r="40">
          <cell r="G40">
            <v>13391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7">
          <cell r="G57">
            <v>1098.6790000000001</v>
          </cell>
        </row>
        <row r="59">
          <cell r="G59">
            <v>886.72700000000009</v>
          </cell>
        </row>
        <row r="61">
          <cell r="G61">
            <v>1096.2820000000002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3607.9570000000522</v>
          </cell>
        </row>
        <row r="74">
          <cell r="G74">
            <v>934.32800000000032</v>
          </cell>
        </row>
        <row r="76">
          <cell r="G76">
            <v>2596.4419999999977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2406.0950000000066</v>
          </cell>
        </row>
        <row r="103">
          <cell r="G103">
            <v>17526.61</v>
          </cell>
        </row>
        <row r="105">
          <cell r="G105">
            <v>32753.382000000081</v>
          </cell>
        </row>
        <row r="107">
          <cell r="G107">
            <v>1850.9310000000169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9448.4309999999969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512.93299999998999</v>
          </cell>
        </row>
        <row r="128">
          <cell r="G128">
            <v>9946.3690000000006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9">
          <cell r="G139">
            <v>12005.106</v>
          </cell>
        </row>
        <row r="141">
          <cell r="G141">
            <v>6169.5099999999984</v>
          </cell>
        </row>
      </sheetData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0130"/>
      <sheetName val="0131"/>
      <sheetName val="0131 0800后"/>
      <sheetName val="0201"/>
      <sheetName val="0202"/>
      <sheetName val="0203"/>
      <sheetName val="0204"/>
      <sheetName val="0205"/>
      <sheetName val="0206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>
        <row r="6">
          <cell r="G6">
            <v>596.45900000000006</v>
          </cell>
        </row>
        <row r="8">
          <cell r="G8">
            <v>1710.5029999999958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742.53000000000009</v>
          </cell>
        </row>
        <row r="30">
          <cell r="G30">
            <v>1051.9169999999999</v>
          </cell>
        </row>
        <row r="32">
          <cell r="G32">
            <v>16304</v>
          </cell>
        </row>
        <row r="34">
          <cell r="G34">
            <v>2172.7529999999824</v>
          </cell>
        </row>
        <row r="36">
          <cell r="G36">
            <v>3496.5419999999999</v>
          </cell>
        </row>
        <row r="40">
          <cell r="G40">
            <v>10297</v>
          </cell>
        </row>
        <row r="42">
          <cell r="G42">
            <v>8472.5005719999644</v>
          </cell>
        </row>
        <row r="44">
          <cell r="G44">
            <v>6134.7419999999993</v>
          </cell>
        </row>
        <row r="46">
          <cell r="G46">
            <v>961.45299999999997</v>
          </cell>
        </row>
        <row r="55">
          <cell r="G55">
            <v>1496.749</v>
          </cell>
        </row>
        <row r="57">
          <cell r="G57">
            <v>1098.6790000000001</v>
          </cell>
        </row>
        <row r="59">
          <cell r="G59">
            <v>886.72700000000009</v>
          </cell>
        </row>
        <row r="61">
          <cell r="G61">
            <v>1096.2820000000002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3552.8970000000522</v>
          </cell>
        </row>
        <row r="74">
          <cell r="G74">
            <v>934.32800000000032</v>
          </cell>
        </row>
        <row r="76">
          <cell r="G76">
            <v>2596.4419999999977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1820.7750000000069</v>
          </cell>
        </row>
        <row r="103">
          <cell r="G103">
            <v>17526.61</v>
          </cell>
        </row>
        <row r="105">
          <cell r="G105">
            <v>32753.382000000081</v>
          </cell>
        </row>
        <row r="107">
          <cell r="G107">
            <v>1760.9310000000169</v>
          </cell>
        </row>
        <row r="115">
          <cell r="G115">
            <v>1767.3689999999997</v>
          </cell>
        </row>
        <row r="117">
          <cell r="G117">
            <v>2990.8999999999996</v>
          </cell>
        </row>
        <row r="118">
          <cell r="G118">
            <v>96.739999999999782</v>
          </cell>
        </row>
        <row r="120">
          <cell r="G120">
            <v>9137.5909999999967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4880.6440000000002</v>
          </cell>
        </row>
        <row r="128">
          <cell r="G128">
            <v>9859.3230000000003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9">
          <cell r="G139">
            <v>12005.106</v>
          </cell>
        </row>
        <row r="141">
          <cell r="G141">
            <v>5546.9099999999989</v>
          </cell>
        </row>
      </sheetData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G6">
            <v>572.65899999999999</v>
          </cell>
        </row>
        <row r="8">
          <cell r="G8">
            <v>1710.5029999999958</v>
          </cell>
        </row>
        <row r="10">
          <cell r="G10">
            <v>2003.7640000000292</v>
          </cell>
        </row>
        <row r="14">
          <cell r="G14">
            <v>2739.3949999999986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713.67000000000007</v>
          </cell>
        </row>
        <row r="30">
          <cell r="G30">
            <v>1021.977</v>
          </cell>
        </row>
        <row r="32">
          <cell r="G32">
            <v>13342</v>
          </cell>
        </row>
        <row r="34">
          <cell r="G34">
            <v>2172.7529999999824</v>
          </cell>
        </row>
        <row r="36">
          <cell r="G36">
            <v>3496.5419999999999</v>
          </cell>
        </row>
        <row r="40">
          <cell r="G40">
            <v>13843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943.39300000000003</v>
          </cell>
        </row>
        <row r="51">
          <cell r="G51">
            <v>2144.2040000000002</v>
          </cell>
        </row>
        <row r="56">
          <cell r="G56">
            <v>1496.749</v>
          </cell>
        </row>
        <row r="58">
          <cell r="G58">
            <v>1098.6790000000001</v>
          </cell>
        </row>
        <row r="60">
          <cell r="G60">
            <v>886.72700000000009</v>
          </cell>
        </row>
        <row r="62">
          <cell r="G62">
            <v>1096.2820000000002</v>
          </cell>
        </row>
        <row r="66">
          <cell r="G66">
            <v>931.53000000000031</v>
          </cell>
        </row>
        <row r="68">
          <cell r="G68">
            <v>640.54299999999989</v>
          </cell>
        </row>
        <row r="70">
          <cell r="G70">
            <v>3147.802999999999</v>
          </cell>
        </row>
        <row r="74">
          <cell r="G74">
            <v>3497.8970000000522</v>
          </cell>
        </row>
        <row r="75">
          <cell r="G75">
            <v>905.50800000000027</v>
          </cell>
        </row>
        <row r="77">
          <cell r="G77">
            <v>2596.4419999999977</v>
          </cell>
        </row>
        <row r="78">
          <cell r="G78">
            <v>-0.23699999999985266</v>
          </cell>
        </row>
        <row r="85">
          <cell r="G85">
            <v>1056.8909999999996</v>
          </cell>
        </row>
        <row r="91">
          <cell r="G91">
            <v>2006.1080000000002</v>
          </cell>
        </row>
        <row r="92">
          <cell r="G92">
            <v>1000</v>
          </cell>
        </row>
        <row r="94">
          <cell r="G94">
            <v>173.70399999999404</v>
          </cell>
        </row>
        <row r="96">
          <cell r="G96">
            <v>2409.6100000000006</v>
          </cell>
        </row>
        <row r="98">
          <cell r="G98">
            <v>4217.264000000001</v>
          </cell>
        </row>
        <row r="100">
          <cell r="G100">
            <v>1582.4550000000072</v>
          </cell>
        </row>
        <row r="104">
          <cell r="G104">
            <v>15130.712</v>
          </cell>
        </row>
        <row r="106">
          <cell r="G106">
            <v>32753.382000000081</v>
          </cell>
        </row>
        <row r="108">
          <cell r="G108">
            <v>1760.9310000000169</v>
          </cell>
        </row>
        <row r="116">
          <cell r="G116">
            <v>1767.3689999999997</v>
          </cell>
        </row>
        <row r="118">
          <cell r="G118">
            <v>0</v>
          </cell>
        </row>
        <row r="119">
          <cell r="G119">
            <v>2358.2199999999993</v>
          </cell>
        </row>
        <row r="121">
          <cell r="G121">
            <v>7783.9109999999964</v>
          </cell>
        </row>
        <row r="122">
          <cell r="G122">
            <v>628.34000000000015</v>
          </cell>
        </row>
        <row r="126">
          <cell r="G126">
            <v>8339.3289999999961</v>
          </cell>
        </row>
        <row r="128">
          <cell r="G128">
            <v>4085.7229999999981</v>
          </cell>
        </row>
        <row r="129">
          <cell r="G129">
            <v>9946.3690000000006</v>
          </cell>
        </row>
        <row r="131">
          <cell r="G131">
            <v>14976.093999999999</v>
          </cell>
        </row>
        <row r="133">
          <cell r="G133">
            <v>20204.884999999973</v>
          </cell>
        </row>
        <row r="140">
          <cell r="G140">
            <v>12005.106</v>
          </cell>
        </row>
        <row r="142">
          <cell r="G142">
            <v>5459.4099999999989</v>
          </cell>
        </row>
      </sheetData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G6">
            <v>572.65899999999999</v>
          </cell>
        </row>
        <row r="8">
          <cell r="G8">
            <v>1710.5029999999958</v>
          </cell>
        </row>
        <row r="10">
          <cell r="G10">
            <v>2003.7640000000292</v>
          </cell>
        </row>
        <row r="14">
          <cell r="G14">
            <v>2257.1149999999989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518.47</v>
          </cell>
        </row>
        <row r="30">
          <cell r="G30">
            <v>992.077</v>
          </cell>
        </row>
        <row r="32">
          <cell r="G32">
            <v>11522</v>
          </cell>
        </row>
        <row r="34">
          <cell r="G34">
            <v>2172.7529999999824</v>
          </cell>
        </row>
        <row r="36">
          <cell r="G36">
            <v>3496.5419999999999</v>
          </cell>
        </row>
        <row r="40">
          <cell r="G40">
            <v>14270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918.37300000000005</v>
          </cell>
        </row>
        <row r="51">
          <cell r="G51">
            <v>2144.2040000000002</v>
          </cell>
        </row>
        <row r="56">
          <cell r="G56">
            <v>1496.749</v>
          </cell>
        </row>
        <row r="58">
          <cell r="G58">
            <v>1098.6790000000001</v>
          </cell>
        </row>
        <row r="60">
          <cell r="G60">
            <v>763.92700000000013</v>
          </cell>
        </row>
        <row r="62">
          <cell r="G62">
            <v>1096.2820000000002</v>
          </cell>
        </row>
        <row r="66">
          <cell r="G66">
            <v>931.53000000000031</v>
          </cell>
        </row>
        <row r="68">
          <cell r="G68">
            <v>640.54299999999989</v>
          </cell>
        </row>
        <row r="70">
          <cell r="G70">
            <v>2002.9199999999992</v>
          </cell>
        </row>
        <row r="74">
          <cell r="G74">
            <v>3442.6570000000524</v>
          </cell>
        </row>
        <row r="75">
          <cell r="G75">
            <v>848.3480000000003</v>
          </cell>
        </row>
        <row r="77">
          <cell r="G77">
            <v>2596.4419999999977</v>
          </cell>
        </row>
        <row r="78">
          <cell r="G78">
            <v>-0.23699999999985266</v>
          </cell>
        </row>
        <row r="85">
          <cell r="G85">
            <v>965.09099999999944</v>
          </cell>
        </row>
        <row r="91">
          <cell r="G91">
            <v>2006.1080000000002</v>
          </cell>
        </row>
        <row r="92">
          <cell r="G92">
            <v>1000</v>
          </cell>
        </row>
        <row r="94">
          <cell r="G94">
            <v>173.70399999999404</v>
          </cell>
        </row>
        <row r="96">
          <cell r="G96">
            <v>2409.6100000000006</v>
          </cell>
        </row>
        <row r="98">
          <cell r="G98">
            <v>4217.264000000001</v>
          </cell>
        </row>
        <row r="100">
          <cell r="G100">
            <v>1258.1350000000075</v>
          </cell>
        </row>
        <row r="104">
          <cell r="G104">
            <v>15130.712</v>
          </cell>
        </row>
        <row r="106">
          <cell r="G106">
            <v>32753.382000000081</v>
          </cell>
        </row>
        <row r="108">
          <cell r="G108">
            <v>1760.9310000000169</v>
          </cell>
        </row>
        <row r="116">
          <cell r="G116">
            <v>1767.3689999999997</v>
          </cell>
        </row>
        <row r="118">
          <cell r="G118">
            <v>0</v>
          </cell>
        </row>
        <row r="119">
          <cell r="G119">
            <v>765.55999999999949</v>
          </cell>
        </row>
        <row r="121">
          <cell r="G121">
            <v>7555.650999999998</v>
          </cell>
        </row>
        <row r="122">
          <cell r="G122">
            <v>386.69999999999982</v>
          </cell>
        </row>
        <row r="126">
          <cell r="G126">
            <v>8339.3289999999961</v>
          </cell>
        </row>
        <row r="128">
          <cell r="G128">
            <v>13987.876000000004</v>
          </cell>
        </row>
        <row r="129">
          <cell r="G129">
            <v>9946.3690000000006</v>
          </cell>
        </row>
        <row r="131">
          <cell r="G131">
            <v>14976.093999999999</v>
          </cell>
        </row>
        <row r="133">
          <cell r="G133">
            <v>20204.884999999973</v>
          </cell>
        </row>
        <row r="140">
          <cell r="G140">
            <v>12005.106</v>
          </cell>
        </row>
        <row r="142">
          <cell r="G142">
            <v>5329.3099999999986</v>
          </cell>
        </row>
      </sheetData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副本"/>
      <sheetName val="副本2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G3">
            <v>0</v>
          </cell>
        </row>
        <row r="6">
          <cell r="G6">
            <v>548.93899999999996</v>
          </cell>
        </row>
        <row r="8">
          <cell r="G8">
            <v>1710.5029999999958</v>
          </cell>
        </row>
        <row r="10">
          <cell r="G10">
            <v>2003.7640000000292</v>
          </cell>
        </row>
        <row r="12">
          <cell r="G12">
            <v>2039.8959999999997</v>
          </cell>
        </row>
        <row r="14">
          <cell r="G14">
            <v>1713.0549999999985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404.01</v>
          </cell>
        </row>
        <row r="30">
          <cell r="G30">
            <v>792.077</v>
          </cell>
        </row>
        <row r="31">
          <cell r="G31">
            <v>200</v>
          </cell>
        </row>
        <row r="33">
          <cell r="G33">
            <v>11530</v>
          </cell>
        </row>
        <row r="35">
          <cell r="G35">
            <v>2172.7529999999824</v>
          </cell>
        </row>
        <row r="37">
          <cell r="G37">
            <v>3496.5419999999999</v>
          </cell>
        </row>
        <row r="41">
          <cell r="G41">
            <v>16812</v>
          </cell>
        </row>
        <row r="43">
          <cell r="G43">
            <v>7210.4545719999624</v>
          </cell>
        </row>
        <row r="45">
          <cell r="G45">
            <v>6134.7419999999993</v>
          </cell>
        </row>
        <row r="47">
          <cell r="G47">
            <v>806.69299999999998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7">
          <cell r="G57">
            <v>1496.749</v>
          </cell>
        </row>
        <row r="59">
          <cell r="G59">
            <v>1098.6790000000001</v>
          </cell>
        </row>
        <row r="61">
          <cell r="G61">
            <v>237.40700000000015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640.54299999999989</v>
          </cell>
        </row>
        <row r="71">
          <cell r="G71">
            <v>2002.9199999999992</v>
          </cell>
        </row>
        <row r="75">
          <cell r="G75">
            <v>3414.8370000000523</v>
          </cell>
        </row>
        <row r="76">
          <cell r="G76">
            <v>790.72800000000029</v>
          </cell>
        </row>
        <row r="78">
          <cell r="G78">
            <v>2596.4419999999977</v>
          </cell>
        </row>
        <row r="79">
          <cell r="G79">
            <v>-0.23699999999985266</v>
          </cell>
        </row>
        <row r="84">
          <cell r="G84">
            <v>2522.3710000000001</v>
          </cell>
        </row>
        <row r="86">
          <cell r="G86">
            <v>3759.3360000000002</v>
          </cell>
        </row>
        <row r="92">
          <cell r="G92">
            <v>2006.1080000000002</v>
          </cell>
        </row>
        <row r="93">
          <cell r="G93">
            <v>1000</v>
          </cell>
        </row>
        <row r="95">
          <cell r="G95">
            <v>173.70399999999404</v>
          </cell>
        </row>
        <row r="97">
          <cell r="G97">
            <v>2409.6100000000006</v>
          </cell>
        </row>
        <row r="99">
          <cell r="G99">
            <v>4217.264000000001</v>
          </cell>
        </row>
        <row r="101">
          <cell r="G101">
            <v>982.15500000000793</v>
          </cell>
        </row>
        <row r="105">
          <cell r="G105">
            <v>15130.712</v>
          </cell>
        </row>
        <row r="107">
          <cell r="G107">
            <v>32753.382000000081</v>
          </cell>
        </row>
        <row r="109">
          <cell r="G109">
            <v>2945.4590000000171</v>
          </cell>
        </row>
        <row r="117">
          <cell r="G117">
            <v>1767.3689999999997</v>
          </cell>
        </row>
        <row r="119">
          <cell r="G119">
            <v>0</v>
          </cell>
        </row>
        <row r="120">
          <cell r="G120">
            <v>163.71999999999935</v>
          </cell>
        </row>
        <row r="122">
          <cell r="G122">
            <v>6403.4309999999969</v>
          </cell>
        </row>
        <row r="123">
          <cell r="G123">
            <v>1032.3400000000001</v>
          </cell>
        </row>
        <row r="127">
          <cell r="G127">
            <v>8339.3289999999961</v>
          </cell>
        </row>
        <row r="129">
          <cell r="G129">
            <v>13987.876000000004</v>
          </cell>
        </row>
        <row r="130">
          <cell r="G130">
            <v>9946.3690000000006</v>
          </cell>
        </row>
        <row r="132">
          <cell r="G132">
            <v>14976.093999999999</v>
          </cell>
        </row>
        <row r="134">
          <cell r="G134">
            <v>20204.884999999973</v>
          </cell>
        </row>
        <row r="141">
          <cell r="G141">
            <v>12005.106</v>
          </cell>
        </row>
        <row r="143">
          <cell r="G143">
            <v>5057.1899999999987</v>
          </cell>
        </row>
      </sheetData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G3">
            <v>0</v>
          </cell>
        </row>
        <row r="6">
          <cell r="G6">
            <v>525.19899999999996</v>
          </cell>
        </row>
        <row r="8">
          <cell r="G8">
            <v>1664.4629999999959</v>
          </cell>
        </row>
        <row r="10">
          <cell r="G10">
            <v>2003.7640000000292</v>
          </cell>
        </row>
        <row r="12">
          <cell r="G12">
            <v>2039.8959999999997</v>
          </cell>
        </row>
        <row r="14">
          <cell r="G14">
            <v>1208.2349999999988</v>
          </cell>
        </row>
        <row r="16">
          <cell r="G16">
            <v>1966.7690000000002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374.04999999999995</v>
          </cell>
        </row>
        <row r="30">
          <cell r="G30">
            <v>762.49699999999996</v>
          </cell>
        </row>
        <row r="31">
          <cell r="G31">
            <v>200</v>
          </cell>
        </row>
        <row r="33">
          <cell r="G33">
            <v>12954</v>
          </cell>
        </row>
        <row r="35">
          <cell r="G35">
            <v>2172.7529999999824</v>
          </cell>
        </row>
        <row r="37">
          <cell r="G37">
            <v>3496.5419999999999</v>
          </cell>
        </row>
        <row r="41">
          <cell r="G41">
            <v>16647</v>
          </cell>
        </row>
        <row r="43">
          <cell r="G43">
            <v>7210.4545719999624</v>
          </cell>
        </row>
        <row r="45">
          <cell r="G45">
            <v>6134.7419999999993</v>
          </cell>
        </row>
        <row r="47">
          <cell r="G47">
            <v>806.69299999999998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7">
          <cell r="G57">
            <v>1374.6289999999999</v>
          </cell>
        </row>
        <row r="59">
          <cell r="G59">
            <v>1098.6790000000001</v>
          </cell>
        </row>
        <row r="61">
          <cell r="G61">
            <v>20.347000000000207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640.54299999999989</v>
          </cell>
        </row>
        <row r="71">
          <cell r="G71">
            <v>2002.9199999999992</v>
          </cell>
        </row>
        <row r="75">
          <cell r="G75">
            <v>3359.4270000000524</v>
          </cell>
        </row>
        <row r="76">
          <cell r="G76">
            <v>732.77800000000036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3759.3360000000002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2409.6100000000006</v>
          </cell>
        </row>
        <row r="100">
          <cell r="G100">
            <v>4217.264000000001</v>
          </cell>
        </row>
        <row r="102">
          <cell r="G102">
            <v>982.15500000000793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2945.4590000000171</v>
          </cell>
        </row>
        <row r="118">
          <cell r="G118">
            <v>1767.3689999999997</v>
          </cell>
        </row>
        <row r="120">
          <cell r="G120">
            <v>0</v>
          </cell>
        </row>
        <row r="121">
          <cell r="G121">
            <v>37.760000000000218</v>
          </cell>
        </row>
        <row r="123">
          <cell r="G123">
            <v>6403.4309999999969</v>
          </cell>
        </row>
        <row r="124">
          <cell r="G124">
            <v>516.61999999999989</v>
          </cell>
        </row>
        <row r="128">
          <cell r="G128">
            <v>8339.3289999999961</v>
          </cell>
        </row>
        <row r="130">
          <cell r="G130">
            <v>13987.876000000004</v>
          </cell>
        </row>
        <row r="131">
          <cell r="G131">
            <v>9946.3690000000006</v>
          </cell>
        </row>
        <row r="133">
          <cell r="G133">
            <v>14976.093999999999</v>
          </cell>
        </row>
        <row r="135">
          <cell r="G135">
            <v>20204.884999999973</v>
          </cell>
        </row>
        <row r="142">
          <cell r="G142">
            <v>12005.106</v>
          </cell>
        </row>
        <row r="144">
          <cell r="G144">
            <v>4289.2299999999987</v>
          </cell>
        </row>
      </sheetData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1"/>
      <sheetName val="0212"/>
      <sheetName val="0213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G6">
            <v>501.47899999999993</v>
          </cell>
        </row>
        <row r="8">
          <cell r="G8">
            <v>1383.3429999999958</v>
          </cell>
        </row>
        <row r="10">
          <cell r="G10">
            <v>1648.2440000000297</v>
          </cell>
        </row>
        <row r="14">
          <cell r="G14">
            <v>19.135000000000218</v>
          </cell>
        </row>
        <row r="16">
          <cell r="G16">
            <v>1811.6090000000002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432.577</v>
          </cell>
        </row>
        <row r="31">
          <cell r="G31">
            <v>385.15999999999997</v>
          </cell>
        </row>
        <row r="33">
          <cell r="G33">
            <v>18769</v>
          </cell>
        </row>
        <row r="35">
          <cell r="G35">
            <v>2172.7529999999824</v>
          </cell>
        </row>
        <row r="37">
          <cell r="G37">
            <v>2350.4299999999998</v>
          </cell>
        </row>
        <row r="41">
          <cell r="G41">
            <v>8675</v>
          </cell>
        </row>
        <row r="43">
          <cell r="G43">
            <v>7210.4545719999624</v>
          </cell>
        </row>
        <row r="45">
          <cell r="G45">
            <v>6134.7419999999993</v>
          </cell>
        </row>
        <row r="47">
          <cell r="G47">
            <v>263.673</v>
          </cell>
        </row>
        <row r="49">
          <cell r="G49">
            <v>3992.8519999999999</v>
          </cell>
        </row>
        <row r="52">
          <cell r="G52">
            <v>2144.2040000000002</v>
          </cell>
        </row>
        <row r="59">
          <cell r="G59">
            <v>1098.6790000000001</v>
          </cell>
        </row>
        <row r="63">
          <cell r="G63">
            <v>1096.2820000000002</v>
          </cell>
        </row>
        <row r="67">
          <cell r="G67">
            <v>931.53000000000031</v>
          </cell>
        </row>
        <row r="69">
          <cell r="G69">
            <v>557.34299999999985</v>
          </cell>
        </row>
        <row r="71">
          <cell r="G71">
            <v>2002.9199999999992</v>
          </cell>
        </row>
        <row r="75">
          <cell r="G75">
            <v>3276.2270000000526</v>
          </cell>
        </row>
        <row r="76">
          <cell r="G76">
            <v>588.63800000000037</v>
          </cell>
        </row>
        <row r="78">
          <cell r="G78">
            <v>31.463999999997668</v>
          </cell>
        </row>
        <row r="81">
          <cell r="G81">
            <v>2564.9780000000001</v>
          </cell>
        </row>
        <row r="85">
          <cell r="G85">
            <v>2522.3710000000001</v>
          </cell>
        </row>
        <row r="87">
          <cell r="G87">
            <v>3759.3360000000002</v>
          </cell>
        </row>
        <row r="93">
          <cell r="G93">
            <v>2006.1080000000002</v>
          </cell>
        </row>
        <row r="94">
          <cell r="G94">
            <v>1000</v>
          </cell>
        </row>
        <row r="96">
          <cell r="G96">
            <v>2.4439999999940483</v>
          </cell>
        </row>
        <row r="98">
          <cell r="G98">
            <v>2409.6100000000006</v>
          </cell>
        </row>
        <row r="100">
          <cell r="G100">
            <v>4217.264000000001</v>
          </cell>
        </row>
        <row r="102">
          <cell r="G102">
            <v>3009.6350000000075</v>
          </cell>
        </row>
        <row r="106">
          <cell r="G106">
            <v>15130.712</v>
          </cell>
        </row>
        <row r="108">
          <cell r="G108">
            <v>30364.863000000081</v>
          </cell>
        </row>
        <row r="110">
          <cell r="G110">
            <v>2453.7190000000169</v>
          </cell>
        </row>
        <row r="118">
          <cell r="G118">
            <v>1767.3689999999997</v>
          </cell>
        </row>
        <row r="120">
          <cell r="G120">
            <v>0</v>
          </cell>
        </row>
        <row r="121">
          <cell r="G121">
            <v>4.8600000000005821</v>
          </cell>
        </row>
        <row r="123">
          <cell r="G123">
            <v>6003.4309999999969</v>
          </cell>
        </row>
        <row r="124">
          <cell r="G124">
            <v>8.3400000000001455</v>
          </cell>
        </row>
        <row r="128">
          <cell r="G128">
            <v>8339.3289999999961</v>
          </cell>
        </row>
        <row r="130">
          <cell r="G130">
            <v>14706.423999999999</v>
          </cell>
        </row>
        <row r="131">
          <cell r="G131">
            <v>9946.3690000000006</v>
          </cell>
        </row>
        <row r="133">
          <cell r="G133">
            <v>14976.093999999999</v>
          </cell>
        </row>
        <row r="135">
          <cell r="G135">
            <v>23765.582999999973</v>
          </cell>
        </row>
        <row r="142">
          <cell r="G142">
            <v>12005.106</v>
          </cell>
        </row>
        <row r="144">
          <cell r="G144">
            <v>3338.5299999999988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2" activePane="bottomRight" state="frozen"/>
      <selection pane="topRight"/>
      <selection pane="bottomLeft"/>
      <selection pane="bottomRight" activeCell="E14" sqref="E14"/>
    </sheetView>
  </sheetViews>
  <sheetFormatPr defaultColWidth="8.875" defaultRowHeight="11.25" x14ac:dyDescent="0.15"/>
  <cols>
    <col min="1" max="1" width="8.875" style="1"/>
    <col min="2" max="2" width="5.875" style="3" customWidth="1"/>
    <col min="3" max="3" width="8.25" style="10" customWidth="1"/>
    <col min="4" max="4" width="4.625" style="9" customWidth="1"/>
    <col min="5" max="5" width="9.375" style="3" customWidth="1"/>
    <col min="6" max="6" width="31.125" style="3" customWidth="1"/>
    <col min="7" max="7" width="5.25" style="9" customWidth="1"/>
    <col min="8" max="8" width="10.125" style="8" customWidth="1"/>
    <col min="9" max="9" width="9.625" style="8" customWidth="1"/>
    <col min="10" max="10" width="8.25" style="2" hidden="1" customWidth="1"/>
    <col min="11" max="11" width="7" style="7" customWidth="1"/>
    <col min="12" max="12" width="8.375" style="6" customWidth="1"/>
    <col min="13" max="13" width="6" style="5" bestFit="1" customWidth="1"/>
    <col min="14" max="14" width="8.75" style="4" customWidth="1"/>
    <col min="15" max="15" width="8.25" style="4" customWidth="1"/>
    <col min="16" max="16" width="28.5" style="3" customWidth="1"/>
    <col min="17" max="17" width="8.875" style="2"/>
    <col min="18" max="16384" width="8.875" style="1"/>
  </cols>
  <sheetData>
    <row r="1" spans="1:17" s="12" customFormat="1" ht="22.5" x14ac:dyDescent="0.15">
      <c r="A1" s="15" t="s">
        <v>145</v>
      </c>
      <c r="B1" s="14" t="s">
        <v>144</v>
      </c>
      <c r="C1" s="15" t="s">
        <v>143</v>
      </c>
      <c r="D1" s="15" t="s">
        <v>142</v>
      </c>
      <c r="E1" s="15" t="s">
        <v>141</v>
      </c>
      <c r="F1" s="15" t="s">
        <v>140</v>
      </c>
      <c r="G1" s="16" t="s">
        <v>139</v>
      </c>
      <c r="H1" s="17" t="s">
        <v>138</v>
      </c>
      <c r="I1" s="18" t="s">
        <v>137</v>
      </c>
      <c r="J1" s="15"/>
      <c r="K1" s="19" t="s">
        <v>136</v>
      </c>
      <c r="L1" s="20" t="s">
        <v>135</v>
      </c>
      <c r="M1" s="19" t="s">
        <v>134</v>
      </c>
      <c r="N1" s="21" t="s">
        <v>133</v>
      </c>
      <c r="O1" s="21" t="s">
        <v>132</v>
      </c>
      <c r="P1" s="15" t="s">
        <v>131</v>
      </c>
    </row>
    <row r="2" spans="1:17" s="12" customFormat="1" ht="28.5" customHeight="1" x14ac:dyDescent="0.15">
      <c r="A2" s="23">
        <v>20170201</v>
      </c>
      <c r="B2" s="22" t="s">
        <v>130</v>
      </c>
      <c r="C2" s="35" t="s">
        <v>44</v>
      </c>
      <c r="D2" s="22"/>
      <c r="E2" s="23" t="s">
        <v>117</v>
      </c>
      <c r="F2" s="37" t="s">
        <v>178</v>
      </c>
      <c r="G2" s="24" t="s">
        <v>1</v>
      </c>
      <c r="H2" s="25"/>
      <c r="I2" s="25"/>
      <c r="J2" s="23"/>
      <c r="K2" s="27"/>
      <c r="L2" s="26">
        <v>0</v>
      </c>
      <c r="M2" s="27">
        <v>2000</v>
      </c>
      <c r="N2" s="28" t="s">
        <v>120</v>
      </c>
      <c r="O2" s="29" t="s">
        <v>89</v>
      </c>
      <c r="P2" s="24"/>
    </row>
    <row r="3" spans="1:17" s="12" customFormat="1" ht="28.5" customHeight="1" x14ac:dyDescent="0.15">
      <c r="A3" s="23">
        <v>20170201</v>
      </c>
      <c r="B3" s="22" t="s">
        <v>129</v>
      </c>
      <c r="C3" s="35" t="s">
        <v>44</v>
      </c>
      <c r="D3" s="22"/>
      <c r="E3" s="23" t="s">
        <v>86</v>
      </c>
      <c r="F3" s="23" t="s">
        <v>156</v>
      </c>
      <c r="G3" s="24" t="s">
        <v>1</v>
      </c>
      <c r="H3" s="25">
        <f>[1]副本!G6</f>
        <v>714.93899999999996</v>
      </c>
      <c r="I3" s="25">
        <f>H3</f>
        <v>714.93899999999996</v>
      </c>
      <c r="J3" s="23"/>
      <c r="K3" s="27"/>
      <c r="L3" s="26">
        <f>H3-I3</f>
        <v>0</v>
      </c>
      <c r="M3" s="27">
        <v>1500</v>
      </c>
      <c r="N3" s="28"/>
      <c r="O3" s="29"/>
      <c r="P3" s="24"/>
    </row>
    <row r="4" spans="1:17" s="12" customFormat="1" ht="28.5" customHeight="1" x14ac:dyDescent="0.15">
      <c r="A4" s="23">
        <v>20170201</v>
      </c>
      <c r="B4" s="22" t="s">
        <v>128</v>
      </c>
      <c r="C4" s="35" t="s">
        <v>44</v>
      </c>
      <c r="D4" s="22"/>
      <c r="E4" s="23" t="s">
        <v>43</v>
      </c>
      <c r="F4" s="37" t="s">
        <v>157</v>
      </c>
      <c r="G4" s="24" t="s">
        <v>1</v>
      </c>
      <c r="H4" s="25">
        <f>[1]副本!G8</f>
        <v>1710.5029999999958</v>
      </c>
      <c r="I4" s="25">
        <f>H4</f>
        <v>1710.5029999999958</v>
      </c>
      <c r="J4" s="23"/>
      <c r="K4" s="26"/>
      <c r="L4" s="26">
        <v>0</v>
      </c>
      <c r="M4" s="27">
        <v>2000</v>
      </c>
      <c r="N4" s="28" t="s">
        <v>127</v>
      </c>
      <c r="O4" s="29" t="s">
        <v>126</v>
      </c>
      <c r="P4" s="24" t="s">
        <v>122</v>
      </c>
    </row>
    <row r="5" spans="1:17" s="12" customFormat="1" ht="28.5" customHeight="1" x14ac:dyDescent="0.15">
      <c r="A5" s="23">
        <v>20170201</v>
      </c>
      <c r="B5" s="22" t="s">
        <v>125</v>
      </c>
      <c r="C5" s="35" t="s">
        <v>44</v>
      </c>
      <c r="D5" s="23"/>
      <c r="E5" s="23" t="s">
        <v>117</v>
      </c>
      <c r="F5" s="37" t="s">
        <v>148</v>
      </c>
      <c r="G5" s="24" t="s">
        <v>1</v>
      </c>
      <c r="H5" s="25" t="s">
        <v>124</v>
      </c>
      <c r="I5" s="25" t="s">
        <v>124</v>
      </c>
      <c r="J5" s="23"/>
      <c r="K5" s="27"/>
      <c r="L5" s="26">
        <v>0</v>
      </c>
      <c r="M5" s="27">
        <v>2000</v>
      </c>
      <c r="N5" s="28" t="s">
        <v>123</v>
      </c>
      <c r="O5" s="29" t="s">
        <v>89</v>
      </c>
      <c r="P5" s="24" t="s">
        <v>122</v>
      </c>
    </row>
    <row r="6" spans="1:17" s="12" customFormat="1" ht="28.5" customHeight="1" x14ac:dyDescent="0.15">
      <c r="A6" s="23">
        <v>20170201</v>
      </c>
      <c r="B6" s="22" t="s">
        <v>121</v>
      </c>
      <c r="C6" s="35" t="s">
        <v>44</v>
      </c>
      <c r="D6" s="23"/>
      <c r="E6" s="23" t="s">
        <v>117</v>
      </c>
      <c r="F6" s="37" t="s">
        <v>149</v>
      </c>
      <c r="G6" s="24" t="s">
        <v>1</v>
      </c>
      <c r="H6" s="25">
        <f>[1]副本!G12</f>
        <v>1726.2809999999999</v>
      </c>
      <c r="I6" s="25">
        <f t="shared" ref="I6:I14" si="0">H6</f>
        <v>1726.2809999999999</v>
      </c>
      <c r="J6" s="23"/>
      <c r="K6" s="27"/>
      <c r="L6" s="26">
        <v>0</v>
      </c>
      <c r="M6" s="27">
        <v>3000</v>
      </c>
      <c r="N6" s="28" t="s">
        <v>120</v>
      </c>
      <c r="O6" s="29" t="s">
        <v>89</v>
      </c>
      <c r="P6" s="24" t="s">
        <v>119</v>
      </c>
      <c r="Q6" s="13"/>
    </row>
    <row r="7" spans="1:17" s="12" customFormat="1" ht="28.5" customHeight="1" x14ac:dyDescent="0.15">
      <c r="A7" s="23">
        <v>20170201</v>
      </c>
      <c r="B7" s="22" t="s">
        <v>118</v>
      </c>
      <c r="C7" s="35" t="s">
        <v>44</v>
      </c>
      <c r="D7" s="23"/>
      <c r="E7" s="23" t="s">
        <v>117</v>
      </c>
      <c r="F7" s="37" t="s">
        <v>148</v>
      </c>
      <c r="G7" s="23" t="s">
        <v>1</v>
      </c>
      <c r="H7" s="25">
        <f>[1]副本!G14</f>
        <v>1692.6399999999994</v>
      </c>
      <c r="I7" s="25">
        <f t="shared" si="0"/>
        <v>1692.6399999999994</v>
      </c>
      <c r="J7" s="23"/>
      <c r="K7" s="27"/>
      <c r="L7" s="26">
        <v>0</v>
      </c>
      <c r="M7" s="27">
        <v>3000</v>
      </c>
      <c r="N7" s="28"/>
      <c r="O7" s="29"/>
      <c r="P7" s="24" t="s">
        <v>116</v>
      </c>
      <c r="Q7" s="13"/>
    </row>
    <row r="8" spans="1:17" s="12" customFormat="1" ht="28.5" customHeight="1" x14ac:dyDescent="0.15">
      <c r="A8" s="23">
        <v>20170201</v>
      </c>
      <c r="B8" s="22" t="s">
        <v>115</v>
      </c>
      <c r="C8" s="35" t="s">
        <v>44</v>
      </c>
      <c r="D8" s="23"/>
      <c r="E8" s="23" t="s">
        <v>114</v>
      </c>
      <c r="F8" s="23" t="s">
        <v>150</v>
      </c>
      <c r="G8" s="23" t="s">
        <v>1</v>
      </c>
      <c r="H8" s="25">
        <f>[1]副本!G16</f>
        <v>2087.2890000000002</v>
      </c>
      <c r="I8" s="25">
        <f t="shared" si="0"/>
        <v>2087.2890000000002</v>
      </c>
      <c r="J8" s="23"/>
      <c r="K8" s="27"/>
      <c r="L8" s="26">
        <v>0</v>
      </c>
      <c r="M8" s="27">
        <v>3000</v>
      </c>
      <c r="N8" s="28"/>
      <c r="O8" s="29"/>
      <c r="P8" s="24" t="s">
        <v>103</v>
      </c>
    </row>
    <row r="9" spans="1:17" s="12" customFormat="1" ht="28.5" customHeight="1" x14ac:dyDescent="0.15">
      <c r="A9" s="23">
        <v>20170201</v>
      </c>
      <c r="B9" s="22" t="s">
        <v>113</v>
      </c>
      <c r="C9" s="35" t="s">
        <v>3</v>
      </c>
      <c r="D9" s="23"/>
      <c r="E9" s="23" t="s">
        <v>112</v>
      </c>
      <c r="F9" s="23" t="s">
        <v>151</v>
      </c>
      <c r="G9" s="23" t="s">
        <v>1</v>
      </c>
      <c r="H9" s="23">
        <f>[1]副本!G18</f>
        <v>1322.4749999999999</v>
      </c>
      <c r="I9" s="25">
        <f t="shared" si="0"/>
        <v>1322.4749999999999</v>
      </c>
      <c r="J9" s="23"/>
      <c r="K9" s="27">
        <v>100</v>
      </c>
      <c r="L9" s="26">
        <f t="shared" ref="L9:L14" si="1">H9-I9</f>
        <v>0</v>
      </c>
      <c r="M9" s="27">
        <v>5000</v>
      </c>
      <c r="N9" s="28" t="s">
        <v>111</v>
      </c>
      <c r="O9" s="29" t="s">
        <v>110</v>
      </c>
      <c r="P9" s="24" t="s">
        <v>109</v>
      </c>
    </row>
    <row r="10" spans="1:17" s="12" customFormat="1" ht="28.5" customHeight="1" x14ac:dyDescent="0.15">
      <c r="A10" s="23">
        <v>20170201</v>
      </c>
      <c r="B10" s="22" t="s">
        <v>108</v>
      </c>
      <c r="C10" s="23" t="s">
        <v>44</v>
      </c>
      <c r="D10" s="23"/>
      <c r="E10" s="23" t="s">
        <v>71</v>
      </c>
      <c r="F10" s="23" t="s">
        <v>152</v>
      </c>
      <c r="G10" s="23" t="s">
        <v>1</v>
      </c>
      <c r="H10" s="25">
        <f>[1]副本!G20</f>
        <v>1.5219999999999345</v>
      </c>
      <c r="I10" s="25">
        <f t="shared" si="0"/>
        <v>1.5219999999999345</v>
      </c>
      <c r="J10" s="23"/>
      <c r="K10" s="27"/>
      <c r="L10" s="26">
        <f t="shared" si="1"/>
        <v>0</v>
      </c>
      <c r="M10" s="27">
        <v>1500</v>
      </c>
      <c r="N10" s="28"/>
      <c r="O10" s="29"/>
      <c r="P10" s="24" t="s">
        <v>107</v>
      </c>
    </row>
    <row r="11" spans="1:17" s="12" customFormat="1" ht="28.5" customHeight="1" x14ac:dyDescent="0.15">
      <c r="A11" s="23">
        <v>20170201</v>
      </c>
      <c r="B11" s="22" t="s">
        <v>108</v>
      </c>
      <c r="C11" s="23" t="s">
        <v>44</v>
      </c>
      <c r="D11" s="23"/>
      <c r="E11" s="23" t="s">
        <v>71</v>
      </c>
      <c r="F11" s="23" t="s">
        <v>153</v>
      </c>
      <c r="G11" s="23" t="s">
        <v>1</v>
      </c>
      <c r="H11" s="25">
        <f>[1]副本!G21</f>
        <v>3.999999999996362E-2</v>
      </c>
      <c r="I11" s="25">
        <f t="shared" si="0"/>
        <v>3.999999999996362E-2</v>
      </c>
      <c r="J11" s="23"/>
      <c r="K11" s="27"/>
      <c r="L11" s="26">
        <f t="shared" si="1"/>
        <v>0</v>
      </c>
      <c r="M11" s="27">
        <v>1500</v>
      </c>
      <c r="N11" s="28"/>
      <c r="O11" s="29"/>
      <c r="P11" s="24" t="s">
        <v>106</v>
      </c>
    </row>
    <row r="12" spans="1:17" s="12" customFormat="1" ht="28.5" customHeight="1" x14ac:dyDescent="0.15">
      <c r="A12" s="23">
        <v>20170201</v>
      </c>
      <c r="B12" s="22" t="s">
        <v>108</v>
      </c>
      <c r="C12" s="23" t="s">
        <v>44</v>
      </c>
      <c r="D12" s="23"/>
      <c r="E12" s="23" t="s">
        <v>71</v>
      </c>
      <c r="F12" s="23" t="s">
        <v>154</v>
      </c>
      <c r="G12" s="23" t="s">
        <v>1</v>
      </c>
      <c r="H12" s="25">
        <f>[1]副本!G22</f>
        <v>1000</v>
      </c>
      <c r="I12" s="25">
        <f t="shared" si="0"/>
        <v>1000</v>
      </c>
      <c r="J12" s="23"/>
      <c r="K12" s="27"/>
      <c r="L12" s="26">
        <f t="shared" si="1"/>
        <v>0</v>
      </c>
      <c r="M12" s="27">
        <v>1500</v>
      </c>
      <c r="N12" s="28"/>
      <c r="O12" s="29"/>
      <c r="P12" s="24" t="s">
        <v>106</v>
      </c>
    </row>
    <row r="13" spans="1:17" s="12" customFormat="1" ht="28.5" customHeight="1" x14ac:dyDescent="0.15">
      <c r="A13" s="23">
        <v>20170201</v>
      </c>
      <c r="B13" s="22" t="s">
        <v>105</v>
      </c>
      <c r="C13" s="23" t="s">
        <v>44</v>
      </c>
      <c r="D13" s="23"/>
      <c r="E13" s="23" t="s">
        <v>86</v>
      </c>
      <c r="F13" s="23" t="s">
        <v>155</v>
      </c>
      <c r="G13" s="23" t="s">
        <v>1</v>
      </c>
      <c r="H13" s="25">
        <f>[1]副本!G24</f>
        <v>1502.1479999999999</v>
      </c>
      <c r="I13" s="25">
        <f t="shared" si="0"/>
        <v>1502.1479999999999</v>
      </c>
      <c r="J13" s="23"/>
      <c r="K13" s="27"/>
      <c r="L13" s="26">
        <f t="shared" si="1"/>
        <v>0</v>
      </c>
      <c r="M13" s="27">
        <v>1500</v>
      </c>
      <c r="N13" s="28"/>
      <c r="O13" s="29"/>
      <c r="P13" s="24"/>
    </row>
    <row r="14" spans="1:17" s="12" customFormat="1" ht="28.5" customHeight="1" x14ac:dyDescent="0.15">
      <c r="A14" s="23">
        <v>20170201</v>
      </c>
      <c r="B14" s="22" t="s">
        <v>104</v>
      </c>
      <c r="C14" s="35" t="s">
        <v>19</v>
      </c>
      <c r="D14" s="23"/>
      <c r="E14" s="23" t="s">
        <v>198</v>
      </c>
      <c r="F14" s="23" t="s">
        <v>150</v>
      </c>
      <c r="G14" s="23"/>
      <c r="H14" s="25">
        <f>[1]副本!G26</f>
        <v>904.43000000000006</v>
      </c>
      <c r="I14" s="25">
        <f t="shared" si="0"/>
        <v>904.43000000000006</v>
      </c>
      <c r="J14" s="23"/>
      <c r="K14" s="27"/>
      <c r="L14" s="26">
        <f t="shared" si="1"/>
        <v>0</v>
      </c>
      <c r="M14" s="27">
        <v>1500</v>
      </c>
      <c r="N14" s="28"/>
      <c r="O14" s="29"/>
      <c r="P14" s="24" t="s">
        <v>103</v>
      </c>
      <c r="Q14" s="13"/>
    </row>
    <row r="15" spans="1:17" s="12" customFormat="1" ht="28.5" customHeight="1" x14ac:dyDescent="0.15">
      <c r="A15" s="23">
        <v>20170201</v>
      </c>
      <c r="B15" s="22" t="s">
        <v>102</v>
      </c>
      <c r="C15" s="35" t="s">
        <v>19</v>
      </c>
      <c r="D15" s="23"/>
      <c r="E15" s="23"/>
      <c r="F15" s="23"/>
      <c r="G15" s="23"/>
      <c r="H15" s="25"/>
      <c r="I15" s="25"/>
      <c r="J15" s="23"/>
      <c r="K15" s="26"/>
      <c r="L15" s="26"/>
      <c r="M15" s="27">
        <v>1500</v>
      </c>
      <c r="N15" s="28"/>
      <c r="O15" s="29"/>
      <c r="P15" s="24"/>
    </row>
    <row r="16" spans="1:17" s="12" customFormat="1" ht="28.5" customHeight="1" x14ac:dyDescent="0.15">
      <c r="A16" s="23">
        <v>20170201</v>
      </c>
      <c r="B16" s="22" t="s">
        <v>101</v>
      </c>
      <c r="C16" s="35" t="s">
        <v>44</v>
      </c>
      <c r="D16" s="23"/>
      <c r="E16" s="23" t="s">
        <v>71</v>
      </c>
      <c r="F16" s="23" t="s">
        <v>152</v>
      </c>
      <c r="G16" s="23" t="s">
        <v>1</v>
      </c>
      <c r="H16" s="25">
        <f>[1]副本!G30</f>
        <v>1051.9169999999999</v>
      </c>
      <c r="I16" s="25">
        <f>H16</f>
        <v>1051.9169999999999</v>
      </c>
      <c r="J16" s="23"/>
      <c r="K16" s="27">
        <v>70</v>
      </c>
      <c r="L16" s="26">
        <v>0</v>
      </c>
      <c r="M16" s="27">
        <v>1500</v>
      </c>
      <c r="N16" s="28"/>
      <c r="O16" s="29"/>
      <c r="P16" s="24" t="s">
        <v>100</v>
      </c>
    </row>
    <row r="17" spans="1:17" s="12" customFormat="1" ht="28.5" customHeight="1" x14ac:dyDescent="0.15">
      <c r="A17" s="23">
        <v>20170201</v>
      </c>
      <c r="B17" s="22" t="s">
        <v>99</v>
      </c>
      <c r="C17" s="35" t="s">
        <v>93</v>
      </c>
      <c r="D17" s="23"/>
      <c r="E17" s="23" t="s">
        <v>9</v>
      </c>
      <c r="F17" s="23" t="s">
        <v>158</v>
      </c>
      <c r="G17" s="23" t="s">
        <v>1</v>
      </c>
      <c r="H17" s="25">
        <f>[1]副本!G32-H18</f>
        <v>9984.2470000000176</v>
      </c>
      <c r="I17" s="25">
        <f>H17</f>
        <v>9984.2470000000176</v>
      </c>
      <c r="J17" s="23"/>
      <c r="K17" s="27"/>
      <c r="L17" s="26">
        <f>H17-I17</f>
        <v>0</v>
      </c>
      <c r="M17" s="27">
        <v>21000</v>
      </c>
      <c r="N17" s="28" t="s">
        <v>90</v>
      </c>
      <c r="O17" s="29" t="s">
        <v>89</v>
      </c>
      <c r="P17" s="24" t="s">
        <v>98</v>
      </c>
    </row>
    <row r="18" spans="1:17" s="12" customFormat="1" ht="28.5" customHeight="1" x14ac:dyDescent="0.15">
      <c r="A18" s="23">
        <v>20170201</v>
      </c>
      <c r="B18" s="22" t="s">
        <v>99</v>
      </c>
      <c r="C18" s="35" t="s">
        <v>93</v>
      </c>
      <c r="D18" s="23"/>
      <c r="E18" s="23" t="s">
        <v>9</v>
      </c>
      <c r="F18" s="24" t="s">
        <v>176</v>
      </c>
      <c r="G18" s="23" t="s">
        <v>1</v>
      </c>
      <c r="H18" s="25">
        <f>[1]副本!G34</f>
        <v>4387.7529999999824</v>
      </c>
      <c r="I18" s="25">
        <f>H18</f>
        <v>4387.7529999999824</v>
      </c>
      <c r="J18" s="23"/>
      <c r="K18" s="27"/>
      <c r="L18" s="26">
        <f>H18-I18</f>
        <v>0</v>
      </c>
      <c r="M18" s="27">
        <v>21000</v>
      </c>
      <c r="N18" s="28" t="s">
        <v>90</v>
      </c>
      <c r="O18" s="29" t="s">
        <v>89</v>
      </c>
      <c r="P18" s="24" t="s">
        <v>97</v>
      </c>
    </row>
    <row r="19" spans="1:17" s="12" customFormat="1" ht="28.5" customHeight="1" x14ac:dyDescent="0.15">
      <c r="A19" s="23">
        <v>20170201</v>
      </c>
      <c r="B19" s="22" t="s">
        <v>96</v>
      </c>
      <c r="C19" s="35" t="s">
        <v>44</v>
      </c>
      <c r="D19" s="23" t="s">
        <v>5</v>
      </c>
      <c r="E19" s="23" t="s">
        <v>61</v>
      </c>
      <c r="F19" s="23" t="s">
        <v>159</v>
      </c>
      <c r="G19" s="23" t="s">
        <v>1</v>
      </c>
      <c r="H19" s="25">
        <f>[1]副本!G36</f>
        <v>3496.5419999999999</v>
      </c>
      <c r="I19" s="25">
        <f>H19-3496.542</f>
        <v>0</v>
      </c>
      <c r="J19" s="23"/>
      <c r="K19" s="27"/>
      <c r="L19" s="26">
        <f>H19-I19</f>
        <v>3496.5419999999999</v>
      </c>
      <c r="M19" s="27">
        <v>5000</v>
      </c>
      <c r="N19" s="28"/>
      <c r="O19" s="29"/>
      <c r="P19" s="24"/>
    </row>
    <row r="20" spans="1:17" s="12" customFormat="1" ht="28.5" customHeight="1" x14ac:dyDescent="0.15">
      <c r="A20" s="23">
        <v>20170201</v>
      </c>
      <c r="B20" s="22" t="s">
        <v>95</v>
      </c>
      <c r="C20" s="35" t="s">
        <v>44</v>
      </c>
      <c r="D20" s="23"/>
      <c r="E20" s="23"/>
      <c r="F20" s="23"/>
      <c r="G20" s="23"/>
      <c r="H20" s="25"/>
      <c r="I20" s="25"/>
      <c r="J20" s="23"/>
      <c r="K20" s="27"/>
      <c r="L20" s="26"/>
      <c r="M20" s="27">
        <v>3000</v>
      </c>
      <c r="N20" s="28"/>
      <c r="O20" s="29"/>
      <c r="P20" s="24"/>
    </row>
    <row r="21" spans="1:17" s="12" customFormat="1" ht="28.5" customHeight="1" x14ac:dyDescent="0.15">
      <c r="A21" s="23">
        <v>20170201</v>
      </c>
      <c r="B21" s="22" t="s">
        <v>94</v>
      </c>
      <c r="C21" s="35" t="s">
        <v>93</v>
      </c>
      <c r="D21" s="23"/>
      <c r="E21" s="23" t="s">
        <v>9</v>
      </c>
      <c r="F21" s="23" t="s">
        <v>158</v>
      </c>
      <c r="G21" s="23" t="s">
        <v>1</v>
      </c>
      <c r="H21" s="25">
        <f>[1]副本!G40-'20170201'!H22</f>
        <v>5005.5454280000376</v>
      </c>
      <c r="I21" s="25">
        <f>H21</f>
        <v>5005.5454280000376</v>
      </c>
      <c r="J21" s="23"/>
      <c r="K21" s="27"/>
      <c r="L21" s="26">
        <f>H21-I21</f>
        <v>0</v>
      </c>
      <c r="M21" s="27">
        <v>21000</v>
      </c>
      <c r="N21" s="28" t="s">
        <v>92</v>
      </c>
      <c r="O21" s="29" t="s">
        <v>89</v>
      </c>
      <c r="P21" s="24" t="s">
        <v>91</v>
      </c>
    </row>
    <row r="22" spans="1:17" s="12" customFormat="1" ht="28.5" customHeight="1" x14ac:dyDescent="0.15">
      <c r="A22" s="23">
        <v>20170201</v>
      </c>
      <c r="B22" s="22" t="s">
        <v>94</v>
      </c>
      <c r="C22" s="35" t="s">
        <v>93</v>
      </c>
      <c r="D22" s="23"/>
      <c r="E22" s="23" t="s">
        <v>9</v>
      </c>
      <c r="F22" s="24" t="s">
        <v>175</v>
      </c>
      <c r="G22" s="23"/>
      <c r="H22" s="25">
        <f>[1]副本!G42</f>
        <v>8385.4545719999624</v>
      </c>
      <c r="I22" s="25">
        <f>H22</f>
        <v>8385.4545719999624</v>
      </c>
      <c r="J22" s="23"/>
      <c r="K22" s="36"/>
      <c r="L22" s="26">
        <f>H22-I22</f>
        <v>0</v>
      </c>
      <c r="M22" s="27"/>
      <c r="N22" s="28" t="s">
        <v>90</v>
      </c>
      <c r="O22" s="29" t="s">
        <v>89</v>
      </c>
      <c r="P22" s="24" t="s">
        <v>88</v>
      </c>
    </row>
    <row r="23" spans="1:17" s="12" customFormat="1" ht="28.5" customHeight="1" x14ac:dyDescent="0.15">
      <c r="A23" s="23">
        <v>20170201</v>
      </c>
      <c r="B23" s="22" t="s">
        <v>87</v>
      </c>
      <c r="C23" s="35" t="s">
        <v>44</v>
      </c>
      <c r="D23" s="23"/>
      <c r="E23" s="23" t="s">
        <v>86</v>
      </c>
      <c r="F23" s="23" t="s">
        <v>160</v>
      </c>
      <c r="G23" s="23" t="s">
        <v>1</v>
      </c>
      <c r="H23" s="25">
        <f>[1]副本!G44</f>
        <v>6134.7419999999993</v>
      </c>
      <c r="I23" s="25">
        <f>H23</f>
        <v>6134.7419999999993</v>
      </c>
      <c r="J23" s="23"/>
      <c r="K23" s="27">
        <v>350</v>
      </c>
      <c r="L23" s="26">
        <f>H23-I23</f>
        <v>0</v>
      </c>
      <c r="M23" s="27">
        <v>5000</v>
      </c>
      <c r="N23" s="28"/>
      <c r="O23" s="29"/>
      <c r="P23" s="24" t="s">
        <v>85</v>
      </c>
    </row>
    <row r="24" spans="1:17" s="12" customFormat="1" ht="28.5" customHeight="1" x14ac:dyDescent="0.15">
      <c r="A24" s="23">
        <v>20170201</v>
      </c>
      <c r="B24" s="22" t="s">
        <v>84</v>
      </c>
      <c r="C24" s="35" t="s">
        <v>3</v>
      </c>
      <c r="D24" s="23"/>
      <c r="E24" s="24" t="s">
        <v>83</v>
      </c>
      <c r="F24" s="23" t="s">
        <v>161</v>
      </c>
      <c r="G24" s="23" t="s">
        <v>1</v>
      </c>
      <c r="H24" s="25">
        <f>[1]副本!G46</f>
        <v>1008.913</v>
      </c>
      <c r="I24" s="25">
        <f>H24</f>
        <v>1008.913</v>
      </c>
      <c r="J24" s="23"/>
      <c r="K24" s="27"/>
      <c r="L24" s="26">
        <f>H24-I24</f>
        <v>0</v>
      </c>
      <c r="M24" s="27">
        <v>5000</v>
      </c>
      <c r="N24" s="28"/>
      <c r="O24" s="29"/>
      <c r="P24" s="30" t="s">
        <v>82</v>
      </c>
    </row>
    <row r="25" spans="1:17" s="12" customFormat="1" ht="28.5" customHeight="1" x14ac:dyDescent="0.15">
      <c r="A25" s="23">
        <v>20170201</v>
      </c>
      <c r="B25" s="22" t="s">
        <v>81</v>
      </c>
      <c r="C25" s="35" t="s">
        <v>44</v>
      </c>
      <c r="D25" s="23"/>
      <c r="E25" s="23"/>
      <c r="F25" s="23"/>
      <c r="G25" s="23"/>
      <c r="H25" s="25"/>
      <c r="I25" s="25"/>
      <c r="J25" s="23"/>
      <c r="K25" s="27"/>
      <c r="L25" s="26"/>
      <c r="M25" s="27">
        <v>5000</v>
      </c>
      <c r="N25" s="28"/>
      <c r="O25" s="29"/>
      <c r="P25" s="24"/>
    </row>
    <row r="26" spans="1:17" s="12" customFormat="1" ht="28.5" customHeight="1" x14ac:dyDescent="0.15">
      <c r="A26" s="23">
        <v>20170201</v>
      </c>
      <c r="B26" s="22" t="s">
        <v>80</v>
      </c>
      <c r="C26" s="35" t="s">
        <v>44</v>
      </c>
      <c r="D26" s="23"/>
      <c r="E26" s="23"/>
      <c r="F26" s="23"/>
      <c r="G26" s="23"/>
      <c r="H26" s="25"/>
      <c r="I26" s="25"/>
      <c r="J26" s="23"/>
      <c r="K26" s="27"/>
      <c r="L26" s="26"/>
      <c r="M26" s="27">
        <v>4000</v>
      </c>
      <c r="N26" s="28"/>
      <c r="O26" s="29"/>
      <c r="P26" s="24"/>
    </row>
    <row r="27" spans="1:17" s="12" customFormat="1" ht="28.5" customHeight="1" x14ac:dyDescent="0.15">
      <c r="A27" s="23">
        <v>20170201</v>
      </c>
      <c r="B27" s="22" t="s">
        <v>79</v>
      </c>
      <c r="C27" s="35" t="s">
        <v>74</v>
      </c>
      <c r="D27" s="23"/>
      <c r="E27" s="23"/>
      <c r="F27" s="23"/>
      <c r="G27" s="23"/>
      <c r="H27" s="25"/>
      <c r="I27" s="25"/>
      <c r="J27" s="23"/>
      <c r="K27" s="27"/>
      <c r="L27" s="26"/>
      <c r="M27" s="27">
        <v>5000</v>
      </c>
      <c r="N27" s="28"/>
      <c r="O27" s="29"/>
      <c r="P27" s="24"/>
    </row>
    <row r="28" spans="1:17" s="12" customFormat="1" ht="28.5" customHeight="1" x14ac:dyDescent="0.15">
      <c r="A28" s="23">
        <v>20170201</v>
      </c>
      <c r="B28" s="22" t="s">
        <v>78</v>
      </c>
      <c r="C28" s="35" t="s">
        <v>74</v>
      </c>
      <c r="D28" s="23"/>
      <c r="E28" s="23" t="s">
        <v>32</v>
      </c>
      <c r="F28" s="23" t="s">
        <v>161</v>
      </c>
      <c r="G28" s="23" t="s">
        <v>1</v>
      </c>
      <c r="H28" s="25">
        <f>[1]副本!G55</f>
        <v>1496.749</v>
      </c>
      <c r="I28" s="25">
        <f>H28</f>
        <v>1496.749</v>
      </c>
      <c r="J28" s="23"/>
      <c r="K28" s="27">
        <v>1300</v>
      </c>
      <c r="L28" s="26">
        <f>H28-I28</f>
        <v>0</v>
      </c>
      <c r="M28" s="27">
        <v>2000</v>
      </c>
      <c r="N28" s="28"/>
      <c r="O28" s="29"/>
      <c r="P28" s="24" t="s">
        <v>31</v>
      </c>
    </row>
    <row r="29" spans="1:17" s="12" customFormat="1" ht="28.5" customHeight="1" x14ac:dyDescent="0.15">
      <c r="A29" s="23">
        <v>20170201</v>
      </c>
      <c r="B29" s="22" t="s">
        <v>77</v>
      </c>
      <c r="C29" s="35" t="s">
        <v>74</v>
      </c>
      <c r="D29" s="23"/>
      <c r="E29" s="23" t="s">
        <v>32</v>
      </c>
      <c r="F29" s="23" t="s">
        <v>161</v>
      </c>
      <c r="G29" s="23" t="s">
        <v>1</v>
      </c>
      <c r="H29" s="25">
        <f>[1]副本!G57</f>
        <v>1098.6790000000001</v>
      </c>
      <c r="I29" s="25">
        <f>H29-1098.679</f>
        <v>0</v>
      </c>
      <c r="J29" s="23"/>
      <c r="K29" s="27"/>
      <c r="L29" s="26">
        <f>H29-I29</f>
        <v>1098.6790000000001</v>
      </c>
      <c r="M29" s="27">
        <v>1500</v>
      </c>
      <c r="N29" s="28"/>
      <c r="O29" s="29"/>
      <c r="P29" s="24"/>
    </row>
    <row r="30" spans="1:17" s="12" customFormat="1" ht="28.5" customHeight="1" x14ac:dyDescent="0.15">
      <c r="A30" s="23">
        <v>20170201</v>
      </c>
      <c r="B30" s="22" t="s">
        <v>76</v>
      </c>
      <c r="C30" s="35" t="s">
        <v>74</v>
      </c>
      <c r="D30" s="23"/>
      <c r="E30" s="23" t="s">
        <v>32</v>
      </c>
      <c r="F30" s="23" t="s">
        <v>161</v>
      </c>
      <c r="G30" s="23" t="s">
        <v>1</v>
      </c>
      <c r="H30" s="25">
        <f>[1]副本!G59</f>
        <v>886.72700000000009</v>
      </c>
      <c r="I30" s="25">
        <f>H30</f>
        <v>886.72700000000009</v>
      </c>
      <c r="J30" s="23"/>
      <c r="K30" s="27"/>
      <c r="L30" s="26">
        <f>H30-I30</f>
        <v>0</v>
      </c>
      <c r="M30" s="27">
        <v>1500</v>
      </c>
      <c r="N30" s="28"/>
      <c r="O30" s="29"/>
      <c r="P30" s="24" t="s">
        <v>31</v>
      </c>
      <c r="Q30" s="13"/>
    </row>
    <row r="31" spans="1:17" s="12" customFormat="1" ht="28.5" customHeight="1" x14ac:dyDescent="0.15">
      <c r="A31" s="23">
        <v>20170201</v>
      </c>
      <c r="B31" s="22" t="s">
        <v>75</v>
      </c>
      <c r="C31" s="35" t="s">
        <v>74</v>
      </c>
      <c r="D31" s="23"/>
      <c r="E31" s="23" t="s">
        <v>32</v>
      </c>
      <c r="F31" s="23" t="s">
        <v>161</v>
      </c>
      <c r="G31" s="23" t="s">
        <v>1</v>
      </c>
      <c r="H31" s="25">
        <f>[1]副本!G61</f>
        <v>1096.2820000000002</v>
      </c>
      <c r="I31" s="25">
        <f>H31-1096.282</f>
        <v>0</v>
      </c>
      <c r="J31" s="23"/>
      <c r="K31" s="27"/>
      <c r="L31" s="26">
        <f>H31-I31</f>
        <v>1096.2820000000002</v>
      </c>
      <c r="M31" s="27">
        <v>1500</v>
      </c>
      <c r="N31" s="28"/>
      <c r="O31" s="29"/>
      <c r="P31" s="24"/>
    </row>
    <row r="32" spans="1:17" s="12" customFormat="1" ht="28.5" customHeight="1" x14ac:dyDescent="0.15">
      <c r="A32" s="23">
        <v>20170201</v>
      </c>
      <c r="B32" s="22" t="s">
        <v>73</v>
      </c>
      <c r="C32" s="35" t="s">
        <v>44</v>
      </c>
      <c r="D32" s="23"/>
      <c r="E32" s="23"/>
      <c r="F32" s="23"/>
      <c r="G32" s="23"/>
      <c r="H32" s="25"/>
      <c r="I32" s="25"/>
      <c r="J32" s="23"/>
      <c r="K32" s="27"/>
      <c r="L32" s="26"/>
      <c r="M32" s="27">
        <v>1500</v>
      </c>
      <c r="N32" s="28"/>
      <c r="O32" s="29"/>
      <c r="P32" s="24"/>
    </row>
    <row r="33" spans="1:16" s="12" customFormat="1" ht="28.5" customHeight="1" x14ac:dyDescent="0.15">
      <c r="A33" s="23">
        <v>20170201</v>
      </c>
      <c r="B33" s="22" t="s">
        <v>72</v>
      </c>
      <c r="C33" s="35" t="s">
        <v>44</v>
      </c>
      <c r="D33" s="23"/>
      <c r="E33" s="23" t="s">
        <v>71</v>
      </c>
      <c r="F33" s="23" t="s">
        <v>154</v>
      </c>
      <c r="G33" s="23" t="s">
        <v>1</v>
      </c>
      <c r="H33" s="23">
        <f>[1]副本!G65</f>
        <v>408.81600000000014</v>
      </c>
      <c r="I33" s="25">
        <f>H33-1035.099+1035.099</f>
        <v>408.81600000000014</v>
      </c>
      <c r="J33" s="23"/>
      <c r="K33" s="27">
        <v>30</v>
      </c>
      <c r="L33" s="26">
        <f>H33-I33</f>
        <v>0</v>
      </c>
      <c r="M33" s="27">
        <v>2000</v>
      </c>
      <c r="N33" s="28"/>
      <c r="O33" s="29"/>
      <c r="P33" s="24" t="s">
        <v>70</v>
      </c>
    </row>
    <row r="34" spans="1:16" s="12" customFormat="1" ht="28.5" customHeight="1" x14ac:dyDescent="0.15">
      <c r="A34" s="23">
        <v>20170201</v>
      </c>
      <c r="B34" s="22" t="s">
        <v>69</v>
      </c>
      <c r="C34" s="35" t="s">
        <v>44</v>
      </c>
      <c r="D34" s="23" t="s">
        <v>5</v>
      </c>
      <c r="E34" s="23" t="s">
        <v>68</v>
      </c>
      <c r="F34" s="23" t="s">
        <v>162</v>
      </c>
      <c r="G34" s="23" t="s">
        <v>1</v>
      </c>
      <c r="H34" s="25">
        <f>[1]副本!G67</f>
        <v>640.54299999999989</v>
      </c>
      <c r="I34" s="25">
        <f>H34-1037.023+500+537.023</f>
        <v>640.54300000000001</v>
      </c>
      <c r="J34" s="23"/>
      <c r="K34" s="27">
        <v>100</v>
      </c>
      <c r="L34" s="26">
        <f>H34-I34</f>
        <v>0</v>
      </c>
      <c r="M34" s="27">
        <v>3000</v>
      </c>
      <c r="N34" s="28"/>
      <c r="O34" s="29"/>
      <c r="P34" s="31" t="s">
        <v>67</v>
      </c>
    </row>
    <row r="35" spans="1:16" s="12" customFormat="1" ht="28.5" customHeight="1" x14ac:dyDescent="0.15">
      <c r="A35" s="23">
        <v>20170201</v>
      </c>
      <c r="B35" s="22" t="s">
        <v>66</v>
      </c>
      <c r="C35" s="35" t="s">
        <v>44</v>
      </c>
      <c r="D35" s="23" t="s">
        <v>5</v>
      </c>
      <c r="E35" s="23" t="s">
        <v>61</v>
      </c>
      <c r="F35" s="23" t="s">
        <v>159</v>
      </c>
      <c r="G35" s="23" t="s">
        <v>1</v>
      </c>
      <c r="H35" s="25">
        <f>[1]副本!G69</f>
        <v>3147.802999999999</v>
      </c>
      <c r="I35" s="25">
        <f>H35-3607.546+2050+1050+507.546-1553.792+1553.792</f>
        <v>3147.802999999999</v>
      </c>
      <c r="J35" s="23"/>
      <c r="K35" s="27"/>
      <c r="L35" s="26">
        <f>H35-I35</f>
        <v>0</v>
      </c>
      <c r="M35" s="27">
        <v>4000</v>
      </c>
      <c r="N35" s="28"/>
      <c r="O35" s="29"/>
      <c r="P35" s="24" t="s">
        <v>65</v>
      </c>
    </row>
    <row r="36" spans="1:16" s="12" customFormat="1" ht="28.5" customHeight="1" x14ac:dyDescent="0.15">
      <c r="A36" s="23">
        <v>20170201</v>
      </c>
      <c r="B36" s="22" t="s">
        <v>64</v>
      </c>
      <c r="C36" s="35" t="s">
        <v>3</v>
      </c>
      <c r="D36" s="23"/>
      <c r="E36" s="23"/>
      <c r="F36" s="23"/>
      <c r="G36" s="23"/>
      <c r="H36" s="25"/>
      <c r="I36" s="25"/>
      <c r="J36" s="23"/>
      <c r="K36" s="27"/>
      <c r="L36" s="26"/>
      <c r="M36" s="27">
        <v>5000</v>
      </c>
      <c r="N36" s="28"/>
      <c r="O36" s="29"/>
      <c r="P36" s="24"/>
    </row>
    <row r="37" spans="1:16" s="12" customFormat="1" ht="28.5" customHeight="1" x14ac:dyDescent="0.15">
      <c r="A37" s="23">
        <v>20170201</v>
      </c>
      <c r="B37" s="22" t="s">
        <v>63</v>
      </c>
      <c r="C37" s="35" t="s">
        <v>44</v>
      </c>
      <c r="D37" s="23" t="s">
        <v>5</v>
      </c>
      <c r="E37" s="23" t="s">
        <v>61</v>
      </c>
      <c r="F37" s="23" t="s">
        <v>159</v>
      </c>
      <c r="G37" s="23" t="s">
        <v>1</v>
      </c>
      <c r="H37" s="25">
        <f>[1]副本!G73</f>
        <v>3607.9570000000522</v>
      </c>
      <c r="I37" s="25">
        <f>H37-955.747+477.874+477.873-1042.865-2628.137+500+542.865+2102.57+525.567-499.112-3147.566+2100+525+525+496.678-2617.899+1574.891+523.692-522.622+522.622-2589.467+523.692-499.362</f>
        <v>523.5040000000522</v>
      </c>
      <c r="J37" s="23"/>
      <c r="K37" s="27"/>
      <c r="L37" s="26">
        <f>H37-I37</f>
        <v>3084.453</v>
      </c>
      <c r="M37" s="27">
        <v>5000</v>
      </c>
      <c r="N37" s="28"/>
      <c r="O37" s="29"/>
      <c r="P37" s="24" t="s">
        <v>62</v>
      </c>
    </row>
    <row r="38" spans="1:16" s="12" customFormat="1" ht="28.5" customHeight="1" x14ac:dyDescent="0.15">
      <c r="A38" s="23">
        <v>20170201</v>
      </c>
      <c r="B38" s="22" t="s">
        <v>63</v>
      </c>
      <c r="C38" s="35" t="s">
        <v>44</v>
      </c>
      <c r="D38" s="23" t="s">
        <v>5</v>
      </c>
      <c r="E38" s="23" t="s">
        <v>61</v>
      </c>
      <c r="F38" s="23" t="s">
        <v>163</v>
      </c>
      <c r="G38" s="23" t="s">
        <v>1</v>
      </c>
      <c r="H38" s="25">
        <f>[1]副本!G74</f>
        <v>934.32800000000032</v>
      </c>
      <c r="I38" s="25">
        <f>H38</f>
        <v>934.32800000000032</v>
      </c>
      <c r="J38" s="23"/>
      <c r="K38" s="27"/>
      <c r="L38" s="26">
        <f>H38-I38</f>
        <v>0</v>
      </c>
      <c r="M38" s="27">
        <v>5000</v>
      </c>
      <c r="N38" s="28"/>
      <c r="O38" s="29"/>
      <c r="P38" s="24" t="s">
        <v>60</v>
      </c>
    </row>
    <row r="39" spans="1:16" s="12" customFormat="1" ht="28.5" customHeight="1" x14ac:dyDescent="0.15">
      <c r="A39" s="23">
        <v>20170201</v>
      </c>
      <c r="B39" s="22" t="s">
        <v>59</v>
      </c>
      <c r="C39" s="35" t="s">
        <v>19</v>
      </c>
      <c r="D39" s="23"/>
      <c r="E39" s="23" t="s">
        <v>32</v>
      </c>
      <c r="F39" s="23" t="s">
        <v>161</v>
      </c>
      <c r="G39" s="23" t="s">
        <v>1</v>
      </c>
      <c r="H39" s="25">
        <f>[1]副本!G76</f>
        <v>2596.4419999999977</v>
      </c>
      <c r="I39" s="25">
        <f>H39-2564.978</f>
        <v>31.463999999997668</v>
      </c>
      <c r="J39" s="23"/>
      <c r="K39" s="27"/>
      <c r="L39" s="26">
        <f>H39-I39</f>
        <v>2564.9780000000001</v>
      </c>
      <c r="M39" s="27">
        <v>4000</v>
      </c>
      <c r="N39" s="28"/>
      <c r="O39" s="29"/>
      <c r="P39" s="24" t="s">
        <v>58</v>
      </c>
    </row>
    <row r="40" spans="1:16" s="12" customFormat="1" ht="28.5" customHeight="1" x14ac:dyDescent="0.15">
      <c r="A40" s="23">
        <v>20170201</v>
      </c>
      <c r="B40" s="22" t="s">
        <v>59</v>
      </c>
      <c r="C40" s="35" t="s">
        <v>19</v>
      </c>
      <c r="D40" s="23"/>
      <c r="E40" s="23" t="s">
        <v>32</v>
      </c>
      <c r="F40" s="23" t="s">
        <v>164</v>
      </c>
      <c r="G40" s="23" t="s">
        <v>1</v>
      </c>
      <c r="H40" s="25">
        <f>[1]副本!G77</f>
        <v>-0.23699999999985266</v>
      </c>
      <c r="I40" s="25">
        <f>H40</f>
        <v>-0.23699999999985266</v>
      </c>
      <c r="J40" s="23"/>
      <c r="K40" s="27"/>
      <c r="L40" s="26"/>
      <c r="M40" s="27">
        <v>4000</v>
      </c>
      <c r="N40" s="28"/>
      <c r="O40" s="29"/>
      <c r="P40" s="24" t="s">
        <v>57</v>
      </c>
    </row>
    <row r="41" spans="1:16" s="12" customFormat="1" ht="28.5" customHeight="1" x14ac:dyDescent="0.15">
      <c r="A41" s="23">
        <v>20170201</v>
      </c>
      <c r="B41" s="22" t="s">
        <v>56</v>
      </c>
      <c r="C41" s="35" t="s">
        <v>19</v>
      </c>
      <c r="D41" s="23"/>
      <c r="E41" s="23"/>
      <c r="F41" s="23"/>
      <c r="G41" s="23"/>
      <c r="H41" s="25"/>
      <c r="I41" s="25"/>
      <c r="J41" s="23"/>
      <c r="K41" s="27"/>
      <c r="L41" s="26"/>
      <c r="M41" s="27">
        <v>2000</v>
      </c>
      <c r="N41" s="28"/>
      <c r="O41" s="29"/>
      <c r="P41" s="24"/>
    </row>
    <row r="42" spans="1:16" s="12" customFormat="1" ht="28.5" customHeight="1" x14ac:dyDescent="0.15">
      <c r="A42" s="23">
        <v>20170201</v>
      </c>
      <c r="B42" s="22" t="s">
        <v>55</v>
      </c>
      <c r="C42" s="35" t="s">
        <v>19</v>
      </c>
      <c r="D42" s="23"/>
      <c r="E42" s="23"/>
      <c r="F42" s="23"/>
      <c r="G42" s="23"/>
      <c r="H42" s="25"/>
      <c r="I42" s="25"/>
      <c r="J42" s="23"/>
      <c r="K42" s="27"/>
      <c r="L42" s="26"/>
      <c r="M42" s="27">
        <v>3000</v>
      </c>
      <c r="N42" s="28"/>
      <c r="O42" s="29"/>
      <c r="P42" s="24"/>
    </row>
    <row r="43" spans="1:16" s="12" customFormat="1" ht="28.5" customHeight="1" x14ac:dyDescent="0.15">
      <c r="A43" s="23">
        <v>20170201</v>
      </c>
      <c r="B43" s="22" t="s">
        <v>54</v>
      </c>
      <c r="C43" s="35" t="s">
        <v>19</v>
      </c>
      <c r="D43" s="23"/>
      <c r="E43" s="23" t="s">
        <v>32</v>
      </c>
      <c r="F43" s="23" t="s">
        <v>161</v>
      </c>
      <c r="G43" s="23" t="s">
        <v>1</v>
      </c>
      <c r="H43" s="25">
        <f>[1]副本!G84</f>
        <v>1118.4909999999995</v>
      </c>
      <c r="I43" s="25">
        <f>H43</f>
        <v>1118.4909999999995</v>
      </c>
      <c r="J43" s="23"/>
      <c r="K43" s="27"/>
      <c r="L43" s="26">
        <f>H43-I43</f>
        <v>0</v>
      </c>
      <c r="M43" s="27">
        <v>5000</v>
      </c>
      <c r="N43" s="32"/>
      <c r="O43" s="29"/>
      <c r="P43" s="24" t="s">
        <v>53</v>
      </c>
    </row>
    <row r="44" spans="1:16" s="12" customFormat="1" ht="28.5" customHeight="1" x14ac:dyDescent="0.15">
      <c r="A44" s="23">
        <v>20170201</v>
      </c>
      <c r="B44" s="22" t="s">
        <v>52</v>
      </c>
      <c r="C44" s="35" t="s">
        <v>44</v>
      </c>
      <c r="D44" s="23"/>
      <c r="E44" s="23"/>
      <c r="F44" s="23"/>
      <c r="G44" s="23"/>
      <c r="H44" s="25"/>
      <c r="I44" s="25"/>
      <c r="J44" s="23"/>
      <c r="K44" s="27"/>
      <c r="L44" s="26"/>
      <c r="M44" s="27">
        <v>5000</v>
      </c>
      <c r="N44" s="28"/>
      <c r="O44" s="29"/>
      <c r="P44" s="24"/>
    </row>
    <row r="45" spans="1:16" s="12" customFormat="1" ht="28.5" customHeight="1" x14ac:dyDescent="0.15">
      <c r="A45" s="23">
        <v>20170201</v>
      </c>
      <c r="B45" s="22" t="s">
        <v>51</v>
      </c>
      <c r="C45" s="35" t="s">
        <v>44</v>
      </c>
      <c r="D45" s="23"/>
      <c r="E45" s="23" t="s">
        <v>50</v>
      </c>
      <c r="F45" s="23" t="s">
        <v>152</v>
      </c>
      <c r="G45" s="23" t="s">
        <v>1</v>
      </c>
      <c r="H45" s="25">
        <f>[1]副本!G90</f>
        <v>2006.1080000000002</v>
      </c>
      <c r="I45" s="25">
        <f>H45-1021.25</f>
        <v>984.85800000000017</v>
      </c>
      <c r="J45" s="23"/>
      <c r="K45" s="27">
        <v>70</v>
      </c>
      <c r="L45" s="26">
        <f>H45-I45</f>
        <v>1021.25</v>
      </c>
      <c r="M45" s="27">
        <v>5000</v>
      </c>
      <c r="N45" s="28"/>
      <c r="O45" s="29"/>
      <c r="P45" s="24" t="s">
        <v>49</v>
      </c>
    </row>
    <row r="46" spans="1:16" s="12" customFormat="1" ht="28.5" customHeight="1" x14ac:dyDescent="0.15">
      <c r="A46" s="23">
        <v>20170201</v>
      </c>
      <c r="B46" s="22" t="s">
        <v>51</v>
      </c>
      <c r="C46" s="35" t="s">
        <v>44</v>
      </c>
      <c r="D46" s="23"/>
      <c r="E46" s="23" t="s">
        <v>50</v>
      </c>
      <c r="F46" s="23" t="s">
        <v>148</v>
      </c>
      <c r="G46" s="23"/>
      <c r="H46" s="25">
        <f>[1]副本!G91</f>
        <v>1000</v>
      </c>
      <c r="I46" s="25">
        <f>H46</f>
        <v>1000</v>
      </c>
      <c r="J46" s="23"/>
      <c r="K46" s="27"/>
      <c r="L46" s="26"/>
      <c r="M46" s="27">
        <v>5000</v>
      </c>
      <c r="N46" s="28"/>
      <c r="O46" s="29"/>
      <c r="P46" s="24" t="s">
        <v>49</v>
      </c>
    </row>
    <row r="47" spans="1:16" s="12" customFormat="1" ht="28.5" customHeight="1" x14ac:dyDescent="0.15">
      <c r="A47" s="23">
        <v>20170201</v>
      </c>
      <c r="B47" s="22" t="s">
        <v>48</v>
      </c>
      <c r="C47" s="35" t="s">
        <v>44</v>
      </c>
      <c r="D47" s="23"/>
      <c r="E47" s="23" t="s">
        <v>43</v>
      </c>
      <c r="F47" s="23" t="s">
        <v>157</v>
      </c>
      <c r="G47" s="23" t="s">
        <v>1</v>
      </c>
      <c r="H47" s="25">
        <f>[1]副本!G93</f>
        <v>173.70399999999404</v>
      </c>
      <c r="I47" s="25">
        <f>H47</f>
        <v>173.70399999999404</v>
      </c>
      <c r="J47" s="23"/>
      <c r="K47" s="26"/>
      <c r="L47" s="26">
        <f>H47-I47</f>
        <v>0</v>
      </c>
      <c r="M47" s="27">
        <v>2000</v>
      </c>
      <c r="N47" s="28"/>
      <c r="O47" s="29"/>
      <c r="P47" s="24"/>
    </row>
    <row r="48" spans="1:16" s="12" customFormat="1" ht="28.5" customHeight="1" x14ac:dyDescent="0.15">
      <c r="A48" s="23">
        <v>20170201</v>
      </c>
      <c r="B48" s="22" t="s">
        <v>47</v>
      </c>
      <c r="C48" s="35" t="s">
        <v>19</v>
      </c>
      <c r="D48" s="23" t="s">
        <v>5</v>
      </c>
      <c r="E48" s="23" t="s">
        <v>27</v>
      </c>
      <c r="F48" s="23" t="s">
        <v>165</v>
      </c>
      <c r="G48" s="23" t="s">
        <v>1</v>
      </c>
      <c r="H48" s="25">
        <f>[1]副本!G95</f>
        <v>2409.6100000000006</v>
      </c>
      <c r="I48" s="25">
        <v>0</v>
      </c>
      <c r="J48" s="23"/>
      <c r="K48" s="27"/>
      <c r="L48" s="26">
        <f>H48-I48</f>
        <v>2409.6100000000006</v>
      </c>
      <c r="M48" s="27">
        <v>10000</v>
      </c>
      <c r="N48" s="28"/>
      <c r="O48" s="29"/>
      <c r="P48" s="24"/>
    </row>
    <row r="49" spans="1:17" s="12" customFormat="1" ht="28.5" customHeight="1" x14ac:dyDescent="0.15">
      <c r="A49" s="23">
        <v>20170201</v>
      </c>
      <c r="B49" s="22" t="s">
        <v>46</v>
      </c>
      <c r="C49" s="35" t="s">
        <v>19</v>
      </c>
      <c r="D49" s="23" t="s">
        <v>5</v>
      </c>
      <c r="E49" s="23" t="s">
        <v>27</v>
      </c>
      <c r="F49" s="23" t="s">
        <v>165</v>
      </c>
      <c r="G49" s="23" t="s">
        <v>1</v>
      </c>
      <c r="H49" s="25">
        <f>[1]副本!G97</f>
        <v>4217.264000000001</v>
      </c>
      <c r="I49" s="25">
        <v>0</v>
      </c>
      <c r="J49" s="23"/>
      <c r="K49" s="27"/>
      <c r="L49" s="26">
        <f>H49-I49</f>
        <v>4217.264000000001</v>
      </c>
      <c r="M49" s="27">
        <v>10000</v>
      </c>
      <c r="N49" s="28"/>
      <c r="O49" s="29"/>
      <c r="P49" s="24"/>
    </row>
    <row r="50" spans="1:17" s="12" customFormat="1" ht="28.5" customHeight="1" x14ac:dyDescent="0.15">
      <c r="A50" s="23">
        <v>20170201</v>
      </c>
      <c r="B50" s="22" t="s">
        <v>45</v>
      </c>
      <c r="C50" s="35" t="s">
        <v>44</v>
      </c>
      <c r="D50" s="23"/>
      <c r="E50" s="23" t="s">
        <v>43</v>
      </c>
      <c r="F50" s="23" t="s">
        <v>166</v>
      </c>
      <c r="G50" s="23" t="s">
        <v>1</v>
      </c>
      <c r="H50" s="25">
        <f>[1]副本!G99</f>
        <v>3331.9750000000076</v>
      </c>
      <c r="I50" s="25">
        <f>H50</f>
        <v>3331.9750000000076</v>
      </c>
      <c r="J50" s="23"/>
      <c r="K50" s="26"/>
      <c r="L50" s="26">
        <v>0</v>
      </c>
      <c r="M50" s="27">
        <v>5000</v>
      </c>
      <c r="N50" s="33" t="s">
        <v>42</v>
      </c>
      <c r="O50" s="34" t="s">
        <v>41</v>
      </c>
      <c r="P50" s="24" t="s">
        <v>146</v>
      </c>
    </row>
    <row r="51" spans="1:17" s="12" customFormat="1" ht="28.5" customHeight="1" x14ac:dyDescent="0.15">
      <c r="A51" s="23">
        <v>20170201</v>
      </c>
      <c r="B51" s="22" t="s">
        <v>39</v>
      </c>
      <c r="C51" s="35" t="s">
        <v>19</v>
      </c>
      <c r="D51" s="23"/>
      <c r="E51" s="23"/>
      <c r="F51" s="23"/>
      <c r="G51" s="23"/>
      <c r="H51" s="25"/>
      <c r="I51" s="25"/>
      <c r="J51" s="23"/>
      <c r="K51" s="27"/>
      <c r="L51" s="26"/>
      <c r="M51" s="27">
        <v>3000</v>
      </c>
      <c r="N51" s="28"/>
      <c r="O51" s="29"/>
      <c r="P51" s="24"/>
    </row>
    <row r="52" spans="1:17" s="12" customFormat="1" ht="28.5" customHeight="1" x14ac:dyDescent="0.15">
      <c r="A52" s="23">
        <v>20170201</v>
      </c>
      <c r="B52" s="22" t="s">
        <v>38</v>
      </c>
      <c r="C52" s="35" t="s">
        <v>19</v>
      </c>
      <c r="D52" s="23" t="s">
        <v>5</v>
      </c>
      <c r="E52" s="23" t="s">
        <v>27</v>
      </c>
      <c r="F52" s="23" t="s">
        <v>165</v>
      </c>
      <c r="G52" s="23" t="s">
        <v>22</v>
      </c>
      <c r="H52" s="25">
        <f>[1]副本!G103</f>
        <v>17526.61</v>
      </c>
      <c r="I52" s="25">
        <v>0</v>
      </c>
      <c r="J52" s="23"/>
      <c r="K52" s="27"/>
      <c r="L52" s="26">
        <f>H52-I52</f>
        <v>17526.61</v>
      </c>
      <c r="M52" s="27">
        <v>25000</v>
      </c>
      <c r="N52" s="28" t="s">
        <v>37</v>
      </c>
      <c r="O52" s="29" t="s">
        <v>36</v>
      </c>
      <c r="P52" s="24" t="s">
        <v>35</v>
      </c>
    </row>
    <row r="53" spans="1:17" s="12" customFormat="1" ht="28.5" customHeight="1" x14ac:dyDescent="0.15">
      <c r="A53" s="23">
        <v>20170201</v>
      </c>
      <c r="B53" s="22" t="s">
        <v>34</v>
      </c>
      <c r="C53" s="35" t="s">
        <v>19</v>
      </c>
      <c r="D53" s="23" t="s">
        <v>5</v>
      </c>
      <c r="E53" s="23" t="s">
        <v>27</v>
      </c>
      <c r="F53" s="23" t="s">
        <v>167</v>
      </c>
      <c r="G53" s="23" t="s">
        <v>22</v>
      </c>
      <c r="H53" s="25">
        <f>[1]副本!G105</f>
        <v>36667.325000000084</v>
      </c>
      <c r="I53" s="25">
        <v>0</v>
      </c>
      <c r="J53" s="23"/>
      <c r="K53" s="27"/>
      <c r="L53" s="26">
        <f>H53-I53</f>
        <v>36667.325000000084</v>
      </c>
      <c r="M53" s="27">
        <v>50000</v>
      </c>
      <c r="N53" s="28"/>
      <c r="O53" s="29"/>
      <c r="P53" s="24"/>
    </row>
    <row r="54" spans="1:17" s="12" customFormat="1" ht="28.5" customHeight="1" x14ac:dyDescent="0.15">
      <c r="A54" s="23">
        <v>20170201</v>
      </c>
      <c r="B54" s="22" t="s">
        <v>33</v>
      </c>
      <c r="C54" s="35" t="s">
        <v>19</v>
      </c>
      <c r="D54" s="23"/>
      <c r="E54" s="23" t="s">
        <v>32</v>
      </c>
      <c r="F54" s="23" t="s">
        <v>161</v>
      </c>
      <c r="G54" s="23" t="s">
        <v>22</v>
      </c>
      <c r="H54" s="25">
        <f>[1]副本!G107</f>
        <v>2414.5110000000168</v>
      </c>
      <c r="I54" s="25">
        <f>H54</f>
        <v>2414.5110000000168</v>
      </c>
      <c r="J54" s="23"/>
      <c r="K54" s="27"/>
      <c r="L54" s="26">
        <f>H54-I54</f>
        <v>0</v>
      </c>
      <c r="M54" s="27">
        <v>4000</v>
      </c>
      <c r="N54" s="28"/>
      <c r="O54" s="29"/>
      <c r="P54" s="24" t="s">
        <v>31</v>
      </c>
    </row>
    <row r="55" spans="1:17" s="12" customFormat="1" ht="28.5" customHeight="1" x14ac:dyDescent="0.15">
      <c r="A55" s="23">
        <v>20170201</v>
      </c>
      <c r="B55" s="22" t="s">
        <v>30</v>
      </c>
      <c r="C55" s="35" t="s">
        <v>3</v>
      </c>
      <c r="D55" s="23"/>
      <c r="E55" s="23"/>
      <c r="F55" s="23"/>
      <c r="G55" s="23"/>
      <c r="H55" s="25"/>
      <c r="I55" s="25"/>
      <c r="J55" s="23"/>
      <c r="K55" s="27"/>
      <c r="L55" s="26"/>
      <c r="M55" s="27">
        <v>37000</v>
      </c>
      <c r="N55" s="28"/>
      <c r="O55" s="29"/>
      <c r="P55" s="24"/>
    </row>
    <row r="56" spans="1:17" s="12" customFormat="1" ht="28.5" customHeight="1" x14ac:dyDescent="0.15">
      <c r="A56" s="23">
        <v>20170201</v>
      </c>
      <c r="B56" s="22" t="s">
        <v>29</v>
      </c>
      <c r="C56" s="35" t="s">
        <v>3</v>
      </c>
      <c r="D56" s="23"/>
      <c r="E56" s="23"/>
      <c r="F56" s="23"/>
      <c r="G56" s="23"/>
      <c r="H56" s="25"/>
      <c r="I56" s="23"/>
      <c r="J56" s="23"/>
      <c r="K56" s="27"/>
      <c r="L56" s="26"/>
      <c r="M56" s="27">
        <v>37000</v>
      </c>
      <c r="N56" s="28"/>
      <c r="O56" s="29"/>
      <c r="P56" s="24"/>
    </row>
    <row r="57" spans="1:17" s="12" customFormat="1" ht="28.5" customHeight="1" x14ac:dyDescent="0.15">
      <c r="A57" s="23">
        <v>20170201</v>
      </c>
      <c r="B57" s="22" t="s">
        <v>28</v>
      </c>
      <c r="C57" s="35" t="s">
        <v>19</v>
      </c>
      <c r="D57" s="23" t="s">
        <v>5</v>
      </c>
      <c r="E57" s="23" t="s">
        <v>27</v>
      </c>
      <c r="F57" s="23" t="s">
        <v>168</v>
      </c>
      <c r="G57" s="23" t="s">
        <v>22</v>
      </c>
      <c r="H57" s="25">
        <f>[1]副本!G115</f>
        <v>1767.3689999999997</v>
      </c>
      <c r="I57" s="25">
        <v>0</v>
      </c>
      <c r="J57" s="23"/>
      <c r="K57" s="26"/>
      <c r="L57" s="26">
        <f>H57-I57</f>
        <v>1767.3689999999997</v>
      </c>
      <c r="M57" s="27">
        <v>10000</v>
      </c>
      <c r="N57" s="28"/>
      <c r="O57" s="29"/>
      <c r="P57" s="24"/>
      <c r="Q57" s="13"/>
    </row>
    <row r="58" spans="1:17" s="12" customFormat="1" ht="28.5" customHeight="1" x14ac:dyDescent="0.15">
      <c r="A58" s="23">
        <v>20170201</v>
      </c>
      <c r="B58" s="22" t="s">
        <v>26</v>
      </c>
      <c r="C58" s="35" t="s">
        <v>3</v>
      </c>
      <c r="D58" s="23" t="s">
        <v>5</v>
      </c>
      <c r="E58" s="23" t="s">
        <v>2</v>
      </c>
      <c r="F58" s="23" t="s">
        <v>169</v>
      </c>
      <c r="G58" s="23" t="s">
        <v>22</v>
      </c>
      <c r="H58" s="25">
        <f>[1]副本!G117</f>
        <v>3990.8999999999996</v>
      </c>
      <c r="I58" s="25">
        <v>0</v>
      </c>
      <c r="J58" s="23"/>
      <c r="K58" s="32">
        <v>150</v>
      </c>
      <c r="L58" s="26">
        <f>H58-I58</f>
        <v>3990.8999999999996</v>
      </c>
      <c r="M58" s="27">
        <v>15000</v>
      </c>
      <c r="N58" s="28"/>
      <c r="O58" s="29"/>
      <c r="P58" s="24" t="s">
        <v>25</v>
      </c>
      <c r="Q58" s="13"/>
    </row>
    <row r="59" spans="1:17" s="12" customFormat="1" ht="28.5" customHeight="1" x14ac:dyDescent="0.15">
      <c r="A59" s="23">
        <v>20170201</v>
      </c>
      <c r="B59" s="22" t="s">
        <v>26</v>
      </c>
      <c r="C59" s="35" t="s">
        <v>3</v>
      </c>
      <c r="D59" s="23" t="s">
        <v>5</v>
      </c>
      <c r="E59" s="23"/>
      <c r="F59" s="23" t="s">
        <v>170</v>
      </c>
      <c r="G59" s="23" t="s">
        <v>22</v>
      </c>
      <c r="H59" s="25">
        <f>[1]副本!G118</f>
        <v>96.340000000000146</v>
      </c>
      <c r="I59" s="25">
        <f>H59</f>
        <v>96.340000000000146</v>
      </c>
      <c r="J59" s="23"/>
      <c r="K59" s="32"/>
      <c r="L59" s="26">
        <f>H59-I59</f>
        <v>0</v>
      </c>
      <c r="M59" s="27">
        <v>15000</v>
      </c>
      <c r="N59" s="28"/>
      <c r="O59" s="29"/>
      <c r="P59" s="24" t="s">
        <v>24</v>
      </c>
      <c r="Q59" s="13"/>
    </row>
    <row r="60" spans="1:17" s="12" customFormat="1" ht="28.5" customHeight="1" x14ac:dyDescent="0.15">
      <c r="A60" s="23">
        <v>20170201</v>
      </c>
      <c r="B60" s="22" t="s">
        <v>23</v>
      </c>
      <c r="C60" s="22" t="s">
        <v>19</v>
      </c>
      <c r="D60" s="23" t="s">
        <v>5</v>
      </c>
      <c r="E60" s="23" t="s">
        <v>2</v>
      </c>
      <c r="F60" s="23" t="s">
        <v>171</v>
      </c>
      <c r="G60" s="23" t="s">
        <v>22</v>
      </c>
      <c r="H60" s="25">
        <f>[1]副本!G120</f>
        <v>9876.0309999999954</v>
      </c>
      <c r="I60" s="25">
        <f>H60</f>
        <v>9876.0309999999954</v>
      </c>
      <c r="J60" s="23"/>
      <c r="K60" s="27">
        <v>650</v>
      </c>
      <c r="L60" s="26"/>
      <c r="M60" s="27">
        <v>43000</v>
      </c>
      <c r="N60" s="28"/>
      <c r="O60" s="29"/>
      <c r="P60" s="24" t="s">
        <v>21</v>
      </c>
      <c r="Q60" s="13"/>
    </row>
    <row r="61" spans="1:17" s="12" customFormat="1" ht="28.5" customHeight="1" x14ac:dyDescent="0.15">
      <c r="A61" s="23">
        <v>20170201</v>
      </c>
      <c r="B61" s="22" t="s">
        <v>23</v>
      </c>
      <c r="C61" s="22" t="s">
        <v>19</v>
      </c>
      <c r="D61" s="23" t="s">
        <v>5</v>
      </c>
      <c r="E61" s="23" t="s">
        <v>2</v>
      </c>
      <c r="F61" s="23" t="s">
        <v>172</v>
      </c>
      <c r="G61" s="23" t="s">
        <v>22</v>
      </c>
      <c r="H61" s="25">
        <f>[1]副本!G121</f>
        <v>21.100000000000364</v>
      </c>
      <c r="I61" s="25">
        <f>H61</f>
        <v>21.100000000000364</v>
      </c>
      <c r="J61" s="23"/>
      <c r="K61" s="23"/>
      <c r="L61" s="26"/>
      <c r="M61" s="27">
        <v>43000</v>
      </c>
      <c r="N61" s="28"/>
      <c r="O61" s="29"/>
      <c r="P61" s="24" t="s">
        <v>21</v>
      </c>
      <c r="Q61" s="13"/>
    </row>
    <row r="62" spans="1:17" s="12" customFormat="1" ht="28.5" customHeight="1" x14ac:dyDescent="0.15">
      <c r="A62" s="23">
        <v>20170201</v>
      </c>
      <c r="B62" s="22" t="s">
        <v>20</v>
      </c>
      <c r="C62" s="22" t="s">
        <v>19</v>
      </c>
      <c r="D62" s="23" t="s">
        <v>5</v>
      </c>
      <c r="E62" s="23"/>
      <c r="F62" s="23"/>
      <c r="G62" s="23"/>
      <c r="H62" s="25"/>
      <c r="I62" s="25"/>
      <c r="J62" s="23"/>
      <c r="K62" s="27"/>
      <c r="L62" s="26"/>
      <c r="M62" s="27"/>
      <c r="N62" s="28"/>
      <c r="O62" s="29"/>
      <c r="P62" s="24"/>
      <c r="Q62" s="13"/>
    </row>
    <row r="63" spans="1:17" s="12" customFormat="1" ht="28.5" customHeight="1" x14ac:dyDescent="0.15">
      <c r="A63" s="23">
        <v>20170201</v>
      </c>
      <c r="B63" s="22" t="s">
        <v>18</v>
      </c>
      <c r="C63" s="35" t="s">
        <v>3</v>
      </c>
      <c r="D63" s="23"/>
      <c r="E63" s="23" t="s">
        <v>147</v>
      </c>
      <c r="F63" s="23" t="s">
        <v>173</v>
      </c>
      <c r="G63" s="23" t="s">
        <v>1</v>
      </c>
      <c r="H63" s="25">
        <f>[1]副本!G125</f>
        <v>8339.3289999999961</v>
      </c>
      <c r="I63" s="25">
        <f>H63-8339.329</f>
        <v>0</v>
      </c>
      <c r="J63" s="23"/>
      <c r="K63" s="27"/>
      <c r="L63" s="26">
        <f>H63-I63</f>
        <v>8339.3289999999961</v>
      </c>
      <c r="M63" s="27">
        <v>20000</v>
      </c>
      <c r="N63" s="28"/>
      <c r="O63" s="29"/>
      <c r="P63" s="24"/>
    </row>
    <row r="64" spans="1:17" s="12" customFormat="1" ht="28.5" customHeight="1" x14ac:dyDescent="0.15">
      <c r="A64" s="23">
        <v>20170201</v>
      </c>
      <c r="B64" s="22" t="s">
        <v>17</v>
      </c>
      <c r="C64" s="35" t="s">
        <v>3</v>
      </c>
      <c r="D64" s="23"/>
      <c r="E64" s="23" t="s">
        <v>9</v>
      </c>
      <c r="F64" s="23" t="s">
        <v>175</v>
      </c>
      <c r="G64" s="23" t="s">
        <v>1</v>
      </c>
      <c r="H64" s="25">
        <f>[1]副本!G127</f>
        <v>8670.5459999999875</v>
      </c>
      <c r="I64" s="25">
        <f>H64-4751.949+4751.949</f>
        <v>8670.5459999999875</v>
      </c>
      <c r="J64" s="23"/>
      <c r="K64" s="27"/>
      <c r="L64" s="26">
        <f>H64-I64</f>
        <v>0</v>
      </c>
      <c r="M64" s="27">
        <v>30000</v>
      </c>
      <c r="N64" s="28"/>
      <c r="O64" s="29"/>
      <c r="P64" s="24" t="s">
        <v>16</v>
      </c>
    </row>
    <row r="65" spans="1:16" s="12" customFormat="1" ht="28.5" customHeight="1" x14ac:dyDescent="0.15">
      <c r="A65" s="23">
        <v>20170201</v>
      </c>
      <c r="B65" s="22" t="s">
        <v>17</v>
      </c>
      <c r="C65" s="35" t="s">
        <v>3</v>
      </c>
      <c r="D65" s="23"/>
      <c r="E65" s="23" t="s">
        <v>9</v>
      </c>
      <c r="F65" s="23" t="s">
        <v>158</v>
      </c>
      <c r="G65" s="23" t="s">
        <v>1</v>
      </c>
      <c r="H65" s="25">
        <f>[1]副本!G128</f>
        <v>9946.3690000000006</v>
      </c>
      <c r="I65" s="25">
        <f>H65</f>
        <v>9946.3690000000006</v>
      </c>
      <c r="J65" s="23"/>
      <c r="K65" s="27"/>
      <c r="L65" s="26">
        <f>H65-I65</f>
        <v>0</v>
      </c>
      <c r="M65" s="27">
        <v>30000</v>
      </c>
      <c r="N65" s="28"/>
      <c r="O65" s="29"/>
      <c r="P65" s="30" t="s">
        <v>15</v>
      </c>
    </row>
    <row r="66" spans="1:16" s="12" customFormat="1" ht="28.5" customHeight="1" x14ac:dyDescent="0.15">
      <c r="A66" s="23">
        <v>20170201</v>
      </c>
      <c r="B66" s="22" t="s">
        <v>14</v>
      </c>
      <c r="C66" s="35" t="s">
        <v>3</v>
      </c>
      <c r="D66" s="23" t="s">
        <v>5</v>
      </c>
      <c r="E66" s="23" t="s">
        <v>2</v>
      </c>
      <c r="F66" s="23" t="s">
        <v>174</v>
      </c>
      <c r="G66" s="23" t="s">
        <v>1</v>
      </c>
      <c r="H66" s="25">
        <f>[1]副本!G130</f>
        <v>14976.093999999999</v>
      </c>
      <c r="I66" s="25">
        <f>H66-14976.094</f>
        <v>0</v>
      </c>
      <c r="J66" s="23"/>
      <c r="K66" s="27">
        <v>350</v>
      </c>
      <c r="L66" s="26">
        <f>H66-I66</f>
        <v>14976.093999999999</v>
      </c>
      <c r="M66" s="27">
        <v>20000</v>
      </c>
      <c r="N66" s="28" t="s">
        <v>13</v>
      </c>
      <c r="O66" s="29" t="s">
        <v>12</v>
      </c>
      <c r="P66" s="24" t="s">
        <v>11</v>
      </c>
    </row>
    <row r="67" spans="1:16" s="12" customFormat="1" ht="28.5" customHeight="1" x14ac:dyDescent="0.15">
      <c r="A67" s="23">
        <v>20170201</v>
      </c>
      <c r="B67" s="22" t="s">
        <v>10</v>
      </c>
      <c r="C67" s="35" t="s">
        <v>3</v>
      </c>
      <c r="D67" s="23"/>
      <c r="E67" s="23" t="s">
        <v>9</v>
      </c>
      <c r="F67" s="23" t="s">
        <v>158</v>
      </c>
      <c r="G67" s="23" t="s">
        <v>1</v>
      </c>
      <c r="H67" s="25">
        <f>[1]副本!G132</f>
        <v>20204.884999999973</v>
      </c>
      <c r="I67" s="25">
        <f>H67</f>
        <v>20204.884999999973</v>
      </c>
      <c r="J67" s="23"/>
      <c r="K67" s="27"/>
      <c r="L67" s="26">
        <v>0</v>
      </c>
      <c r="M67" s="27">
        <v>30000</v>
      </c>
      <c r="N67" s="28"/>
      <c r="O67" s="29"/>
      <c r="P67" s="24"/>
    </row>
    <row r="68" spans="1:16" s="12" customFormat="1" ht="28.5" customHeight="1" x14ac:dyDescent="0.15">
      <c r="A68" s="23">
        <v>20170201</v>
      </c>
      <c r="B68" s="22" t="s">
        <v>8</v>
      </c>
      <c r="C68" s="35" t="s">
        <v>3</v>
      </c>
      <c r="D68" s="23"/>
      <c r="E68" s="23"/>
      <c r="F68" s="24"/>
      <c r="G68" s="23"/>
      <c r="H68" s="25"/>
      <c r="I68" s="25"/>
      <c r="J68" s="23"/>
      <c r="K68" s="27"/>
      <c r="L68" s="26"/>
      <c r="M68" s="27">
        <v>20000</v>
      </c>
      <c r="N68" s="28"/>
      <c r="O68" s="29"/>
      <c r="P68" s="23"/>
    </row>
    <row r="69" spans="1:16" s="12" customFormat="1" ht="28.5" customHeight="1" x14ac:dyDescent="0.15">
      <c r="A69" s="23">
        <v>20170201</v>
      </c>
      <c r="B69" s="22" t="s">
        <v>7</v>
      </c>
      <c r="C69" s="35" t="s">
        <v>3</v>
      </c>
      <c r="D69" s="23"/>
      <c r="E69" s="23"/>
      <c r="F69" s="23"/>
      <c r="G69" s="23"/>
      <c r="H69" s="25"/>
      <c r="I69" s="25"/>
      <c r="J69" s="23"/>
      <c r="K69" s="27"/>
      <c r="L69" s="26"/>
      <c r="M69" s="27">
        <v>15000</v>
      </c>
      <c r="N69" s="28"/>
      <c r="O69" s="29"/>
      <c r="P69" s="24"/>
    </row>
    <row r="70" spans="1:16" s="12" customFormat="1" ht="28.5" customHeight="1" x14ac:dyDescent="0.15">
      <c r="A70" s="23">
        <v>20170201</v>
      </c>
      <c r="B70" s="22" t="s">
        <v>6</v>
      </c>
      <c r="C70" s="35" t="s">
        <v>3</v>
      </c>
      <c r="D70" s="23" t="s">
        <v>5</v>
      </c>
      <c r="E70" s="23" t="s">
        <v>2</v>
      </c>
      <c r="F70" s="23" t="s">
        <v>171</v>
      </c>
      <c r="G70" s="23" t="s">
        <v>1</v>
      </c>
      <c r="H70" s="25">
        <f>[1]副本!G139</f>
        <v>12005.106</v>
      </c>
      <c r="I70" s="25">
        <f>H70-12005.106</f>
        <v>0</v>
      </c>
      <c r="J70" s="23"/>
      <c r="K70" s="27"/>
      <c r="L70" s="26">
        <f>H70-I70</f>
        <v>12005.106</v>
      </c>
      <c r="M70" s="27">
        <v>15000</v>
      </c>
      <c r="N70" s="28"/>
      <c r="O70" s="29"/>
      <c r="P70" s="24"/>
    </row>
    <row r="71" spans="1:16" s="12" customFormat="1" ht="28.5" customHeight="1" x14ac:dyDescent="0.15">
      <c r="A71" s="23">
        <v>20170201</v>
      </c>
      <c r="B71" s="22" t="s">
        <v>4</v>
      </c>
      <c r="C71" s="35" t="s">
        <v>3</v>
      </c>
      <c r="D71" s="23"/>
      <c r="E71" s="23" t="s">
        <v>2</v>
      </c>
      <c r="F71" s="23" t="s">
        <v>170</v>
      </c>
      <c r="G71" s="23" t="s">
        <v>1</v>
      </c>
      <c r="H71" s="25">
        <f>[1]副本!G141</f>
        <v>6761.6299999999992</v>
      </c>
      <c r="I71" s="25">
        <f>H71</f>
        <v>6761.6299999999992</v>
      </c>
      <c r="J71" s="23"/>
      <c r="K71" s="27"/>
      <c r="L71" s="26">
        <f>H71-I71</f>
        <v>0</v>
      </c>
      <c r="M71" s="27">
        <v>15000</v>
      </c>
      <c r="N71" s="28"/>
      <c r="O71" s="29"/>
      <c r="P71" s="24" t="s">
        <v>0</v>
      </c>
    </row>
    <row r="77" spans="1:16" s="2" customFormat="1" x14ac:dyDescent="0.15">
      <c r="B77" s="3"/>
      <c r="C77" s="10"/>
      <c r="D77" s="9"/>
      <c r="E77" s="3"/>
      <c r="F77" s="3"/>
      <c r="G77" s="9"/>
      <c r="H77" s="8"/>
      <c r="I77" s="8"/>
      <c r="K77" s="7"/>
      <c r="L77" s="11"/>
      <c r="M77" s="5"/>
      <c r="N77" s="4"/>
      <c r="O77" s="4"/>
      <c r="P77" s="3"/>
    </row>
    <row r="229" spans="2:16" s="2" customFormat="1" x14ac:dyDescent="0.15">
      <c r="B229" s="3"/>
      <c r="C229" s="10"/>
      <c r="D229" s="9"/>
      <c r="E229" s="3"/>
      <c r="F229" s="3"/>
      <c r="G229" s="3"/>
      <c r="H229" s="3"/>
      <c r="I229" s="8"/>
      <c r="K229" s="7"/>
      <c r="L229" s="6"/>
      <c r="M229" s="5"/>
      <c r="N229" s="4"/>
      <c r="O229" s="4"/>
      <c r="P229" s="3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2" activePane="bottomRight" state="frozen"/>
      <selection pane="topRight"/>
      <selection pane="bottomLeft"/>
      <selection pane="bottomRight" activeCell="F70" sqref="F70:F71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8.6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25.5" customHeight="1" x14ac:dyDescent="0.15">
      <c r="A2" s="37">
        <v>20170214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/>
      <c r="M2" s="62">
        <v>2000</v>
      </c>
      <c r="N2" s="63" t="s">
        <v>120</v>
      </c>
      <c r="O2" s="64" t="s">
        <v>89</v>
      </c>
      <c r="P2" s="59"/>
    </row>
    <row r="3" spans="1:17" s="48" customFormat="1" ht="25.5" customHeight="1" x14ac:dyDescent="0.15">
      <c r="A3" s="37">
        <v>20170214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[10]副本!G6</f>
        <v>477.85899999999992</v>
      </c>
      <c r="I3" s="60">
        <f>H3</f>
        <v>477.85899999999992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25.5" customHeight="1" x14ac:dyDescent="0.15">
      <c r="A4" s="37">
        <v>20170214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[10]副本!G8</f>
        <v>1383.3429999999958</v>
      </c>
      <c r="I4" s="60">
        <f>H4</f>
        <v>1383.3429999999958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25.5" customHeight="1" x14ac:dyDescent="0.15">
      <c r="A5" s="37">
        <v>20170214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>
        <f>[10]副本!G10</f>
        <v>1312.4040000000296</v>
      </c>
      <c r="I5" s="60">
        <f>H5</f>
        <v>1312.4040000000296</v>
      </c>
      <c r="J5" s="37"/>
      <c r="K5" s="62"/>
      <c r="L5" s="61">
        <f>H5-I5</f>
        <v>0</v>
      </c>
      <c r="M5" s="62">
        <v>2000</v>
      </c>
      <c r="N5" s="63" t="s">
        <v>123</v>
      </c>
      <c r="O5" s="64" t="s">
        <v>89</v>
      </c>
      <c r="P5" s="59" t="s">
        <v>230</v>
      </c>
    </row>
    <row r="6" spans="1:17" s="48" customFormat="1" ht="25.5" customHeight="1" x14ac:dyDescent="0.15">
      <c r="A6" s="37">
        <v>20170214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/>
      <c r="I6" s="60"/>
      <c r="J6" s="37"/>
      <c r="K6" s="62"/>
      <c r="L6" s="61"/>
      <c r="M6" s="62">
        <v>3000</v>
      </c>
      <c r="N6" s="63" t="s">
        <v>120</v>
      </c>
      <c r="O6" s="64" t="s">
        <v>89</v>
      </c>
      <c r="P6" s="59"/>
      <c r="Q6" s="49"/>
    </row>
    <row r="7" spans="1:17" s="48" customFormat="1" ht="25.5" customHeight="1" x14ac:dyDescent="0.15">
      <c r="A7" s="37">
        <v>20170214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/>
      <c r="I7" s="60"/>
      <c r="J7" s="37"/>
      <c r="K7" s="62"/>
      <c r="L7" s="61"/>
      <c r="M7" s="62">
        <v>3000</v>
      </c>
      <c r="N7" s="63"/>
      <c r="O7" s="64"/>
      <c r="P7" s="59"/>
      <c r="Q7" s="49"/>
    </row>
    <row r="8" spans="1:17" s="48" customFormat="1" ht="25.5" customHeight="1" x14ac:dyDescent="0.15">
      <c r="A8" s="37">
        <v>20170214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[10]副本!G16</f>
        <v>1577.7090000000003</v>
      </c>
      <c r="I8" s="60">
        <f t="shared" ref="I8:I13" si="0">H8</f>
        <v>1577.7090000000003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25.5" customHeight="1" x14ac:dyDescent="0.15">
      <c r="A9" s="37">
        <v>20170214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[10]副本!G18</f>
        <v>1322.4749999999999</v>
      </c>
      <c r="I9" s="60">
        <f t="shared" si="0"/>
        <v>1322.4749999999999</v>
      </c>
      <c r="J9" s="37"/>
      <c r="K9" s="62">
        <v>100</v>
      </c>
      <c r="L9" s="61">
        <f>H9-I9</f>
        <v>0</v>
      </c>
      <c r="M9" s="62">
        <v>5000</v>
      </c>
      <c r="N9" s="63" t="s">
        <v>111</v>
      </c>
      <c r="O9" s="64" t="s">
        <v>110</v>
      </c>
      <c r="P9" s="52" t="s">
        <v>109</v>
      </c>
    </row>
    <row r="10" spans="1:17" s="48" customFormat="1" ht="25.5" customHeight="1" x14ac:dyDescent="0.15">
      <c r="A10" s="37">
        <v>20170214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[10]副本!G20</f>
        <v>1.5219999999999345</v>
      </c>
      <c r="I10" s="60">
        <f t="shared" si="0"/>
        <v>1.5219999999999345</v>
      </c>
      <c r="J10" s="37"/>
      <c r="K10" s="62"/>
      <c r="L10" s="61">
        <f>H10-I10</f>
        <v>0</v>
      </c>
      <c r="M10" s="62">
        <v>1500</v>
      </c>
      <c r="N10" s="63"/>
      <c r="O10" s="64"/>
      <c r="P10" s="59" t="s">
        <v>107</v>
      </c>
    </row>
    <row r="11" spans="1:17" s="48" customFormat="1" ht="25.5" customHeight="1" x14ac:dyDescent="0.15">
      <c r="A11" s="37">
        <v>20170214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[10]副本!G21</f>
        <v>0</v>
      </c>
      <c r="I11" s="60">
        <f t="shared" si="0"/>
        <v>0</v>
      </c>
      <c r="J11" s="37"/>
      <c r="K11" s="62"/>
      <c r="L11" s="61">
        <f>H11-I11</f>
        <v>0</v>
      </c>
      <c r="M11" s="62">
        <v>1500</v>
      </c>
      <c r="N11" s="63"/>
      <c r="O11" s="64"/>
      <c r="P11" s="59" t="s">
        <v>106</v>
      </c>
    </row>
    <row r="12" spans="1:17" s="48" customFormat="1" ht="25.5" customHeight="1" x14ac:dyDescent="0.15">
      <c r="A12" s="37">
        <v>20170214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[10]副本!G22</f>
        <v>1000</v>
      </c>
      <c r="I12" s="60">
        <f t="shared" si="0"/>
        <v>1000</v>
      </c>
      <c r="J12" s="37"/>
      <c r="K12" s="62"/>
      <c r="L12" s="61">
        <f>H12-I12</f>
        <v>0</v>
      </c>
      <c r="M12" s="62">
        <v>1500</v>
      </c>
      <c r="N12" s="63"/>
      <c r="O12" s="64"/>
      <c r="P12" s="59" t="s">
        <v>106</v>
      </c>
    </row>
    <row r="13" spans="1:17" s="48" customFormat="1" ht="25.5" customHeight="1" x14ac:dyDescent="0.15">
      <c r="A13" s="37">
        <v>20170214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[10]副本!G24</f>
        <v>1502.1479999999999</v>
      </c>
      <c r="I13" s="60">
        <f t="shared" si="0"/>
        <v>1502.1479999999999</v>
      </c>
      <c r="J13" s="37"/>
      <c r="K13" s="62"/>
      <c r="L13" s="61">
        <f>H13-I13</f>
        <v>0</v>
      </c>
      <c r="M13" s="62">
        <v>1500</v>
      </c>
      <c r="N13" s="63"/>
      <c r="O13" s="64"/>
      <c r="P13" s="59"/>
    </row>
    <row r="14" spans="1:17" s="48" customFormat="1" ht="25.5" customHeight="1" x14ac:dyDescent="0.15">
      <c r="A14" s="37">
        <v>20170214</v>
      </c>
      <c r="B14" s="58" t="s">
        <v>104</v>
      </c>
      <c r="C14" s="65" t="s">
        <v>19</v>
      </c>
      <c r="D14" s="37"/>
      <c r="E14" s="37" t="s">
        <v>114</v>
      </c>
      <c r="F14" s="37"/>
      <c r="G14" s="37"/>
      <c r="H14" s="60"/>
      <c r="I14" s="60"/>
      <c r="J14" s="37"/>
      <c r="K14" s="62"/>
      <c r="L14" s="61"/>
      <c r="M14" s="62">
        <v>1500</v>
      </c>
      <c r="N14" s="63"/>
      <c r="O14" s="64"/>
      <c r="P14" s="59"/>
      <c r="Q14" s="49"/>
    </row>
    <row r="15" spans="1:17" s="48" customFormat="1" ht="25.5" customHeight="1" x14ac:dyDescent="0.15">
      <c r="A15" s="37">
        <v>20170214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25.5" customHeight="1" x14ac:dyDescent="0.15">
      <c r="A16" s="37">
        <v>20170214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[10]副本!G30</f>
        <v>432.577</v>
      </c>
      <c r="I16" s="60">
        <f>H16</f>
        <v>432.577</v>
      </c>
      <c r="J16" s="37"/>
      <c r="K16" s="62"/>
      <c r="L16" s="61">
        <v>0</v>
      </c>
      <c r="M16" s="62">
        <v>1500</v>
      </c>
      <c r="N16" s="63"/>
      <c r="O16" s="64"/>
      <c r="P16" s="59" t="s">
        <v>205</v>
      </c>
    </row>
    <row r="17" spans="1:17" s="48" customFormat="1" ht="25.5" customHeight="1" x14ac:dyDescent="0.15">
      <c r="A17" s="37">
        <v>20170214</v>
      </c>
      <c r="B17" s="58" t="s">
        <v>101</v>
      </c>
      <c r="C17" s="65" t="s">
        <v>44</v>
      </c>
      <c r="D17" s="37"/>
      <c r="E17" s="37" t="s">
        <v>71</v>
      </c>
      <c r="F17" s="23" t="s">
        <v>153</v>
      </c>
      <c r="G17" s="37" t="s">
        <v>1</v>
      </c>
      <c r="H17" s="60">
        <f>[10]副本!G31</f>
        <v>301.68</v>
      </c>
      <c r="I17" s="60">
        <f>H17</f>
        <v>301.68</v>
      </c>
      <c r="J17" s="37"/>
      <c r="K17" s="62"/>
      <c r="L17" s="61"/>
      <c r="M17" s="62">
        <v>1500</v>
      </c>
      <c r="N17" s="63"/>
      <c r="O17" s="64"/>
      <c r="P17" s="73" t="s">
        <v>204</v>
      </c>
    </row>
    <row r="18" spans="1:17" s="48" customFormat="1" ht="25.5" customHeight="1" x14ac:dyDescent="0.15">
      <c r="A18" s="37">
        <v>20170214</v>
      </c>
      <c r="B18" s="58" t="s">
        <v>99</v>
      </c>
      <c r="C18" s="65" t="s">
        <v>93</v>
      </c>
      <c r="D18" s="37"/>
      <c r="E18" s="37" t="s">
        <v>9</v>
      </c>
      <c r="F18" s="23" t="s">
        <v>158</v>
      </c>
      <c r="G18" s="37" t="s">
        <v>1</v>
      </c>
      <c r="H18" s="60">
        <f>[10]副本!G33-H19</f>
        <v>12349.247000000018</v>
      </c>
      <c r="I18" s="60">
        <f>H18</f>
        <v>12349.247000000018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98</v>
      </c>
    </row>
    <row r="19" spans="1:17" s="48" customFormat="1" ht="25.5" customHeight="1" x14ac:dyDescent="0.15">
      <c r="A19" s="37">
        <v>20170214</v>
      </c>
      <c r="B19" s="58" t="s">
        <v>99</v>
      </c>
      <c r="C19" s="65" t="s">
        <v>93</v>
      </c>
      <c r="D19" s="37"/>
      <c r="E19" s="37" t="s">
        <v>9</v>
      </c>
      <c r="F19" s="24" t="s">
        <v>175</v>
      </c>
      <c r="G19" s="37" t="s">
        <v>1</v>
      </c>
      <c r="H19" s="60">
        <f>[10]副本!G35</f>
        <v>2172.7529999999824</v>
      </c>
      <c r="I19" s="60">
        <f>H19</f>
        <v>2172.7529999999824</v>
      </c>
      <c r="J19" s="37"/>
      <c r="K19" s="62"/>
      <c r="L19" s="61">
        <f>H19-I19</f>
        <v>0</v>
      </c>
      <c r="M19" s="62">
        <v>21000</v>
      </c>
      <c r="N19" s="63" t="s">
        <v>90</v>
      </c>
      <c r="O19" s="64" t="s">
        <v>89</v>
      </c>
      <c r="P19" s="59" t="s">
        <v>97</v>
      </c>
    </row>
    <row r="20" spans="1:17" s="48" customFormat="1" ht="25.5" customHeight="1" x14ac:dyDescent="0.15">
      <c r="A20" s="37">
        <v>20170214</v>
      </c>
      <c r="B20" s="58" t="s">
        <v>96</v>
      </c>
      <c r="C20" s="65" t="s">
        <v>44</v>
      </c>
      <c r="D20" s="37" t="s">
        <v>5</v>
      </c>
      <c r="E20" s="37" t="s">
        <v>61</v>
      </c>
      <c r="F20" s="23" t="s">
        <v>159</v>
      </c>
      <c r="G20" s="37" t="s">
        <v>1</v>
      </c>
      <c r="H20" s="60">
        <f>[10]副本!G37</f>
        <v>2350.4299999999998</v>
      </c>
      <c r="I20" s="60">
        <f>H20-3496.542+1000+2496.542</f>
        <v>2350.4299999999998</v>
      </c>
      <c r="J20" s="37"/>
      <c r="K20" s="62"/>
      <c r="L20" s="61">
        <f>H20-I20</f>
        <v>0</v>
      </c>
      <c r="M20" s="62">
        <v>5000</v>
      </c>
      <c r="N20" s="63"/>
      <c r="O20" s="64"/>
      <c r="P20" s="59" t="s">
        <v>194</v>
      </c>
    </row>
    <row r="21" spans="1:17" s="48" customFormat="1" ht="25.5" customHeight="1" x14ac:dyDescent="0.15">
      <c r="A21" s="37">
        <v>20170214</v>
      </c>
      <c r="B21" s="58" t="s">
        <v>95</v>
      </c>
      <c r="C21" s="65" t="s">
        <v>44</v>
      </c>
      <c r="D21" s="37"/>
      <c r="E21" s="37"/>
      <c r="F21" s="37"/>
      <c r="G21" s="37"/>
      <c r="H21" s="60"/>
      <c r="I21" s="60"/>
      <c r="J21" s="37"/>
      <c r="K21" s="62"/>
      <c r="L21" s="61"/>
      <c r="M21" s="62">
        <v>3000</v>
      </c>
      <c r="N21" s="63"/>
      <c r="O21" s="64"/>
      <c r="P21" s="59"/>
    </row>
    <row r="22" spans="1:17" s="48" customFormat="1" ht="25.5" customHeight="1" x14ac:dyDescent="0.15">
      <c r="A22" s="37">
        <v>20170214</v>
      </c>
      <c r="B22" s="58" t="s">
        <v>94</v>
      </c>
      <c r="C22" s="65" t="s">
        <v>93</v>
      </c>
      <c r="D22" s="37"/>
      <c r="E22" s="37" t="s">
        <v>9</v>
      </c>
      <c r="F22" s="23" t="s">
        <v>158</v>
      </c>
      <c r="G22" s="37" t="s">
        <v>1</v>
      </c>
      <c r="H22" s="60">
        <f>[10]副本!G41-'20170214'!H23</f>
        <v>1498.5454280000376</v>
      </c>
      <c r="I22" s="60">
        <f>H22</f>
        <v>1498.5454280000376</v>
      </c>
      <c r="J22" s="37"/>
      <c r="K22" s="62"/>
      <c r="L22" s="61">
        <f t="shared" ref="L22:L27" si="1">H22-I22</f>
        <v>0</v>
      </c>
      <c r="M22" s="62">
        <v>21000</v>
      </c>
      <c r="N22" s="63" t="s">
        <v>92</v>
      </c>
      <c r="O22" s="64" t="s">
        <v>89</v>
      </c>
      <c r="P22" s="59" t="s">
        <v>91</v>
      </c>
    </row>
    <row r="23" spans="1:17" s="48" customFormat="1" ht="25.5" customHeight="1" x14ac:dyDescent="0.15">
      <c r="A23" s="37">
        <v>20170214</v>
      </c>
      <c r="B23" s="58" t="s">
        <v>94</v>
      </c>
      <c r="C23" s="65" t="s">
        <v>93</v>
      </c>
      <c r="D23" s="37"/>
      <c r="E23" s="37" t="s">
        <v>9</v>
      </c>
      <c r="F23" s="24" t="s">
        <v>175</v>
      </c>
      <c r="G23" s="37" t="s">
        <v>1</v>
      </c>
      <c r="H23" s="60">
        <f>[10]副本!G43</f>
        <v>7210.4545719999624</v>
      </c>
      <c r="I23" s="60">
        <f>H23</f>
        <v>7210.4545719999624</v>
      </c>
      <c r="J23" s="37"/>
      <c r="K23" s="71"/>
      <c r="L23" s="61">
        <f t="shared" si="1"/>
        <v>0</v>
      </c>
      <c r="M23" s="62">
        <v>21000</v>
      </c>
      <c r="N23" s="63" t="s">
        <v>90</v>
      </c>
      <c r="O23" s="64" t="s">
        <v>89</v>
      </c>
      <c r="P23" s="59" t="s">
        <v>88</v>
      </c>
    </row>
    <row r="24" spans="1:17" s="48" customFormat="1" ht="25.5" customHeight="1" x14ac:dyDescent="0.15">
      <c r="A24" s="37">
        <v>20170214</v>
      </c>
      <c r="B24" s="58" t="s">
        <v>87</v>
      </c>
      <c r="C24" s="65" t="s">
        <v>44</v>
      </c>
      <c r="D24" s="37"/>
      <c r="E24" s="37" t="s">
        <v>86</v>
      </c>
      <c r="F24" s="23" t="s">
        <v>160</v>
      </c>
      <c r="G24" s="37" t="s">
        <v>1</v>
      </c>
      <c r="H24" s="60">
        <f>[10]副本!G45</f>
        <v>6134.7419999999993</v>
      </c>
      <c r="I24" s="60">
        <f>H24</f>
        <v>6134.7419999999993</v>
      </c>
      <c r="J24" s="37"/>
      <c r="K24" s="62">
        <v>350</v>
      </c>
      <c r="L24" s="61">
        <f t="shared" si="1"/>
        <v>0</v>
      </c>
      <c r="M24" s="62">
        <v>5000</v>
      </c>
      <c r="N24" s="63"/>
      <c r="O24" s="64"/>
      <c r="P24" s="59" t="s">
        <v>85</v>
      </c>
    </row>
    <row r="25" spans="1:17" s="48" customFormat="1" ht="25.5" customHeight="1" x14ac:dyDescent="0.15">
      <c r="A25" s="37">
        <v>20170214</v>
      </c>
      <c r="B25" s="58" t="s">
        <v>84</v>
      </c>
      <c r="C25" s="65" t="s">
        <v>3</v>
      </c>
      <c r="D25" s="37"/>
      <c r="E25" s="59" t="s">
        <v>83</v>
      </c>
      <c r="F25" s="23" t="s">
        <v>161</v>
      </c>
      <c r="G25" s="37" t="s">
        <v>1</v>
      </c>
      <c r="H25" s="60">
        <f>[10]副本!G47</f>
        <v>104.73299999999995</v>
      </c>
      <c r="I25" s="60">
        <f>H25</f>
        <v>104.73299999999995</v>
      </c>
      <c r="J25" s="37"/>
      <c r="K25" s="62"/>
      <c r="L25" s="61">
        <f t="shared" si="1"/>
        <v>0</v>
      </c>
      <c r="M25" s="62">
        <v>5000</v>
      </c>
      <c r="N25" s="63"/>
      <c r="O25" s="64"/>
      <c r="P25" s="66" t="s">
        <v>82</v>
      </c>
    </row>
    <row r="26" spans="1:17" s="48" customFormat="1" ht="25.5" customHeight="1" x14ac:dyDescent="0.15">
      <c r="A26" s="37">
        <v>20170214</v>
      </c>
      <c r="B26" s="58" t="s">
        <v>81</v>
      </c>
      <c r="C26" s="65" t="s">
        <v>44</v>
      </c>
      <c r="D26" s="37"/>
      <c r="E26" s="37" t="s">
        <v>203</v>
      </c>
      <c r="F26" s="23" t="s">
        <v>161</v>
      </c>
      <c r="G26" s="37" t="s">
        <v>1</v>
      </c>
      <c r="H26" s="60">
        <f>[10]副本!G49</f>
        <v>3992.8519999999999</v>
      </c>
      <c r="I26" s="60">
        <f>H26-3992.852</f>
        <v>0</v>
      </c>
      <c r="J26" s="37"/>
      <c r="K26" s="62"/>
      <c r="L26" s="61">
        <f t="shared" si="1"/>
        <v>3992.8519999999999</v>
      </c>
      <c r="M26" s="62">
        <v>5000</v>
      </c>
      <c r="N26" s="63"/>
      <c r="O26" s="64"/>
      <c r="P26" s="59"/>
    </row>
    <row r="27" spans="1:17" s="48" customFormat="1" ht="25.5" customHeight="1" x14ac:dyDescent="0.15">
      <c r="A27" s="37">
        <v>20170214</v>
      </c>
      <c r="B27" s="58" t="s">
        <v>80</v>
      </c>
      <c r="C27" s="65" t="s">
        <v>44</v>
      </c>
      <c r="D27" s="37"/>
      <c r="E27" s="37" t="s">
        <v>43</v>
      </c>
      <c r="F27" s="23" t="s">
        <v>157</v>
      </c>
      <c r="G27" s="37" t="s">
        <v>1</v>
      </c>
      <c r="H27" s="60">
        <f>[10]副本!G52</f>
        <v>2144.2040000000002</v>
      </c>
      <c r="I27" s="60">
        <f>H27</f>
        <v>2144.2040000000002</v>
      </c>
      <c r="J27" s="37"/>
      <c r="K27" s="62"/>
      <c r="L27" s="61">
        <f t="shared" si="1"/>
        <v>0</v>
      </c>
      <c r="M27" s="62">
        <v>4000</v>
      </c>
      <c r="N27" s="63"/>
      <c r="O27" s="64"/>
      <c r="P27" s="59"/>
    </row>
    <row r="28" spans="1:17" s="48" customFormat="1" ht="25.5" customHeight="1" x14ac:dyDescent="0.15">
      <c r="A28" s="37">
        <v>20170214</v>
      </c>
      <c r="B28" s="58" t="s">
        <v>79</v>
      </c>
      <c r="C28" s="65" t="s">
        <v>74</v>
      </c>
      <c r="D28" s="37"/>
      <c r="E28" s="37"/>
      <c r="F28" s="37"/>
      <c r="G28" s="37"/>
      <c r="H28" s="60"/>
      <c r="I28" s="60"/>
      <c r="J28" s="37"/>
      <c r="K28" s="62"/>
      <c r="L28" s="61"/>
      <c r="M28" s="62">
        <v>5000</v>
      </c>
      <c r="N28" s="63"/>
      <c r="O28" s="64"/>
      <c r="P28" s="59"/>
    </row>
    <row r="29" spans="1:17" s="48" customFormat="1" ht="25.5" customHeight="1" x14ac:dyDescent="0.15">
      <c r="A29" s="37">
        <v>20170214</v>
      </c>
      <c r="B29" s="58" t="s">
        <v>78</v>
      </c>
      <c r="C29" s="65" t="s">
        <v>74</v>
      </c>
      <c r="D29" s="37"/>
      <c r="E29" s="37" t="s">
        <v>32</v>
      </c>
      <c r="F29" s="37"/>
      <c r="G29" s="37"/>
      <c r="H29" s="60"/>
      <c r="I29" s="60"/>
      <c r="J29" s="37"/>
      <c r="K29" s="62"/>
      <c r="L29" s="61"/>
      <c r="M29" s="62">
        <v>2000</v>
      </c>
      <c r="N29" s="63"/>
      <c r="O29" s="64"/>
      <c r="P29" s="59"/>
    </row>
    <row r="30" spans="1:17" s="48" customFormat="1" ht="25.5" customHeight="1" x14ac:dyDescent="0.15">
      <c r="A30" s="37">
        <v>20170214</v>
      </c>
      <c r="B30" s="58" t="s">
        <v>77</v>
      </c>
      <c r="C30" s="65" t="s">
        <v>74</v>
      </c>
      <c r="D30" s="37"/>
      <c r="E30" s="37" t="s">
        <v>32</v>
      </c>
      <c r="F30" s="23" t="s">
        <v>153</v>
      </c>
      <c r="G30" s="37" t="s">
        <v>1</v>
      </c>
      <c r="H30" s="60">
        <f>[10]副本!G59</f>
        <v>1098.6790000000001</v>
      </c>
      <c r="I30" s="60">
        <f>H30-1098.679+1098.679</f>
        <v>1098.6790000000001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209</v>
      </c>
    </row>
    <row r="31" spans="1:17" s="48" customFormat="1" ht="25.5" customHeight="1" x14ac:dyDescent="0.15">
      <c r="A31" s="37">
        <v>20170214</v>
      </c>
      <c r="B31" s="58" t="s">
        <v>76</v>
      </c>
      <c r="C31" s="65" t="s">
        <v>74</v>
      </c>
      <c r="D31" s="37"/>
      <c r="E31" s="37" t="s">
        <v>32</v>
      </c>
      <c r="F31" s="37"/>
      <c r="G31" s="37"/>
      <c r="H31" s="60"/>
      <c r="I31" s="60"/>
      <c r="J31" s="37"/>
      <c r="K31" s="62"/>
      <c r="L31" s="61"/>
      <c r="M31" s="62">
        <v>1500</v>
      </c>
      <c r="N31" s="63"/>
      <c r="O31" s="64"/>
      <c r="P31" s="59"/>
      <c r="Q31" s="49"/>
    </row>
    <row r="32" spans="1:17" s="48" customFormat="1" ht="25.5" customHeight="1" x14ac:dyDescent="0.15">
      <c r="A32" s="37">
        <v>20170214</v>
      </c>
      <c r="B32" s="58" t="s">
        <v>75</v>
      </c>
      <c r="C32" s="65" t="s">
        <v>74</v>
      </c>
      <c r="D32" s="37"/>
      <c r="E32" s="37" t="s">
        <v>32</v>
      </c>
      <c r="F32" s="23" t="s">
        <v>153</v>
      </c>
      <c r="G32" s="37" t="s">
        <v>1</v>
      </c>
      <c r="H32" s="60">
        <f>[10]副本!G63</f>
        <v>1096.2820000000002</v>
      </c>
      <c r="I32" s="60">
        <f>H32-1096.282+1096.282</f>
        <v>1096.2820000000002</v>
      </c>
      <c r="J32" s="37"/>
      <c r="K32" s="62"/>
      <c r="L32" s="61">
        <f>H32-I32</f>
        <v>0</v>
      </c>
      <c r="M32" s="62">
        <v>1500</v>
      </c>
      <c r="N32" s="63"/>
      <c r="O32" s="64"/>
      <c r="P32" s="59" t="s">
        <v>209</v>
      </c>
    </row>
    <row r="33" spans="1:16" s="48" customFormat="1" ht="25.5" customHeight="1" x14ac:dyDescent="0.15">
      <c r="A33" s="37">
        <v>20170214</v>
      </c>
      <c r="B33" s="58" t="s">
        <v>73</v>
      </c>
      <c r="C33" s="65" t="s">
        <v>44</v>
      </c>
      <c r="D33" s="37"/>
      <c r="E33" s="37"/>
      <c r="F33" s="37"/>
      <c r="G33" s="37"/>
      <c r="H33" s="60"/>
      <c r="I33" s="60"/>
      <c r="J33" s="37"/>
      <c r="K33" s="62"/>
      <c r="L33" s="61"/>
      <c r="M33" s="62">
        <v>1500</v>
      </c>
      <c r="N33" s="63"/>
      <c r="O33" s="64"/>
      <c r="P33" s="59"/>
    </row>
    <row r="34" spans="1:16" s="48" customFormat="1" ht="25.5" customHeight="1" x14ac:dyDescent="0.15">
      <c r="A34" s="37">
        <v>20170214</v>
      </c>
      <c r="B34" s="58" t="s">
        <v>72</v>
      </c>
      <c r="C34" s="65" t="s">
        <v>44</v>
      </c>
      <c r="D34" s="37"/>
      <c r="E34" s="37" t="s">
        <v>71</v>
      </c>
      <c r="F34" s="23" t="s">
        <v>154</v>
      </c>
      <c r="G34" s="37" t="s">
        <v>1</v>
      </c>
      <c r="H34" s="37">
        <f>[10]副本!G67</f>
        <v>931.53000000000031</v>
      </c>
      <c r="I34" s="60">
        <f>H34-1035.099+1035.099</f>
        <v>931.53000000000031</v>
      </c>
      <c r="J34" s="37"/>
      <c r="K34" s="62">
        <v>30</v>
      </c>
      <c r="L34" s="61">
        <f>H34-I34</f>
        <v>0</v>
      </c>
      <c r="M34" s="62">
        <v>2000</v>
      </c>
      <c r="N34" s="63"/>
      <c r="O34" s="64"/>
      <c r="P34" s="59" t="s">
        <v>229</v>
      </c>
    </row>
    <row r="35" spans="1:16" s="48" customFormat="1" ht="25.5" customHeight="1" x14ac:dyDescent="0.15">
      <c r="A35" s="37">
        <v>20170214</v>
      </c>
      <c r="B35" s="58" t="s">
        <v>69</v>
      </c>
      <c r="C35" s="65" t="s">
        <v>44</v>
      </c>
      <c r="D35" s="37" t="s">
        <v>5</v>
      </c>
      <c r="E35" s="37" t="s">
        <v>68</v>
      </c>
      <c r="F35" s="23" t="s">
        <v>162</v>
      </c>
      <c r="G35" s="37" t="s">
        <v>1</v>
      </c>
      <c r="H35" s="60">
        <f>[10]副本!G69</f>
        <v>557.34299999999985</v>
      </c>
      <c r="I35" s="60">
        <f>H35-1037.023+500+537.023</f>
        <v>557.34299999999996</v>
      </c>
      <c r="J35" s="37"/>
      <c r="K35" s="62">
        <v>100</v>
      </c>
      <c r="L35" s="61">
        <f>H35-I35</f>
        <v>0</v>
      </c>
      <c r="M35" s="62">
        <v>3000</v>
      </c>
      <c r="N35" s="63"/>
      <c r="O35" s="64"/>
      <c r="P35" s="67" t="s">
        <v>67</v>
      </c>
    </row>
    <row r="36" spans="1:16" s="48" customFormat="1" ht="25.5" customHeight="1" x14ac:dyDescent="0.15">
      <c r="A36" s="37">
        <v>20170214</v>
      </c>
      <c r="B36" s="58" t="s">
        <v>66</v>
      </c>
      <c r="C36" s="65" t="s">
        <v>44</v>
      </c>
      <c r="D36" s="37" t="s">
        <v>5</v>
      </c>
      <c r="E36" s="37" t="s">
        <v>61</v>
      </c>
      <c r="F36" s="23" t="s">
        <v>159</v>
      </c>
      <c r="G36" s="37" t="s">
        <v>1</v>
      </c>
      <c r="H36" s="60">
        <f>[10]副本!G71</f>
        <v>2002.9199999999992</v>
      </c>
      <c r="I36" s="60">
        <f>H36-3607.546+2050+1050+507.546-1553.792+1553.792</f>
        <v>2002.9199999999994</v>
      </c>
      <c r="J36" s="37"/>
      <c r="K36" s="62"/>
      <c r="L36" s="61">
        <f>H36-I36</f>
        <v>0</v>
      </c>
      <c r="M36" s="62">
        <v>4000</v>
      </c>
      <c r="N36" s="63"/>
      <c r="O36" s="64"/>
      <c r="P36" s="59" t="s">
        <v>65</v>
      </c>
    </row>
    <row r="37" spans="1:16" s="48" customFormat="1" ht="25.5" customHeight="1" x14ac:dyDescent="0.15">
      <c r="A37" s="37">
        <v>20170214</v>
      </c>
      <c r="B37" s="58" t="s">
        <v>64</v>
      </c>
      <c r="C37" s="65" t="s">
        <v>3</v>
      </c>
      <c r="D37" s="37"/>
      <c r="E37" s="37"/>
      <c r="F37" s="37"/>
      <c r="G37" s="37"/>
      <c r="H37" s="60"/>
      <c r="I37" s="60"/>
      <c r="J37" s="37"/>
      <c r="K37" s="62"/>
      <c r="L37" s="61"/>
      <c r="M37" s="62">
        <v>5000</v>
      </c>
      <c r="N37" s="63"/>
      <c r="O37" s="64"/>
      <c r="P37" s="59"/>
    </row>
    <row r="38" spans="1:16" s="48" customFormat="1" ht="25.5" customHeight="1" x14ac:dyDescent="0.15">
      <c r="A38" s="37">
        <v>20170214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159</v>
      </c>
      <c r="G38" s="37" t="s">
        <v>1</v>
      </c>
      <c r="H38" s="60">
        <f>[10]副本!G75</f>
        <v>3248.5270000000528</v>
      </c>
      <c r="I38" s="60">
        <f>H38-955.747+477.874+477.873-1042.865-2628.137+500+542.865+2102.57+525.567-499.112-3147.566+2100+525+525+496.678-2617.899+1574.891+523.692-522.622+522.622-2589.467+523.692-499.362</f>
        <v>164.07400000005288</v>
      </c>
      <c r="J38" s="37"/>
      <c r="K38" s="62"/>
      <c r="L38" s="61">
        <f>H38-I38</f>
        <v>3084.453</v>
      </c>
      <c r="M38" s="62">
        <v>5000</v>
      </c>
      <c r="N38" s="63"/>
      <c r="O38" s="64"/>
      <c r="P38" s="59" t="s">
        <v>182</v>
      </c>
    </row>
    <row r="39" spans="1:16" s="48" customFormat="1" ht="25.5" customHeight="1" x14ac:dyDescent="0.15">
      <c r="A39" s="37">
        <v>20170214</v>
      </c>
      <c r="B39" s="58" t="s">
        <v>63</v>
      </c>
      <c r="C39" s="65" t="s">
        <v>44</v>
      </c>
      <c r="D39" s="37" t="s">
        <v>5</v>
      </c>
      <c r="E39" s="37" t="s">
        <v>61</v>
      </c>
      <c r="F39" s="23" t="s">
        <v>163</v>
      </c>
      <c r="G39" s="37" t="s">
        <v>1</v>
      </c>
      <c r="H39" s="60">
        <f>[10]副本!G76</f>
        <v>530.77800000000036</v>
      </c>
      <c r="I39" s="60">
        <f>H39</f>
        <v>530.77800000000036</v>
      </c>
      <c r="J39" s="37"/>
      <c r="K39" s="62"/>
      <c r="L39" s="61">
        <f>H39-I39</f>
        <v>0</v>
      </c>
      <c r="M39" s="62">
        <v>5000</v>
      </c>
      <c r="N39" s="63"/>
      <c r="O39" s="64"/>
      <c r="P39" s="59" t="s">
        <v>60</v>
      </c>
    </row>
    <row r="40" spans="1:16" s="48" customFormat="1" ht="25.5" customHeight="1" x14ac:dyDescent="0.15">
      <c r="A40" s="37">
        <v>20170214</v>
      </c>
      <c r="B40" s="58" t="s">
        <v>59</v>
      </c>
      <c r="C40" s="65" t="s">
        <v>19</v>
      </c>
      <c r="D40" s="37"/>
      <c r="E40" s="37" t="s">
        <v>32</v>
      </c>
      <c r="F40" s="23" t="s">
        <v>161</v>
      </c>
      <c r="G40" s="37" t="s">
        <v>1</v>
      </c>
      <c r="H40" s="60">
        <f>[10]副本!G78</f>
        <v>31.463999999997668</v>
      </c>
      <c r="I40" s="60">
        <f>H40-2564.978+2564.978</f>
        <v>31.463999999997668</v>
      </c>
      <c r="J40" s="37"/>
      <c r="K40" s="62"/>
      <c r="L40" s="61">
        <f>H40-I40</f>
        <v>0</v>
      </c>
      <c r="M40" s="62">
        <v>4000</v>
      </c>
      <c r="N40" s="63"/>
      <c r="O40" s="64"/>
      <c r="P40" s="52" t="s">
        <v>58</v>
      </c>
    </row>
    <row r="41" spans="1:16" s="48" customFormat="1" ht="25.5" customHeight="1" x14ac:dyDescent="0.15">
      <c r="A41" s="37">
        <v>20170214</v>
      </c>
      <c r="B41" s="58" t="s">
        <v>59</v>
      </c>
      <c r="C41" s="65" t="s">
        <v>19</v>
      </c>
      <c r="D41" s="37"/>
      <c r="E41" s="37" t="s">
        <v>32</v>
      </c>
      <c r="F41" s="23" t="s">
        <v>153</v>
      </c>
      <c r="G41" s="37" t="s">
        <v>1</v>
      </c>
      <c r="H41" s="60">
        <f>[10]副本!G81</f>
        <v>2564.9780000000001</v>
      </c>
      <c r="I41" s="60">
        <f>H41</f>
        <v>2564.9780000000001</v>
      </c>
      <c r="J41" s="37"/>
      <c r="K41" s="62"/>
      <c r="L41" s="61"/>
      <c r="M41" s="62">
        <v>4000</v>
      </c>
      <c r="N41" s="63"/>
      <c r="O41" s="64"/>
      <c r="P41" s="52" t="s">
        <v>208</v>
      </c>
    </row>
    <row r="42" spans="1:16" s="48" customFormat="1" ht="25.5" customHeight="1" x14ac:dyDescent="0.15">
      <c r="A42" s="37">
        <v>20170214</v>
      </c>
      <c r="B42" s="58" t="s">
        <v>56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2000</v>
      </c>
      <c r="N42" s="63"/>
      <c r="O42" s="64"/>
      <c r="P42" s="59"/>
    </row>
    <row r="43" spans="1:16" s="48" customFormat="1" ht="25.5" customHeight="1" x14ac:dyDescent="0.15">
      <c r="A43" s="37">
        <v>20170214</v>
      </c>
      <c r="B43" s="58" t="s">
        <v>55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[10]副本!G85</f>
        <v>2522.3710000000001</v>
      </c>
      <c r="I43" s="60">
        <f>H43-2522.371</f>
        <v>0</v>
      </c>
      <c r="J43" s="37"/>
      <c r="K43" s="62"/>
      <c r="L43" s="61">
        <f>H43-I43</f>
        <v>2522.3710000000001</v>
      </c>
      <c r="M43" s="62">
        <v>3000</v>
      </c>
      <c r="N43" s="63"/>
      <c r="O43" s="64"/>
      <c r="P43" s="59"/>
    </row>
    <row r="44" spans="1:16" s="48" customFormat="1" ht="25.5" customHeight="1" x14ac:dyDescent="0.15">
      <c r="A44" s="37">
        <v>20170214</v>
      </c>
      <c r="B44" s="58" t="s">
        <v>54</v>
      </c>
      <c r="C44" s="65" t="s">
        <v>19</v>
      </c>
      <c r="D44" s="37"/>
      <c r="E44" s="37" t="s">
        <v>32</v>
      </c>
      <c r="F44" s="23" t="s">
        <v>161</v>
      </c>
      <c r="G44" s="37" t="s">
        <v>1</v>
      </c>
      <c r="H44" s="60">
        <f>[10]副本!G87</f>
        <v>3759.3360000000002</v>
      </c>
      <c r="I44" s="60">
        <f>H44-2794.245</f>
        <v>965.09100000000035</v>
      </c>
      <c r="J44" s="37"/>
      <c r="K44" s="62">
        <v>1300</v>
      </c>
      <c r="L44" s="61">
        <f>H44-I44</f>
        <v>2794.2449999999999</v>
      </c>
      <c r="M44" s="62">
        <v>5000</v>
      </c>
      <c r="N44" s="68"/>
      <c r="O44" s="64"/>
      <c r="P44" s="52" t="s">
        <v>53</v>
      </c>
    </row>
    <row r="45" spans="1:16" s="48" customFormat="1" ht="25.5" customHeight="1" x14ac:dyDescent="0.15">
      <c r="A45" s="37">
        <v>20170214</v>
      </c>
      <c r="B45" s="58" t="s">
        <v>52</v>
      </c>
      <c r="C45" s="65" t="s">
        <v>44</v>
      </c>
      <c r="D45" s="37"/>
      <c r="E45" s="37"/>
      <c r="F45" s="37"/>
      <c r="G45" s="37"/>
      <c r="H45" s="60"/>
      <c r="I45" s="60"/>
      <c r="J45" s="37"/>
      <c r="K45" s="62"/>
      <c r="L45" s="61"/>
      <c r="M45" s="62">
        <v>5000</v>
      </c>
      <c r="N45" s="63"/>
      <c r="O45" s="64"/>
      <c r="P45" s="59"/>
    </row>
    <row r="46" spans="1:16" s="48" customFormat="1" ht="25.5" customHeight="1" x14ac:dyDescent="0.15">
      <c r="A46" s="37">
        <v>20170214</v>
      </c>
      <c r="B46" s="58" t="s">
        <v>51</v>
      </c>
      <c r="C46" s="65" t="s">
        <v>44</v>
      </c>
      <c r="D46" s="37"/>
      <c r="E46" s="37" t="s">
        <v>50</v>
      </c>
      <c r="F46" s="23" t="s">
        <v>152</v>
      </c>
      <c r="G46" s="37" t="s">
        <v>1</v>
      </c>
      <c r="H46" s="60">
        <f>[10]副本!G93</f>
        <v>2006.1080000000002</v>
      </c>
      <c r="I46" s="60">
        <f>H46-1021.25+1021.25</f>
        <v>2006.1080000000002</v>
      </c>
      <c r="J46" s="37"/>
      <c r="K46" s="62">
        <v>100</v>
      </c>
      <c r="L46" s="61">
        <f>H46-I46</f>
        <v>0</v>
      </c>
      <c r="M46" s="62">
        <v>5000</v>
      </c>
      <c r="N46" s="63"/>
      <c r="O46" s="64"/>
      <c r="P46" s="52" t="s">
        <v>180</v>
      </c>
    </row>
    <row r="47" spans="1:16" s="48" customFormat="1" ht="25.5" customHeight="1" x14ac:dyDescent="0.15">
      <c r="A47" s="37">
        <v>20170214</v>
      </c>
      <c r="B47" s="58" t="s">
        <v>51</v>
      </c>
      <c r="C47" s="65" t="s">
        <v>44</v>
      </c>
      <c r="D47" s="37"/>
      <c r="E47" s="37" t="s">
        <v>50</v>
      </c>
      <c r="F47" s="23" t="s">
        <v>148</v>
      </c>
      <c r="G47" s="37" t="s">
        <v>1</v>
      </c>
      <c r="H47" s="60">
        <f>[10]副本!G94</f>
        <v>1000</v>
      </c>
      <c r="I47" s="60">
        <f>H47</f>
        <v>1000</v>
      </c>
      <c r="J47" s="37"/>
      <c r="K47" s="62"/>
      <c r="L47" s="61"/>
      <c r="M47" s="62">
        <v>5000</v>
      </c>
      <c r="N47" s="63"/>
      <c r="O47" s="64"/>
      <c r="P47" s="52" t="s">
        <v>49</v>
      </c>
    </row>
    <row r="48" spans="1:16" s="48" customFormat="1" ht="25.5" customHeight="1" x14ac:dyDescent="0.15">
      <c r="A48" s="37">
        <v>20170214</v>
      </c>
      <c r="B48" s="58" t="s">
        <v>48</v>
      </c>
      <c r="C48" s="65" t="s">
        <v>44</v>
      </c>
      <c r="D48" s="37"/>
      <c r="E48" s="37" t="s">
        <v>43</v>
      </c>
      <c r="F48" s="23" t="s">
        <v>157</v>
      </c>
      <c r="G48" s="37" t="s">
        <v>1</v>
      </c>
      <c r="H48" s="60">
        <f>[10]副本!G96</f>
        <v>2.4439999999940483</v>
      </c>
      <c r="I48" s="60">
        <f>H48</f>
        <v>2.4439999999940483</v>
      </c>
      <c r="J48" s="37"/>
      <c r="K48" s="61"/>
      <c r="L48" s="61">
        <f>H48-I48</f>
        <v>0</v>
      </c>
      <c r="M48" s="62">
        <v>2000</v>
      </c>
      <c r="N48" s="63"/>
      <c r="O48" s="64"/>
      <c r="P48" s="59"/>
    </row>
    <row r="49" spans="1:17" s="48" customFormat="1" ht="25.5" customHeight="1" x14ac:dyDescent="0.15">
      <c r="A49" s="37">
        <v>20170214</v>
      </c>
      <c r="B49" s="58" t="s">
        <v>47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[10]副本!G98</f>
        <v>2409.6100000000006</v>
      </c>
      <c r="I49" s="60">
        <v>0</v>
      </c>
      <c r="J49" s="37"/>
      <c r="K49" s="62"/>
      <c r="L49" s="61">
        <f>H49-I49</f>
        <v>2409.6100000000006</v>
      </c>
      <c r="M49" s="62">
        <v>10000</v>
      </c>
      <c r="N49" s="63"/>
      <c r="O49" s="64"/>
      <c r="P49" s="59"/>
    </row>
    <row r="50" spans="1:17" s="48" customFormat="1" ht="25.5" customHeight="1" x14ac:dyDescent="0.15">
      <c r="A50" s="37">
        <v>20170214</v>
      </c>
      <c r="B50" s="58" t="s">
        <v>46</v>
      </c>
      <c r="C50" s="65" t="s">
        <v>19</v>
      </c>
      <c r="D50" s="37" t="s">
        <v>5</v>
      </c>
      <c r="E50" s="37" t="s">
        <v>27</v>
      </c>
      <c r="F50" s="23" t="s">
        <v>165</v>
      </c>
      <c r="G50" s="37" t="s">
        <v>1</v>
      </c>
      <c r="H50" s="60">
        <f>[10]副本!G100</f>
        <v>4217.264000000001</v>
      </c>
      <c r="I50" s="60">
        <v>0</v>
      </c>
      <c r="J50" s="37"/>
      <c r="K50" s="62"/>
      <c r="L50" s="61">
        <v>0</v>
      </c>
      <c r="M50" s="62">
        <v>10000</v>
      </c>
      <c r="N50" s="63"/>
      <c r="O50" s="64"/>
      <c r="P50" s="59"/>
    </row>
    <row r="51" spans="1:17" s="48" customFormat="1" ht="25.5" customHeight="1" x14ac:dyDescent="0.15">
      <c r="A51" s="37">
        <v>20170214</v>
      </c>
      <c r="B51" s="58" t="s">
        <v>45</v>
      </c>
      <c r="C51" s="65" t="s">
        <v>44</v>
      </c>
      <c r="D51" s="37"/>
      <c r="E51" s="37" t="s">
        <v>43</v>
      </c>
      <c r="F51" s="23" t="s">
        <v>166</v>
      </c>
      <c r="G51" s="37" t="s">
        <v>1</v>
      </c>
      <c r="H51" s="60">
        <f>[10]副本!G102</f>
        <v>2732.8750000000073</v>
      </c>
      <c r="I51" s="60">
        <f>H51</f>
        <v>2732.8750000000073</v>
      </c>
      <c r="J51" s="37"/>
      <c r="K51" s="61"/>
      <c r="L51" s="61">
        <v>0</v>
      </c>
      <c r="M51" s="62">
        <v>5000</v>
      </c>
      <c r="N51" s="69" t="s">
        <v>42</v>
      </c>
      <c r="O51" s="70" t="s">
        <v>41</v>
      </c>
      <c r="P51" s="59" t="s">
        <v>40</v>
      </c>
    </row>
    <row r="52" spans="1:17" s="48" customFormat="1" ht="25.5" customHeight="1" x14ac:dyDescent="0.15">
      <c r="A52" s="37">
        <v>20170214</v>
      </c>
      <c r="B52" s="58" t="s">
        <v>39</v>
      </c>
      <c r="C52" s="65" t="s">
        <v>19</v>
      </c>
      <c r="D52" s="37"/>
      <c r="E52" s="37"/>
      <c r="F52" s="37"/>
      <c r="G52" s="37"/>
      <c r="H52" s="60"/>
      <c r="I52" s="60"/>
      <c r="J52" s="37"/>
      <c r="K52" s="62"/>
      <c r="L52" s="61"/>
      <c r="M52" s="62">
        <v>3000</v>
      </c>
      <c r="N52" s="63"/>
      <c r="O52" s="64"/>
      <c r="P52" s="59"/>
    </row>
    <row r="53" spans="1:17" s="48" customFormat="1" ht="25.5" customHeight="1" x14ac:dyDescent="0.15">
      <c r="A53" s="37">
        <v>20170214</v>
      </c>
      <c r="B53" s="58" t="s">
        <v>38</v>
      </c>
      <c r="C53" s="65" t="s">
        <v>19</v>
      </c>
      <c r="D53" s="37" t="s">
        <v>5</v>
      </c>
      <c r="E53" s="37" t="s">
        <v>27</v>
      </c>
      <c r="F53" s="23" t="s">
        <v>165</v>
      </c>
      <c r="G53" s="37" t="s">
        <v>22</v>
      </c>
      <c r="H53" s="60">
        <f>[10]副本!G106</f>
        <v>15130.712</v>
      </c>
      <c r="I53" s="60">
        <v>0</v>
      </c>
      <c r="J53" s="37"/>
      <c r="K53" s="62"/>
      <c r="L53" s="61">
        <f>H53-I53</f>
        <v>15130.712</v>
      </c>
      <c r="M53" s="62">
        <v>25000</v>
      </c>
      <c r="N53" s="63" t="s">
        <v>37</v>
      </c>
      <c r="O53" s="64" t="s">
        <v>36</v>
      </c>
      <c r="P53" s="59" t="s">
        <v>35</v>
      </c>
    </row>
    <row r="54" spans="1:17" s="48" customFormat="1" ht="25.5" customHeight="1" x14ac:dyDescent="0.15">
      <c r="A54" s="37">
        <v>20170214</v>
      </c>
      <c r="B54" s="58" t="s">
        <v>34</v>
      </c>
      <c r="C54" s="65" t="s">
        <v>19</v>
      </c>
      <c r="D54" s="37" t="s">
        <v>5</v>
      </c>
      <c r="E54" s="37" t="s">
        <v>27</v>
      </c>
      <c r="F54" s="23" t="s">
        <v>167</v>
      </c>
      <c r="G54" s="37" t="s">
        <v>22</v>
      </c>
      <c r="H54" s="60">
        <f>[10]副本!G108</f>
        <v>30364.863000000081</v>
      </c>
      <c r="I54" s="60">
        <v>0</v>
      </c>
      <c r="J54" s="37"/>
      <c r="K54" s="62"/>
      <c r="L54" s="61">
        <f>H54-I54</f>
        <v>30364.863000000081</v>
      </c>
      <c r="M54" s="62">
        <v>50000</v>
      </c>
      <c r="N54" s="63"/>
      <c r="O54" s="64"/>
      <c r="P54" s="59"/>
    </row>
    <row r="55" spans="1:17" s="48" customFormat="1" ht="25.5" customHeight="1" x14ac:dyDescent="0.15">
      <c r="A55" s="37">
        <v>20170214</v>
      </c>
      <c r="B55" s="58" t="s">
        <v>33</v>
      </c>
      <c r="C55" s="65" t="s">
        <v>19</v>
      </c>
      <c r="D55" s="37"/>
      <c r="E55" s="37" t="s">
        <v>32</v>
      </c>
      <c r="F55" s="23" t="s">
        <v>161</v>
      </c>
      <c r="G55" s="37" t="s">
        <v>22</v>
      </c>
      <c r="H55" s="60">
        <f>[10]副本!G110</f>
        <v>1813.6990000000169</v>
      </c>
      <c r="I55" s="60">
        <f>H55-1184.528</f>
        <v>629.17100000001687</v>
      </c>
      <c r="J55" s="37"/>
      <c r="K55" s="62"/>
      <c r="L55" s="61">
        <f>H55-I55</f>
        <v>1184.528</v>
      </c>
      <c r="M55" s="62">
        <v>4000</v>
      </c>
      <c r="N55" s="63"/>
      <c r="O55" s="64"/>
      <c r="P55" s="59" t="s">
        <v>31</v>
      </c>
    </row>
    <row r="56" spans="1:17" s="48" customFormat="1" ht="25.5" customHeight="1" x14ac:dyDescent="0.15">
      <c r="A56" s="37">
        <v>20170214</v>
      </c>
      <c r="B56" s="58" t="s">
        <v>30</v>
      </c>
      <c r="C56" s="65" t="s">
        <v>3</v>
      </c>
      <c r="D56" s="37"/>
      <c r="E56" s="37"/>
      <c r="F56" s="37"/>
      <c r="G56" s="37"/>
      <c r="H56" s="60"/>
      <c r="I56" s="60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25.5" customHeight="1" x14ac:dyDescent="0.15">
      <c r="A57" s="37">
        <v>20170214</v>
      </c>
      <c r="B57" s="58" t="s">
        <v>29</v>
      </c>
      <c r="C57" s="65" t="s">
        <v>3</v>
      </c>
      <c r="D57" s="37"/>
      <c r="E57" s="37"/>
      <c r="F57" s="37"/>
      <c r="G57" s="37"/>
      <c r="H57" s="60"/>
      <c r="I57" s="37"/>
      <c r="J57" s="37"/>
      <c r="K57" s="62"/>
      <c r="L57" s="61"/>
      <c r="M57" s="62">
        <v>37000</v>
      </c>
      <c r="N57" s="63"/>
      <c r="O57" s="64"/>
      <c r="P57" s="59"/>
    </row>
    <row r="58" spans="1:17" s="48" customFormat="1" ht="25.5" customHeight="1" x14ac:dyDescent="0.15">
      <c r="A58" s="37">
        <v>20170214</v>
      </c>
      <c r="B58" s="58" t="s">
        <v>28</v>
      </c>
      <c r="C58" s="65" t="s">
        <v>19</v>
      </c>
      <c r="D58" s="37" t="s">
        <v>5</v>
      </c>
      <c r="E58" s="37" t="s">
        <v>27</v>
      </c>
      <c r="F58" s="23" t="s">
        <v>165</v>
      </c>
      <c r="G58" s="37" t="s">
        <v>22</v>
      </c>
      <c r="H58" s="60">
        <f>[10]副本!G118</f>
        <v>1767.3689999999997</v>
      </c>
      <c r="I58" s="60">
        <v>0</v>
      </c>
      <c r="J58" s="37"/>
      <c r="K58" s="61"/>
      <c r="L58" s="61">
        <f>H58-I58</f>
        <v>1767.3689999999997</v>
      </c>
      <c r="M58" s="62">
        <v>10000</v>
      </c>
      <c r="N58" s="63"/>
      <c r="O58" s="64"/>
      <c r="P58" s="59"/>
      <c r="Q58" s="49"/>
    </row>
    <row r="59" spans="1:17" s="48" customFormat="1" ht="25.5" customHeight="1" x14ac:dyDescent="0.15">
      <c r="A59" s="37">
        <v>20170214</v>
      </c>
      <c r="B59" s="58" t="s">
        <v>26</v>
      </c>
      <c r="C59" s="65" t="s">
        <v>3</v>
      </c>
      <c r="D59" s="37" t="s">
        <v>5</v>
      </c>
      <c r="E59" s="37"/>
      <c r="F59" s="37"/>
      <c r="G59" s="37"/>
      <c r="H59" s="60"/>
      <c r="I59" s="60"/>
      <c r="J59" s="37"/>
      <c r="K59" s="61"/>
      <c r="L59" s="61"/>
      <c r="M59" s="62">
        <v>15000</v>
      </c>
      <c r="N59" s="63"/>
      <c r="O59" s="64"/>
      <c r="P59" s="59"/>
      <c r="Q59" s="49"/>
    </row>
    <row r="60" spans="1:17" s="48" customFormat="1" ht="25.5" customHeight="1" x14ac:dyDescent="0.15">
      <c r="A60" s="37">
        <v>20170214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[10]副本!G123</f>
        <v>5259.3309999999983</v>
      </c>
      <c r="I60" s="60">
        <f>H60</f>
        <v>5259.3309999999983</v>
      </c>
      <c r="J60" s="37"/>
      <c r="K60" s="62">
        <v>600</v>
      </c>
      <c r="L60" s="61"/>
      <c r="M60" s="62">
        <v>43000</v>
      </c>
      <c r="N60" s="63"/>
      <c r="O60" s="64"/>
      <c r="P60" s="59" t="s">
        <v>228</v>
      </c>
      <c r="Q60" s="49"/>
    </row>
    <row r="61" spans="1:17" s="48" customFormat="1" ht="25.5" customHeight="1" x14ac:dyDescent="0.15">
      <c r="A61" s="37">
        <v>20170214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[10]副本!G124</f>
        <v>410.39999999999964</v>
      </c>
      <c r="I61" s="60">
        <f>H61</f>
        <v>410.39999999999964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25.5" customHeight="1" x14ac:dyDescent="0.15">
      <c r="A62" s="37">
        <v>20170214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>
        <v>43000</v>
      </c>
      <c r="N62" s="63"/>
      <c r="O62" s="64"/>
      <c r="P62" s="59"/>
      <c r="Q62" s="49"/>
    </row>
    <row r="63" spans="1:17" s="48" customFormat="1" ht="25.5" customHeight="1" x14ac:dyDescent="0.15">
      <c r="A63" s="37">
        <v>20170214</v>
      </c>
      <c r="B63" s="58" t="s">
        <v>18</v>
      </c>
      <c r="C63" s="65" t="s">
        <v>3</v>
      </c>
      <c r="D63" s="37"/>
      <c r="E63" s="37" t="s">
        <v>202</v>
      </c>
      <c r="F63" s="23" t="s">
        <v>197</v>
      </c>
      <c r="G63" s="37" t="s">
        <v>1</v>
      </c>
      <c r="H63" s="60">
        <f>[10]副本!G128</f>
        <v>8339.3289999999961</v>
      </c>
      <c r="I63" s="60">
        <f>H63-8339.329</f>
        <v>0</v>
      </c>
      <c r="J63" s="37"/>
      <c r="K63" s="62">
        <v>150</v>
      </c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25.5" customHeight="1" x14ac:dyDescent="0.15">
      <c r="A64" s="37">
        <v>20170214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[10]副本!G130</f>
        <v>14706.423999999999</v>
      </c>
      <c r="I64" s="60">
        <f>H64-4751.949+4751.949-9902.153</f>
        <v>4804.2709999999988</v>
      </c>
      <c r="J64" s="37"/>
      <c r="K64" s="62"/>
      <c r="L64" s="61">
        <f>H64-I64</f>
        <v>9902.1530000000002</v>
      </c>
      <c r="M64" s="62">
        <v>30000</v>
      </c>
      <c r="N64" s="63"/>
      <c r="O64" s="64"/>
      <c r="P64" s="59" t="s">
        <v>227</v>
      </c>
    </row>
    <row r="65" spans="1:16" s="48" customFormat="1" ht="25.5" customHeight="1" x14ac:dyDescent="0.15">
      <c r="A65" s="37">
        <v>20170214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[10]副本!G131</f>
        <v>9946.3690000000006</v>
      </c>
      <c r="I65" s="60">
        <f>H65</f>
        <v>9946.3690000000006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25.5" customHeight="1" x14ac:dyDescent="0.15">
      <c r="A66" s="37">
        <v>20170214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[10]副本!G133</f>
        <v>14976.093999999999</v>
      </c>
      <c r="I66" s="60">
        <f>H66-14976.094</f>
        <v>0</v>
      </c>
      <c r="J66" s="37"/>
      <c r="K66" s="62">
        <v>250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25.5" customHeight="1" x14ac:dyDescent="0.15">
      <c r="A67" s="37">
        <v>20170214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[10]副本!G135</f>
        <v>23765.582999999973</v>
      </c>
      <c r="I67" s="60">
        <f>H67</f>
        <v>23765.582999999973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25.5" customHeight="1" x14ac:dyDescent="0.15">
      <c r="A68" s="37">
        <v>20170214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25.5" customHeight="1" x14ac:dyDescent="0.15">
      <c r="A69" s="37">
        <v>20170214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25.5" customHeight="1" x14ac:dyDescent="0.15">
      <c r="A70" s="37">
        <v>20170214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[10]副本!G142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25.5" customHeight="1" x14ac:dyDescent="0.15">
      <c r="A71" s="37">
        <v>20170214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[10]副本!G144</f>
        <v>2962.3899999999985</v>
      </c>
      <c r="I71" s="60">
        <f>H71</f>
        <v>2962.3899999999985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192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5" activePane="bottomRight" state="frozen"/>
      <selection pane="topRight"/>
      <selection pane="bottomLeft"/>
      <selection pane="bottomRight" activeCell="F69" sqref="F69:F70"/>
    </sheetView>
  </sheetViews>
  <sheetFormatPr defaultColWidth="8.875" defaultRowHeight="11.25" x14ac:dyDescent="0.15"/>
  <cols>
    <col min="1" max="1" width="8.875" style="1"/>
    <col min="2" max="2" width="5.875" style="3" customWidth="1"/>
    <col min="3" max="3" width="8.25" style="10" customWidth="1"/>
    <col min="4" max="4" width="4.625" style="9" customWidth="1"/>
    <col min="5" max="5" width="9.375" style="3" customWidth="1"/>
    <col min="6" max="6" width="27.75" style="3" customWidth="1"/>
    <col min="7" max="7" width="5.25" style="9" customWidth="1"/>
    <col min="8" max="8" width="10.125" style="8" customWidth="1"/>
    <col min="9" max="9" width="9.625" style="8" customWidth="1"/>
    <col min="10" max="10" width="8.25" style="2" hidden="1" customWidth="1"/>
    <col min="11" max="11" width="7" style="7" customWidth="1"/>
    <col min="12" max="12" width="8.375" style="6" customWidth="1"/>
    <col min="13" max="13" width="6" style="5" bestFit="1" customWidth="1"/>
    <col min="14" max="14" width="8.75" style="4" customWidth="1"/>
    <col min="15" max="15" width="8.25" style="4" customWidth="1"/>
    <col min="16" max="16" width="28.5" style="3" customWidth="1"/>
    <col min="17" max="17" width="8.875" style="2"/>
    <col min="18" max="16384" width="8.875" style="1"/>
  </cols>
  <sheetData>
    <row r="1" spans="1:17" s="12" customFormat="1" ht="22.5" x14ac:dyDescent="0.15">
      <c r="A1" s="87" t="s">
        <v>145</v>
      </c>
      <c r="B1" s="94" t="s">
        <v>144</v>
      </c>
      <c r="C1" s="87" t="s">
        <v>143</v>
      </c>
      <c r="D1" s="87" t="s">
        <v>142</v>
      </c>
      <c r="E1" s="87" t="s">
        <v>141</v>
      </c>
      <c r="F1" s="87" t="s">
        <v>177</v>
      </c>
      <c r="G1" s="84" t="s">
        <v>139</v>
      </c>
      <c r="H1" s="91" t="s">
        <v>138</v>
      </c>
      <c r="I1" s="90" t="s">
        <v>137</v>
      </c>
      <c r="J1" s="87"/>
      <c r="K1" s="88" t="s">
        <v>136</v>
      </c>
      <c r="L1" s="89" t="s">
        <v>135</v>
      </c>
      <c r="M1" s="88" t="s">
        <v>134</v>
      </c>
      <c r="N1" s="95" t="s">
        <v>133</v>
      </c>
      <c r="O1" s="95" t="s">
        <v>132</v>
      </c>
      <c r="P1" s="87" t="s">
        <v>131</v>
      </c>
    </row>
    <row r="2" spans="1:17" s="12" customFormat="1" ht="42.75" customHeight="1" x14ac:dyDescent="0.15">
      <c r="A2" s="80">
        <v>20170215</v>
      </c>
      <c r="B2" s="81" t="s">
        <v>130</v>
      </c>
      <c r="C2" s="92" t="s">
        <v>44</v>
      </c>
      <c r="D2" s="81"/>
      <c r="E2" s="80" t="s">
        <v>117</v>
      </c>
      <c r="F2" s="37" t="s">
        <v>178</v>
      </c>
      <c r="G2" s="74" t="s">
        <v>1</v>
      </c>
      <c r="H2" s="79"/>
      <c r="I2" s="79"/>
      <c r="J2" s="80"/>
      <c r="K2" s="77"/>
      <c r="L2" s="78"/>
      <c r="M2" s="77">
        <v>2000</v>
      </c>
      <c r="N2" s="76" t="s">
        <v>120</v>
      </c>
      <c r="O2" s="75" t="s">
        <v>89</v>
      </c>
      <c r="P2" s="74"/>
    </row>
    <row r="3" spans="1:17" s="12" customFormat="1" ht="42.75" customHeight="1" x14ac:dyDescent="0.15">
      <c r="A3" s="80">
        <v>20170215</v>
      </c>
      <c r="B3" s="81" t="s">
        <v>129</v>
      </c>
      <c r="C3" s="92" t="s">
        <v>44</v>
      </c>
      <c r="D3" s="81"/>
      <c r="E3" s="80" t="s">
        <v>86</v>
      </c>
      <c r="F3" s="23" t="s">
        <v>156</v>
      </c>
      <c r="G3" s="74" t="s">
        <v>1</v>
      </c>
      <c r="H3" s="79">
        <f>[11]副本!G6</f>
        <v>430.61899999999991</v>
      </c>
      <c r="I3" s="79">
        <f>H3</f>
        <v>430.61899999999991</v>
      </c>
      <c r="J3" s="80"/>
      <c r="K3" s="77"/>
      <c r="L3" s="78">
        <f>H3-I3</f>
        <v>0</v>
      </c>
      <c r="M3" s="77">
        <v>1500</v>
      </c>
      <c r="N3" s="76"/>
      <c r="O3" s="75"/>
      <c r="P3" s="74"/>
    </row>
    <row r="4" spans="1:17" s="12" customFormat="1" ht="42.75" customHeight="1" x14ac:dyDescent="0.15">
      <c r="A4" s="80">
        <v>20170215</v>
      </c>
      <c r="B4" s="81" t="s">
        <v>128</v>
      </c>
      <c r="C4" s="92" t="s">
        <v>44</v>
      </c>
      <c r="D4" s="81"/>
      <c r="E4" s="80" t="s">
        <v>43</v>
      </c>
      <c r="F4" s="37" t="s">
        <v>157</v>
      </c>
      <c r="G4" s="74" t="s">
        <v>1</v>
      </c>
      <c r="H4" s="79">
        <f>[11]副本!G8</f>
        <v>1383.3429999999958</v>
      </c>
      <c r="I4" s="79">
        <f>H4</f>
        <v>1383.3429999999958</v>
      </c>
      <c r="J4" s="80"/>
      <c r="K4" s="78"/>
      <c r="L4" s="78">
        <v>0</v>
      </c>
      <c r="M4" s="77">
        <v>2000</v>
      </c>
      <c r="N4" s="76" t="s">
        <v>127</v>
      </c>
      <c r="O4" s="75" t="s">
        <v>126</v>
      </c>
      <c r="P4" s="74" t="s">
        <v>122</v>
      </c>
    </row>
    <row r="5" spans="1:17" s="12" customFormat="1" ht="42.75" customHeight="1" x14ac:dyDescent="0.15">
      <c r="A5" s="80">
        <v>20170215</v>
      </c>
      <c r="B5" s="81" t="s">
        <v>125</v>
      </c>
      <c r="C5" s="92" t="s">
        <v>44</v>
      </c>
      <c r="D5" s="80"/>
      <c r="E5" s="80" t="s">
        <v>117</v>
      </c>
      <c r="F5" s="37" t="s">
        <v>148</v>
      </c>
      <c r="G5" s="74" t="s">
        <v>1</v>
      </c>
      <c r="H5" s="79">
        <f>[11]副本!G10</f>
        <v>858.02400000002945</v>
      </c>
      <c r="I5" s="79">
        <f>H5</f>
        <v>858.02400000002945</v>
      </c>
      <c r="J5" s="80"/>
      <c r="K5" s="77"/>
      <c r="L5" s="78">
        <f>H5-I5</f>
        <v>0</v>
      </c>
      <c r="M5" s="77">
        <v>2000</v>
      </c>
      <c r="N5" s="76" t="s">
        <v>123</v>
      </c>
      <c r="O5" s="75" t="s">
        <v>89</v>
      </c>
      <c r="P5" s="74" t="s">
        <v>245</v>
      </c>
    </row>
    <row r="6" spans="1:17" s="12" customFormat="1" ht="42.75" customHeight="1" x14ac:dyDescent="0.15">
      <c r="A6" s="80">
        <v>20170215</v>
      </c>
      <c r="B6" s="81" t="s">
        <v>121</v>
      </c>
      <c r="C6" s="92" t="s">
        <v>44</v>
      </c>
      <c r="D6" s="80"/>
      <c r="E6" s="80" t="s">
        <v>117</v>
      </c>
      <c r="F6" s="37" t="s">
        <v>149</v>
      </c>
      <c r="G6" s="74" t="s">
        <v>1</v>
      </c>
      <c r="H6" s="79"/>
      <c r="I6" s="79"/>
      <c r="J6" s="80"/>
      <c r="K6" s="77"/>
      <c r="L6" s="78"/>
      <c r="M6" s="77">
        <v>3000</v>
      </c>
      <c r="N6" s="76" t="s">
        <v>120</v>
      </c>
      <c r="O6" s="75" t="s">
        <v>89</v>
      </c>
      <c r="P6" s="74"/>
      <c r="Q6" s="13"/>
    </row>
    <row r="7" spans="1:17" s="12" customFormat="1" ht="42.75" customHeight="1" x14ac:dyDescent="0.15">
      <c r="A7" s="80">
        <v>20170215</v>
      </c>
      <c r="B7" s="81" t="s">
        <v>118</v>
      </c>
      <c r="C7" s="92" t="s">
        <v>44</v>
      </c>
      <c r="D7" s="80"/>
      <c r="E7" s="80" t="s">
        <v>117</v>
      </c>
      <c r="F7" s="37" t="s">
        <v>148</v>
      </c>
      <c r="G7" s="80" t="s">
        <v>1</v>
      </c>
      <c r="H7" s="79"/>
      <c r="I7" s="79"/>
      <c r="J7" s="80"/>
      <c r="K7" s="77"/>
      <c r="L7" s="78"/>
      <c r="M7" s="77">
        <v>3000</v>
      </c>
      <c r="N7" s="76"/>
      <c r="O7" s="75"/>
      <c r="P7" s="74"/>
      <c r="Q7" s="13"/>
    </row>
    <row r="8" spans="1:17" s="12" customFormat="1" ht="42.75" customHeight="1" x14ac:dyDescent="0.15">
      <c r="A8" s="80">
        <v>20170215</v>
      </c>
      <c r="B8" s="81" t="s">
        <v>115</v>
      </c>
      <c r="C8" s="92" t="s">
        <v>44</v>
      </c>
      <c r="D8" s="80"/>
      <c r="E8" s="80" t="s">
        <v>114</v>
      </c>
      <c r="F8" s="23" t="s">
        <v>150</v>
      </c>
      <c r="G8" s="80" t="s">
        <v>1</v>
      </c>
      <c r="H8" s="79">
        <f>[11]副本!G16</f>
        <v>1425.6890000000003</v>
      </c>
      <c r="I8" s="79">
        <f>H8</f>
        <v>1425.6890000000003</v>
      </c>
      <c r="J8" s="80"/>
      <c r="K8" s="77"/>
      <c r="L8" s="78">
        <v>0</v>
      </c>
      <c r="M8" s="77">
        <v>3000</v>
      </c>
      <c r="N8" s="76"/>
      <c r="O8" s="75"/>
      <c r="P8" s="74" t="s">
        <v>103</v>
      </c>
    </row>
    <row r="9" spans="1:17" s="12" customFormat="1" ht="42.75" customHeight="1" x14ac:dyDescent="0.15">
      <c r="A9" s="80">
        <v>20170215</v>
      </c>
      <c r="B9" s="81" t="s">
        <v>113</v>
      </c>
      <c r="C9" s="92" t="s">
        <v>3</v>
      </c>
      <c r="D9" s="80"/>
      <c r="E9" s="80" t="s">
        <v>112</v>
      </c>
      <c r="F9" s="23" t="s">
        <v>151</v>
      </c>
      <c r="G9" s="80" t="s">
        <v>1</v>
      </c>
      <c r="H9" s="80">
        <f>[11]副本!G18</f>
        <v>1322.4749999999999</v>
      </c>
      <c r="I9" s="79">
        <f>H9</f>
        <v>1322.4749999999999</v>
      </c>
      <c r="J9" s="80"/>
      <c r="K9" s="77">
        <v>100</v>
      </c>
      <c r="L9" s="78">
        <f>H9-I9</f>
        <v>0</v>
      </c>
      <c r="M9" s="77">
        <v>5000</v>
      </c>
      <c r="N9" s="76" t="s">
        <v>111</v>
      </c>
      <c r="O9" s="75" t="s">
        <v>110</v>
      </c>
      <c r="P9" s="74" t="s">
        <v>109</v>
      </c>
    </row>
    <row r="10" spans="1:17" s="12" customFormat="1" ht="42.75" customHeight="1" x14ac:dyDescent="0.15">
      <c r="A10" s="80">
        <v>20170215</v>
      </c>
      <c r="B10" s="81" t="s">
        <v>108</v>
      </c>
      <c r="C10" s="80" t="s">
        <v>44</v>
      </c>
      <c r="D10" s="80"/>
      <c r="E10" s="80" t="s">
        <v>71</v>
      </c>
      <c r="F10" s="23" t="s">
        <v>152</v>
      </c>
      <c r="G10" s="80" t="s">
        <v>1</v>
      </c>
      <c r="H10" s="79">
        <f>[11]副本!G20</f>
        <v>1.5219999999999345</v>
      </c>
      <c r="I10" s="79">
        <f>H10</f>
        <v>1.5219999999999345</v>
      </c>
      <c r="J10" s="80"/>
      <c r="K10" s="77"/>
      <c r="L10" s="78">
        <f>H10-I10</f>
        <v>0</v>
      </c>
      <c r="M10" s="77">
        <v>1500</v>
      </c>
      <c r="N10" s="76"/>
      <c r="O10" s="75"/>
      <c r="P10" s="74" t="s">
        <v>107</v>
      </c>
    </row>
    <row r="11" spans="1:17" s="12" customFormat="1" ht="42.75" customHeight="1" x14ac:dyDescent="0.15">
      <c r="A11" s="80">
        <v>20170215</v>
      </c>
      <c r="B11" s="81" t="s">
        <v>108</v>
      </c>
      <c r="C11" s="80" t="s">
        <v>44</v>
      </c>
      <c r="D11" s="80"/>
      <c r="E11" s="80" t="s">
        <v>71</v>
      </c>
      <c r="F11" s="23" t="s">
        <v>154</v>
      </c>
      <c r="G11" s="80" t="s">
        <v>1</v>
      </c>
      <c r="H11" s="79">
        <f>[11]副本!G22</f>
        <v>1000</v>
      </c>
      <c r="I11" s="79">
        <f>H11</f>
        <v>1000</v>
      </c>
      <c r="J11" s="80"/>
      <c r="K11" s="77"/>
      <c r="L11" s="78">
        <f>H11-I11</f>
        <v>0</v>
      </c>
      <c r="M11" s="77">
        <v>1500</v>
      </c>
      <c r="N11" s="76"/>
      <c r="O11" s="75"/>
      <c r="P11" s="74" t="s">
        <v>106</v>
      </c>
    </row>
    <row r="12" spans="1:17" s="12" customFormat="1" ht="42.75" customHeight="1" x14ac:dyDescent="0.15">
      <c r="A12" s="80">
        <v>20170215</v>
      </c>
      <c r="B12" s="81" t="s">
        <v>105</v>
      </c>
      <c r="C12" s="80" t="s">
        <v>44</v>
      </c>
      <c r="D12" s="80"/>
      <c r="E12" s="80" t="s">
        <v>86</v>
      </c>
      <c r="F12" s="23" t="s">
        <v>155</v>
      </c>
      <c r="G12" s="80" t="s">
        <v>1</v>
      </c>
      <c r="H12" s="79">
        <f>[11]副本!G24</f>
        <v>1502.1479999999999</v>
      </c>
      <c r="I12" s="79">
        <f>H12</f>
        <v>1502.1479999999999</v>
      </c>
      <c r="J12" s="80"/>
      <c r="K12" s="77"/>
      <c r="L12" s="78">
        <f>H12-I12</f>
        <v>0</v>
      </c>
      <c r="M12" s="77">
        <v>1500</v>
      </c>
      <c r="N12" s="76"/>
      <c r="O12" s="75"/>
      <c r="P12" s="74"/>
    </row>
    <row r="13" spans="1:17" s="12" customFormat="1" ht="42.75" customHeight="1" x14ac:dyDescent="0.15">
      <c r="A13" s="80">
        <v>20170215</v>
      </c>
      <c r="B13" s="81" t="s">
        <v>104</v>
      </c>
      <c r="C13" s="92" t="s">
        <v>19</v>
      </c>
      <c r="D13" s="80"/>
      <c r="E13" s="80" t="s">
        <v>114</v>
      </c>
      <c r="F13" s="80"/>
      <c r="G13" s="80"/>
      <c r="H13" s="79"/>
      <c r="I13" s="79"/>
      <c r="J13" s="80"/>
      <c r="K13" s="77"/>
      <c r="L13" s="78"/>
      <c r="M13" s="77">
        <v>1500</v>
      </c>
      <c r="N13" s="76"/>
      <c r="O13" s="75"/>
      <c r="P13" s="74"/>
      <c r="Q13" s="13"/>
    </row>
    <row r="14" spans="1:17" s="12" customFormat="1" ht="42.75" customHeight="1" x14ac:dyDescent="0.15">
      <c r="A14" s="80">
        <v>20170215</v>
      </c>
      <c r="B14" s="81" t="s">
        <v>102</v>
      </c>
      <c r="C14" s="92" t="s">
        <v>19</v>
      </c>
      <c r="D14" s="80"/>
      <c r="E14" s="80"/>
      <c r="F14" s="80"/>
      <c r="G14" s="80"/>
      <c r="H14" s="79"/>
      <c r="I14" s="79"/>
      <c r="J14" s="80"/>
      <c r="K14" s="78"/>
      <c r="L14" s="78"/>
      <c r="M14" s="77">
        <v>1500</v>
      </c>
      <c r="N14" s="76"/>
      <c r="O14" s="75"/>
      <c r="P14" s="74"/>
    </row>
    <row r="15" spans="1:17" s="12" customFormat="1" ht="42.75" customHeight="1" x14ac:dyDescent="0.15">
      <c r="A15" s="80">
        <v>20170215</v>
      </c>
      <c r="B15" s="81" t="s">
        <v>101</v>
      </c>
      <c r="C15" s="92" t="s">
        <v>44</v>
      </c>
      <c r="D15" s="80"/>
      <c r="E15" s="80" t="s">
        <v>71</v>
      </c>
      <c r="F15" s="23" t="s">
        <v>152</v>
      </c>
      <c r="G15" s="80" t="s">
        <v>1</v>
      </c>
      <c r="H15" s="79">
        <f>[11]副本!G30</f>
        <v>432.577</v>
      </c>
      <c r="I15" s="79">
        <f>H15</f>
        <v>432.577</v>
      </c>
      <c r="J15" s="80"/>
      <c r="K15" s="77"/>
      <c r="L15" s="78">
        <v>0</v>
      </c>
      <c r="M15" s="77">
        <v>1500</v>
      </c>
      <c r="N15" s="76"/>
      <c r="O15" s="75"/>
      <c r="P15" s="74" t="s">
        <v>243</v>
      </c>
    </row>
    <row r="16" spans="1:17" s="12" customFormat="1" ht="42.75" customHeight="1" x14ac:dyDescent="0.15">
      <c r="A16" s="80">
        <v>20170215</v>
      </c>
      <c r="B16" s="81" t="s">
        <v>101</v>
      </c>
      <c r="C16" s="92" t="s">
        <v>44</v>
      </c>
      <c r="D16" s="80"/>
      <c r="E16" s="80" t="s">
        <v>71</v>
      </c>
      <c r="F16" s="23" t="s">
        <v>153</v>
      </c>
      <c r="G16" s="80" t="s">
        <v>1</v>
      </c>
      <c r="H16" s="79">
        <f>[11]副本!G31</f>
        <v>183.01999999999998</v>
      </c>
      <c r="I16" s="79">
        <f>H16</f>
        <v>183.01999999999998</v>
      </c>
      <c r="J16" s="80"/>
      <c r="K16" s="77"/>
      <c r="L16" s="78"/>
      <c r="M16" s="77">
        <v>1500</v>
      </c>
      <c r="N16" s="76"/>
      <c r="O16" s="75"/>
      <c r="P16" s="97" t="s">
        <v>242</v>
      </c>
    </row>
    <row r="17" spans="1:17" s="12" customFormat="1" ht="42.75" customHeight="1" x14ac:dyDescent="0.15">
      <c r="A17" s="80">
        <v>20170215</v>
      </c>
      <c r="B17" s="81" t="s">
        <v>99</v>
      </c>
      <c r="C17" s="92" t="s">
        <v>93</v>
      </c>
      <c r="D17" s="80"/>
      <c r="E17" s="80" t="s">
        <v>9</v>
      </c>
      <c r="F17" s="23" t="s">
        <v>158</v>
      </c>
      <c r="G17" s="80" t="s">
        <v>1</v>
      </c>
      <c r="H17" s="79">
        <f>[11]副本!G33-H18</f>
        <v>16488.247000000018</v>
      </c>
      <c r="I17" s="79">
        <f>H17</f>
        <v>16488.247000000018</v>
      </c>
      <c r="J17" s="80"/>
      <c r="K17" s="77"/>
      <c r="L17" s="78">
        <f>H17-I17</f>
        <v>0</v>
      </c>
      <c r="M17" s="77">
        <v>21000</v>
      </c>
      <c r="N17" s="76" t="s">
        <v>90</v>
      </c>
      <c r="O17" s="75" t="s">
        <v>89</v>
      </c>
      <c r="P17" s="74" t="s">
        <v>98</v>
      </c>
    </row>
    <row r="18" spans="1:17" s="12" customFormat="1" ht="42.75" customHeight="1" x14ac:dyDescent="0.15">
      <c r="A18" s="80">
        <v>20170215</v>
      </c>
      <c r="B18" s="81" t="s">
        <v>99</v>
      </c>
      <c r="C18" s="92" t="s">
        <v>93</v>
      </c>
      <c r="D18" s="80"/>
      <c r="E18" s="80" t="s">
        <v>9</v>
      </c>
      <c r="F18" s="24" t="s">
        <v>175</v>
      </c>
      <c r="G18" s="80" t="s">
        <v>1</v>
      </c>
      <c r="H18" s="79">
        <f>[11]副本!G35</f>
        <v>2172.7529999999824</v>
      </c>
      <c r="I18" s="79">
        <f>H18</f>
        <v>2172.7529999999824</v>
      </c>
      <c r="J18" s="80"/>
      <c r="K18" s="77"/>
      <c r="L18" s="78">
        <f>H18-I18</f>
        <v>0</v>
      </c>
      <c r="M18" s="77">
        <v>21000</v>
      </c>
      <c r="N18" s="76" t="s">
        <v>90</v>
      </c>
      <c r="O18" s="75" t="s">
        <v>89</v>
      </c>
      <c r="P18" s="74" t="s">
        <v>97</v>
      </c>
    </row>
    <row r="19" spans="1:17" s="12" customFormat="1" ht="42.75" customHeight="1" x14ac:dyDescent="0.15">
      <c r="A19" s="80">
        <v>20170215</v>
      </c>
      <c r="B19" s="81" t="s">
        <v>96</v>
      </c>
      <c r="C19" s="92" t="s">
        <v>44</v>
      </c>
      <c r="D19" s="80" t="s">
        <v>5</v>
      </c>
      <c r="E19" s="80" t="s">
        <v>61</v>
      </c>
      <c r="F19" s="23" t="s">
        <v>159</v>
      </c>
      <c r="G19" s="80" t="s">
        <v>1</v>
      </c>
      <c r="H19" s="79">
        <f>[11]副本!G37</f>
        <v>2350.4299999999998</v>
      </c>
      <c r="I19" s="79">
        <f>H19-3496.542+1000+2496.542</f>
        <v>2350.4299999999998</v>
      </c>
      <c r="J19" s="80"/>
      <c r="K19" s="77"/>
      <c r="L19" s="78">
        <f>H19-I19</f>
        <v>0</v>
      </c>
      <c r="M19" s="77">
        <v>5000</v>
      </c>
      <c r="N19" s="76"/>
      <c r="O19" s="75"/>
      <c r="P19" s="74" t="s">
        <v>241</v>
      </c>
    </row>
    <row r="20" spans="1:17" s="12" customFormat="1" ht="42.75" customHeight="1" x14ac:dyDescent="0.15">
      <c r="A20" s="80">
        <v>20170215</v>
      </c>
      <c r="B20" s="81" t="s">
        <v>95</v>
      </c>
      <c r="C20" s="92" t="s">
        <v>44</v>
      </c>
      <c r="D20" s="80"/>
      <c r="E20" s="80"/>
      <c r="F20" s="80"/>
      <c r="G20" s="80"/>
      <c r="H20" s="79"/>
      <c r="I20" s="79"/>
      <c r="J20" s="80"/>
      <c r="K20" s="77"/>
      <c r="L20" s="78"/>
      <c r="M20" s="77">
        <v>3000</v>
      </c>
      <c r="N20" s="76"/>
      <c r="O20" s="75"/>
      <c r="P20" s="74"/>
    </row>
    <row r="21" spans="1:17" s="12" customFormat="1" ht="42.75" customHeight="1" x14ac:dyDescent="0.15">
      <c r="A21" s="80">
        <v>20170215</v>
      </c>
      <c r="B21" s="81" t="s">
        <v>94</v>
      </c>
      <c r="C21" s="92" t="s">
        <v>93</v>
      </c>
      <c r="D21" s="80"/>
      <c r="E21" s="80" t="s">
        <v>9</v>
      </c>
      <c r="F21" s="23" t="s">
        <v>158</v>
      </c>
      <c r="G21" s="80" t="s">
        <v>1</v>
      </c>
      <c r="H21" s="79">
        <f>[11]副本!G41-'20170215'!H22</f>
        <v>1513.5454280000376</v>
      </c>
      <c r="I21" s="79">
        <f>H21</f>
        <v>1513.5454280000376</v>
      </c>
      <c r="J21" s="80"/>
      <c r="K21" s="77"/>
      <c r="L21" s="78">
        <f t="shared" ref="L21:L26" si="0">H21-I21</f>
        <v>0</v>
      </c>
      <c r="M21" s="77">
        <v>21000</v>
      </c>
      <c r="N21" s="76" t="s">
        <v>92</v>
      </c>
      <c r="O21" s="75" t="s">
        <v>89</v>
      </c>
      <c r="P21" s="74" t="s">
        <v>91</v>
      </c>
    </row>
    <row r="22" spans="1:17" s="12" customFormat="1" ht="42.75" customHeight="1" x14ac:dyDescent="0.15">
      <c r="A22" s="80">
        <v>20170215</v>
      </c>
      <c r="B22" s="81" t="s">
        <v>94</v>
      </c>
      <c r="C22" s="92" t="s">
        <v>93</v>
      </c>
      <c r="D22" s="80"/>
      <c r="E22" s="80" t="s">
        <v>9</v>
      </c>
      <c r="F22" s="24" t="s">
        <v>175</v>
      </c>
      <c r="G22" s="80" t="s">
        <v>1</v>
      </c>
      <c r="H22" s="79">
        <f>[11]副本!G43</f>
        <v>5216.4545719999624</v>
      </c>
      <c r="I22" s="79">
        <f>H22</f>
        <v>5216.4545719999624</v>
      </c>
      <c r="J22" s="80"/>
      <c r="K22" s="93"/>
      <c r="L22" s="78">
        <f t="shared" si="0"/>
        <v>0</v>
      </c>
      <c r="M22" s="77">
        <v>21000</v>
      </c>
      <c r="N22" s="76" t="s">
        <v>90</v>
      </c>
      <c r="O22" s="75" t="s">
        <v>89</v>
      </c>
      <c r="P22" s="74" t="s">
        <v>88</v>
      </c>
    </row>
    <row r="23" spans="1:17" s="12" customFormat="1" ht="42.75" customHeight="1" x14ac:dyDescent="0.15">
      <c r="A23" s="80">
        <v>20170215</v>
      </c>
      <c r="B23" s="81" t="s">
        <v>87</v>
      </c>
      <c r="C23" s="92" t="s">
        <v>44</v>
      </c>
      <c r="D23" s="80"/>
      <c r="E23" s="80" t="s">
        <v>86</v>
      </c>
      <c r="F23" s="23" t="s">
        <v>160</v>
      </c>
      <c r="G23" s="80" t="s">
        <v>1</v>
      </c>
      <c r="H23" s="79">
        <f>[11]副本!G45</f>
        <v>6134.7419999999993</v>
      </c>
      <c r="I23" s="79">
        <f>H23</f>
        <v>6134.7419999999993</v>
      </c>
      <c r="J23" s="80"/>
      <c r="K23" s="77">
        <v>350</v>
      </c>
      <c r="L23" s="78">
        <f t="shared" si="0"/>
        <v>0</v>
      </c>
      <c r="M23" s="77">
        <v>5000</v>
      </c>
      <c r="N23" s="76"/>
      <c r="O23" s="75"/>
      <c r="P23" s="74" t="s">
        <v>85</v>
      </c>
    </row>
    <row r="24" spans="1:17" s="12" customFormat="1" ht="42.75" customHeight="1" x14ac:dyDescent="0.15">
      <c r="A24" s="80">
        <v>20170215</v>
      </c>
      <c r="B24" s="81" t="s">
        <v>84</v>
      </c>
      <c r="C24" s="92" t="s">
        <v>3</v>
      </c>
      <c r="D24" s="80"/>
      <c r="E24" s="74" t="s">
        <v>83</v>
      </c>
      <c r="F24" s="23" t="s">
        <v>161</v>
      </c>
      <c r="G24" s="80" t="s">
        <v>1</v>
      </c>
      <c r="H24" s="79">
        <f>[11]副本!G47</f>
        <v>104.73299999999995</v>
      </c>
      <c r="I24" s="79">
        <f>H24</f>
        <v>104.73299999999995</v>
      </c>
      <c r="J24" s="80"/>
      <c r="K24" s="77"/>
      <c r="L24" s="78">
        <f t="shared" si="0"/>
        <v>0</v>
      </c>
      <c r="M24" s="77">
        <v>5000</v>
      </c>
      <c r="N24" s="76"/>
      <c r="O24" s="75"/>
      <c r="P24" s="96" t="s">
        <v>82</v>
      </c>
    </row>
    <row r="25" spans="1:17" s="12" customFormat="1" ht="42.75" customHeight="1" x14ac:dyDescent="0.15">
      <c r="A25" s="80">
        <v>20170215</v>
      </c>
      <c r="B25" s="81" t="s">
        <v>81</v>
      </c>
      <c r="C25" s="92" t="s">
        <v>44</v>
      </c>
      <c r="D25" s="80"/>
      <c r="E25" s="80" t="s">
        <v>240</v>
      </c>
      <c r="F25" s="23" t="s">
        <v>161</v>
      </c>
      <c r="G25" s="80" t="s">
        <v>1</v>
      </c>
      <c r="H25" s="79">
        <f>[11]副本!G49</f>
        <v>3992.8519999999999</v>
      </c>
      <c r="I25" s="79">
        <f>H25-3992.852</f>
        <v>0</v>
      </c>
      <c r="J25" s="80"/>
      <c r="K25" s="77"/>
      <c r="L25" s="78">
        <f t="shared" si="0"/>
        <v>3992.8519999999999</v>
      </c>
      <c r="M25" s="77">
        <v>5000</v>
      </c>
      <c r="N25" s="76"/>
      <c r="O25" s="75"/>
      <c r="P25" s="74"/>
    </row>
    <row r="26" spans="1:17" s="12" customFormat="1" ht="42.75" customHeight="1" x14ac:dyDescent="0.15">
      <c r="A26" s="80">
        <v>20170215</v>
      </c>
      <c r="B26" s="81" t="s">
        <v>80</v>
      </c>
      <c r="C26" s="92" t="s">
        <v>44</v>
      </c>
      <c r="D26" s="80"/>
      <c r="E26" s="80" t="s">
        <v>43</v>
      </c>
      <c r="F26" s="23" t="s">
        <v>157</v>
      </c>
      <c r="G26" s="80" t="s">
        <v>1</v>
      </c>
      <c r="H26" s="79">
        <f>[11]副本!G52</f>
        <v>2144.2040000000002</v>
      </c>
      <c r="I26" s="79">
        <f>H26</f>
        <v>2144.2040000000002</v>
      </c>
      <c r="J26" s="80"/>
      <c r="K26" s="77"/>
      <c r="L26" s="78">
        <f t="shared" si="0"/>
        <v>0</v>
      </c>
      <c r="M26" s="77">
        <v>4000</v>
      </c>
      <c r="N26" s="76"/>
      <c r="O26" s="75"/>
      <c r="P26" s="74"/>
    </row>
    <row r="27" spans="1:17" s="12" customFormat="1" ht="42.75" customHeight="1" x14ac:dyDescent="0.15">
      <c r="A27" s="80">
        <v>20170215</v>
      </c>
      <c r="B27" s="81" t="s">
        <v>79</v>
      </c>
      <c r="C27" s="92" t="s">
        <v>74</v>
      </c>
      <c r="D27" s="80"/>
      <c r="E27" s="80"/>
      <c r="F27" s="80"/>
      <c r="G27" s="80"/>
      <c r="H27" s="79"/>
      <c r="I27" s="79"/>
      <c r="J27" s="80"/>
      <c r="K27" s="77"/>
      <c r="L27" s="78"/>
      <c r="M27" s="77">
        <v>5000</v>
      </c>
      <c r="N27" s="76"/>
      <c r="O27" s="75"/>
      <c r="P27" s="74"/>
    </row>
    <row r="28" spans="1:17" s="12" customFormat="1" ht="42.75" customHeight="1" x14ac:dyDescent="0.15">
      <c r="A28" s="80">
        <v>20170215</v>
      </c>
      <c r="B28" s="81" t="s">
        <v>78</v>
      </c>
      <c r="C28" s="92" t="s">
        <v>74</v>
      </c>
      <c r="D28" s="80"/>
      <c r="E28" s="80" t="s">
        <v>32</v>
      </c>
      <c r="F28" s="80"/>
      <c r="G28" s="80"/>
      <c r="H28" s="79"/>
      <c r="I28" s="79"/>
      <c r="J28" s="80"/>
      <c r="K28" s="77"/>
      <c r="L28" s="78"/>
      <c r="M28" s="77">
        <v>2000</v>
      </c>
      <c r="N28" s="76"/>
      <c r="O28" s="75"/>
      <c r="P28" s="74"/>
    </row>
    <row r="29" spans="1:17" s="12" customFormat="1" ht="42.75" customHeight="1" x14ac:dyDescent="0.15">
      <c r="A29" s="80">
        <v>20170215</v>
      </c>
      <c r="B29" s="81" t="s">
        <v>77</v>
      </c>
      <c r="C29" s="92" t="s">
        <v>74</v>
      </c>
      <c r="D29" s="80"/>
      <c r="E29" s="80" t="s">
        <v>32</v>
      </c>
      <c r="F29" s="23" t="s">
        <v>153</v>
      </c>
      <c r="G29" s="80" t="s">
        <v>1</v>
      </c>
      <c r="H29" s="79">
        <f>[11]副本!G59</f>
        <v>1098.6790000000001</v>
      </c>
      <c r="I29" s="79">
        <f>H29-1098.679+1098.679</f>
        <v>1098.6790000000001</v>
      </c>
      <c r="J29" s="80"/>
      <c r="K29" s="77"/>
      <c r="L29" s="78">
        <f>H29-I29</f>
        <v>0</v>
      </c>
      <c r="M29" s="77">
        <v>1500</v>
      </c>
      <c r="N29" s="76"/>
      <c r="O29" s="75"/>
      <c r="P29" s="74" t="s">
        <v>239</v>
      </c>
    </row>
    <row r="30" spans="1:17" s="12" customFormat="1" ht="42.75" customHeight="1" x14ac:dyDescent="0.15">
      <c r="A30" s="80">
        <v>20170215</v>
      </c>
      <c r="B30" s="81" t="s">
        <v>76</v>
      </c>
      <c r="C30" s="92" t="s">
        <v>74</v>
      </c>
      <c r="D30" s="80"/>
      <c r="E30" s="80" t="s">
        <v>32</v>
      </c>
      <c r="F30" s="37"/>
      <c r="G30" s="80"/>
      <c r="H30" s="79"/>
      <c r="I30" s="79"/>
      <c r="J30" s="80"/>
      <c r="K30" s="77"/>
      <c r="L30" s="78"/>
      <c r="M30" s="77">
        <v>1500</v>
      </c>
      <c r="N30" s="76"/>
      <c r="O30" s="75"/>
      <c r="P30" s="74"/>
      <c r="Q30" s="13"/>
    </row>
    <row r="31" spans="1:17" s="12" customFormat="1" ht="42.75" customHeight="1" x14ac:dyDescent="0.15">
      <c r="A31" s="80">
        <v>20170215</v>
      </c>
      <c r="B31" s="81" t="s">
        <v>75</v>
      </c>
      <c r="C31" s="92" t="s">
        <v>74</v>
      </c>
      <c r="D31" s="80"/>
      <c r="E31" s="80" t="s">
        <v>32</v>
      </c>
      <c r="F31" s="23" t="s">
        <v>153</v>
      </c>
      <c r="G31" s="80" t="s">
        <v>1</v>
      </c>
      <c r="H31" s="79">
        <f>[11]副本!G63</f>
        <v>1096.2820000000002</v>
      </c>
      <c r="I31" s="79">
        <f>H31-1096.282+1096.282</f>
        <v>1096.2820000000002</v>
      </c>
      <c r="J31" s="80"/>
      <c r="K31" s="77"/>
      <c r="L31" s="78">
        <f>H31-I31</f>
        <v>0</v>
      </c>
      <c r="M31" s="77">
        <v>1500</v>
      </c>
      <c r="N31" s="76"/>
      <c r="O31" s="75"/>
      <c r="P31" s="74" t="s">
        <v>239</v>
      </c>
    </row>
    <row r="32" spans="1:17" s="12" customFormat="1" ht="42.75" customHeight="1" x14ac:dyDescent="0.15">
      <c r="A32" s="80">
        <v>20170215</v>
      </c>
      <c r="B32" s="81" t="s">
        <v>73</v>
      </c>
      <c r="C32" s="92" t="s">
        <v>44</v>
      </c>
      <c r="D32" s="80"/>
      <c r="E32" s="80"/>
      <c r="F32" s="80"/>
      <c r="G32" s="80"/>
      <c r="H32" s="79"/>
      <c r="I32" s="79"/>
      <c r="J32" s="80"/>
      <c r="K32" s="77"/>
      <c r="L32" s="78"/>
      <c r="M32" s="77">
        <v>1500</v>
      </c>
      <c r="N32" s="76"/>
      <c r="O32" s="75"/>
      <c r="P32" s="74"/>
    </row>
    <row r="33" spans="1:16" s="12" customFormat="1" ht="42.75" customHeight="1" x14ac:dyDescent="0.15">
      <c r="A33" s="80">
        <v>20170215</v>
      </c>
      <c r="B33" s="81" t="s">
        <v>72</v>
      </c>
      <c r="C33" s="92" t="s">
        <v>44</v>
      </c>
      <c r="D33" s="80"/>
      <c r="E33" s="80" t="s">
        <v>71</v>
      </c>
      <c r="F33" s="23" t="s">
        <v>154</v>
      </c>
      <c r="G33" s="80" t="s">
        <v>1</v>
      </c>
      <c r="H33" s="80">
        <f>[11]副本!G67</f>
        <v>931.53000000000031</v>
      </c>
      <c r="I33" s="79">
        <f>H33-1035.099+1035.099</f>
        <v>931.53000000000031</v>
      </c>
      <c r="J33" s="80"/>
      <c r="K33" s="77">
        <v>30</v>
      </c>
      <c r="L33" s="78">
        <f>H33-I33</f>
        <v>0</v>
      </c>
      <c r="M33" s="77">
        <v>2000</v>
      </c>
      <c r="N33" s="76"/>
      <c r="O33" s="75"/>
      <c r="P33" s="74" t="s">
        <v>238</v>
      </c>
    </row>
    <row r="34" spans="1:16" s="12" customFormat="1" ht="42.75" customHeight="1" x14ac:dyDescent="0.15">
      <c r="A34" s="80">
        <v>20170215</v>
      </c>
      <c r="B34" s="81" t="s">
        <v>69</v>
      </c>
      <c r="C34" s="92" t="s">
        <v>44</v>
      </c>
      <c r="D34" s="80" t="s">
        <v>5</v>
      </c>
      <c r="E34" s="80" t="s">
        <v>68</v>
      </c>
      <c r="F34" s="23" t="s">
        <v>162</v>
      </c>
      <c r="G34" s="80" t="s">
        <v>1</v>
      </c>
      <c r="H34" s="79">
        <f>[11]副本!G69</f>
        <v>557.34299999999985</v>
      </c>
      <c r="I34" s="79">
        <f>H34-1037.023+500+537.023</f>
        <v>557.34299999999996</v>
      </c>
      <c r="J34" s="80"/>
      <c r="K34" s="77">
        <v>100</v>
      </c>
      <c r="L34" s="78">
        <f>H34-I34</f>
        <v>0</v>
      </c>
      <c r="M34" s="77">
        <v>3000</v>
      </c>
      <c r="N34" s="76"/>
      <c r="O34" s="75"/>
      <c r="P34" s="86" t="s">
        <v>67</v>
      </c>
    </row>
    <row r="35" spans="1:16" s="12" customFormat="1" ht="42.75" customHeight="1" x14ac:dyDescent="0.15">
      <c r="A35" s="80">
        <v>20170215</v>
      </c>
      <c r="B35" s="81" t="s">
        <v>66</v>
      </c>
      <c r="C35" s="92" t="s">
        <v>44</v>
      </c>
      <c r="D35" s="80" t="s">
        <v>5</v>
      </c>
      <c r="E35" s="80" t="s">
        <v>61</v>
      </c>
      <c r="F35" s="23" t="s">
        <v>159</v>
      </c>
      <c r="G35" s="80" t="s">
        <v>1</v>
      </c>
      <c r="H35" s="79">
        <f>[11]副本!G71</f>
        <v>2002.9199999999992</v>
      </c>
      <c r="I35" s="79">
        <f>H35-3607.546+2050+1050+507.546-1553.792+1553.792</f>
        <v>2002.9199999999994</v>
      </c>
      <c r="J35" s="80"/>
      <c r="K35" s="77"/>
      <c r="L35" s="78">
        <f>H35-I35</f>
        <v>0</v>
      </c>
      <c r="M35" s="77">
        <v>4000</v>
      </c>
      <c r="N35" s="76"/>
      <c r="O35" s="75"/>
      <c r="P35" s="74" t="s">
        <v>65</v>
      </c>
    </row>
    <row r="36" spans="1:16" s="12" customFormat="1" ht="42.75" customHeight="1" x14ac:dyDescent="0.15">
      <c r="A36" s="80">
        <v>20170215</v>
      </c>
      <c r="B36" s="81" t="s">
        <v>64</v>
      </c>
      <c r="C36" s="92" t="s">
        <v>3</v>
      </c>
      <c r="D36" s="80"/>
      <c r="E36" s="80"/>
      <c r="F36" s="80"/>
      <c r="G36" s="80"/>
      <c r="H36" s="79"/>
      <c r="I36" s="79"/>
      <c r="J36" s="80"/>
      <c r="K36" s="77"/>
      <c r="L36" s="78"/>
      <c r="M36" s="77">
        <v>5000</v>
      </c>
      <c r="N36" s="76"/>
      <c r="O36" s="75"/>
      <c r="P36" s="74"/>
    </row>
    <row r="37" spans="1:16" s="12" customFormat="1" ht="42.75" customHeight="1" x14ac:dyDescent="0.15">
      <c r="A37" s="80">
        <v>20170215</v>
      </c>
      <c r="B37" s="81" t="s">
        <v>63</v>
      </c>
      <c r="C37" s="92" t="s">
        <v>44</v>
      </c>
      <c r="D37" s="80" t="s">
        <v>5</v>
      </c>
      <c r="E37" s="80" t="s">
        <v>61</v>
      </c>
      <c r="F37" s="23" t="s">
        <v>159</v>
      </c>
      <c r="G37" s="80" t="s">
        <v>1</v>
      </c>
      <c r="H37" s="79">
        <f>[11]副本!G75</f>
        <v>3220.6870000000526</v>
      </c>
      <c r="I37" s="79">
        <f>H37-955.747+477.874+477.873-1042.865-2628.137+500+542.865+2102.57+525.567-499.112-3147.566+2100+525+525+496.678-2617.899+1574.891+523.692-522.622+522.622-2589.467+523.692-499.362</f>
        <v>136.23400000005273</v>
      </c>
      <c r="J37" s="80"/>
      <c r="K37" s="77"/>
      <c r="L37" s="78">
        <f>H37-I37</f>
        <v>3084.453</v>
      </c>
      <c r="M37" s="77">
        <v>5000</v>
      </c>
      <c r="N37" s="76"/>
      <c r="O37" s="75"/>
      <c r="P37" s="74" t="s">
        <v>237</v>
      </c>
    </row>
    <row r="38" spans="1:16" s="12" customFormat="1" ht="42.75" customHeight="1" x14ac:dyDescent="0.15">
      <c r="A38" s="80">
        <v>20170215</v>
      </c>
      <c r="B38" s="81"/>
      <c r="C38" s="92"/>
      <c r="D38" s="80"/>
      <c r="E38" s="80" t="s">
        <v>61</v>
      </c>
      <c r="F38" s="23" t="s">
        <v>163</v>
      </c>
      <c r="G38" s="80"/>
      <c r="H38" s="79">
        <f>[11]副本!G76</f>
        <v>501.77800000000036</v>
      </c>
      <c r="I38" s="79">
        <f>H38</f>
        <v>501.77800000000036</v>
      </c>
      <c r="J38" s="80"/>
      <c r="K38" s="77"/>
      <c r="L38" s="78">
        <f>H38-I38</f>
        <v>0</v>
      </c>
      <c r="M38" s="77"/>
      <c r="N38" s="76"/>
      <c r="O38" s="75"/>
      <c r="P38" s="74" t="s">
        <v>236</v>
      </c>
    </row>
    <row r="39" spans="1:16" s="12" customFormat="1" ht="42.75" customHeight="1" x14ac:dyDescent="0.15">
      <c r="A39" s="80">
        <v>20170215</v>
      </c>
      <c r="B39" s="81" t="s">
        <v>59</v>
      </c>
      <c r="C39" s="92" t="s">
        <v>19</v>
      </c>
      <c r="D39" s="80"/>
      <c r="E39" s="80" t="s">
        <v>32</v>
      </c>
      <c r="F39" s="23" t="s">
        <v>161</v>
      </c>
      <c r="G39" s="80" t="s">
        <v>1</v>
      </c>
      <c r="H39" s="79">
        <f>[11]副本!G78</f>
        <v>31.463999999997668</v>
      </c>
      <c r="I39" s="79">
        <f>H39-2564.978+2564.978</f>
        <v>31.463999999997668</v>
      </c>
      <c r="J39" s="80"/>
      <c r="K39" s="77"/>
      <c r="L39" s="78">
        <f>H39-I39</f>
        <v>0</v>
      </c>
      <c r="M39" s="77">
        <v>4000</v>
      </c>
      <c r="N39" s="76"/>
      <c r="O39" s="75"/>
      <c r="P39" s="74" t="s">
        <v>58</v>
      </c>
    </row>
    <row r="40" spans="1:16" s="12" customFormat="1" ht="42.75" customHeight="1" x14ac:dyDescent="0.15">
      <c r="A40" s="80">
        <v>20170215</v>
      </c>
      <c r="B40" s="81"/>
      <c r="C40" s="92"/>
      <c r="D40" s="80"/>
      <c r="E40" s="80"/>
      <c r="F40" s="23" t="s">
        <v>153</v>
      </c>
      <c r="G40" s="80"/>
      <c r="H40" s="79">
        <f>[11]副本!G81</f>
        <v>2564.9780000000001</v>
      </c>
      <c r="I40" s="79">
        <f>H40</f>
        <v>2564.9780000000001</v>
      </c>
      <c r="J40" s="80"/>
      <c r="K40" s="77"/>
      <c r="L40" s="78"/>
      <c r="M40" s="77"/>
      <c r="N40" s="76"/>
      <c r="O40" s="75"/>
      <c r="P40" s="74" t="s">
        <v>235</v>
      </c>
    </row>
    <row r="41" spans="1:16" s="12" customFormat="1" ht="42.75" customHeight="1" x14ac:dyDescent="0.15">
      <c r="A41" s="80">
        <v>20170215</v>
      </c>
      <c r="B41" s="81" t="s">
        <v>56</v>
      </c>
      <c r="C41" s="92" t="s">
        <v>19</v>
      </c>
      <c r="D41" s="80"/>
      <c r="E41" s="80"/>
      <c r="F41" s="80"/>
      <c r="G41" s="80"/>
      <c r="H41" s="79"/>
      <c r="I41" s="79"/>
      <c r="J41" s="80"/>
      <c r="K41" s="77"/>
      <c r="L41" s="78"/>
      <c r="M41" s="77">
        <v>2000</v>
      </c>
      <c r="N41" s="76"/>
      <c r="O41" s="75"/>
      <c r="P41" s="74"/>
    </row>
    <row r="42" spans="1:16" s="12" customFormat="1" ht="42.75" customHeight="1" x14ac:dyDescent="0.15">
      <c r="A42" s="80">
        <v>20170215</v>
      </c>
      <c r="B42" s="81" t="s">
        <v>55</v>
      </c>
      <c r="C42" s="92" t="s">
        <v>19</v>
      </c>
      <c r="D42" s="80"/>
      <c r="E42" s="80" t="s">
        <v>32</v>
      </c>
      <c r="F42" s="23" t="s">
        <v>161</v>
      </c>
      <c r="G42" s="80" t="s">
        <v>1</v>
      </c>
      <c r="H42" s="79">
        <f>[11]副本!G85</f>
        <v>2522.3710000000001</v>
      </c>
      <c r="I42" s="79">
        <f>H42-2522.371</f>
        <v>0</v>
      </c>
      <c r="J42" s="80"/>
      <c r="K42" s="77"/>
      <c r="L42" s="78">
        <f>H42-I42</f>
        <v>2522.3710000000001</v>
      </c>
      <c r="M42" s="77">
        <v>3000</v>
      </c>
      <c r="N42" s="76"/>
      <c r="O42" s="75"/>
      <c r="P42" s="74"/>
    </row>
    <row r="43" spans="1:16" s="12" customFormat="1" ht="42.75" customHeight="1" x14ac:dyDescent="0.15">
      <c r="A43" s="80">
        <v>20170215</v>
      </c>
      <c r="B43" s="81" t="s">
        <v>54</v>
      </c>
      <c r="C43" s="92" t="s">
        <v>19</v>
      </c>
      <c r="D43" s="80"/>
      <c r="E43" s="80" t="s">
        <v>32</v>
      </c>
      <c r="F43" s="23" t="s">
        <v>161</v>
      </c>
      <c r="G43" s="80" t="s">
        <v>1</v>
      </c>
      <c r="H43" s="79">
        <f>[11]副本!G87</f>
        <v>3576.9760000000001</v>
      </c>
      <c r="I43" s="79">
        <f>H43-2794.245</f>
        <v>782.73100000000022</v>
      </c>
      <c r="J43" s="80"/>
      <c r="K43" s="77">
        <v>1300</v>
      </c>
      <c r="L43" s="78">
        <f>H43-I43</f>
        <v>2794.2449999999999</v>
      </c>
      <c r="M43" s="77">
        <v>5000</v>
      </c>
      <c r="N43" s="85"/>
      <c r="O43" s="75"/>
      <c r="P43" s="74" t="s">
        <v>53</v>
      </c>
    </row>
    <row r="44" spans="1:16" s="12" customFormat="1" ht="42.75" customHeight="1" x14ac:dyDescent="0.15">
      <c r="A44" s="80">
        <v>20170215</v>
      </c>
      <c r="B44" s="81" t="s">
        <v>52</v>
      </c>
      <c r="C44" s="92" t="s">
        <v>44</v>
      </c>
      <c r="D44" s="80"/>
      <c r="E44" s="80"/>
      <c r="F44" s="80"/>
      <c r="G44" s="80"/>
      <c r="H44" s="79"/>
      <c r="I44" s="79"/>
      <c r="J44" s="80"/>
      <c r="K44" s="77"/>
      <c r="L44" s="78"/>
      <c r="M44" s="77">
        <v>5000</v>
      </c>
      <c r="N44" s="76"/>
      <c r="O44" s="75"/>
      <c r="P44" s="74"/>
    </row>
    <row r="45" spans="1:16" s="12" customFormat="1" ht="42.75" customHeight="1" x14ac:dyDescent="0.15">
      <c r="A45" s="80">
        <v>20170215</v>
      </c>
      <c r="B45" s="81" t="s">
        <v>51</v>
      </c>
      <c r="C45" s="92" t="s">
        <v>44</v>
      </c>
      <c r="D45" s="80"/>
      <c r="E45" s="80" t="s">
        <v>50</v>
      </c>
      <c r="F45" s="23" t="s">
        <v>152</v>
      </c>
      <c r="G45" s="80" t="s">
        <v>1</v>
      </c>
      <c r="H45" s="79">
        <f>[11]副本!G93</f>
        <v>2006.1080000000002</v>
      </c>
      <c r="I45" s="79">
        <f>H45-1021.25+1021.25</f>
        <v>2006.1080000000002</v>
      </c>
      <c r="J45" s="80"/>
      <c r="K45" s="77">
        <v>100</v>
      </c>
      <c r="L45" s="78">
        <f>H45-I45</f>
        <v>0</v>
      </c>
      <c r="M45" s="77">
        <v>5000</v>
      </c>
      <c r="N45" s="76"/>
      <c r="O45" s="75"/>
      <c r="P45" s="74" t="s">
        <v>234</v>
      </c>
    </row>
    <row r="46" spans="1:16" s="12" customFormat="1" ht="42.75" customHeight="1" x14ac:dyDescent="0.15">
      <c r="A46" s="80">
        <v>20170215</v>
      </c>
      <c r="B46" s="81" t="s">
        <v>51</v>
      </c>
      <c r="C46" s="92" t="s">
        <v>44</v>
      </c>
      <c r="D46" s="80"/>
      <c r="E46" s="80" t="s">
        <v>50</v>
      </c>
      <c r="F46" s="23" t="s">
        <v>148</v>
      </c>
      <c r="G46" s="80"/>
      <c r="H46" s="79">
        <f>[11]副本!G94</f>
        <v>1000</v>
      </c>
      <c r="I46" s="79">
        <f>H46</f>
        <v>1000</v>
      </c>
      <c r="J46" s="80"/>
      <c r="K46" s="77"/>
      <c r="L46" s="78"/>
      <c r="M46" s="77">
        <v>5000</v>
      </c>
      <c r="N46" s="76"/>
      <c r="O46" s="75"/>
      <c r="P46" s="74" t="s">
        <v>49</v>
      </c>
    </row>
    <row r="47" spans="1:16" s="12" customFormat="1" ht="42.75" customHeight="1" x14ac:dyDescent="0.15">
      <c r="A47" s="80">
        <v>20170215</v>
      </c>
      <c r="B47" s="81" t="s">
        <v>48</v>
      </c>
      <c r="C47" s="92" t="s">
        <v>44</v>
      </c>
      <c r="D47" s="80"/>
      <c r="E47" s="80" t="s">
        <v>43</v>
      </c>
      <c r="F47" s="23" t="s">
        <v>157</v>
      </c>
      <c r="G47" s="80" t="s">
        <v>1</v>
      </c>
      <c r="H47" s="79">
        <f>[11]副本!G96</f>
        <v>2.4439999999940483</v>
      </c>
      <c r="I47" s="79">
        <f>H47</f>
        <v>2.4439999999940483</v>
      </c>
      <c r="J47" s="80"/>
      <c r="K47" s="78"/>
      <c r="L47" s="78">
        <f>H47-I47</f>
        <v>0</v>
      </c>
      <c r="M47" s="77">
        <v>2000</v>
      </c>
      <c r="N47" s="76"/>
      <c r="O47" s="75"/>
      <c r="P47" s="74"/>
    </row>
    <row r="48" spans="1:16" s="12" customFormat="1" ht="42.75" customHeight="1" x14ac:dyDescent="0.15">
      <c r="A48" s="80">
        <v>20170215</v>
      </c>
      <c r="B48" s="81" t="s">
        <v>47</v>
      </c>
      <c r="C48" s="92" t="s">
        <v>19</v>
      </c>
      <c r="D48" s="80" t="s">
        <v>5</v>
      </c>
      <c r="E48" s="80" t="s">
        <v>27</v>
      </c>
      <c r="F48" s="23" t="s">
        <v>165</v>
      </c>
      <c r="G48" s="80" t="s">
        <v>1</v>
      </c>
      <c r="H48" s="79">
        <f>[11]副本!G98</f>
        <v>2409.6100000000006</v>
      </c>
      <c r="I48" s="79">
        <v>0</v>
      </c>
      <c r="J48" s="80"/>
      <c r="K48" s="77"/>
      <c r="L48" s="78">
        <f>H48-I48</f>
        <v>2409.6100000000006</v>
      </c>
      <c r="M48" s="77">
        <v>10000</v>
      </c>
      <c r="N48" s="76"/>
      <c r="O48" s="75"/>
      <c r="P48" s="74"/>
    </row>
    <row r="49" spans="1:17" s="12" customFormat="1" ht="42.75" customHeight="1" x14ac:dyDescent="0.15">
      <c r="A49" s="80">
        <v>20170215</v>
      </c>
      <c r="B49" s="81" t="s">
        <v>46</v>
      </c>
      <c r="C49" s="92" t="s">
        <v>19</v>
      </c>
      <c r="D49" s="80" t="s">
        <v>5</v>
      </c>
      <c r="E49" s="80" t="s">
        <v>27</v>
      </c>
      <c r="F49" s="23" t="s">
        <v>165</v>
      </c>
      <c r="G49" s="80" t="s">
        <v>1</v>
      </c>
      <c r="H49" s="79">
        <f>[11]副本!G100</f>
        <v>4217.264000000001</v>
      </c>
      <c r="I49" s="79">
        <v>0</v>
      </c>
      <c r="J49" s="80"/>
      <c r="K49" s="77"/>
      <c r="L49" s="78">
        <v>0</v>
      </c>
      <c r="M49" s="77">
        <v>10000</v>
      </c>
      <c r="N49" s="76"/>
      <c r="O49" s="75"/>
      <c r="P49" s="74"/>
    </row>
    <row r="50" spans="1:17" s="12" customFormat="1" ht="42.75" customHeight="1" x14ac:dyDescent="0.15">
      <c r="A50" s="80">
        <v>20170215</v>
      </c>
      <c r="B50" s="81" t="s">
        <v>45</v>
      </c>
      <c r="C50" s="92" t="s">
        <v>44</v>
      </c>
      <c r="D50" s="80"/>
      <c r="E50" s="80" t="s">
        <v>43</v>
      </c>
      <c r="F50" s="23" t="s">
        <v>166</v>
      </c>
      <c r="G50" s="80" t="s">
        <v>1</v>
      </c>
      <c r="H50" s="79">
        <f>[11]副本!G102</f>
        <v>2494.6350000000075</v>
      </c>
      <c r="I50" s="79">
        <f>H50</f>
        <v>2494.6350000000075</v>
      </c>
      <c r="J50" s="80"/>
      <c r="K50" s="78"/>
      <c r="L50" s="78">
        <v>0</v>
      </c>
      <c r="M50" s="77">
        <v>5000</v>
      </c>
      <c r="N50" s="83" t="s">
        <v>42</v>
      </c>
      <c r="O50" s="82" t="s">
        <v>41</v>
      </c>
      <c r="P50" s="74" t="s">
        <v>146</v>
      </c>
    </row>
    <row r="51" spans="1:17" s="12" customFormat="1" ht="42.75" customHeight="1" x14ac:dyDescent="0.15">
      <c r="A51" s="80">
        <v>20170215</v>
      </c>
      <c r="B51" s="81" t="s">
        <v>39</v>
      </c>
      <c r="C51" s="92" t="s">
        <v>19</v>
      </c>
      <c r="D51" s="80"/>
      <c r="E51" s="80"/>
      <c r="F51" s="80"/>
      <c r="G51" s="80"/>
      <c r="H51" s="79"/>
      <c r="I51" s="79"/>
      <c r="J51" s="80"/>
      <c r="K51" s="77"/>
      <c r="L51" s="78"/>
      <c r="M51" s="77">
        <v>3000</v>
      </c>
      <c r="N51" s="76"/>
      <c r="O51" s="75"/>
      <c r="P51" s="74"/>
    </row>
    <row r="52" spans="1:17" s="12" customFormat="1" ht="42.75" customHeight="1" x14ac:dyDescent="0.15">
      <c r="A52" s="80">
        <v>20170215</v>
      </c>
      <c r="B52" s="81" t="s">
        <v>38</v>
      </c>
      <c r="C52" s="92" t="s">
        <v>19</v>
      </c>
      <c r="D52" s="80" t="s">
        <v>5</v>
      </c>
      <c r="E52" s="80" t="s">
        <v>27</v>
      </c>
      <c r="F52" s="23" t="s">
        <v>165</v>
      </c>
      <c r="G52" s="80" t="s">
        <v>22</v>
      </c>
      <c r="H52" s="79">
        <f>[11]副本!G106</f>
        <v>15130.712</v>
      </c>
      <c r="I52" s="79">
        <v>0</v>
      </c>
      <c r="J52" s="80"/>
      <c r="K52" s="77"/>
      <c r="L52" s="78">
        <f>H52-I52</f>
        <v>15130.712</v>
      </c>
      <c r="M52" s="77">
        <v>25000</v>
      </c>
      <c r="N52" s="76" t="s">
        <v>37</v>
      </c>
      <c r="O52" s="75" t="s">
        <v>36</v>
      </c>
      <c r="P52" s="74" t="s">
        <v>35</v>
      </c>
    </row>
    <row r="53" spans="1:17" s="12" customFormat="1" ht="42.75" customHeight="1" x14ac:dyDescent="0.15">
      <c r="A53" s="80">
        <v>20170215</v>
      </c>
      <c r="B53" s="81" t="s">
        <v>34</v>
      </c>
      <c r="C53" s="92" t="s">
        <v>19</v>
      </c>
      <c r="D53" s="80" t="s">
        <v>5</v>
      </c>
      <c r="E53" s="80" t="s">
        <v>27</v>
      </c>
      <c r="F53" s="23" t="s">
        <v>167</v>
      </c>
      <c r="G53" s="80" t="s">
        <v>22</v>
      </c>
      <c r="H53" s="79">
        <f>[11]副本!G108</f>
        <v>30364.863000000081</v>
      </c>
      <c r="I53" s="79">
        <v>0</v>
      </c>
      <c r="J53" s="80"/>
      <c r="K53" s="77"/>
      <c r="L53" s="78">
        <f>H53-I53</f>
        <v>30364.863000000081</v>
      </c>
      <c r="M53" s="77">
        <v>50000</v>
      </c>
      <c r="N53" s="76"/>
      <c r="O53" s="75"/>
      <c r="P53" s="74"/>
    </row>
    <row r="54" spans="1:17" s="12" customFormat="1" ht="42.75" customHeight="1" x14ac:dyDescent="0.15">
      <c r="A54" s="80">
        <v>20170215</v>
      </c>
      <c r="B54" s="81" t="s">
        <v>33</v>
      </c>
      <c r="C54" s="92" t="s">
        <v>19</v>
      </c>
      <c r="D54" s="80"/>
      <c r="E54" s="80" t="s">
        <v>32</v>
      </c>
      <c r="F54" s="23" t="s">
        <v>161</v>
      </c>
      <c r="G54" s="80" t="s">
        <v>22</v>
      </c>
      <c r="H54" s="79">
        <f>[11]副本!G110</f>
        <v>1351.3190000000168</v>
      </c>
      <c r="I54" s="79">
        <f>H54-1184.528</f>
        <v>166.79100000001677</v>
      </c>
      <c r="J54" s="80"/>
      <c r="K54" s="77"/>
      <c r="L54" s="78">
        <f>H54-I54</f>
        <v>1184.528</v>
      </c>
      <c r="M54" s="77">
        <v>4000</v>
      </c>
      <c r="N54" s="76"/>
      <c r="O54" s="75"/>
      <c r="P54" s="74" t="s">
        <v>31</v>
      </c>
    </row>
    <row r="55" spans="1:17" s="12" customFormat="1" ht="42.75" customHeight="1" x14ac:dyDescent="0.15">
      <c r="A55" s="80">
        <v>20170215</v>
      </c>
      <c r="B55" s="81" t="s">
        <v>30</v>
      </c>
      <c r="C55" s="92" t="s">
        <v>3</v>
      </c>
      <c r="D55" s="80"/>
      <c r="E55" s="80"/>
      <c r="F55" s="80"/>
      <c r="G55" s="80"/>
      <c r="H55" s="79"/>
      <c r="I55" s="79"/>
      <c r="J55" s="80"/>
      <c r="K55" s="77"/>
      <c r="L55" s="78"/>
      <c r="M55" s="77">
        <v>37000</v>
      </c>
      <c r="N55" s="76"/>
      <c r="O55" s="75"/>
      <c r="P55" s="74"/>
    </row>
    <row r="56" spans="1:17" s="12" customFormat="1" ht="42.75" customHeight="1" x14ac:dyDescent="0.15">
      <c r="A56" s="80">
        <v>20170215</v>
      </c>
      <c r="B56" s="81" t="s">
        <v>29</v>
      </c>
      <c r="C56" s="92" t="s">
        <v>3</v>
      </c>
      <c r="D56" s="80"/>
      <c r="E56" s="80"/>
      <c r="F56" s="80"/>
      <c r="G56" s="80"/>
      <c r="H56" s="79"/>
      <c r="I56" s="80"/>
      <c r="J56" s="80"/>
      <c r="K56" s="77"/>
      <c r="L56" s="78"/>
      <c r="M56" s="77">
        <v>37000</v>
      </c>
      <c r="N56" s="76"/>
      <c r="O56" s="75"/>
      <c r="P56" s="74"/>
    </row>
    <row r="57" spans="1:17" s="12" customFormat="1" ht="42.75" customHeight="1" x14ac:dyDescent="0.15">
      <c r="A57" s="80">
        <v>20170215</v>
      </c>
      <c r="B57" s="81" t="s">
        <v>28</v>
      </c>
      <c r="C57" s="92" t="s">
        <v>19</v>
      </c>
      <c r="D57" s="80" t="s">
        <v>5</v>
      </c>
      <c r="E57" s="80" t="s">
        <v>27</v>
      </c>
      <c r="F57" s="23" t="s">
        <v>165</v>
      </c>
      <c r="G57" s="80" t="s">
        <v>22</v>
      </c>
      <c r="H57" s="79">
        <f>[11]副本!G118</f>
        <v>1767.3689999999997</v>
      </c>
      <c r="I57" s="79">
        <v>0</v>
      </c>
      <c r="J57" s="80"/>
      <c r="K57" s="78"/>
      <c r="L57" s="78">
        <f>H57-I57</f>
        <v>1767.3689999999997</v>
      </c>
      <c r="M57" s="77">
        <v>10000</v>
      </c>
      <c r="N57" s="76"/>
      <c r="O57" s="75"/>
      <c r="P57" s="74"/>
      <c r="Q57" s="13"/>
    </row>
    <row r="58" spans="1:17" s="12" customFormat="1" ht="42.75" customHeight="1" x14ac:dyDescent="0.15">
      <c r="A58" s="80">
        <v>20170215</v>
      </c>
      <c r="B58" s="81" t="s">
        <v>26</v>
      </c>
      <c r="C58" s="92" t="s">
        <v>3</v>
      </c>
      <c r="D58" s="80" t="s">
        <v>5</v>
      </c>
      <c r="E58" s="80"/>
      <c r="F58" s="80"/>
      <c r="G58" s="80"/>
      <c r="H58" s="79"/>
      <c r="I58" s="79"/>
      <c r="J58" s="80"/>
      <c r="K58" s="78"/>
      <c r="L58" s="78"/>
      <c r="M58" s="77">
        <v>15000</v>
      </c>
      <c r="N58" s="76"/>
      <c r="O58" s="75"/>
      <c r="P58" s="74"/>
      <c r="Q58" s="13"/>
    </row>
    <row r="59" spans="1:17" s="12" customFormat="1" ht="42.75" customHeight="1" x14ac:dyDescent="0.15">
      <c r="A59" s="80">
        <v>20170215</v>
      </c>
      <c r="B59" s="81" t="s">
        <v>23</v>
      </c>
      <c r="C59" s="81" t="s">
        <v>19</v>
      </c>
      <c r="D59" s="80" t="s">
        <v>5</v>
      </c>
      <c r="E59" s="80" t="s">
        <v>2</v>
      </c>
      <c r="F59" s="23" t="s">
        <v>171</v>
      </c>
      <c r="G59" s="80" t="s">
        <v>22</v>
      </c>
      <c r="H59" s="79">
        <f>[11]副本!G123</f>
        <v>4128.3309999999983</v>
      </c>
      <c r="I59" s="79">
        <f>H59</f>
        <v>4128.3309999999983</v>
      </c>
      <c r="J59" s="80"/>
      <c r="K59" s="77">
        <v>600</v>
      </c>
      <c r="L59" s="78"/>
      <c r="M59" s="77">
        <v>43000</v>
      </c>
      <c r="N59" s="76"/>
      <c r="O59" s="75"/>
      <c r="P59" s="74" t="s">
        <v>233</v>
      </c>
      <c r="Q59" s="13"/>
    </row>
    <row r="60" spans="1:17" s="12" customFormat="1" ht="42.75" customHeight="1" x14ac:dyDescent="0.15">
      <c r="A60" s="80">
        <v>20170215</v>
      </c>
      <c r="B60" s="81" t="s">
        <v>23</v>
      </c>
      <c r="C60" s="81" t="s">
        <v>19</v>
      </c>
      <c r="D60" s="80" t="s">
        <v>5</v>
      </c>
      <c r="E60" s="80" t="s">
        <v>2</v>
      </c>
      <c r="F60" s="23" t="s">
        <v>172</v>
      </c>
      <c r="G60" s="80" t="s">
        <v>22</v>
      </c>
      <c r="H60" s="79">
        <f>[11]副本!G124</f>
        <v>946.5</v>
      </c>
      <c r="I60" s="79">
        <f>H60</f>
        <v>946.5</v>
      </c>
      <c r="J60" s="80"/>
      <c r="K60" s="80"/>
      <c r="L60" s="78"/>
      <c r="M60" s="77">
        <v>43000</v>
      </c>
      <c r="N60" s="76"/>
      <c r="O60" s="75"/>
      <c r="P60" s="74" t="s">
        <v>21</v>
      </c>
      <c r="Q60" s="13"/>
    </row>
    <row r="61" spans="1:17" s="12" customFormat="1" ht="42.75" customHeight="1" x14ac:dyDescent="0.15">
      <c r="A61" s="80">
        <v>20170215</v>
      </c>
      <c r="B61" s="81" t="s">
        <v>20</v>
      </c>
      <c r="C61" s="81" t="s">
        <v>19</v>
      </c>
      <c r="D61" s="80" t="s">
        <v>5</v>
      </c>
      <c r="E61" s="80"/>
      <c r="F61" s="80"/>
      <c r="G61" s="80"/>
      <c r="H61" s="79"/>
      <c r="I61" s="79"/>
      <c r="J61" s="80"/>
      <c r="K61" s="77"/>
      <c r="L61" s="78"/>
      <c r="M61" s="77">
        <v>43000</v>
      </c>
      <c r="N61" s="76"/>
      <c r="O61" s="75"/>
      <c r="P61" s="74"/>
      <c r="Q61" s="13"/>
    </row>
    <row r="62" spans="1:17" s="12" customFormat="1" ht="42.75" customHeight="1" x14ac:dyDescent="0.15">
      <c r="A62" s="80">
        <v>20170215</v>
      </c>
      <c r="B62" s="81" t="s">
        <v>18</v>
      </c>
      <c r="C62" s="92" t="s">
        <v>3</v>
      </c>
      <c r="D62" s="80"/>
      <c r="E62" s="80" t="s">
        <v>246</v>
      </c>
      <c r="F62" s="23" t="s">
        <v>197</v>
      </c>
      <c r="G62" s="80" t="s">
        <v>1</v>
      </c>
      <c r="H62" s="79">
        <f>[11]副本!G128</f>
        <v>8339.3289999999961</v>
      </c>
      <c r="I62" s="79">
        <f>H62-8339.329</f>
        <v>0</v>
      </c>
      <c r="J62" s="80"/>
      <c r="K62" s="77">
        <v>150</v>
      </c>
      <c r="L62" s="78">
        <f>H62-I62</f>
        <v>8339.3289999999961</v>
      </c>
      <c r="M62" s="77">
        <v>20000</v>
      </c>
      <c r="N62" s="76"/>
      <c r="O62" s="75"/>
      <c r="P62" s="74"/>
    </row>
    <row r="63" spans="1:17" s="12" customFormat="1" ht="42.75" customHeight="1" x14ac:dyDescent="0.15">
      <c r="A63" s="80">
        <v>20170215</v>
      </c>
      <c r="B63" s="81" t="s">
        <v>17</v>
      </c>
      <c r="C63" s="92" t="s">
        <v>3</v>
      </c>
      <c r="D63" s="80"/>
      <c r="E63" s="80" t="s">
        <v>9</v>
      </c>
      <c r="F63" s="23" t="s">
        <v>175</v>
      </c>
      <c r="G63" s="80" t="s">
        <v>1</v>
      </c>
      <c r="H63" s="79">
        <f>[11]副本!G130</f>
        <v>14706.423999999999</v>
      </c>
      <c r="I63" s="79">
        <f>H63-4751.949+4751.949-9902.153</f>
        <v>4804.2709999999988</v>
      </c>
      <c r="J63" s="80"/>
      <c r="K63" s="77"/>
      <c r="L63" s="78">
        <f>H63-I63</f>
        <v>9902.1530000000002</v>
      </c>
      <c r="M63" s="77">
        <v>30000</v>
      </c>
      <c r="N63" s="76"/>
      <c r="O63" s="75"/>
      <c r="P63" s="74" t="s">
        <v>232</v>
      </c>
    </row>
    <row r="64" spans="1:17" s="12" customFormat="1" ht="42.75" customHeight="1" x14ac:dyDescent="0.15">
      <c r="A64" s="80">
        <v>20170215</v>
      </c>
      <c r="B64" s="81" t="s">
        <v>17</v>
      </c>
      <c r="C64" s="92" t="s">
        <v>3</v>
      </c>
      <c r="D64" s="80"/>
      <c r="E64" s="80" t="s">
        <v>9</v>
      </c>
      <c r="F64" s="23" t="s">
        <v>158</v>
      </c>
      <c r="G64" s="80" t="s">
        <v>1</v>
      </c>
      <c r="H64" s="79">
        <f>[11]副本!G131</f>
        <v>9946.3690000000006</v>
      </c>
      <c r="I64" s="79">
        <f>H64</f>
        <v>9946.3690000000006</v>
      </c>
      <c r="J64" s="80"/>
      <c r="K64" s="77"/>
      <c r="L64" s="78">
        <f>H64-I64</f>
        <v>0</v>
      </c>
      <c r="M64" s="77">
        <v>30000</v>
      </c>
      <c r="N64" s="76"/>
      <c r="O64" s="75"/>
      <c r="P64" s="96" t="s">
        <v>15</v>
      </c>
    </row>
    <row r="65" spans="1:16" s="12" customFormat="1" ht="42.75" customHeight="1" x14ac:dyDescent="0.15">
      <c r="A65" s="80">
        <v>20170215</v>
      </c>
      <c r="B65" s="81" t="s">
        <v>14</v>
      </c>
      <c r="C65" s="92" t="s">
        <v>3</v>
      </c>
      <c r="D65" s="80" t="s">
        <v>5</v>
      </c>
      <c r="E65" s="80" t="s">
        <v>2</v>
      </c>
      <c r="F65" s="23" t="s">
        <v>174</v>
      </c>
      <c r="G65" s="80" t="s">
        <v>1</v>
      </c>
      <c r="H65" s="79">
        <f>[11]副本!G133</f>
        <v>14976.093999999999</v>
      </c>
      <c r="I65" s="79">
        <f>H65-14976.094</f>
        <v>0</v>
      </c>
      <c r="J65" s="80"/>
      <c r="K65" s="77">
        <v>250</v>
      </c>
      <c r="L65" s="78">
        <f>H65-I65</f>
        <v>14976.093999999999</v>
      </c>
      <c r="M65" s="77">
        <v>20000</v>
      </c>
      <c r="N65" s="76" t="s">
        <v>13</v>
      </c>
      <c r="O65" s="75" t="s">
        <v>12</v>
      </c>
      <c r="P65" s="74" t="s">
        <v>11</v>
      </c>
    </row>
    <row r="66" spans="1:16" s="12" customFormat="1" ht="42.75" customHeight="1" x14ac:dyDescent="0.15">
      <c r="A66" s="80">
        <v>20170215</v>
      </c>
      <c r="B66" s="81" t="s">
        <v>10</v>
      </c>
      <c r="C66" s="92" t="s">
        <v>3</v>
      </c>
      <c r="D66" s="80"/>
      <c r="E66" s="80" t="s">
        <v>9</v>
      </c>
      <c r="F66" s="23" t="s">
        <v>158</v>
      </c>
      <c r="G66" s="80" t="s">
        <v>1</v>
      </c>
      <c r="H66" s="79">
        <f>[11]副本!G135</f>
        <v>23765.582999999973</v>
      </c>
      <c r="I66" s="79">
        <f>H66</f>
        <v>23765.582999999973</v>
      </c>
      <c r="J66" s="80"/>
      <c r="K66" s="77"/>
      <c r="L66" s="78">
        <v>0</v>
      </c>
      <c r="M66" s="77">
        <v>30000</v>
      </c>
      <c r="N66" s="76"/>
      <c r="O66" s="75"/>
      <c r="P66" s="74"/>
    </row>
    <row r="67" spans="1:16" s="12" customFormat="1" ht="42.75" customHeight="1" x14ac:dyDescent="0.15">
      <c r="A67" s="80">
        <v>20170215</v>
      </c>
      <c r="B67" s="81" t="s">
        <v>8</v>
      </c>
      <c r="C67" s="92" t="s">
        <v>3</v>
      </c>
      <c r="D67" s="80"/>
      <c r="E67" s="80"/>
      <c r="F67" s="74"/>
      <c r="G67" s="80"/>
      <c r="H67" s="79"/>
      <c r="I67" s="79"/>
      <c r="J67" s="80"/>
      <c r="K67" s="77"/>
      <c r="L67" s="78"/>
      <c r="M67" s="77">
        <v>20000</v>
      </c>
      <c r="N67" s="76"/>
      <c r="O67" s="75"/>
      <c r="P67" s="80"/>
    </row>
    <row r="68" spans="1:16" s="12" customFormat="1" ht="42.75" customHeight="1" x14ac:dyDescent="0.15">
      <c r="A68" s="80">
        <v>20170215</v>
      </c>
      <c r="B68" s="81" t="s">
        <v>7</v>
      </c>
      <c r="C68" s="92" t="s">
        <v>3</v>
      </c>
      <c r="D68" s="80"/>
      <c r="E68" s="80"/>
      <c r="F68" s="80"/>
      <c r="G68" s="80"/>
      <c r="H68" s="79"/>
      <c r="I68" s="79"/>
      <c r="J68" s="80"/>
      <c r="K68" s="77"/>
      <c r="L68" s="78"/>
      <c r="M68" s="77">
        <v>15000</v>
      </c>
      <c r="N68" s="76"/>
      <c r="O68" s="75"/>
      <c r="P68" s="74"/>
    </row>
    <row r="69" spans="1:16" s="12" customFormat="1" ht="42.75" customHeight="1" x14ac:dyDescent="0.15">
      <c r="A69" s="80">
        <v>20170215</v>
      </c>
      <c r="B69" s="81" t="s">
        <v>6</v>
      </c>
      <c r="C69" s="92" t="s">
        <v>3</v>
      </c>
      <c r="D69" s="80" t="s">
        <v>5</v>
      </c>
      <c r="E69" s="80" t="s">
        <v>2</v>
      </c>
      <c r="F69" s="23" t="s">
        <v>171</v>
      </c>
      <c r="G69" s="80" t="s">
        <v>1</v>
      </c>
      <c r="H69" s="79">
        <f>[11]副本!G142</f>
        <v>12005.106</v>
      </c>
      <c r="I69" s="79">
        <f>H69-12005.106</f>
        <v>0</v>
      </c>
      <c r="J69" s="80"/>
      <c r="K69" s="77"/>
      <c r="L69" s="78">
        <f>H69-I69</f>
        <v>12005.106</v>
      </c>
      <c r="M69" s="77">
        <v>15000</v>
      </c>
      <c r="N69" s="76"/>
      <c r="O69" s="75"/>
      <c r="P69" s="74"/>
    </row>
    <row r="70" spans="1:16" s="12" customFormat="1" ht="42.75" customHeight="1" x14ac:dyDescent="0.15">
      <c r="A70" s="80">
        <v>20170215</v>
      </c>
      <c r="B70" s="81" t="s">
        <v>4</v>
      </c>
      <c r="C70" s="92" t="s">
        <v>3</v>
      </c>
      <c r="D70" s="80"/>
      <c r="E70" s="80" t="s">
        <v>2</v>
      </c>
      <c r="F70" s="23" t="s">
        <v>170</v>
      </c>
      <c r="G70" s="80" t="s">
        <v>1</v>
      </c>
      <c r="H70" s="79">
        <f>[11]副本!G144</f>
        <v>2636.6699999999983</v>
      </c>
      <c r="I70" s="79">
        <f>H70</f>
        <v>2636.6699999999983</v>
      </c>
      <c r="J70" s="80"/>
      <c r="K70" s="77"/>
      <c r="L70" s="78">
        <f>H70-I70</f>
        <v>0</v>
      </c>
      <c r="M70" s="77">
        <v>15000</v>
      </c>
      <c r="N70" s="76"/>
      <c r="O70" s="75"/>
      <c r="P70" s="74" t="s">
        <v>231</v>
      </c>
    </row>
    <row r="76" spans="1:16" s="2" customFormat="1" x14ac:dyDescent="0.15">
      <c r="B76" s="3"/>
      <c r="C76" s="10"/>
      <c r="D76" s="9"/>
      <c r="E76" s="3"/>
      <c r="F76" s="3"/>
      <c r="G76" s="9"/>
      <c r="H76" s="8"/>
      <c r="I76" s="8"/>
      <c r="K76" s="7"/>
      <c r="L76" s="11"/>
      <c r="M76" s="5"/>
      <c r="N76" s="4"/>
      <c r="O76" s="4"/>
      <c r="P76" s="3"/>
    </row>
    <row r="228" spans="2:16" s="2" customFormat="1" x14ac:dyDescent="0.15">
      <c r="B228" s="3"/>
      <c r="C228" s="10"/>
      <c r="D228" s="9"/>
      <c r="E228" s="3"/>
      <c r="F228" s="3"/>
      <c r="G228" s="3"/>
      <c r="H228" s="3"/>
      <c r="I228" s="8"/>
      <c r="K228" s="7"/>
      <c r="L228" s="6"/>
      <c r="M228" s="5"/>
      <c r="N228" s="4"/>
      <c r="O228" s="4"/>
      <c r="P228" s="3"/>
    </row>
  </sheetData>
  <autoFilter ref="B1:I70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5" activePane="bottomRight" state="frozen"/>
      <selection pane="topRight"/>
      <selection pane="bottomLeft"/>
      <selection pane="bottomRight" activeCell="F69" sqref="F69:F70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0.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30" customHeight="1" x14ac:dyDescent="0.15">
      <c r="A2" s="104">
        <v>20170216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/>
      <c r="I2" s="103"/>
      <c r="J2" s="104"/>
      <c r="K2" s="101"/>
      <c r="L2" s="102"/>
      <c r="M2" s="101">
        <v>2000</v>
      </c>
      <c r="N2" s="100" t="s">
        <v>120</v>
      </c>
      <c r="O2" s="99" t="s">
        <v>89</v>
      </c>
      <c r="P2" s="98"/>
    </row>
    <row r="3" spans="1:17" s="48" customFormat="1" ht="30" customHeight="1" x14ac:dyDescent="0.15">
      <c r="A3" s="104">
        <v>20170216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[12]副本!G6</f>
        <v>430.61899999999991</v>
      </c>
      <c r="I3" s="103">
        <f>H3</f>
        <v>430.61899999999991</v>
      </c>
      <c r="J3" s="104"/>
      <c r="K3" s="101"/>
      <c r="L3" s="102">
        <f>H3-I3</f>
        <v>0</v>
      </c>
      <c r="M3" s="101">
        <v>1500</v>
      </c>
      <c r="N3" s="100"/>
      <c r="O3" s="99"/>
      <c r="P3" s="98"/>
    </row>
    <row r="4" spans="1:17" s="48" customFormat="1" ht="30" customHeight="1" x14ac:dyDescent="0.15">
      <c r="A4" s="104">
        <v>20170216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[12]副本!G8</f>
        <v>1383.3429999999958</v>
      </c>
      <c r="I4" s="103">
        <f>H4</f>
        <v>1383.3429999999958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30" customHeight="1" x14ac:dyDescent="0.15">
      <c r="A5" s="104">
        <v>20170216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[12]副本!G10</f>
        <v>494.46400000002905</v>
      </c>
      <c r="I5" s="103">
        <f>H5</f>
        <v>494.46400000002905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258</v>
      </c>
    </row>
    <row r="6" spans="1:17" s="48" customFormat="1" ht="30" customHeight="1" x14ac:dyDescent="0.15">
      <c r="A6" s="104">
        <v>20170216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30" customHeight="1" x14ac:dyDescent="0.15">
      <c r="A7" s="104">
        <v>20170216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/>
      <c r="I7" s="103"/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30" customHeight="1" x14ac:dyDescent="0.15">
      <c r="A8" s="104">
        <v>20170216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[12]副本!G16</f>
        <v>1200.1090000000002</v>
      </c>
      <c r="I8" s="103">
        <f>H8</f>
        <v>1200.1090000000002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30" customHeight="1" x14ac:dyDescent="0.15">
      <c r="A9" s="104">
        <v>20170216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[12]副本!G18</f>
        <v>1322.4749999999999</v>
      </c>
      <c r="I9" s="103">
        <f>H9</f>
        <v>1322.4749999999999</v>
      </c>
      <c r="J9" s="104"/>
      <c r="K9" s="101">
        <v>100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30" customHeight="1" x14ac:dyDescent="0.15">
      <c r="A10" s="104">
        <v>20170216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[12]副本!G20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107</v>
      </c>
    </row>
    <row r="11" spans="1:17" s="48" customFormat="1" ht="30" customHeight="1" x14ac:dyDescent="0.15">
      <c r="A11" s="104">
        <v>20170216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[12]副本!G22</f>
        <v>1000</v>
      </c>
      <c r="I11" s="103">
        <f>H11</f>
        <v>1000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30" customHeight="1" x14ac:dyDescent="0.15">
      <c r="A12" s="104">
        <v>20170216</v>
      </c>
      <c r="B12" s="105" t="s">
        <v>105</v>
      </c>
      <c r="C12" s="104" t="s">
        <v>44</v>
      </c>
      <c r="D12" s="104"/>
      <c r="E12" s="104" t="s">
        <v>86</v>
      </c>
      <c r="F12" s="23" t="s">
        <v>155</v>
      </c>
      <c r="G12" s="104" t="s">
        <v>1</v>
      </c>
      <c r="H12" s="103">
        <f>[12]副本!G24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/>
    </row>
    <row r="13" spans="1:17" s="48" customFormat="1" ht="30" customHeight="1" x14ac:dyDescent="0.15">
      <c r="A13" s="104">
        <v>20170216</v>
      </c>
      <c r="B13" s="105" t="s">
        <v>104</v>
      </c>
      <c r="C13" s="116" t="s">
        <v>19</v>
      </c>
      <c r="D13" s="104"/>
      <c r="E13" s="104" t="s">
        <v>114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30" customHeight="1" x14ac:dyDescent="0.15">
      <c r="A14" s="104">
        <v>20170216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30" customHeight="1" x14ac:dyDescent="0.15">
      <c r="A15" s="104">
        <v>20170216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[12]副本!G30</f>
        <v>313.9369999999999</v>
      </c>
      <c r="I15" s="103">
        <f>H15</f>
        <v>313.9369999999999</v>
      </c>
      <c r="J15" s="104"/>
      <c r="K15" s="101"/>
      <c r="L15" s="102">
        <v>0</v>
      </c>
      <c r="M15" s="101">
        <v>1500</v>
      </c>
      <c r="N15" s="100"/>
      <c r="O15" s="99"/>
      <c r="P15" s="98" t="s">
        <v>257</v>
      </c>
    </row>
    <row r="16" spans="1:17" s="48" customFormat="1" ht="30" customHeight="1" x14ac:dyDescent="0.15">
      <c r="A16" s="104">
        <v>20170216</v>
      </c>
      <c r="B16" s="105" t="s">
        <v>101</v>
      </c>
      <c r="C16" s="116" t="s">
        <v>44</v>
      </c>
      <c r="D16" s="104"/>
      <c r="E16" s="104" t="s">
        <v>71</v>
      </c>
      <c r="F16" s="23" t="s">
        <v>153</v>
      </c>
      <c r="G16" s="104" t="s">
        <v>1</v>
      </c>
      <c r="H16" s="103">
        <f>[12]副本!G31</f>
        <v>99.71999999999997</v>
      </c>
      <c r="I16" s="103">
        <f>H16</f>
        <v>99.71999999999997</v>
      </c>
      <c r="J16" s="104"/>
      <c r="K16" s="101"/>
      <c r="L16" s="102"/>
      <c r="M16" s="101">
        <v>1500</v>
      </c>
      <c r="N16" s="100"/>
      <c r="O16" s="99"/>
      <c r="P16" s="121" t="s">
        <v>256</v>
      </c>
    </row>
    <row r="17" spans="1:17" s="48" customFormat="1" ht="30" customHeight="1" x14ac:dyDescent="0.15">
      <c r="A17" s="104">
        <v>20170216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[12]副本!G33-H18</f>
        <v>15378.247000000018</v>
      </c>
      <c r="I17" s="103">
        <f>H17</f>
        <v>15378.247000000018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98</v>
      </c>
    </row>
    <row r="18" spans="1:17" s="48" customFormat="1" ht="30" customHeight="1" x14ac:dyDescent="0.15">
      <c r="A18" s="104">
        <v>20170216</v>
      </c>
      <c r="B18" s="105" t="s">
        <v>99</v>
      </c>
      <c r="C18" s="116" t="s">
        <v>93</v>
      </c>
      <c r="D18" s="104"/>
      <c r="E18" s="104" t="s">
        <v>9</v>
      </c>
      <c r="F18" s="24" t="s">
        <v>175</v>
      </c>
      <c r="G18" s="104" t="s">
        <v>1</v>
      </c>
      <c r="H18" s="103">
        <f>[12]副本!G35</f>
        <v>2172.7529999999824</v>
      </c>
      <c r="I18" s="103">
        <f>H18</f>
        <v>2172.7529999999824</v>
      </c>
      <c r="J18" s="104"/>
      <c r="K18" s="101"/>
      <c r="L18" s="102">
        <f>H18-I18</f>
        <v>0</v>
      </c>
      <c r="M18" s="101">
        <v>21000</v>
      </c>
      <c r="N18" s="100" t="s">
        <v>90</v>
      </c>
      <c r="O18" s="99" t="s">
        <v>89</v>
      </c>
      <c r="P18" s="98" t="s">
        <v>97</v>
      </c>
    </row>
    <row r="19" spans="1:17" s="48" customFormat="1" ht="30" customHeight="1" x14ac:dyDescent="0.15">
      <c r="A19" s="104">
        <v>20170216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[12]副本!G37</f>
        <v>2350.4299999999998</v>
      </c>
      <c r="I19" s="103">
        <f>H19-3496.542+1000+2496.542</f>
        <v>2350.4299999999998</v>
      </c>
      <c r="J19" s="104"/>
      <c r="K19" s="101"/>
      <c r="L19" s="102">
        <f>H19-I19</f>
        <v>0</v>
      </c>
      <c r="M19" s="101">
        <v>5000</v>
      </c>
      <c r="N19" s="100"/>
      <c r="O19" s="99"/>
      <c r="P19" s="98" t="s">
        <v>255</v>
      </c>
    </row>
    <row r="20" spans="1:17" s="48" customFormat="1" ht="30" customHeight="1" x14ac:dyDescent="0.15">
      <c r="A20" s="104">
        <v>20170216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30" customHeight="1" x14ac:dyDescent="0.15">
      <c r="A21" s="104">
        <v>20170216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[12]副本!G41-'20170216'!H22</f>
        <v>1513.5454280000376</v>
      </c>
      <c r="I21" s="103">
        <f t="shared" ref="I21:I26" si="0">H21</f>
        <v>1513.5454280000376</v>
      </c>
      <c r="J21" s="104"/>
      <c r="K21" s="101"/>
      <c r="L21" s="102">
        <f t="shared" ref="L21:L26" si="1"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30" customHeight="1" x14ac:dyDescent="0.15">
      <c r="A22" s="104">
        <v>20170216</v>
      </c>
      <c r="B22" s="105" t="s">
        <v>94</v>
      </c>
      <c r="C22" s="116" t="s">
        <v>93</v>
      </c>
      <c r="D22" s="104"/>
      <c r="E22" s="104" t="s">
        <v>9</v>
      </c>
      <c r="F22" s="24" t="s">
        <v>175</v>
      </c>
      <c r="G22" s="104" t="s">
        <v>1</v>
      </c>
      <c r="H22" s="103">
        <f>[12]副本!G43</f>
        <v>5216.4545719999624</v>
      </c>
      <c r="I22" s="103">
        <f t="shared" si="0"/>
        <v>5216.4545719999624</v>
      </c>
      <c r="J22" s="104"/>
      <c r="K22" s="117"/>
      <c r="L22" s="102">
        <f t="shared" si="1"/>
        <v>0</v>
      </c>
      <c r="M22" s="101">
        <v>21000</v>
      </c>
      <c r="N22" s="100" t="s">
        <v>90</v>
      </c>
      <c r="O22" s="99" t="s">
        <v>89</v>
      </c>
      <c r="P22" s="98" t="s">
        <v>88</v>
      </c>
    </row>
    <row r="23" spans="1:17" s="48" customFormat="1" ht="30" customHeight="1" x14ac:dyDescent="0.15">
      <c r="A23" s="104">
        <v>20170216</v>
      </c>
      <c r="B23" s="105" t="s">
        <v>87</v>
      </c>
      <c r="C23" s="116" t="s">
        <v>44</v>
      </c>
      <c r="D23" s="104"/>
      <c r="E23" s="104" t="s">
        <v>86</v>
      </c>
      <c r="F23" s="23" t="s">
        <v>160</v>
      </c>
      <c r="G23" s="104" t="s">
        <v>1</v>
      </c>
      <c r="H23" s="103">
        <f>[12]副本!G45</f>
        <v>6134.7419999999993</v>
      </c>
      <c r="I23" s="103">
        <f t="shared" si="0"/>
        <v>6134.7419999999993</v>
      </c>
      <c r="J23" s="104"/>
      <c r="K23" s="101">
        <v>350</v>
      </c>
      <c r="L23" s="102">
        <f t="shared" si="1"/>
        <v>0</v>
      </c>
      <c r="M23" s="101">
        <v>5000</v>
      </c>
      <c r="N23" s="100"/>
      <c r="O23" s="99"/>
      <c r="P23" s="98" t="s">
        <v>85</v>
      </c>
    </row>
    <row r="24" spans="1:17" s="48" customFormat="1" ht="30" customHeight="1" x14ac:dyDescent="0.15">
      <c r="A24" s="104">
        <v>20170216</v>
      </c>
      <c r="B24" s="105" t="s">
        <v>84</v>
      </c>
      <c r="C24" s="116" t="s">
        <v>3</v>
      </c>
      <c r="D24" s="104"/>
      <c r="E24" s="98" t="s">
        <v>83</v>
      </c>
      <c r="F24" s="23" t="s">
        <v>161</v>
      </c>
      <c r="G24" s="104" t="s">
        <v>1</v>
      </c>
      <c r="H24" s="103">
        <f>[12]副本!G47</f>
        <v>71.873000000000047</v>
      </c>
      <c r="I24" s="103">
        <f t="shared" si="0"/>
        <v>71.873000000000047</v>
      </c>
      <c r="J24" s="104"/>
      <c r="K24" s="101"/>
      <c r="L24" s="102">
        <f t="shared" si="1"/>
        <v>0</v>
      </c>
      <c r="M24" s="101">
        <v>5000</v>
      </c>
      <c r="N24" s="100"/>
      <c r="O24" s="99"/>
      <c r="P24" s="120" t="s">
        <v>82</v>
      </c>
    </row>
    <row r="25" spans="1:17" s="48" customFormat="1" ht="30" customHeight="1" x14ac:dyDescent="0.15">
      <c r="A25" s="104">
        <v>20170216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[12]副本!G49</f>
        <v>3992.8519999999999</v>
      </c>
      <c r="I25" s="103">
        <f t="shared" si="0"/>
        <v>3992.8519999999999</v>
      </c>
      <c r="J25" s="104"/>
      <c r="K25" s="101"/>
      <c r="L25" s="102">
        <f t="shared" si="1"/>
        <v>0</v>
      </c>
      <c r="M25" s="101">
        <v>5000</v>
      </c>
      <c r="N25" s="100"/>
      <c r="O25" s="99"/>
      <c r="P25" s="98" t="s">
        <v>254</v>
      </c>
    </row>
    <row r="26" spans="1:17" s="48" customFormat="1" ht="30" customHeight="1" x14ac:dyDescent="0.15">
      <c r="A26" s="104">
        <v>20170216</v>
      </c>
      <c r="B26" s="105" t="s">
        <v>80</v>
      </c>
      <c r="C26" s="116" t="s">
        <v>44</v>
      </c>
      <c r="D26" s="104"/>
      <c r="E26" s="104" t="s">
        <v>43</v>
      </c>
      <c r="F26" s="23" t="s">
        <v>157</v>
      </c>
      <c r="G26" s="104" t="s">
        <v>1</v>
      </c>
      <c r="H26" s="103">
        <f>[12]副本!G52</f>
        <v>2144.2040000000002</v>
      </c>
      <c r="I26" s="103">
        <f t="shared" si="0"/>
        <v>2144.2040000000002</v>
      </c>
      <c r="J26" s="104"/>
      <c r="K26" s="101"/>
      <c r="L26" s="102">
        <f t="shared" si="1"/>
        <v>0</v>
      </c>
      <c r="M26" s="101">
        <v>4000</v>
      </c>
      <c r="N26" s="100"/>
      <c r="O26" s="99"/>
      <c r="P26" s="98"/>
    </row>
    <row r="27" spans="1:17" s="48" customFormat="1" ht="30" customHeight="1" x14ac:dyDescent="0.15">
      <c r="A27" s="104">
        <v>20170216</v>
      </c>
      <c r="B27" s="105" t="s">
        <v>79</v>
      </c>
      <c r="C27" s="116" t="s">
        <v>74</v>
      </c>
      <c r="D27" s="104" t="s">
        <v>5</v>
      </c>
      <c r="E27" s="104"/>
      <c r="F27" s="104"/>
      <c r="G27" s="104"/>
      <c r="H27" s="103"/>
      <c r="I27" s="103"/>
      <c r="J27" s="104"/>
      <c r="K27" s="101"/>
      <c r="L27" s="102"/>
      <c r="M27" s="101">
        <v>5000</v>
      </c>
      <c r="N27" s="100"/>
      <c r="O27" s="99"/>
      <c r="P27" s="98"/>
    </row>
    <row r="28" spans="1:17" s="48" customFormat="1" ht="30" customHeight="1" x14ac:dyDescent="0.15">
      <c r="A28" s="104">
        <v>20170216</v>
      </c>
      <c r="B28" s="105" t="s">
        <v>78</v>
      </c>
      <c r="C28" s="116" t="s">
        <v>74</v>
      </c>
      <c r="D28" s="104"/>
      <c r="E28" s="104" t="s">
        <v>32</v>
      </c>
      <c r="F28" s="104"/>
      <c r="G28" s="104"/>
      <c r="H28" s="103"/>
      <c r="I28" s="103"/>
      <c r="J28" s="104"/>
      <c r="K28" s="101"/>
      <c r="L28" s="102"/>
      <c r="M28" s="101">
        <v>2000</v>
      </c>
      <c r="N28" s="100"/>
      <c r="O28" s="99"/>
      <c r="P28" s="98"/>
    </row>
    <row r="29" spans="1:17" s="48" customFormat="1" ht="30" customHeight="1" x14ac:dyDescent="0.15">
      <c r="A29" s="104">
        <v>20170216</v>
      </c>
      <c r="B29" s="105" t="s">
        <v>77</v>
      </c>
      <c r="C29" s="116" t="s">
        <v>74</v>
      </c>
      <c r="D29" s="104"/>
      <c r="E29" s="104" t="s">
        <v>32</v>
      </c>
      <c r="F29" s="23" t="s">
        <v>153</v>
      </c>
      <c r="G29" s="104" t="s">
        <v>1</v>
      </c>
      <c r="H29" s="103">
        <f>[12]副本!G59</f>
        <v>1098.6790000000001</v>
      </c>
      <c r="I29" s="103">
        <f>H29-1098.679+1098.679</f>
        <v>1098.6790000000001</v>
      </c>
      <c r="J29" s="104"/>
      <c r="K29" s="101"/>
      <c r="L29" s="102">
        <f>H29-I29</f>
        <v>0</v>
      </c>
      <c r="M29" s="101">
        <v>1500</v>
      </c>
      <c r="N29" s="100"/>
      <c r="O29" s="99"/>
      <c r="P29" s="98" t="s">
        <v>209</v>
      </c>
    </row>
    <row r="30" spans="1:17" s="48" customFormat="1" ht="30" customHeight="1" x14ac:dyDescent="0.15">
      <c r="A30" s="104">
        <v>20170216</v>
      </c>
      <c r="B30" s="105" t="s">
        <v>76</v>
      </c>
      <c r="C30" s="116" t="s">
        <v>74</v>
      </c>
      <c r="D30" s="104"/>
      <c r="E30" s="104" t="s">
        <v>32</v>
      </c>
      <c r="F30" s="37"/>
      <c r="G30" s="104"/>
      <c r="H30" s="103"/>
      <c r="I30" s="103"/>
      <c r="J30" s="104"/>
      <c r="K30" s="101"/>
      <c r="L30" s="102"/>
      <c r="M30" s="101">
        <v>1500</v>
      </c>
      <c r="N30" s="100"/>
      <c r="O30" s="99"/>
      <c r="P30" s="98"/>
      <c r="Q30" s="49"/>
    </row>
    <row r="31" spans="1:17" s="48" customFormat="1" ht="30" customHeight="1" x14ac:dyDescent="0.15">
      <c r="A31" s="104">
        <v>20170216</v>
      </c>
      <c r="B31" s="105" t="s">
        <v>75</v>
      </c>
      <c r="C31" s="116" t="s">
        <v>74</v>
      </c>
      <c r="D31" s="104"/>
      <c r="E31" s="104" t="s">
        <v>32</v>
      </c>
      <c r="F31" s="23" t="s">
        <v>153</v>
      </c>
      <c r="G31" s="104" t="s">
        <v>1</v>
      </c>
      <c r="H31" s="103">
        <f>[12]副本!G63</f>
        <v>1096.2820000000002</v>
      </c>
      <c r="I31" s="103">
        <f>H31-1096.282+1096.282</f>
        <v>1096.2820000000002</v>
      </c>
      <c r="J31" s="104"/>
      <c r="K31" s="101"/>
      <c r="L31" s="102">
        <f>H31-I31</f>
        <v>0</v>
      </c>
      <c r="M31" s="101">
        <v>1500</v>
      </c>
      <c r="N31" s="100"/>
      <c r="O31" s="99"/>
      <c r="P31" s="98" t="s">
        <v>209</v>
      </c>
    </row>
    <row r="32" spans="1:17" s="48" customFormat="1" ht="30" customHeight="1" x14ac:dyDescent="0.15">
      <c r="A32" s="104">
        <v>20170216</v>
      </c>
      <c r="B32" s="105" t="s">
        <v>73</v>
      </c>
      <c r="C32" s="116" t="s">
        <v>44</v>
      </c>
      <c r="D32" s="104"/>
      <c r="E32" s="104"/>
      <c r="F32" s="104"/>
      <c r="G32" s="104"/>
      <c r="H32" s="103"/>
      <c r="I32" s="103"/>
      <c r="J32" s="104"/>
      <c r="K32" s="101"/>
      <c r="L32" s="102"/>
      <c r="M32" s="101">
        <v>1500</v>
      </c>
      <c r="N32" s="100"/>
      <c r="O32" s="99"/>
      <c r="P32" s="98"/>
    </row>
    <row r="33" spans="1:16" s="48" customFormat="1" ht="30" customHeight="1" x14ac:dyDescent="0.15">
      <c r="A33" s="104">
        <v>20170216</v>
      </c>
      <c r="B33" s="105" t="s">
        <v>72</v>
      </c>
      <c r="C33" s="116" t="s">
        <v>44</v>
      </c>
      <c r="D33" s="104"/>
      <c r="E33" s="104" t="s">
        <v>71</v>
      </c>
      <c r="F33" s="23" t="s">
        <v>154</v>
      </c>
      <c r="G33" s="104" t="s">
        <v>1</v>
      </c>
      <c r="H33" s="104">
        <f>[12]副本!G67</f>
        <v>931.53000000000031</v>
      </c>
      <c r="I33" s="103">
        <f>H33-1035.099+1035.099</f>
        <v>931.53000000000031</v>
      </c>
      <c r="J33" s="104"/>
      <c r="K33" s="101">
        <v>30</v>
      </c>
      <c r="L33" s="102">
        <f>H33-I33</f>
        <v>0</v>
      </c>
      <c r="M33" s="101">
        <v>2000</v>
      </c>
      <c r="N33" s="100"/>
      <c r="O33" s="99"/>
      <c r="P33" s="98" t="s">
        <v>221</v>
      </c>
    </row>
    <row r="34" spans="1:16" s="48" customFormat="1" ht="30" customHeight="1" x14ac:dyDescent="0.15">
      <c r="A34" s="104">
        <v>20170216</v>
      </c>
      <c r="B34" s="105" t="s">
        <v>69</v>
      </c>
      <c r="C34" s="116" t="s">
        <v>44</v>
      </c>
      <c r="D34" s="104" t="s">
        <v>5</v>
      </c>
      <c r="E34" s="104" t="s">
        <v>68</v>
      </c>
      <c r="F34" s="23" t="s">
        <v>162</v>
      </c>
      <c r="G34" s="104" t="s">
        <v>1</v>
      </c>
      <c r="H34" s="103">
        <f>[12]副本!G69</f>
        <v>557.34299999999985</v>
      </c>
      <c r="I34" s="103">
        <f>H34-1037.023+500+537.023</f>
        <v>557.34299999999996</v>
      </c>
      <c r="J34" s="104"/>
      <c r="K34" s="101">
        <v>100</v>
      </c>
      <c r="L34" s="102">
        <f>H34-I34</f>
        <v>0</v>
      </c>
      <c r="M34" s="101">
        <v>3000</v>
      </c>
      <c r="N34" s="100"/>
      <c r="O34" s="99"/>
      <c r="P34" s="110" t="s">
        <v>67</v>
      </c>
    </row>
    <row r="35" spans="1:16" s="48" customFormat="1" ht="30" customHeight="1" x14ac:dyDescent="0.15">
      <c r="A35" s="104">
        <v>20170216</v>
      </c>
      <c r="B35" s="105" t="s">
        <v>66</v>
      </c>
      <c r="C35" s="116" t="s">
        <v>44</v>
      </c>
      <c r="D35" s="104" t="s">
        <v>5</v>
      </c>
      <c r="E35" s="104" t="s">
        <v>61</v>
      </c>
      <c r="F35" s="23" t="s">
        <v>159</v>
      </c>
      <c r="G35" s="104" t="s">
        <v>1</v>
      </c>
      <c r="H35" s="103">
        <f>[12]副本!G71</f>
        <v>2002.9199999999992</v>
      </c>
      <c r="I35" s="103">
        <f>H35-3607.546+2050+1050+507.546-1553.792+1553.792</f>
        <v>2002.9199999999994</v>
      </c>
      <c r="J35" s="104"/>
      <c r="K35" s="101"/>
      <c r="L35" s="102">
        <f>H35-I35</f>
        <v>0</v>
      </c>
      <c r="M35" s="101">
        <v>4000</v>
      </c>
      <c r="N35" s="100"/>
      <c r="O35" s="99"/>
      <c r="P35" s="98" t="s">
        <v>65</v>
      </c>
    </row>
    <row r="36" spans="1:16" s="48" customFormat="1" ht="30" customHeight="1" x14ac:dyDescent="0.15">
      <c r="A36" s="104">
        <v>20170216</v>
      </c>
      <c r="B36" s="105" t="s">
        <v>64</v>
      </c>
      <c r="C36" s="116" t="s">
        <v>3</v>
      </c>
      <c r="D36" s="104"/>
      <c r="E36" s="104"/>
      <c r="F36" s="104"/>
      <c r="G36" s="104"/>
      <c r="H36" s="103"/>
      <c r="I36" s="103"/>
      <c r="J36" s="104"/>
      <c r="K36" s="101"/>
      <c r="L36" s="102"/>
      <c r="M36" s="101">
        <v>5000</v>
      </c>
      <c r="N36" s="100"/>
      <c r="O36" s="99"/>
      <c r="P36" s="98"/>
    </row>
    <row r="37" spans="1:16" s="48" customFormat="1" ht="30" customHeight="1" x14ac:dyDescent="0.15">
      <c r="A37" s="104">
        <v>20170216</v>
      </c>
      <c r="B37" s="105" t="s">
        <v>63</v>
      </c>
      <c r="C37" s="116" t="s">
        <v>44</v>
      </c>
      <c r="D37" s="104" t="s">
        <v>5</v>
      </c>
      <c r="E37" s="104" t="s">
        <v>61</v>
      </c>
      <c r="F37" s="23" t="s">
        <v>159</v>
      </c>
      <c r="G37" s="104" t="s">
        <v>1</v>
      </c>
      <c r="H37" s="103">
        <f>[12]副本!G75</f>
        <v>3165.2070000000526</v>
      </c>
      <c r="I37" s="103">
        <f>H37-955.747+477.874+477.873-1042.865-2628.137+500+542.865+2102.57+525.567-499.112-3147.566+2100+525+525+496.678-2617.899+1574.891+523.692-522.622+522.622-2589.467+523.692-499.362+517.893</f>
        <v>598.64700000005223</v>
      </c>
      <c r="J37" s="104"/>
      <c r="K37" s="101"/>
      <c r="L37" s="102">
        <f>H37-I37</f>
        <v>2566.5600000000004</v>
      </c>
      <c r="M37" s="101">
        <v>5000</v>
      </c>
      <c r="N37" s="100"/>
      <c r="O37" s="99"/>
      <c r="P37" s="98" t="s">
        <v>253</v>
      </c>
    </row>
    <row r="38" spans="1:16" s="48" customFormat="1" ht="30" customHeight="1" x14ac:dyDescent="0.15">
      <c r="A38" s="104">
        <v>20170216</v>
      </c>
      <c r="B38" s="105" t="s">
        <v>63</v>
      </c>
      <c r="C38" s="116" t="s">
        <v>44</v>
      </c>
      <c r="D38" s="104" t="s">
        <v>5</v>
      </c>
      <c r="E38" s="104" t="s">
        <v>61</v>
      </c>
      <c r="F38" s="23" t="s">
        <v>163</v>
      </c>
      <c r="G38" s="104" t="s">
        <v>1</v>
      </c>
      <c r="H38" s="103">
        <f>[12]副本!G76</f>
        <v>415.75800000000038</v>
      </c>
      <c r="I38" s="103">
        <f>H38</f>
        <v>415.75800000000038</v>
      </c>
      <c r="J38" s="104"/>
      <c r="K38" s="101"/>
      <c r="L38" s="102">
        <f>H38-I38</f>
        <v>0</v>
      </c>
      <c r="M38" s="101">
        <v>5000</v>
      </c>
      <c r="N38" s="100"/>
      <c r="O38" s="99"/>
      <c r="P38" s="98" t="s">
        <v>252</v>
      </c>
    </row>
    <row r="39" spans="1:16" s="48" customFormat="1" ht="30" customHeight="1" x14ac:dyDescent="0.15">
      <c r="A39" s="104">
        <v>20170216</v>
      </c>
      <c r="B39" s="105" t="s">
        <v>59</v>
      </c>
      <c r="C39" s="116" t="s">
        <v>19</v>
      </c>
      <c r="D39" s="104"/>
      <c r="E39" s="104" t="s">
        <v>32</v>
      </c>
      <c r="F39" s="23" t="s">
        <v>161</v>
      </c>
      <c r="G39" s="104" t="s">
        <v>1</v>
      </c>
      <c r="H39" s="103">
        <f>[12]副本!G78</f>
        <v>31.463999999997668</v>
      </c>
      <c r="I39" s="103">
        <f>H39-2564.978+2564.978</f>
        <v>31.463999999997668</v>
      </c>
      <c r="J39" s="104"/>
      <c r="K39" s="101"/>
      <c r="L39" s="102">
        <f>H39-I39</f>
        <v>0</v>
      </c>
      <c r="M39" s="101">
        <v>4000</v>
      </c>
      <c r="N39" s="100"/>
      <c r="O39" s="99"/>
      <c r="P39" s="98" t="s">
        <v>58</v>
      </c>
    </row>
    <row r="40" spans="1:16" s="48" customFormat="1" ht="30" customHeight="1" x14ac:dyDescent="0.15">
      <c r="A40" s="104">
        <v>20170216</v>
      </c>
      <c r="B40" s="105" t="s">
        <v>59</v>
      </c>
      <c r="C40" s="116" t="s">
        <v>19</v>
      </c>
      <c r="D40" s="104"/>
      <c r="E40" s="104" t="s">
        <v>32</v>
      </c>
      <c r="F40" s="23" t="s">
        <v>153</v>
      </c>
      <c r="G40" s="104" t="s">
        <v>1</v>
      </c>
      <c r="H40" s="103">
        <f>[12]副本!G81</f>
        <v>2564.9780000000001</v>
      </c>
      <c r="I40" s="103">
        <f>H40</f>
        <v>2564.9780000000001</v>
      </c>
      <c r="J40" s="104"/>
      <c r="K40" s="101"/>
      <c r="L40" s="102"/>
      <c r="M40" s="101">
        <v>4000</v>
      </c>
      <c r="N40" s="100"/>
      <c r="O40" s="99"/>
      <c r="P40" s="98" t="s">
        <v>208</v>
      </c>
    </row>
    <row r="41" spans="1:16" s="48" customFormat="1" ht="30" customHeight="1" x14ac:dyDescent="0.15">
      <c r="A41" s="104">
        <v>20170216</v>
      </c>
      <c r="B41" s="105" t="s">
        <v>56</v>
      </c>
      <c r="C41" s="116" t="s">
        <v>19</v>
      </c>
      <c r="D41" s="104"/>
      <c r="E41" s="104"/>
      <c r="F41" s="104"/>
      <c r="G41" s="104"/>
      <c r="H41" s="103"/>
      <c r="I41" s="103"/>
      <c r="J41" s="104"/>
      <c r="K41" s="101"/>
      <c r="L41" s="102"/>
      <c r="M41" s="101">
        <v>2000</v>
      </c>
      <c r="N41" s="100"/>
      <c r="O41" s="99"/>
      <c r="P41" s="98"/>
    </row>
    <row r="42" spans="1:16" s="48" customFormat="1" ht="30" customHeight="1" x14ac:dyDescent="0.15">
      <c r="A42" s="104">
        <v>20170216</v>
      </c>
      <c r="B42" s="105" t="s">
        <v>55</v>
      </c>
      <c r="C42" s="116" t="s">
        <v>19</v>
      </c>
      <c r="D42" s="104"/>
      <c r="E42" s="104" t="s">
        <v>32</v>
      </c>
      <c r="F42" s="23" t="s">
        <v>161</v>
      </c>
      <c r="G42" s="104" t="s">
        <v>1</v>
      </c>
      <c r="H42" s="103">
        <f>[12]副本!G85</f>
        <v>2522.3710000000001</v>
      </c>
      <c r="I42" s="103">
        <f>H42</f>
        <v>2522.3710000000001</v>
      </c>
      <c r="J42" s="104"/>
      <c r="K42" s="101"/>
      <c r="L42" s="102">
        <f>H42-I42</f>
        <v>0</v>
      </c>
      <c r="M42" s="101">
        <v>3000</v>
      </c>
      <c r="N42" s="100"/>
      <c r="O42" s="99"/>
      <c r="P42" s="98" t="s">
        <v>251</v>
      </c>
    </row>
    <row r="43" spans="1:16" s="48" customFormat="1" ht="30" customHeight="1" x14ac:dyDescent="0.15">
      <c r="A43" s="104">
        <v>20170216</v>
      </c>
      <c r="B43" s="105" t="s">
        <v>54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[12]副本!G87</f>
        <v>3249.6959999999999</v>
      </c>
      <c r="I43" s="103">
        <f>H43</f>
        <v>3249.6959999999999</v>
      </c>
      <c r="J43" s="104"/>
      <c r="K43" s="101">
        <v>1300</v>
      </c>
      <c r="L43" s="102">
        <f>H43-I43</f>
        <v>0</v>
      </c>
      <c r="M43" s="101">
        <v>5000</v>
      </c>
      <c r="N43" s="109"/>
      <c r="O43" s="99"/>
      <c r="P43" s="98" t="s">
        <v>250</v>
      </c>
    </row>
    <row r="44" spans="1:16" s="48" customFormat="1" ht="30" customHeight="1" x14ac:dyDescent="0.15">
      <c r="A44" s="104">
        <v>20170216</v>
      </c>
      <c r="B44" s="105" t="s">
        <v>52</v>
      </c>
      <c r="C44" s="116" t="s">
        <v>44</v>
      </c>
      <c r="D44" s="104"/>
      <c r="E44" s="104"/>
      <c r="F44" s="104"/>
      <c r="G44" s="104"/>
      <c r="H44" s="103"/>
      <c r="I44" s="103"/>
      <c r="J44" s="104"/>
      <c r="K44" s="101"/>
      <c r="L44" s="102"/>
      <c r="M44" s="101">
        <v>5000</v>
      </c>
      <c r="N44" s="100"/>
      <c r="O44" s="99"/>
      <c r="P44" s="98"/>
    </row>
    <row r="45" spans="1:16" s="48" customFormat="1" ht="30" customHeight="1" x14ac:dyDescent="0.15">
      <c r="A45" s="104">
        <v>20170216</v>
      </c>
      <c r="B45" s="105" t="s">
        <v>51</v>
      </c>
      <c r="C45" s="116" t="s">
        <v>44</v>
      </c>
      <c r="D45" s="104"/>
      <c r="E45" s="104" t="s">
        <v>50</v>
      </c>
      <c r="F45" s="23" t="s">
        <v>152</v>
      </c>
      <c r="G45" s="104" t="s">
        <v>1</v>
      </c>
      <c r="H45" s="103">
        <f>[12]副本!G93</f>
        <v>2006.1080000000002</v>
      </c>
      <c r="I45" s="103">
        <f>H45-1021.25+1021.25</f>
        <v>2006.1080000000002</v>
      </c>
      <c r="J45" s="104"/>
      <c r="K45" s="101">
        <v>100</v>
      </c>
      <c r="L45" s="102">
        <f>H45-I45</f>
        <v>0</v>
      </c>
      <c r="M45" s="101">
        <v>5000</v>
      </c>
      <c r="N45" s="100"/>
      <c r="O45" s="99"/>
      <c r="P45" s="98" t="s">
        <v>249</v>
      </c>
    </row>
    <row r="46" spans="1:16" s="48" customFormat="1" ht="30" customHeight="1" x14ac:dyDescent="0.15">
      <c r="A46" s="104">
        <v>20170216</v>
      </c>
      <c r="B46" s="105" t="s">
        <v>51</v>
      </c>
      <c r="C46" s="116" t="s">
        <v>44</v>
      </c>
      <c r="D46" s="104"/>
      <c r="E46" s="104" t="s">
        <v>50</v>
      </c>
      <c r="F46" s="23" t="s">
        <v>148</v>
      </c>
      <c r="G46" s="104" t="s">
        <v>1</v>
      </c>
      <c r="H46" s="103">
        <f>[12]副本!G94</f>
        <v>1000</v>
      </c>
      <c r="I46" s="103">
        <f>H46</f>
        <v>1000</v>
      </c>
      <c r="J46" s="104"/>
      <c r="K46" s="101"/>
      <c r="L46" s="102"/>
      <c r="M46" s="101">
        <v>5000</v>
      </c>
      <c r="N46" s="100"/>
      <c r="O46" s="99"/>
      <c r="P46" s="98" t="s">
        <v>49</v>
      </c>
    </row>
    <row r="47" spans="1:16" s="48" customFormat="1" ht="30" customHeight="1" x14ac:dyDescent="0.15">
      <c r="A47" s="104">
        <v>20170216</v>
      </c>
      <c r="B47" s="105" t="s">
        <v>48</v>
      </c>
      <c r="C47" s="116" t="s">
        <v>44</v>
      </c>
      <c r="D47" s="104"/>
      <c r="E47" s="104" t="s">
        <v>43</v>
      </c>
      <c r="F47" s="23" t="s">
        <v>157</v>
      </c>
      <c r="G47" s="104" t="s">
        <v>1</v>
      </c>
      <c r="H47" s="103">
        <f>[12]副本!G96</f>
        <v>2.4439999999940483</v>
      </c>
      <c r="I47" s="103">
        <f>H47</f>
        <v>2.4439999999940483</v>
      </c>
      <c r="J47" s="104"/>
      <c r="K47" s="102"/>
      <c r="L47" s="102">
        <f>H47-I47</f>
        <v>0</v>
      </c>
      <c r="M47" s="101">
        <v>2000</v>
      </c>
      <c r="N47" s="100"/>
      <c r="O47" s="99"/>
      <c r="P47" s="98"/>
    </row>
    <row r="48" spans="1:16" s="48" customFormat="1" ht="30" customHeight="1" x14ac:dyDescent="0.15">
      <c r="A48" s="104">
        <v>20170216</v>
      </c>
      <c r="B48" s="105" t="s">
        <v>47</v>
      </c>
      <c r="C48" s="116" t="s">
        <v>19</v>
      </c>
      <c r="D48" s="104" t="s">
        <v>5</v>
      </c>
      <c r="E48" s="104" t="s">
        <v>27</v>
      </c>
      <c r="F48" s="23" t="s">
        <v>165</v>
      </c>
      <c r="G48" s="104" t="s">
        <v>1</v>
      </c>
      <c r="H48" s="103">
        <f>[12]副本!G98</f>
        <v>2409.6100000000006</v>
      </c>
      <c r="I48" s="103">
        <v>0</v>
      </c>
      <c r="J48" s="104"/>
      <c r="K48" s="101"/>
      <c r="L48" s="102">
        <f>H48-I48</f>
        <v>2409.6100000000006</v>
      </c>
      <c r="M48" s="101">
        <v>10000</v>
      </c>
      <c r="N48" s="100"/>
      <c r="O48" s="99"/>
      <c r="P48" s="98"/>
    </row>
    <row r="49" spans="1:17" s="48" customFormat="1" ht="30" customHeight="1" x14ac:dyDescent="0.15">
      <c r="A49" s="104">
        <v>20170216</v>
      </c>
      <c r="B49" s="105" t="s">
        <v>46</v>
      </c>
      <c r="C49" s="116" t="s">
        <v>19</v>
      </c>
      <c r="D49" s="104" t="s">
        <v>5</v>
      </c>
      <c r="E49" s="104" t="s">
        <v>27</v>
      </c>
      <c r="F49" s="23" t="s">
        <v>165</v>
      </c>
      <c r="G49" s="104" t="s">
        <v>1</v>
      </c>
      <c r="H49" s="103">
        <f>[12]副本!G100</f>
        <v>4217.264000000001</v>
      </c>
      <c r="I49" s="103">
        <v>0</v>
      </c>
      <c r="J49" s="104"/>
      <c r="K49" s="101"/>
      <c r="L49" s="102">
        <v>0</v>
      </c>
      <c r="M49" s="101">
        <v>10000</v>
      </c>
      <c r="N49" s="100"/>
      <c r="O49" s="99"/>
      <c r="P49" s="98"/>
    </row>
    <row r="50" spans="1:17" s="48" customFormat="1" ht="30" customHeight="1" x14ac:dyDescent="0.15">
      <c r="A50" s="104">
        <v>20170216</v>
      </c>
      <c r="B50" s="105" t="s">
        <v>45</v>
      </c>
      <c r="C50" s="116" t="s">
        <v>44</v>
      </c>
      <c r="D50" s="104"/>
      <c r="E50" s="104" t="s">
        <v>43</v>
      </c>
      <c r="F50" s="23" t="s">
        <v>166</v>
      </c>
      <c r="G50" s="104" t="s">
        <v>1</v>
      </c>
      <c r="H50" s="103">
        <f>[12]副本!G102</f>
        <v>2278.4350000000068</v>
      </c>
      <c r="I50" s="103">
        <f>H50</f>
        <v>2278.4350000000068</v>
      </c>
      <c r="J50" s="104"/>
      <c r="K50" s="102"/>
      <c r="L50" s="102">
        <v>0</v>
      </c>
      <c r="M50" s="101">
        <v>5000</v>
      </c>
      <c r="N50" s="107" t="s">
        <v>42</v>
      </c>
      <c r="O50" s="106" t="s">
        <v>41</v>
      </c>
      <c r="P50" s="98" t="s">
        <v>146</v>
      </c>
    </row>
    <row r="51" spans="1:17" s="48" customFormat="1" ht="30" customHeight="1" x14ac:dyDescent="0.15">
      <c r="A51" s="104">
        <v>20170216</v>
      </c>
      <c r="B51" s="105" t="s">
        <v>39</v>
      </c>
      <c r="C51" s="116" t="s">
        <v>19</v>
      </c>
      <c r="D51" s="104"/>
      <c r="E51" s="104"/>
      <c r="F51" s="104"/>
      <c r="G51" s="104"/>
      <c r="H51" s="103"/>
      <c r="I51" s="103"/>
      <c r="J51" s="104"/>
      <c r="K51" s="101"/>
      <c r="L51" s="102"/>
      <c r="M51" s="101">
        <v>3000</v>
      </c>
      <c r="N51" s="100"/>
      <c r="O51" s="99"/>
      <c r="P51" s="98"/>
    </row>
    <row r="52" spans="1:17" s="48" customFormat="1" ht="30" customHeight="1" x14ac:dyDescent="0.15">
      <c r="A52" s="104">
        <v>20170216</v>
      </c>
      <c r="B52" s="105" t="s">
        <v>38</v>
      </c>
      <c r="C52" s="116" t="s">
        <v>19</v>
      </c>
      <c r="D52" s="104" t="s">
        <v>5</v>
      </c>
      <c r="E52" s="104" t="s">
        <v>27</v>
      </c>
      <c r="F52" s="23" t="s">
        <v>165</v>
      </c>
      <c r="G52" s="104" t="s">
        <v>22</v>
      </c>
      <c r="H52" s="103">
        <f>[12]副本!G106</f>
        <v>15130.712</v>
      </c>
      <c r="I52" s="103">
        <v>0</v>
      </c>
      <c r="J52" s="104"/>
      <c r="K52" s="101"/>
      <c r="L52" s="102">
        <f>H52-I52</f>
        <v>15130.712</v>
      </c>
      <c r="M52" s="101">
        <v>25000</v>
      </c>
      <c r="N52" s="100" t="s">
        <v>37</v>
      </c>
      <c r="O52" s="99" t="s">
        <v>36</v>
      </c>
      <c r="P52" s="98" t="s">
        <v>35</v>
      </c>
    </row>
    <row r="53" spans="1:17" s="48" customFormat="1" ht="30" customHeight="1" x14ac:dyDescent="0.15">
      <c r="A53" s="104">
        <v>20170216</v>
      </c>
      <c r="B53" s="105" t="s">
        <v>34</v>
      </c>
      <c r="C53" s="116" t="s">
        <v>19</v>
      </c>
      <c r="D53" s="104" t="s">
        <v>5</v>
      </c>
      <c r="E53" s="104" t="s">
        <v>27</v>
      </c>
      <c r="F53" s="23" t="s">
        <v>167</v>
      </c>
      <c r="G53" s="104" t="s">
        <v>22</v>
      </c>
      <c r="H53" s="103">
        <f>[12]副本!G108</f>
        <v>30364.863000000081</v>
      </c>
      <c r="I53" s="103">
        <v>0</v>
      </c>
      <c r="J53" s="104"/>
      <c r="K53" s="101"/>
      <c r="L53" s="102">
        <f>H53-I53</f>
        <v>30364.863000000081</v>
      </c>
      <c r="M53" s="101">
        <v>50000</v>
      </c>
      <c r="N53" s="100"/>
      <c r="O53" s="99"/>
      <c r="P53" s="98"/>
    </row>
    <row r="54" spans="1:17" s="48" customFormat="1" ht="30" customHeight="1" x14ac:dyDescent="0.15">
      <c r="A54" s="104">
        <v>20170216</v>
      </c>
      <c r="B54" s="105" t="s">
        <v>33</v>
      </c>
      <c r="C54" s="116" t="s">
        <v>19</v>
      </c>
      <c r="D54" s="104"/>
      <c r="E54" s="104" t="s">
        <v>32</v>
      </c>
      <c r="F54" s="23" t="s">
        <v>161</v>
      </c>
      <c r="G54" s="104" t="s">
        <v>22</v>
      </c>
      <c r="H54" s="103">
        <f>[12]副本!G110</f>
        <v>1199.619000000017</v>
      </c>
      <c r="I54" s="103">
        <f>H54</f>
        <v>1199.619000000017</v>
      </c>
      <c r="J54" s="104"/>
      <c r="K54" s="101"/>
      <c r="L54" s="102">
        <f>H54-I54</f>
        <v>0</v>
      </c>
      <c r="M54" s="101">
        <v>4000</v>
      </c>
      <c r="N54" s="100"/>
      <c r="O54" s="99"/>
      <c r="P54" s="98" t="s">
        <v>248</v>
      </c>
    </row>
    <row r="55" spans="1:17" s="48" customFormat="1" ht="30" customHeight="1" x14ac:dyDescent="0.15">
      <c r="A55" s="104">
        <v>20170216</v>
      </c>
      <c r="B55" s="105" t="s">
        <v>30</v>
      </c>
      <c r="C55" s="116" t="s">
        <v>3</v>
      </c>
      <c r="D55" s="104"/>
      <c r="E55" s="104"/>
      <c r="F55" s="104"/>
      <c r="G55" s="104"/>
      <c r="H55" s="103"/>
      <c r="I55" s="103"/>
      <c r="J55" s="104"/>
      <c r="K55" s="101"/>
      <c r="L55" s="102"/>
      <c r="M55" s="101">
        <v>37000</v>
      </c>
      <c r="N55" s="100"/>
      <c r="O55" s="99"/>
      <c r="P55" s="98"/>
    </row>
    <row r="56" spans="1:17" s="48" customFormat="1" ht="30" customHeight="1" x14ac:dyDescent="0.15">
      <c r="A56" s="104">
        <v>20170216</v>
      </c>
      <c r="B56" s="105" t="s">
        <v>29</v>
      </c>
      <c r="C56" s="116" t="s">
        <v>3</v>
      </c>
      <c r="D56" s="104"/>
      <c r="E56" s="104"/>
      <c r="F56" s="104"/>
      <c r="G56" s="104"/>
      <c r="H56" s="103"/>
      <c r="I56" s="104"/>
      <c r="J56" s="104"/>
      <c r="K56" s="101"/>
      <c r="L56" s="102"/>
      <c r="M56" s="101">
        <v>37000</v>
      </c>
      <c r="N56" s="100"/>
      <c r="O56" s="99"/>
      <c r="P56" s="98"/>
    </row>
    <row r="57" spans="1:17" s="48" customFormat="1" ht="30" customHeight="1" x14ac:dyDescent="0.15">
      <c r="A57" s="104">
        <v>20170216</v>
      </c>
      <c r="B57" s="105" t="s">
        <v>28</v>
      </c>
      <c r="C57" s="116" t="s">
        <v>19</v>
      </c>
      <c r="D57" s="104" t="s">
        <v>5</v>
      </c>
      <c r="E57" s="104" t="s">
        <v>27</v>
      </c>
      <c r="F57" s="23" t="s">
        <v>165</v>
      </c>
      <c r="G57" s="104" t="s">
        <v>22</v>
      </c>
      <c r="H57" s="103">
        <f>[12]副本!G118</f>
        <v>1767.3689999999997</v>
      </c>
      <c r="I57" s="103">
        <v>0</v>
      </c>
      <c r="J57" s="104"/>
      <c r="K57" s="102"/>
      <c r="L57" s="102">
        <f>H57-I57</f>
        <v>1767.3689999999997</v>
      </c>
      <c r="M57" s="101">
        <v>10000</v>
      </c>
      <c r="N57" s="100"/>
      <c r="O57" s="99"/>
      <c r="P57" s="98"/>
      <c r="Q57" s="49"/>
    </row>
    <row r="58" spans="1:17" s="48" customFormat="1" ht="30" customHeight="1" x14ac:dyDescent="0.15">
      <c r="A58" s="104">
        <v>20170216</v>
      </c>
      <c r="B58" s="105" t="s">
        <v>26</v>
      </c>
      <c r="C58" s="116" t="s">
        <v>3</v>
      </c>
      <c r="D58" s="104" t="s">
        <v>5</v>
      </c>
      <c r="E58" s="104"/>
      <c r="F58" s="80"/>
      <c r="G58" s="104"/>
      <c r="H58" s="103"/>
      <c r="I58" s="103"/>
      <c r="J58" s="104"/>
      <c r="K58" s="102"/>
      <c r="L58" s="102"/>
      <c r="M58" s="101">
        <v>15000</v>
      </c>
      <c r="N58" s="100"/>
      <c r="O58" s="99"/>
      <c r="P58" s="98"/>
      <c r="Q58" s="49"/>
    </row>
    <row r="59" spans="1:17" s="48" customFormat="1" ht="30" customHeight="1" x14ac:dyDescent="0.15">
      <c r="A59" s="104">
        <v>20170216</v>
      </c>
      <c r="B59" s="105" t="s">
        <v>23</v>
      </c>
      <c r="C59" s="105" t="s">
        <v>19</v>
      </c>
      <c r="D59" s="104" t="s">
        <v>5</v>
      </c>
      <c r="E59" s="104" t="s">
        <v>2</v>
      </c>
      <c r="F59" s="23" t="s">
        <v>171</v>
      </c>
      <c r="G59" s="104" t="s">
        <v>22</v>
      </c>
      <c r="H59" s="103">
        <f>[12]副本!G123</f>
        <v>4098.3309999999983</v>
      </c>
      <c r="I59" s="103">
        <f>H59</f>
        <v>4098.3309999999983</v>
      </c>
      <c r="J59" s="104"/>
      <c r="K59" s="101"/>
      <c r="L59" s="102"/>
      <c r="M59" s="101">
        <v>43000</v>
      </c>
      <c r="N59" s="100"/>
      <c r="O59" s="99"/>
      <c r="P59" s="98" t="s">
        <v>228</v>
      </c>
      <c r="Q59" s="49"/>
    </row>
    <row r="60" spans="1:17" s="48" customFormat="1" ht="30" customHeight="1" x14ac:dyDescent="0.15">
      <c r="A60" s="104">
        <v>20170216</v>
      </c>
      <c r="B60" s="105" t="s">
        <v>23</v>
      </c>
      <c r="C60" s="105" t="s">
        <v>19</v>
      </c>
      <c r="D60" s="104" t="s">
        <v>5</v>
      </c>
      <c r="E60" s="104" t="s">
        <v>2</v>
      </c>
      <c r="F60" s="23" t="s">
        <v>172</v>
      </c>
      <c r="G60" s="104" t="s">
        <v>22</v>
      </c>
      <c r="H60" s="103">
        <f>[12]副本!G124</f>
        <v>9.0400000000008731</v>
      </c>
      <c r="I60" s="103">
        <f>H60</f>
        <v>9.0400000000008731</v>
      </c>
      <c r="J60" s="104"/>
      <c r="K60" s="104"/>
      <c r="L60" s="102"/>
      <c r="M60" s="101">
        <v>43000</v>
      </c>
      <c r="N60" s="100"/>
      <c r="O60" s="99"/>
      <c r="P60" s="98" t="s">
        <v>21</v>
      </c>
      <c r="Q60" s="49"/>
    </row>
    <row r="61" spans="1:17" s="48" customFormat="1" ht="30" customHeight="1" x14ac:dyDescent="0.15">
      <c r="A61" s="104">
        <v>20170216</v>
      </c>
      <c r="B61" s="105" t="s">
        <v>20</v>
      </c>
      <c r="C61" s="105" t="s">
        <v>19</v>
      </c>
      <c r="D61" s="104" t="s">
        <v>5</v>
      </c>
      <c r="E61" s="104"/>
      <c r="F61" s="104"/>
      <c r="G61" s="104"/>
      <c r="H61" s="103"/>
      <c r="I61" s="103"/>
      <c r="J61" s="104"/>
      <c r="K61" s="101"/>
      <c r="L61" s="102"/>
      <c r="M61" s="101">
        <v>43000</v>
      </c>
      <c r="N61" s="100"/>
      <c r="O61" s="99"/>
      <c r="P61" s="98"/>
      <c r="Q61" s="49"/>
    </row>
    <row r="62" spans="1:17" s="48" customFormat="1" ht="30" customHeight="1" x14ac:dyDescent="0.15">
      <c r="A62" s="104">
        <v>20170216</v>
      </c>
      <c r="B62" s="105" t="s">
        <v>18</v>
      </c>
      <c r="C62" s="116" t="s">
        <v>3</v>
      </c>
      <c r="D62" s="104"/>
      <c r="E62" s="104" t="s">
        <v>259</v>
      </c>
      <c r="F62" s="23" t="s">
        <v>197</v>
      </c>
      <c r="G62" s="104" t="s">
        <v>1</v>
      </c>
      <c r="H62" s="103">
        <f>[12]副本!G128</f>
        <v>8339.3289999999961</v>
      </c>
      <c r="I62" s="103">
        <f>H62-8339.329</f>
        <v>0</v>
      </c>
      <c r="J62" s="104"/>
      <c r="K62" s="101">
        <v>150</v>
      </c>
      <c r="L62" s="102">
        <f>H62-I62</f>
        <v>8339.3289999999961</v>
      </c>
      <c r="M62" s="101">
        <v>20000</v>
      </c>
      <c r="N62" s="100"/>
      <c r="O62" s="99"/>
      <c r="P62" s="98"/>
    </row>
    <row r="63" spans="1:17" s="48" customFormat="1" ht="30" customHeight="1" x14ac:dyDescent="0.15">
      <c r="A63" s="104">
        <v>20170216</v>
      </c>
      <c r="B63" s="105" t="s">
        <v>17</v>
      </c>
      <c r="C63" s="116" t="s">
        <v>3</v>
      </c>
      <c r="D63" s="104"/>
      <c r="E63" s="104" t="s">
        <v>9</v>
      </c>
      <c r="F63" s="23" t="s">
        <v>175</v>
      </c>
      <c r="G63" s="104" t="s">
        <v>1</v>
      </c>
      <c r="H63" s="103">
        <f>[12]副本!G130</f>
        <v>14706.423999999999</v>
      </c>
      <c r="I63" s="103">
        <f>H63-4751.949+4751.949</f>
        <v>14706.423999999999</v>
      </c>
      <c r="J63" s="104"/>
      <c r="K63" s="101"/>
      <c r="L63" s="102">
        <f>H63-I63</f>
        <v>0</v>
      </c>
      <c r="M63" s="101">
        <v>30000</v>
      </c>
      <c r="N63" s="100"/>
      <c r="O63" s="99"/>
      <c r="P63" s="98" t="s">
        <v>247</v>
      </c>
    </row>
    <row r="64" spans="1:17" s="48" customFormat="1" ht="30" customHeight="1" x14ac:dyDescent="0.15">
      <c r="A64" s="104">
        <v>20170216</v>
      </c>
      <c r="B64" s="105" t="s">
        <v>17</v>
      </c>
      <c r="C64" s="116" t="s">
        <v>3</v>
      </c>
      <c r="D64" s="104"/>
      <c r="E64" s="104" t="s">
        <v>9</v>
      </c>
      <c r="F64" s="23" t="s">
        <v>158</v>
      </c>
      <c r="G64" s="104" t="s">
        <v>1</v>
      </c>
      <c r="H64" s="103">
        <f>[12]副本!G131</f>
        <v>9946.3690000000006</v>
      </c>
      <c r="I64" s="103">
        <f>H64</f>
        <v>9946.3690000000006</v>
      </c>
      <c r="J64" s="104"/>
      <c r="K64" s="101"/>
      <c r="L64" s="102">
        <f>H64-I64</f>
        <v>0</v>
      </c>
      <c r="M64" s="101">
        <v>30000</v>
      </c>
      <c r="N64" s="100"/>
      <c r="O64" s="99"/>
      <c r="P64" s="120" t="s">
        <v>15</v>
      </c>
    </row>
    <row r="65" spans="1:16" s="48" customFormat="1" ht="30" customHeight="1" x14ac:dyDescent="0.15">
      <c r="A65" s="104">
        <v>20170216</v>
      </c>
      <c r="B65" s="105" t="s">
        <v>14</v>
      </c>
      <c r="C65" s="116" t="s">
        <v>3</v>
      </c>
      <c r="D65" s="104" t="s">
        <v>5</v>
      </c>
      <c r="E65" s="104" t="s">
        <v>2</v>
      </c>
      <c r="F65" s="23" t="s">
        <v>174</v>
      </c>
      <c r="G65" s="104" t="s">
        <v>1</v>
      </c>
      <c r="H65" s="103">
        <f>[12]副本!G133</f>
        <v>14976.093999999999</v>
      </c>
      <c r="I65" s="103">
        <f>H65-14976.094</f>
        <v>0</v>
      </c>
      <c r="J65" s="104"/>
      <c r="K65" s="101">
        <v>250</v>
      </c>
      <c r="L65" s="102">
        <f>H65-I65</f>
        <v>14976.093999999999</v>
      </c>
      <c r="M65" s="101">
        <v>20000</v>
      </c>
      <c r="N65" s="100" t="s">
        <v>13</v>
      </c>
      <c r="O65" s="99" t="s">
        <v>12</v>
      </c>
      <c r="P65" s="98" t="s">
        <v>11</v>
      </c>
    </row>
    <row r="66" spans="1:16" s="48" customFormat="1" ht="30" customHeight="1" x14ac:dyDescent="0.15">
      <c r="A66" s="104">
        <v>20170216</v>
      </c>
      <c r="B66" s="105" t="s">
        <v>10</v>
      </c>
      <c r="C66" s="116" t="s">
        <v>3</v>
      </c>
      <c r="D66" s="104"/>
      <c r="E66" s="104" t="s">
        <v>9</v>
      </c>
      <c r="F66" s="23" t="s">
        <v>158</v>
      </c>
      <c r="G66" s="104" t="s">
        <v>1</v>
      </c>
      <c r="H66" s="103">
        <f>[12]副本!G135</f>
        <v>23765.582999999973</v>
      </c>
      <c r="I66" s="103">
        <f>H66</f>
        <v>23765.582999999973</v>
      </c>
      <c r="J66" s="104"/>
      <c r="K66" s="101"/>
      <c r="L66" s="102">
        <v>0</v>
      </c>
      <c r="M66" s="101">
        <v>30000</v>
      </c>
      <c r="N66" s="100"/>
      <c r="O66" s="99"/>
      <c r="P66" s="98"/>
    </row>
    <row r="67" spans="1:16" s="48" customFormat="1" ht="30" customHeight="1" x14ac:dyDescent="0.15">
      <c r="A67" s="104">
        <v>20170216</v>
      </c>
      <c r="B67" s="105" t="s">
        <v>8</v>
      </c>
      <c r="C67" s="116" t="s">
        <v>3</v>
      </c>
      <c r="D67" s="104"/>
      <c r="E67" s="104"/>
      <c r="F67" s="98"/>
      <c r="G67" s="104"/>
      <c r="H67" s="103"/>
      <c r="I67" s="103"/>
      <c r="J67" s="104"/>
      <c r="K67" s="101"/>
      <c r="L67" s="102"/>
      <c r="M67" s="101">
        <v>20000</v>
      </c>
      <c r="N67" s="100"/>
      <c r="O67" s="99"/>
      <c r="P67" s="104"/>
    </row>
    <row r="68" spans="1:16" s="48" customFormat="1" ht="30" customHeight="1" x14ac:dyDescent="0.15">
      <c r="A68" s="104">
        <v>20170216</v>
      </c>
      <c r="B68" s="105" t="s">
        <v>7</v>
      </c>
      <c r="C68" s="116" t="s">
        <v>3</v>
      </c>
      <c r="D68" s="104"/>
      <c r="E68" s="104"/>
      <c r="F68" s="104"/>
      <c r="G68" s="104"/>
      <c r="H68" s="103"/>
      <c r="I68" s="103"/>
      <c r="J68" s="104"/>
      <c r="K68" s="101"/>
      <c r="L68" s="102"/>
      <c r="M68" s="101">
        <v>15000</v>
      </c>
      <c r="N68" s="100"/>
      <c r="O68" s="99"/>
      <c r="P68" s="98"/>
    </row>
    <row r="69" spans="1:16" s="48" customFormat="1" ht="30" customHeight="1" x14ac:dyDescent="0.15">
      <c r="A69" s="104">
        <v>20170216</v>
      </c>
      <c r="B69" s="105" t="s">
        <v>6</v>
      </c>
      <c r="C69" s="116" t="s">
        <v>3</v>
      </c>
      <c r="D69" s="104" t="s">
        <v>5</v>
      </c>
      <c r="E69" s="104" t="s">
        <v>2</v>
      </c>
      <c r="F69" s="23" t="s">
        <v>171</v>
      </c>
      <c r="G69" s="104" t="s">
        <v>1</v>
      </c>
      <c r="H69" s="103">
        <f>[12]副本!G142</f>
        <v>12005.106</v>
      </c>
      <c r="I69" s="103">
        <f>H69-12005.106</f>
        <v>0</v>
      </c>
      <c r="J69" s="104"/>
      <c r="K69" s="101">
        <v>600</v>
      </c>
      <c r="L69" s="102">
        <f>H69-I69</f>
        <v>12005.106</v>
      </c>
      <c r="M69" s="101">
        <v>15000</v>
      </c>
      <c r="N69" s="100"/>
      <c r="O69" s="99"/>
      <c r="P69" s="98"/>
    </row>
    <row r="70" spans="1:16" s="48" customFormat="1" ht="30" customHeight="1" x14ac:dyDescent="0.15">
      <c r="A70" s="104">
        <v>20170216</v>
      </c>
      <c r="B70" s="105" t="s">
        <v>4</v>
      </c>
      <c r="C70" s="116" t="s">
        <v>3</v>
      </c>
      <c r="D70" s="104"/>
      <c r="E70" s="104" t="s">
        <v>2</v>
      </c>
      <c r="F70" s="23" t="s">
        <v>170</v>
      </c>
      <c r="G70" s="104" t="s">
        <v>1</v>
      </c>
      <c r="H70" s="103">
        <f>[12]副本!G144</f>
        <v>2030.2899999999981</v>
      </c>
      <c r="I70" s="103">
        <f>H70</f>
        <v>2030.2899999999981</v>
      </c>
      <c r="J70" s="104"/>
      <c r="K70" s="101"/>
      <c r="L70" s="102">
        <f>H70-I70</f>
        <v>0</v>
      </c>
      <c r="M70" s="101">
        <v>15000</v>
      </c>
      <c r="N70" s="100"/>
      <c r="O70" s="99"/>
      <c r="P70" s="98" t="s">
        <v>192</v>
      </c>
    </row>
    <row r="76" spans="1:16" x14ac:dyDescent="0.15">
      <c r="L76" s="47"/>
    </row>
    <row r="228" spans="7:8" x14ac:dyDescent="0.15">
      <c r="G228" s="39"/>
      <c r="H228" s="39"/>
    </row>
  </sheetData>
  <autoFilter ref="B1:I70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2" activePane="bottomRight" state="frozen"/>
      <selection pane="topRight"/>
      <selection pane="bottomLeft"/>
      <selection pane="bottomRight" activeCell="F62" sqref="F62:F70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0.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30.75" customHeight="1" x14ac:dyDescent="0.15">
      <c r="A2" s="104">
        <v>20170217</v>
      </c>
      <c r="B2" s="105" t="s">
        <v>130</v>
      </c>
      <c r="C2" s="116" t="s">
        <v>44</v>
      </c>
      <c r="D2" s="105"/>
      <c r="E2" s="104" t="s">
        <v>117</v>
      </c>
      <c r="F2" s="37" t="s">
        <v>270</v>
      </c>
      <c r="G2" s="98" t="s">
        <v>1</v>
      </c>
      <c r="H2" s="103"/>
      <c r="I2" s="103"/>
      <c r="J2" s="104"/>
      <c r="K2" s="101"/>
      <c r="L2" s="102"/>
      <c r="M2" s="101">
        <v>2000</v>
      </c>
      <c r="N2" s="100" t="s">
        <v>120</v>
      </c>
      <c r="O2" s="99" t="s">
        <v>89</v>
      </c>
      <c r="P2" s="98"/>
    </row>
    <row r="3" spans="1:17" s="48" customFormat="1" ht="30.75" customHeight="1" x14ac:dyDescent="0.15">
      <c r="A3" s="104">
        <v>20170217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[13]副本!G6</f>
        <v>430.61899999999991</v>
      </c>
      <c r="I3" s="103">
        <f>H3</f>
        <v>430.61899999999991</v>
      </c>
      <c r="J3" s="104"/>
      <c r="K3" s="101"/>
      <c r="L3" s="102">
        <f>H3-I3</f>
        <v>0</v>
      </c>
      <c r="M3" s="101">
        <v>1500</v>
      </c>
      <c r="N3" s="100"/>
      <c r="O3" s="99"/>
      <c r="P3" s="98"/>
    </row>
    <row r="4" spans="1:17" s="48" customFormat="1" ht="30.75" customHeight="1" x14ac:dyDescent="0.15">
      <c r="A4" s="104">
        <v>20170217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[13]副本!G8</f>
        <v>1383.3429999999958</v>
      </c>
      <c r="I4" s="103">
        <f>H4</f>
        <v>1383.3429999999958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30.75" customHeight="1" x14ac:dyDescent="0.15">
      <c r="A5" s="104">
        <v>20170217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[13]副本!G10</f>
        <v>7.4240000000281725</v>
      </c>
      <c r="I5" s="103">
        <f>H5</f>
        <v>7.4240000000281725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264</v>
      </c>
    </row>
    <row r="6" spans="1:17" s="48" customFormat="1" ht="30.75" customHeight="1" x14ac:dyDescent="0.15">
      <c r="A6" s="104">
        <v>20170217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30.75" customHeight="1" x14ac:dyDescent="0.15">
      <c r="A7" s="104">
        <v>20170217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/>
      <c r="I7" s="103"/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30.75" customHeight="1" x14ac:dyDescent="0.15">
      <c r="A8" s="104">
        <v>20170217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[13]副本!G16</f>
        <v>1028.9090000000001</v>
      </c>
      <c r="I8" s="103">
        <f>H8</f>
        <v>1028.9090000000001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30.75" customHeight="1" x14ac:dyDescent="0.15">
      <c r="A9" s="104">
        <v>20170217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[13]副本!G18</f>
        <v>1322.4749999999999</v>
      </c>
      <c r="I9" s="103">
        <f>H9</f>
        <v>1322.4749999999999</v>
      </c>
      <c r="J9" s="104"/>
      <c r="K9" s="101">
        <v>100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30.75" customHeight="1" x14ac:dyDescent="0.15">
      <c r="A10" s="104">
        <v>20170217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[13]副本!G20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263</v>
      </c>
    </row>
    <row r="11" spans="1:17" s="48" customFormat="1" ht="30.75" customHeight="1" x14ac:dyDescent="0.15">
      <c r="A11" s="104">
        <v>20170217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[13]副本!G22</f>
        <v>1000</v>
      </c>
      <c r="I11" s="103">
        <f>H11</f>
        <v>1000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30.75" customHeight="1" x14ac:dyDescent="0.15">
      <c r="A12" s="104">
        <v>20170217</v>
      </c>
      <c r="B12" s="105" t="s">
        <v>105</v>
      </c>
      <c r="C12" s="104" t="s">
        <v>44</v>
      </c>
      <c r="D12" s="104"/>
      <c r="E12" s="104" t="s">
        <v>86</v>
      </c>
      <c r="F12" s="23" t="s">
        <v>155</v>
      </c>
      <c r="G12" s="104" t="s">
        <v>1</v>
      </c>
      <c r="H12" s="103">
        <f>[13]副本!G24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/>
    </row>
    <row r="13" spans="1:17" s="48" customFormat="1" ht="30.75" customHeight="1" x14ac:dyDescent="0.15">
      <c r="A13" s="104">
        <v>20170217</v>
      </c>
      <c r="B13" s="105" t="s">
        <v>104</v>
      </c>
      <c r="C13" s="116" t="s">
        <v>19</v>
      </c>
      <c r="D13" s="104"/>
      <c r="E13" s="104" t="s">
        <v>244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30.75" customHeight="1" x14ac:dyDescent="0.15">
      <c r="A14" s="104">
        <v>20170217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30.75" customHeight="1" x14ac:dyDescent="0.15">
      <c r="A15" s="104">
        <v>20170217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[13]副本!G30</f>
        <v>195.19699999999989</v>
      </c>
      <c r="I15" s="103">
        <f>H15</f>
        <v>195.19699999999989</v>
      </c>
      <c r="J15" s="104"/>
      <c r="K15" s="101"/>
      <c r="L15" s="102">
        <v>0</v>
      </c>
      <c r="M15" s="101">
        <v>1500</v>
      </c>
      <c r="N15" s="100"/>
      <c r="O15" s="99"/>
      <c r="P15" s="98" t="s">
        <v>262</v>
      </c>
    </row>
    <row r="16" spans="1:17" s="48" customFormat="1" ht="30.75" customHeight="1" x14ac:dyDescent="0.15">
      <c r="A16" s="104">
        <v>20170217</v>
      </c>
      <c r="B16" s="105" t="s">
        <v>101</v>
      </c>
      <c r="C16" s="116" t="s">
        <v>44</v>
      </c>
      <c r="D16" s="104"/>
      <c r="E16" s="104" t="s">
        <v>71</v>
      </c>
      <c r="F16" s="23" t="s">
        <v>153</v>
      </c>
      <c r="G16" s="104" t="s">
        <v>1</v>
      </c>
      <c r="H16" s="103">
        <f>[13]副本!G31</f>
        <v>40.399999999999977</v>
      </c>
      <c r="I16" s="103">
        <f>H16</f>
        <v>40.399999999999977</v>
      </c>
      <c r="J16" s="104"/>
      <c r="K16" s="101"/>
      <c r="L16" s="102"/>
      <c r="M16" s="101">
        <v>1500</v>
      </c>
      <c r="N16" s="100"/>
      <c r="O16" s="99"/>
      <c r="P16" s="121" t="s">
        <v>261</v>
      </c>
    </row>
    <row r="17" spans="1:17" s="48" customFormat="1" ht="30.75" customHeight="1" x14ac:dyDescent="0.15">
      <c r="A17" s="104">
        <v>20170217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[13]副本!G33-H18</f>
        <v>4381.8780000000188</v>
      </c>
      <c r="I17" s="103">
        <f>H17</f>
        <v>4381.8780000000188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98</v>
      </c>
    </row>
    <row r="18" spans="1:17" s="48" customFormat="1" ht="30.75" customHeight="1" x14ac:dyDescent="0.15">
      <c r="A18" s="104">
        <v>20170217</v>
      </c>
      <c r="B18" s="105" t="s">
        <v>99</v>
      </c>
      <c r="C18" s="116" t="s">
        <v>93</v>
      </c>
      <c r="D18" s="104"/>
      <c r="E18" s="104" t="s">
        <v>9</v>
      </c>
      <c r="F18" s="24" t="s">
        <v>175</v>
      </c>
      <c r="G18" s="104" t="s">
        <v>1</v>
      </c>
      <c r="H18" s="103">
        <f>[13]副本!G35</f>
        <v>12119.121999999981</v>
      </c>
      <c r="I18" s="103">
        <f>H18</f>
        <v>12119.121999999981</v>
      </c>
      <c r="J18" s="104"/>
      <c r="K18" s="101"/>
      <c r="L18" s="102">
        <f>H18-I18</f>
        <v>0</v>
      </c>
      <c r="M18" s="101">
        <v>21000</v>
      </c>
      <c r="N18" s="100" t="s">
        <v>90</v>
      </c>
      <c r="O18" s="99" t="s">
        <v>89</v>
      </c>
      <c r="P18" s="98" t="s">
        <v>97</v>
      </c>
    </row>
    <row r="19" spans="1:17" s="48" customFormat="1" ht="30.75" customHeight="1" x14ac:dyDescent="0.15">
      <c r="A19" s="104">
        <v>20170217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[13]副本!G37</f>
        <v>1102.0700000000002</v>
      </c>
      <c r="I19" s="103">
        <f>H19-3496.542+1000+2496.542</f>
        <v>1102.0700000000002</v>
      </c>
      <c r="J19" s="104"/>
      <c r="K19" s="101"/>
      <c r="L19" s="102">
        <f>H19-I19</f>
        <v>0</v>
      </c>
      <c r="M19" s="101">
        <v>5000</v>
      </c>
      <c r="N19" s="100"/>
      <c r="O19" s="99"/>
      <c r="P19" s="98" t="s">
        <v>260</v>
      </c>
    </row>
    <row r="20" spans="1:17" s="48" customFormat="1" ht="30.75" customHeight="1" x14ac:dyDescent="0.15">
      <c r="A20" s="104">
        <v>20170217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30.75" customHeight="1" x14ac:dyDescent="0.15">
      <c r="A21" s="104">
        <v>20170217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[13]副本!G41-'20170217'!H22</f>
        <v>1513.5454280000376</v>
      </c>
      <c r="I21" s="103">
        <f t="shared" ref="I21:I26" si="0">H21</f>
        <v>1513.5454280000376</v>
      </c>
      <c r="J21" s="104"/>
      <c r="K21" s="101"/>
      <c r="L21" s="102">
        <f t="shared" ref="L21:L26" si="1"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30.75" customHeight="1" x14ac:dyDescent="0.15">
      <c r="A22" s="104">
        <v>20170217</v>
      </c>
      <c r="B22" s="105" t="s">
        <v>94</v>
      </c>
      <c r="C22" s="116" t="s">
        <v>93</v>
      </c>
      <c r="D22" s="104"/>
      <c r="E22" s="104" t="s">
        <v>9</v>
      </c>
      <c r="F22" s="24" t="s">
        <v>175</v>
      </c>
      <c r="G22" s="104" t="s">
        <v>1</v>
      </c>
      <c r="H22" s="103">
        <f>[13]副本!G43</f>
        <v>5216.4545719999624</v>
      </c>
      <c r="I22" s="103">
        <f t="shared" si="0"/>
        <v>5216.4545719999624</v>
      </c>
      <c r="J22" s="104"/>
      <c r="K22" s="117"/>
      <c r="L22" s="102">
        <f t="shared" si="1"/>
        <v>0</v>
      </c>
      <c r="M22" s="101">
        <v>21000</v>
      </c>
      <c r="N22" s="100" t="s">
        <v>90</v>
      </c>
      <c r="O22" s="99" t="s">
        <v>89</v>
      </c>
      <c r="P22" s="98" t="s">
        <v>88</v>
      </c>
    </row>
    <row r="23" spans="1:17" s="48" customFormat="1" ht="30.75" customHeight="1" x14ac:dyDescent="0.15">
      <c r="A23" s="104">
        <v>20170217</v>
      </c>
      <c r="B23" s="105" t="s">
        <v>87</v>
      </c>
      <c r="C23" s="116" t="s">
        <v>44</v>
      </c>
      <c r="D23" s="104"/>
      <c r="E23" s="104" t="s">
        <v>86</v>
      </c>
      <c r="F23" s="23" t="s">
        <v>160</v>
      </c>
      <c r="G23" s="104" t="s">
        <v>1</v>
      </c>
      <c r="H23" s="103">
        <f>[13]副本!G45</f>
        <v>6134.7419999999993</v>
      </c>
      <c r="I23" s="103">
        <f t="shared" si="0"/>
        <v>6134.7419999999993</v>
      </c>
      <c r="J23" s="104"/>
      <c r="K23" s="101">
        <v>350</v>
      </c>
      <c r="L23" s="102">
        <f t="shared" si="1"/>
        <v>0</v>
      </c>
      <c r="M23" s="101">
        <v>5000</v>
      </c>
      <c r="N23" s="100"/>
      <c r="O23" s="99"/>
      <c r="P23" s="98" t="s">
        <v>85</v>
      </c>
    </row>
    <row r="24" spans="1:17" s="48" customFormat="1" ht="30.75" customHeight="1" x14ac:dyDescent="0.15">
      <c r="A24" s="104">
        <v>20170217</v>
      </c>
      <c r="B24" s="105" t="s">
        <v>84</v>
      </c>
      <c r="C24" s="116" t="s">
        <v>3</v>
      </c>
      <c r="D24" s="104"/>
      <c r="E24" s="98" t="s">
        <v>83</v>
      </c>
      <c r="F24" s="23" t="s">
        <v>161</v>
      </c>
      <c r="G24" s="104" t="s">
        <v>1</v>
      </c>
      <c r="H24" s="103">
        <f>[13]副本!G47</f>
        <v>45.452999999999975</v>
      </c>
      <c r="I24" s="103">
        <f t="shared" si="0"/>
        <v>45.452999999999975</v>
      </c>
      <c r="J24" s="104"/>
      <c r="K24" s="101"/>
      <c r="L24" s="102">
        <f t="shared" si="1"/>
        <v>0</v>
      </c>
      <c r="M24" s="101">
        <v>5000</v>
      </c>
      <c r="N24" s="100"/>
      <c r="O24" s="99"/>
      <c r="P24" s="120" t="s">
        <v>82</v>
      </c>
    </row>
    <row r="25" spans="1:17" s="48" customFormat="1" ht="30.75" customHeight="1" x14ac:dyDescent="0.15">
      <c r="A25" s="104">
        <v>20170217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[13]副本!G49</f>
        <v>3992.8519999999999</v>
      </c>
      <c r="I25" s="103">
        <f t="shared" si="0"/>
        <v>3992.8519999999999</v>
      </c>
      <c r="J25" s="104"/>
      <c r="K25" s="101"/>
      <c r="L25" s="102">
        <f t="shared" si="1"/>
        <v>0</v>
      </c>
      <c r="M25" s="101">
        <v>5000</v>
      </c>
      <c r="N25" s="100"/>
      <c r="O25" s="99"/>
      <c r="P25" s="98" t="s">
        <v>254</v>
      </c>
    </row>
    <row r="26" spans="1:17" s="48" customFormat="1" ht="30.75" customHeight="1" x14ac:dyDescent="0.15">
      <c r="A26" s="104">
        <v>20170217</v>
      </c>
      <c r="B26" s="105" t="s">
        <v>80</v>
      </c>
      <c r="C26" s="116" t="s">
        <v>44</v>
      </c>
      <c r="D26" s="104"/>
      <c r="E26" s="104" t="s">
        <v>43</v>
      </c>
      <c r="F26" s="23" t="s">
        <v>157</v>
      </c>
      <c r="G26" s="104" t="s">
        <v>1</v>
      </c>
      <c r="H26" s="103">
        <f>[13]副本!G52</f>
        <v>2144.2040000000002</v>
      </c>
      <c r="I26" s="103">
        <f t="shared" si="0"/>
        <v>2144.2040000000002</v>
      </c>
      <c r="J26" s="104"/>
      <c r="K26" s="101"/>
      <c r="L26" s="102">
        <f t="shared" si="1"/>
        <v>0</v>
      </c>
      <c r="M26" s="101">
        <v>4000</v>
      </c>
      <c r="N26" s="100"/>
      <c r="O26" s="99"/>
      <c r="P26" s="98"/>
    </row>
    <row r="27" spans="1:17" s="48" customFormat="1" ht="30.75" customHeight="1" x14ac:dyDescent="0.15">
      <c r="A27" s="104">
        <v>20170217</v>
      </c>
      <c r="B27" s="105" t="s">
        <v>79</v>
      </c>
      <c r="C27" s="116" t="s">
        <v>74</v>
      </c>
      <c r="D27" s="104" t="s">
        <v>5</v>
      </c>
      <c r="E27" s="104"/>
      <c r="F27" s="104"/>
      <c r="G27" s="104"/>
      <c r="H27" s="103"/>
      <c r="I27" s="103"/>
      <c r="J27" s="104"/>
      <c r="K27" s="101"/>
      <c r="L27" s="102"/>
      <c r="M27" s="101">
        <v>5000</v>
      </c>
      <c r="N27" s="100"/>
      <c r="O27" s="99"/>
      <c r="P27" s="98"/>
    </row>
    <row r="28" spans="1:17" s="48" customFormat="1" ht="30.75" customHeight="1" x14ac:dyDescent="0.15">
      <c r="A28" s="104">
        <v>20170217</v>
      </c>
      <c r="B28" s="105" t="s">
        <v>78</v>
      </c>
      <c r="C28" s="116" t="s">
        <v>74</v>
      </c>
      <c r="D28" s="104"/>
      <c r="E28" s="104" t="s">
        <v>32</v>
      </c>
      <c r="F28" s="104"/>
      <c r="G28" s="104"/>
      <c r="H28" s="103"/>
      <c r="I28" s="103"/>
      <c r="J28" s="104"/>
      <c r="K28" s="101"/>
      <c r="L28" s="102"/>
      <c r="M28" s="101">
        <v>2000</v>
      </c>
      <c r="N28" s="100"/>
      <c r="O28" s="99"/>
      <c r="P28" s="98"/>
    </row>
    <row r="29" spans="1:17" s="48" customFormat="1" ht="30.75" customHeight="1" x14ac:dyDescent="0.15">
      <c r="A29" s="104">
        <v>20170217</v>
      </c>
      <c r="B29" s="105" t="s">
        <v>77</v>
      </c>
      <c r="C29" s="116" t="s">
        <v>74</v>
      </c>
      <c r="D29" s="104"/>
      <c r="E29" s="104" t="s">
        <v>32</v>
      </c>
      <c r="F29" s="23" t="s">
        <v>153</v>
      </c>
      <c r="G29" s="104" t="s">
        <v>1</v>
      </c>
      <c r="H29" s="103">
        <f>[13]副本!G59</f>
        <v>1098.6790000000001</v>
      </c>
      <c r="I29" s="103">
        <f>H29-1098.679+1098.679</f>
        <v>1098.6790000000001</v>
      </c>
      <c r="J29" s="104"/>
      <c r="K29" s="101"/>
      <c r="L29" s="102">
        <f>H29-I29</f>
        <v>0</v>
      </c>
      <c r="M29" s="101">
        <v>1500</v>
      </c>
      <c r="N29" s="100"/>
      <c r="O29" s="99"/>
      <c r="P29" s="98" t="s">
        <v>209</v>
      </c>
    </row>
    <row r="30" spans="1:17" s="48" customFormat="1" ht="30.75" customHeight="1" x14ac:dyDescent="0.15">
      <c r="A30" s="104">
        <v>20170217</v>
      </c>
      <c r="B30" s="105" t="s">
        <v>76</v>
      </c>
      <c r="C30" s="116" t="s">
        <v>74</v>
      </c>
      <c r="D30" s="104"/>
      <c r="E30" s="104" t="s">
        <v>32</v>
      </c>
      <c r="F30" s="37"/>
      <c r="G30" s="104"/>
      <c r="H30" s="103"/>
      <c r="I30" s="103"/>
      <c r="J30" s="104"/>
      <c r="K30" s="101"/>
      <c r="L30" s="102"/>
      <c r="M30" s="101">
        <v>1500</v>
      </c>
      <c r="N30" s="100"/>
      <c r="O30" s="99"/>
      <c r="P30" s="98"/>
      <c r="Q30" s="49"/>
    </row>
    <row r="31" spans="1:17" s="48" customFormat="1" ht="30.75" customHeight="1" x14ac:dyDescent="0.15">
      <c r="A31" s="104">
        <v>20170217</v>
      </c>
      <c r="B31" s="105" t="s">
        <v>75</v>
      </c>
      <c r="C31" s="116" t="s">
        <v>74</v>
      </c>
      <c r="D31" s="104"/>
      <c r="E31" s="104" t="s">
        <v>32</v>
      </c>
      <c r="F31" s="23" t="s">
        <v>153</v>
      </c>
      <c r="G31" s="104" t="s">
        <v>1</v>
      </c>
      <c r="H31" s="103">
        <f>[13]副本!G63</f>
        <v>1096.2820000000002</v>
      </c>
      <c r="I31" s="103">
        <f>H31-1096.282+1096.282</f>
        <v>1096.2820000000002</v>
      </c>
      <c r="J31" s="104"/>
      <c r="K31" s="101"/>
      <c r="L31" s="102">
        <f>H31-I31</f>
        <v>0</v>
      </c>
      <c r="M31" s="101">
        <v>1500</v>
      </c>
      <c r="N31" s="100"/>
      <c r="O31" s="99"/>
      <c r="P31" s="98" t="s">
        <v>209</v>
      </c>
    </row>
    <row r="32" spans="1:17" s="48" customFormat="1" ht="30.75" customHeight="1" x14ac:dyDescent="0.15">
      <c r="A32" s="104">
        <v>20170217</v>
      </c>
      <c r="B32" s="105" t="s">
        <v>73</v>
      </c>
      <c r="C32" s="116" t="s">
        <v>44</v>
      </c>
      <c r="D32" s="104"/>
      <c r="E32" s="104"/>
      <c r="F32" s="104"/>
      <c r="G32" s="104"/>
      <c r="H32" s="103"/>
      <c r="I32" s="103"/>
      <c r="J32" s="104"/>
      <c r="K32" s="101"/>
      <c r="L32" s="102"/>
      <c r="M32" s="101">
        <v>1500</v>
      </c>
      <c r="N32" s="100"/>
      <c r="O32" s="99"/>
      <c r="P32" s="98"/>
    </row>
    <row r="33" spans="1:16" s="48" customFormat="1" ht="30.75" customHeight="1" x14ac:dyDescent="0.15">
      <c r="A33" s="104">
        <v>20170217</v>
      </c>
      <c r="B33" s="105" t="s">
        <v>72</v>
      </c>
      <c r="C33" s="116" t="s">
        <v>44</v>
      </c>
      <c r="D33" s="104"/>
      <c r="E33" s="104" t="s">
        <v>71</v>
      </c>
      <c r="F33" s="23" t="s">
        <v>154</v>
      </c>
      <c r="G33" s="104" t="s">
        <v>1</v>
      </c>
      <c r="H33" s="104">
        <f>[13]副本!G67</f>
        <v>931.53000000000031</v>
      </c>
      <c r="I33" s="103">
        <f>H33-1035.099+1035.099</f>
        <v>931.53000000000031</v>
      </c>
      <c r="J33" s="104"/>
      <c r="K33" s="101">
        <v>30</v>
      </c>
      <c r="L33" s="102">
        <f>H33-I33</f>
        <v>0</v>
      </c>
      <c r="M33" s="101">
        <v>2000</v>
      </c>
      <c r="N33" s="100"/>
      <c r="O33" s="99"/>
      <c r="P33" s="98" t="s">
        <v>221</v>
      </c>
    </row>
    <row r="34" spans="1:16" s="48" customFormat="1" ht="30.75" customHeight="1" x14ac:dyDescent="0.15">
      <c r="A34" s="104">
        <v>20170217</v>
      </c>
      <c r="B34" s="105" t="s">
        <v>69</v>
      </c>
      <c r="C34" s="116" t="s">
        <v>44</v>
      </c>
      <c r="D34" s="104" t="s">
        <v>5</v>
      </c>
      <c r="E34" s="104" t="s">
        <v>68</v>
      </c>
      <c r="F34" s="23" t="s">
        <v>162</v>
      </c>
      <c r="G34" s="104" t="s">
        <v>1</v>
      </c>
      <c r="H34" s="103">
        <f>[13]副本!G69</f>
        <v>557.34299999999985</v>
      </c>
      <c r="I34" s="103">
        <f>H34-1037.023+500+537.023</f>
        <v>557.34299999999996</v>
      </c>
      <c r="J34" s="104"/>
      <c r="K34" s="101">
        <v>100</v>
      </c>
      <c r="L34" s="102">
        <f>H34-I34</f>
        <v>0</v>
      </c>
      <c r="M34" s="101">
        <v>3000</v>
      </c>
      <c r="N34" s="100"/>
      <c r="O34" s="99"/>
      <c r="P34" s="110" t="s">
        <v>67</v>
      </c>
    </row>
    <row r="35" spans="1:16" s="48" customFormat="1" ht="30.75" customHeight="1" x14ac:dyDescent="0.15">
      <c r="A35" s="104">
        <v>20170217</v>
      </c>
      <c r="B35" s="105" t="s">
        <v>66</v>
      </c>
      <c r="C35" s="116" t="s">
        <v>44</v>
      </c>
      <c r="D35" s="104" t="s">
        <v>5</v>
      </c>
      <c r="E35" s="104" t="s">
        <v>61</v>
      </c>
      <c r="F35" s="23" t="s">
        <v>159</v>
      </c>
      <c r="G35" s="104" t="s">
        <v>1</v>
      </c>
      <c r="H35" s="103">
        <f>[13]副本!G71</f>
        <v>2002.9199999999992</v>
      </c>
      <c r="I35" s="103">
        <f>H35-3607.546+2050+1050+507.546-1553.792+1553.792</f>
        <v>2002.9199999999994</v>
      </c>
      <c r="J35" s="104"/>
      <c r="K35" s="101"/>
      <c r="L35" s="102">
        <f>H35-I35</f>
        <v>0</v>
      </c>
      <c r="M35" s="101">
        <v>4000</v>
      </c>
      <c r="N35" s="100"/>
      <c r="O35" s="99"/>
      <c r="P35" s="98" t="s">
        <v>65</v>
      </c>
    </row>
    <row r="36" spans="1:16" s="48" customFormat="1" ht="30.75" customHeight="1" x14ac:dyDescent="0.15">
      <c r="A36" s="104">
        <v>20170217</v>
      </c>
      <c r="B36" s="105" t="s">
        <v>64</v>
      </c>
      <c r="C36" s="116" t="s">
        <v>3</v>
      </c>
      <c r="D36" s="104"/>
      <c r="E36" s="104"/>
      <c r="F36" s="104"/>
      <c r="G36" s="104"/>
      <c r="H36" s="103"/>
      <c r="I36" s="103"/>
      <c r="J36" s="104"/>
      <c r="K36" s="101"/>
      <c r="L36" s="102"/>
      <c r="M36" s="101">
        <v>5000</v>
      </c>
      <c r="N36" s="100"/>
      <c r="O36" s="99"/>
      <c r="P36" s="98"/>
    </row>
    <row r="37" spans="1:16" s="48" customFormat="1" ht="30.75" customHeight="1" x14ac:dyDescent="0.15">
      <c r="A37" s="104">
        <v>20170217</v>
      </c>
      <c r="B37" s="105" t="s">
        <v>63</v>
      </c>
      <c r="C37" s="116" t="s">
        <v>44</v>
      </c>
      <c r="D37" s="104" t="s">
        <v>5</v>
      </c>
      <c r="E37" s="104" t="s">
        <v>61</v>
      </c>
      <c r="F37" s="23" t="s">
        <v>159</v>
      </c>
      <c r="G37" s="104" t="s">
        <v>1</v>
      </c>
      <c r="H37" s="103">
        <f>[13]副本!G75</f>
        <v>3137.4670000000528</v>
      </c>
      <c r="I37" s="103">
        <f>H37-955.747+477.874+477.873-1042.865-2628.137+500+542.865+2102.57+525.567-499.112-3147.566+2100+525+525+496.678-2617.899+1574.891+523.692-522.622+522.622-2589.467+523.692-499.362+517.893</f>
        <v>570.90700000005245</v>
      </c>
      <c r="J37" s="104"/>
      <c r="K37" s="101"/>
      <c r="L37" s="102">
        <f>H37-I37</f>
        <v>2566.5600000000004</v>
      </c>
      <c r="M37" s="101">
        <v>5000</v>
      </c>
      <c r="N37" s="100"/>
      <c r="O37" s="99"/>
      <c r="P37" s="98" t="s">
        <v>253</v>
      </c>
    </row>
    <row r="38" spans="1:16" s="48" customFormat="1" ht="30.75" customHeight="1" x14ac:dyDescent="0.15">
      <c r="A38" s="104">
        <v>20170217</v>
      </c>
      <c r="B38" s="105" t="s">
        <v>63</v>
      </c>
      <c r="C38" s="116" t="s">
        <v>44</v>
      </c>
      <c r="D38" s="104" t="s">
        <v>5</v>
      </c>
      <c r="E38" s="104" t="s">
        <v>61</v>
      </c>
      <c r="F38" s="23" t="s">
        <v>163</v>
      </c>
      <c r="G38" s="104" t="s">
        <v>1</v>
      </c>
      <c r="H38" s="103">
        <f>[13]副本!G76</f>
        <v>300.99800000000039</v>
      </c>
      <c r="I38" s="103">
        <f>H38</f>
        <v>300.99800000000039</v>
      </c>
      <c r="J38" s="104"/>
      <c r="K38" s="101"/>
      <c r="L38" s="102">
        <f>H38-I38</f>
        <v>0</v>
      </c>
      <c r="M38" s="101">
        <v>5000</v>
      </c>
      <c r="N38" s="100"/>
      <c r="O38" s="99"/>
      <c r="P38" s="98" t="s">
        <v>252</v>
      </c>
    </row>
    <row r="39" spans="1:16" s="48" customFormat="1" ht="30.75" customHeight="1" x14ac:dyDescent="0.15">
      <c r="A39" s="104">
        <v>20170217</v>
      </c>
      <c r="B39" s="105" t="s">
        <v>59</v>
      </c>
      <c r="C39" s="116" t="s">
        <v>19</v>
      </c>
      <c r="D39" s="104"/>
      <c r="E39" s="104" t="s">
        <v>32</v>
      </c>
      <c r="F39" s="23" t="s">
        <v>161</v>
      </c>
      <c r="G39" s="104" t="s">
        <v>1</v>
      </c>
      <c r="H39" s="103">
        <f>[13]副本!G78</f>
        <v>31.463999999997668</v>
      </c>
      <c r="I39" s="103">
        <f>H39-2564.978+2564.978</f>
        <v>31.463999999997668</v>
      </c>
      <c r="J39" s="104"/>
      <c r="K39" s="101"/>
      <c r="L39" s="102">
        <f>H39-I39</f>
        <v>0</v>
      </c>
      <c r="M39" s="101">
        <v>4000</v>
      </c>
      <c r="N39" s="100"/>
      <c r="O39" s="99"/>
      <c r="P39" s="98" t="s">
        <v>58</v>
      </c>
    </row>
    <row r="40" spans="1:16" s="48" customFormat="1" ht="30.75" customHeight="1" x14ac:dyDescent="0.15">
      <c r="A40" s="104">
        <v>20170217</v>
      </c>
      <c r="B40" s="105" t="s">
        <v>59</v>
      </c>
      <c r="C40" s="116" t="s">
        <v>19</v>
      </c>
      <c r="D40" s="104"/>
      <c r="E40" s="104" t="s">
        <v>32</v>
      </c>
      <c r="F40" s="23" t="s">
        <v>153</v>
      </c>
      <c r="G40" s="104" t="s">
        <v>1</v>
      </c>
      <c r="H40" s="103">
        <f>[13]副本!G81</f>
        <v>2564.9780000000001</v>
      </c>
      <c r="I40" s="103">
        <f>H40</f>
        <v>2564.9780000000001</v>
      </c>
      <c r="J40" s="104"/>
      <c r="K40" s="101"/>
      <c r="L40" s="102"/>
      <c r="M40" s="101">
        <v>4000</v>
      </c>
      <c r="N40" s="100"/>
      <c r="O40" s="99"/>
      <c r="P40" s="98" t="s">
        <v>208</v>
      </c>
    </row>
    <row r="41" spans="1:16" s="48" customFormat="1" ht="30.75" customHeight="1" x14ac:dyDescent="0.15">
      <c r="A41" s="104">
        <v>20170217</v>
      </c>
      <c r="B41" s="105" t="s">
        <v>56</v>
      </c>
      <c r="C41" s="116" t="s">
        <v>19</v>
      </c>
      <c r="D41" s="104"/>
      <c r="E41" s="104"/>
      <c r="F41" s="104"/>
      <c r="G41" s="104"/>
      <c r="H41" s="103"/>
      <c r="I41" s="103"/>
      <c r="J41" s="104"/>
      <c r="K41" s="101"/>
      <c r="L41" s="102"/>
      <c r="M41" s="101">
        <v>2000</v>
      </c>
      <c r="N41" s="100"/>
      <c r="O41" s="99"/>
      <c r="P41" s="98"/>
    </row>
    <row r="42" spans="1:16" s="48" customFormat="1" ht="30.75" customHeight="1" x14ac:dyDescent="0.15">
      <c r="A42" s="104">
        <v>20170217</v>
      </c>
      <c r="B42" s="105" t="s">
        <v>55</v>
      </c>
      <c r="C42" s="116" t="s">
        <v>19</v>
      </c>
      <c r="D42" s="104"/>
      <c r="E42" s="104" t="s">
        <v>32</v>
      </c>
      <c r="F42" s="23" t="s">
        <v>161</v>
      </c>
      <c r="G42" s="104" t="s">
        <v>1</v>
      </c>
      <c r="H42" s="103">
        <f>[13]副本!G85</f>
        <v>2522.3710000000001</v>
      </c>
      <c r="I42" s="103">
        <f>H42</f>
        <v>2522.3710000000001</v>
      </c>
      <c r="J42" s="104"/>
      <c r="K42" s="101"/>
      <c r="L42" s="102">
        <f>H42-I42</f>
        <v>0</v>
      </c>
      <c r="M42" s="101">
        <v>3000</v>
      </c>
      <c r="N42" s="100"/>
      <c r="O42" s="99"/>
      <c r="P42" s="98" t="s">
        <v>251</v>
      </c>
    </row>
    <row r="43" spans="1:16" s="48" customFormat="1" ht="30.75" customHeight="1" x14ac:dyDescent="0.15">
      <c r="A43" s="104">
        <v>20170217</v>
      </c>
      <c r="B43" s="105" t="s">
        <v>54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[13]副本!G87</f>
        <v>2978.7359999999999</v>
      </c>
      <c r="I43" s="103">
        <f>H43</f>
        <v>2978.7359999999999</v>
      </c>
      <c r="J43" s="104"/>
      <c r="K43" s="101">
        <v>1300</v>
      </c>
      <c r="L43" s="102">
        <f>H43-I43</f>
        <v>0</v>
      </c>
      <c r="M43" s="101">
        <v>5000</v>
      </c>
      <c r="N43" s="109"/>
      <c r="O43" s="99"/>
      <c r="P43" s="98" t="s">
        <v>250</v>
      </c>
    </row>
    <row r="44" spans="1:16" s="48" customFormat="1" ht="30.75" customHeight="1" x14ac:dyDescent="0.15">
      <c r="A44" s="104">
        <v>20170217</v>
      </c>
      <c r="B44" s="105" t="s">
        <v>52</v>
      </c>
      <c r="C44" s="116" t="s">
        <v>44</v>
      </c>
      <c r="D44" s="104"/>
      <c r="E44" s="104"/>
      <c r="F44" s="104"/>
      <c r="G44" s="104"/>
      <c r="H44" s="103"/>
      <c r="I44" s="103"/>
      <c r="J44" s="104"/>
      <c r="K44" s="101"/>
      <c r="L44" s="102"/>
      <c r="M44" s="101">
        <v>5000</v>
      </c>
      <c r="N44" s="100"/>
      <c r="O44" s="99"/>
      <c r="P44" s="98"/>
    </row>
    <row r="45" spans="1:16" s="48" customFormat="1" ht="30.75" customHeight="1" x14ac:dyDescent="0.15">
      <c r="A45" s="104">
        <v>20170217</v>
      </c>
      <c r="B45" s="105" t="s">
        <v>51</v>
      </c>
      <c r="C45" s="116" t="s">
        <v>44</v>
      </c>
      <c r="D45" s="104"/>
      <c r="E45" s="104" t="s">
        <v>50</v>
      </c>
      <c r="F45" s="23" t="s">
        <v>152</v>
      </c>
      <c r="G45" s="104" t="s">
        <v>1</v>
      </c>
      <c r="H45" s="103">
        <f>[13]副本!G93</f>
        <v>2006.1080000000002</v>
      </c>
      <c r="I45" s="103">
        <f>H45-1021.25+1021.25</f>
        <v>2006.1080000000002</v>
      </c>
      <c r="J45" s="104"/>
      <c r="K45" s="101">
        <v>100</v>
      </c>
      <c r="L45" s="102">
        <f>H45-I45</f>
        <v>0</v>
      </c>
      <c r="M45" s="101">
        <v>5000</v>
      </c>
      <c r="N45" s="100"/>
      <c r="O45" s="99"/>
      <c r="P45" s="98" t="s">
        <v>249</v>
      </c>
    </row>
    <row r="46" spans="1:16" s="48" customFormat="1" ht="30.75" customHeight="1" x14ac:dyDescent="0.15">
      <c r="A46" s="104">
        <v>20170217</v>
      </c>
      <c r="B46" s="105" t="s">
        <v>51</v>
      </c>
      <c r="C46" s="116" t="s">
        <v>44</v>
      </c>
      <c r="D46" s="104"/>
      <c r="E46" s="104" t="s">
        <v>50</v>
      </c>
      <c r="F46" s="23" t="s">
        <v>148</v>
      </c>
      <c r="G46" s="104" t="s">
        <v>1</v>
      </c>
      <c r="H46" s="103">
        <f>[13]副本!G94</f>
        <v>1000</v>
      </c>
      <c r="I46" s="103">
        <f>H46</f>
        <v>1000</v>
      </c>
      <c r="J46" s="104"/>
      <c r="K46" s="101"/>
      <c r="L46" s="102"/>
      <c r="M46" s="101">
        <v>5000</v>
      </c>
      <c r="N46" s="100"/>
      <c r="O46" s="99"/>
      <c r="P46" s="98" t="s">
        <v>49</v>
      </c>
    </row>
    <row r="47" spans="1:16" s="48" customFormat="1" ht="30.75" customHeight="1" x14ac:dyDescent="0.15">
      <c r="A47" s="104">
        <v>20170217</v>
      </c>
      <c r="B47" s="105" t="s">
        <v>48</v>
      </c>
      <c r="C47" s="116" t="s">
        <v>44</v>
      </c>
      <c r="D47" s="104"/>
      <c r="E47" s="104" t="s">
        <v>43</v>
      </c>
      <c r="F47" s="23" t="s">
        <v>157</v>
      </c>
      <c r="G47" s="104" t="s">
        <v>1</v>
      </c>
      <c r="H47" s="103">
        <f>[13]副本!G96</f>
        <v>2.4439999999940483</v>
      </c>
      <c r="I47" s="103">
        <f>H47</f>
        <v>2.4439999999940483</v>
      </c>
      <c r="J47" s="104"/>
      <c r="K47" s="102"/>
      <c r="L47" s="102">
        <f>H47-I47</f>
        <v>0</v>
      </c>
      <c r="M47" s="101">
        <v>2000</v>
      </c>
      <c r="N47" s="100"/>
      <c r="O47" s="99"/>
      <c r="P47" s="98"/>
    </row>
    <row r="48" spans="1:16" s="48" customFormat="1" ht="30.75" customHeight="1" x14ac:dyDescent="0.15">
      <c r="A48" s="104">
        <v>20170217</v>
      </c>
      <c r="B48" s="105" t="s">
        <v>47</v>
      </c>
      <c r="C48" s="116" t="s">
        <v>19</v>
      </c>
      <c r="D48" s="104" t="s">
        <v>5</v>
      </c>
      <c r="E48" s="104" t="s">
        <v>27</v>
      </c>
      <c r="F48" s="23" t="s">
        <v>165</v>
      </c>
      <c r="G48" s="104" t="s">
        <v>1</v>
      </c>
      <c r="H48" s="103">
        <f>[13]副本!G98</f>
        <v>1013.1140000000005</v>
      </c>
      <c r="I48" s="103">
        <v>0</v>
      </c>
      <c r="J48" s="104"/>
      <c r="K48" s="101"/>
      <c r="L48" s="102">
        <f>H48-I48</f>
        <v>1013.1140000000005</v>
      </c>
      <c r="M48" s="101">
        <v>10000</v>
      </c>
      <c r="N48" s="100"/>
      <c r="O48" s="99"/>
      <c r="P48" s="98"/>
    </row>
    <row r="49" spans="1:17" s="48" customFormat="1" ht="30.75" customHeight="1" x14ac:dyDescent="0.15">
      <c r="A49" s="104">
        <v>20170217</v>
      </c>
      <c r="B49" s="105" t="s">
        <v>46</v>
      </c>
      <c r="C49" s="116" t="s">
        <v>19</v>
      </c>
      <c r="D49" s="104" t="s">
        <v>5</v>
      </c>
      <c r="E49" s="104" t="s">
        <v>27</v>
      </c>
      <c r="F49" s="23" t="s">
        <v>165</v>
      </c>
      <c r="G49" s="104" t="s">
        <v>1</v>
      </c>
      <c r="H49" s="103">
        <f>[13]副本!G100</f>
        <v>4217.264000000001</v>
      </c>
      <c r="I49" s="103">
        <v>0</v>
      </c>
      <c r="J49" s="104"/>
      <c r="K49" s="101"/>
      <c r="L49" s="102">
        <v>0</v>
      </c>
      <c r="M49" s="101">
        <v>10000</v>
      </c>
      <c r="N49" s="100"/>
      <c r="O49" s="99"/>
      <c r="P49" s="98"/>
    </row>
    <row r="50" spans="1:17" s="48" customFormat="1" ht="30.75" customHeight="1" x14ac:dyDescent="0.15">
      <c r="A50" s="104">
        <v>20170217</v>
      </c>
      <c r="B50" s="105" t="s">
        <v>45</v>
      </c>
      <c r="C50" s="116" t="s">
        <v>44</v>
      </c>
      <c r="D50" s="104"/>
      <c r="E50" s="104" t="s">
        <v>43</v>
      </c>
      <c r="F50" s="23" t="s">
        <v>166</v>
      </c>
      <c r="G50" s="104" t="s">
        <v>1</v>
      </c>
      <c r="H50" s="103">
        <f>[13]副本!G102</f>
        <v>2040.5950000000066</v>
      </c>
      <c r="I50" s="103">
        <f>H50</f>
        <v>2040.5950000000066</v>
      </c>
      <c r="J50" s="104"/>
      <c r="K50" s="102"/>
      <c r="L50" s="102">
        <v>0</v>
      </c>
      <c r="M50" s="101">
        <v>5000</v>
      </c>
      <c r="N50" s="107" t="s">
        <v>42</v>
      </c>
      <c r="O50" s="106" t="s">
        <v>41</v>
      </c>
      <c r="P50" s="98" t="s">
        <v>146</v>
      </c>
    </row>
    <row r="51" spans="1:17" s="48" customFormat="1" ht="30.75" customHeight="1" x14ac:dyDescent="0.15">
      <c r="A51" s="104">
        <v>20170217</v>
      </c>
      <c r="B51" s="105" t="s">
        <v>39</v>
      </c>
      <c r="C51" s="116" t="s">
        <v>19</v>
      </c>
      <c r="D51" s="104"/>
      <c r="E51" s="104"/>
      <c r="F51" s="104"/>
      <c r="G51" s="104"/>
      <c r="H51" s="103"/>
      <c r="I51" s="103"/>
      <c r="J51" s="104"/>
      <c r="K51" s="101"/>
      <c r="L51" s="102"/>
      <c r="M51" s="101">
        <v>3000</v>
      </c>
      <c r="N51" s="100"/>
      <c r="O51" s="99"/>
      <c r="P51" s="98"/>
    </row>
    <row r="52" spans="1:17" s="48" customFormat="1" ht="30.75" customHeight="1" x14ac:dyDescent="0.15">
      <c r="A52" s="104">
        <v>20170217</v>
      </c>
      <c r="B52" s="105" t="s">
        <v>38</v>
      </c>
      <c r="C52" s="116" t="s">
        <v>19</v>
      </c>
      <c r="D52" s="104" t="s">
        <v>5</v>
      </c>
      <c r="E52" s="104" t="s">
        <v>27</v>
      </c>
      <c r="F52" s="23" t="s">
        <v>165</v>
      </c>
      <c r="G52" s="104" t="s">
        <v>22</v>
      </c>
      <c r="H52" s="103">
        <f>[13]副本!G106</f>
        <v>15130.712</v>
      </c>
      <c r="I52" s="103">
        <v>0</v>
      </c>
      <c r="J52" s="104"/>
      <c r="K52" s="101"/>
      <c r="L52" s="102">
        <f>H52-I52</f>
        <v>15130.712</v>
      </c>
      <c r="M52" s="101">
        <v>25000</v>
      </c>
      <c r="N52" s="100" t="s">
        <v>37</v>
      </c>
      <c r="O52" s="99" t="s">
        <v>36</v>
      </c>
      <c r="P52" s="98" t="s">
        <v>35</v>
      </c>
    </row>
    <row r="53" spans="1:17" s="48" customFormat="1" ht="30.75" customHeight="1" x14ac:dyDescent="0.15">
      <c r="A53" s="104">
        <v>20170217</v>
      </c>
      <c r="B53" s="105" t="s">
        <v>34</v>
      </c>
      <c r="C53" s="116" t="s">
        <v>19</v>
      </c>
      <c r="D53" s="104" t="s">
        <v>5</v>
      </c>
      <c r="E53" s="104" t="s">
        <v>27</v>
      </c>
      <c r="F53" s="23" t="s">
        <v>167</v>
      </c>
      <c r="G53" s="104" t="s">
        <v>22</v>
      </c>
      <c r="H53" s="103">
        <f>[13]副本!G108</f>
        <v>30364.863000000081</v>
      </c>
      <c r="I53" s="103">
        <v>0</v>
      </c>
      <c r="J53" s="104"/>
      <c r="K53" s="101"/>
      <c r="L53" s="102">
        <f>H53-I53</f>
        <v>30364.863000000081</v>
      </c>
      <c r="M53" s="101">
        <v>50000</v>
      </c>
      <c r="N53" s="100"/>
      <c r="O53" s="99"/>
      <c r="P53" s="98"/>
    </row>
    <row r="54" spans="1:17" s="48" customFormat="1" ht="30.75" customHeight="1" x14ac:dyDescent="0.15">
      <c r="A54" s="104">
        <v>20170217</v>
      </c>
      <c r="B54" s="105" t="s">
        <v>33</v>
      </c>
      <c r="C54" s="116" t="s">
        <v>19</v>
      </c>
      <c r="D54" s="104"/>
      <c r="E54" s="104" t="s">
        <v>32</v>
      </c>
      <c r="F54" s="23" t="s">
        <v>161</v>
      </c>
      <c r="G54" s="104" t="s">
        <v>22</v>
      </c>
      <c r="H54" s="103">
        <f>[13]副本!G110</f>
        <v>868.27900000001682</v>
      </c>
      <c r="I54" s="103">
        <f>H54</f>
        <v>868.27900000001682</v>
      </c>
      <c r="J54" s="104"/>
      <c r="K54" s="101"/>
      <c r="L54" s="102">
        <f>H54-I54</f>
        <v>0</v>
      </c>
      <c r="M54" s="101">
        <v>4000</v>
      </c>
      <c r="N54" s="100"/>
      <c r="O54" s="99"/>
      <c r="P54" s="98" t="s">
        <v>248</v>
      </c>
    </row>
    <row r="55" spans="1:17" s="48" customFormat="1" ht="30.75" customHeight="1" x14ac:dyDescent="0.15">
      <c r="A55" s="104">
        <v>20170217</v>
      </c>
      <c r="B55" s="105" t="s">
        <v>30</v>
      </c>
      <c r="C55" s="116" t="s">
        <v>3</v>
      </c>
      <c r="D55" s="104"/>
      <c r="E55" s="104"/>
      <c r="F55" s="104"/>
      <c r="G55" s="104"/>
      <c r="H55" s="103"/>
      <c r="I55" s="103"/>
      <c r="J55" s="104"/>
      <c r="K55" s="101"/>
      <c r="L55" s="102"/>
      <c r="M55" s="101">
        <v>37000</v>
      </c>
      <c r="N55" s="100"/>
      <c r="O55" s="99"/>
      <c r="P55" s="98"/>
    </row>
    <row r="56" spans="1:17" s="48" customFormat="1" ht="30.75" customHeight="1" x14ac:dyDescent="0.15">
      <c r="A56" s="104">
        <v>20170217</v>
      </c>
      <c r="B56" s="105" t="s">
        <v>29</v>
      </c>
      <c r="C56" s="116" t="s">
        <v>3</v>
      </c>
      <c r="D56" s="104"/>
      <c r="E56" s="104"/>
      <c r="F56" s="104"/>
      <c r="G56" s="104"/>
      <c r="H56" s="103"/>
      <c r="I56" s="104"/>
      <c r="J56" s="104"/>
      <c r="K56" s="101"/>
      <c r="L56" s="102"/>
      <c r="M56" s="101">
        <v>37000</v>
      </c>
      <c r="N56" s="100"/>
      <c r="O56" s="99"/>
      <c r="P56" s="98"/>
    </row>
    <row r="57" spans="1:17" s="48" customFormat="1" ht="30.75" customHeight="1" x14ac:dyDescent="0.15">
      <c r="A57" s="104">
        <v>20170217</v>
      </c>
      <c r="B57" s="105" t="s">
        <v>28</v>
      </c>
      <c r="C57" s="116" t="s">
        <v>19</v>
      </c>
      <c r="D57" s="104" t="s">
        <v>5</v>
      </c>
      <c r="E57" s="104" t="s">
        <v>27</v>
      </c>
      <c r="F57" s="23" t="s">
        <v>165</v>
      </c>
      <c r="G57" s="104" t="s">
        <v>22</v>
      </c>
      <c r="H57" s="103">
        <f>[13]副本!G118</f>
        <v>764.82299999999941</v>
      </c>
      <c r="I57" s="103">
        <v>0</v>
      </c>
      <c r="J57" s="104"/>
      <c r="K57" s="102"/>
      <c r="L57" s="102">
        <f>H57-I57</f>
        <v>764.82299999999941</v>
      </c>
      <c r="M57" s="101">
        <v>10000</v>
      </c>
      <c r="N57" s="100"/>
      <c r="O57" s="99"/>
      <c r="P57" s="98"/>
      <c r="Q57" s="49"/>
    </row>
    <row r="58" spans="1:17" s="48" customFormat="1" ht="30.75" customHeight="1" x14ac:dyDescent="0.15">
      <c r="A58" s="104">
        <v>20170217</v>
      </c>
      <c r="B58" s="105" t="s">
        <v>26</v>
      </c>
      <c r="C58" s="116" t="s">
        <v>3</v>
      </c>
      <c r="D58" s="104" t="s">
        <v>5</v>
      </c>
      <c r="E58" s="104"/>
      <c r="F58" s="80"/>
      <c r="G58" s="104"/>
      <c r="H58" s="103"/>
      <c r="I58" s="103"/>
      <c r="J58" s="104"/>
      <c r="K58" s="102"/>
      <c r="L58" s="102"/>
      <c r="M58" s="101">
        <v>15000</v>
      </c>
      <c r="N58" s="100"/>
      <c r="O58" s="99"/>
      <c r="P58" s="98"/>
      <c r="Q58" s="49"/>
    </row>
    <row r="59" spans="1:17" s="48" customFormat="1" ht="30.75" customHeight="1" x14ac:dyDescent="0.15">
      <c r="A59" s="104">
        <v>20170217</v>
      </c>
      <c r="B59" s="105" t="s">
        <v>23</v>
      </c>
      <c r="C59" s="105" t="s">
        <v>19</v>
      </c>
      <c r="D59" s="104" t="s">
        <v>5</v>
      </c>
      <c r="E59" s="104" t="s">
        <v>2</v>
      </c>
      <c r="F59" s="23" t="s">
        <v>171</v>
      </c>
      <c r="G59" s="104" t="s">
        <v>22</v>
      </c>
      <c r="H59" s="103">
        <f>[13]副本!G123</f>
        <v>3098.3309999999983</v>
      </c>
      <c r="I59" s="103">
        <f>H59</f>
        <v>3098.3309999999983</v>
      </c>
      <c r="J59" s="104"/>
      <c r="K59" s="101"/>
      <c r="L59" s="102"/>
      <c r="M59" s="101">
        <v>43000</v>
      </c>
      <c r="N59" s="100"/>
      <c r="O59" s="99"/>
      <c r="P59" s="98" t="s">
        <v>228</v>
      </c>
      <c r="Q59" s="49"/>
    </row>
    <row r="60" spans="1:17" s="48" customFormat="1" ht="30.75" customHeight="1" x14ac:dyDescent="0.15">
      <c r="A60" s="104">
        <v>20170217</v>
      </c>
      <c r="B60" s="105" t="s">
        <v>23</v>
      </c>
      <c r="C60" s="105" t="s">
        <v>19</v>
      </c>
      <c r="D60" s="104" t="s">
        <v>5</v>
      </c>
      <c r="E60" s="104" t="s">
        <v>2</v>
      </c>
      <c r="F60" s="23" t="s">
        <v>172</v>
      </c>
      <c r="G60" s="104" t="s">
        <v>22</v>
      </c>
      <c r="H60" s="103">
        <f>[13]副本!G124</f>
        <v>219.60000000000036</v>
      </c>
      <c r="I60" s="103">
        <f>H60</f>
        <v>219.60000000000036</v>
      </c>
      <c r="J60" s="104"/>
      <c r="K60" s="104"/>
      <c r="L60" s="102"/>
      <c r="M60" s="101">
        <v>43000</v>
      </c>
      <c r="N60" s="100"/>
      <c r="O60" s="99"/>
      <c r="P60" s="98" t="s">
        <v>21</v>
      </c>
      <c r="Q60" s="49"/>
    </row>
    <row r="61" spans="1:17" s="48" customFormat="1" ht="30.75" customHeight="1" x14ac:dyDescent="0.15">
      <c r="A61" s="104">
        <v>20170217</v>
      </c>
      <c r="B61" s="105" t="s">
        <v>20</v>
      </c>
      <c r="C61" s="105" t="s">
        <v>19</v>
      </c>
      <c r="D61" s="104" t="s">
        <v>5</v>
      </c>
      <c r="E61" s="104"/>
      <c r="F61" s="104"/>
      <c r="G61" s="104"/>
      <c r="H61" s="103"/>
      <c r="I61" s="103"/>
      <c r="J61" s="104"/>
      <c r="K61" s="101"/>
      <c r="L61" s="102"/>
      <c r="M61" s="101">
        <v>43000</v>
      </c>
      <c r="N61" s="100"/>
      <c r="O61" s="99"/>
      <c r="P61" s="98"/>
      <c r="Q61" s="49"/>
    </row>
    <row r="62" spans="1:17" s="48" customFormat="1" ht="30.75" customHeight="1" x14ac:dyDescent="0.15">
      <c r="A62" s="104">
        <v>20170217</v>
      </c>
      <c r="B62" s="105" t="s">
        <v>18</v>
      </c>
      <c r="C62" s="116" t="s">
        <v>3</v>
      </c>
      <c r="D62" s="104"/>
      <c r="E62" s="104" t="s">
        <v>202</v>
      </c>
      <c r="F62" s="23" t="s">
        <v>197</v>
      </c>
      <c r="G62" s="104" t="s">
        <v>1</v>
      </c>
      <c r="H62" s="103">
        <f>[13]副本!G128</f>
        <v>8339.3289999999961</v>
      </c>
      <c r="I62" s="103">
        <f>H62-8339.329</f>
        <v>0</v>
      </c>
      <c r="J62" s="104"/>
      <c r="K62" s="101">
        <v>150</v>
      </c>
      <c r="L62" s="102">
        <f>H62-I62</f>
        <v>8339.3289999999961</v>
      </c>
      <c r="M62" s="101">
        <v>20000</v>
      </c>
      <c r="N62" s="100"/>
      <c r="O62" s="99"/>
      <c r="P62" s="98"/>
    </row>
    <row r="63" spans="1:17" s="48" customFormat="1" ht="30.75" customHeight="1" x14ac:dyDescent="0.15">
      <c r="A63" s="104">
        <v>20170217</v>
      </c>
      <c r="B63" s="105" t="s">
        <v>17</v>
      </c>
      <c r="C63" s="116" t="s">
        <v>3</v>
      </c>
      <c r="D63" s="104"/>
      <c r="E63" s="104" t="s">
        <v>9</v>
      </c>
      <c r="F63" s="23" t="s">
        <v>175</v>
      </c>
      <c r="G63" s="104" t="s">
        <v>1</v>
      </c>
      <c r="H63" s="103">
        <f>[13]副本!G130</f>
        <v>11144.368000000002</v>
      </c>
      <c r="I63" s="103">
        <f>H63-4751.949+4751.949</f>
        <v>11144.368000000002</v>
      </c>
      <c r="J63" s="104"/>
      <c r="K63" s="101"/>
      <c r="L63" s="102">
        <f>H63-I63</f>
        <v>0</v>
      </c>
      <c r="M63" s="101">
        <v>30000</v>
      </c>
      <c r="N63" s="100"/>
      <c r="O63" s="99"/>
      <c r="P63" s="98" t="s">
        <v>247</v>
      </c>
    </row>
    <row r="64" spans="1:17" s="48" customFormat="1" ht="30.75" customHeight="1" x14ac:dyDescent="0.15">
      <c r="A64" s="104">
        <v>20170217</v>
      </c>
      <c r="B64" s="105" t="s">
        <v>17</v>
      </c>
      <c r="C64" s="116" t="s">
        <v>3</v>
      </c>
      <c r="D64" s="104"/>
      <c r="E64" s="104" t="s">
        <v>9</v>
      </c>
      <c r="F64" s="23" t="s">
        <v>158</v>
      </c>
      <c r="G64" s="104" t="s">
        <v>1</v>
      </c>
      <c r="H64" s="103">
        <f>[13]副本!G131</f>
        <v>0</v>
      </c>
      <c r="I64" s="103">
        <f>H64</f>
        <v>0</v>
      </c>
      <c r="J64" s="104"/>
      <c r="K64" s="101"/>
      <c r="L64" s="102">
        <f>H64-I64</f>
        <v>0</v>
      </c>
      <c r="M64" s="101">
        <v>30000</v>
      </c>
      <c r="N64" s="100"/>
      <c r="O64" s="99"/>
      <c r="P64" s="120" t="s">
        <v>15</v>
      </c>
    </row>
    <row r="65" spans="1:16" s="48" customFormat="1" ht="30.75" customHeight="1" x14ac:dyDescent="0.15">
      <c r="A65" s="104">
        <v>20170217</v>
      </c>
      <c r="B65" s="105" t="s">
        <v>14</v>
      </c>
      <c r="C65" s="116" t="s">
        <v>3</v>
      </c>
      <c r="D65" s="104" t="s">
        <v>5</v>
      </c>
      <c r="E65" s="104" t="s">
        <v>2</v>
      </c>
      <c r="F65" s="23" t="s">
        <v>174</v>
      </c>
      <c r="G65" s="104" t="s">
        <v>1</v>
      </c>
      <c r="H65" s="103">
        <f>[13]副本!G133</f>
        <v>14976.093999999999</v>
      </c>
      <c r="I65" s="103">
        <f>H65-14976.094</f>
        <v>0</v>
      </c>
      <c r="J65" s="104"/>
      <c r="K65" s="101">
        <v>250</v>
      </c>
      <c r="L65" s="102">
        <f>H65-I65</f>
        <v>14976.093999999999</v>
      </c>
      <c r="M65" s="101">
        <v>20000</v>
      </c>
      <c r="N65" s="100" t="s">
        <v>13</v>
      </c>
      <c r="O65" s="99" t="s">
        <v>12</v>
      </c>
      <c r="P65" s="98" t="s">
        <v>11</v>
      </c>
    </row>
    <row r="66" spans="1:16" s="48" customFormat="1" ht="30.75" customHeight="1" x14ac:dyDescent="0.15">
      <c r="A66" s="104">
        <v>20170217</v>
      </c>
      <c r="B66" s="105" t="s">
        <v>10</v>
      </c>
      <c r="C66" s="116" t="s">
        <v>3</v>
      </c>
      <c r="D66" s="104"/>
      <c r="E66" s="104" t="s">
        <v>9</v>
      </c>
      <c r="F66" s="23" t="s">
        <v>158</v>
      </c>
      <c r="G66" s="104" t="s">
        <v>1</v>
      </c>
      <c r="H66" s="103">
        <f>[13]副本!G135</f>
        <v>23765.582999999973</v>
      </c>
      <c r="I66" s="103">
        <f>H66</f>
        <v>23765.582999999973</v>
      </c>
      <c r="J66" s="104"/>
      <c r="K66" s="101"/>
      <c r="L66" s="102">
        <v>0</v>
      </c>
      <c r="M66" s="101">
        <v>30000</v>
      </c>
      <c r="N66" s="100"/>
      <c r="O66" s="99"/>
      <c r="P66" s="98"/>
    </row>
    <row r="67" spans="1:16" s="48" customFormat="1" ht="30.75" customHeight="1" x14ac:dyDescent="0.15">
      <c r="A67" s="104">
        <v>20170217</v>
      </c>
      <c r="B67" s="105" t="s">
        <v>8</v>
      </c>
      <c r="C67" s="116" t="s">
        <v>3</v>
      </c>
      <c r="D67" s="104"/>
      <c r="E67" s="104"/>
      <c r="F67" s="98"/>
      <c r="G67" s="104"/>
      <c r="H67" s="103"/>
      <c r="I67" s="103"/>
      <c r="J67" s="104"/>
      <c r="K67" s="101"/>
      <c r="L67" s="102"/>
      <c r="M67" s="101">
        <v>20000</v>
      </c>
      <c r="N67" s="100"/>
      <c r="O67" s="99"/>
      <c r="P67" s="104"/>
    </row>
    <row r="68" spans="1:16" s="48" customFormat="1" ht="30.75" customHeight="1" x14ac:dyDescent="0.15">
      <c r="A68" s="104">
        <v>20170217</v>
      </c>
      <c r="B68" s="105" t="s">
        <v>7</v>
      </c>
      <c r="C68" s="116" t="s">
        <v>3</v>
      </c>
      <c r="D68" s="104"/>
      <c r="E68" s="104"/>
      <c r="F68" s="104"/>
      <c r="G68" s="104"/>
      <c r="H68" s="103"/>
      <c r="I68" s="103"/>
      <c r="J68" s="104"/>
      <c r="K68" s="101"/>
      <c r="L68" s="102"/>
      <c r="M68" s="101">
        <v>15000</v>
      </c>
      <c r="N68" s="100"/>
      <c r="O68" s="99"/>
      <c r="P68" s="98"/>
    </row>
    <row r="69" spans="1:16" s="48" customFormat="1" ht="30.75" customHeight="1" x14ac:dyDescent="0.15">
      <c r="A69" s="104">
        <v>20170217</v>
      </c>
      <c r="B69" s="105" t="s">
        <v>6</v>
      </c>
      <c r="C69" s="116" t="s">
        <v>3</v>
      </c>
      <c r="D69" s="104" t="s">
        <v>5</v>
      </c>
      <c r="E69" s="104" t="s">
        <v>2</v>
      </c>
      <c r="F69" s="23" t="s">
        <v>171</v>
      </c>
      <c r="G69" s="104" t="s">
        <v>1</v>
      </c>
      <c r="H69" s="103">
        <f>[13]副本!G142</f>
        <v>12005.106</v>
      </c>
      <c r="I69" s="103">
        <f>H69-12005.106</f>
        <v>0</v>
      </c>
      <c r="J69" s="104"/>
      <c r="K69" s="101">
        <v>600</v>
      </c>
      <c r="L69" s="102">
        <f>H69-I69</f>
        <v>12005.106</v>
      </c>
      <c r="M69" s="101">
        <v>15000</v>
      </c>
      <c r="N69" s="100"/>
      <c r="O69" s="99"/>
      <c r="P69" s="98"/>
    </row>
    <row r="70" spans="1:16" s="48" customFormat="1" ht="30.75" customHeight="1" x14ac:dyDescent="0.15">
      <c r="A70" s="104">
        <v>20170217</v>
      </c>
      <c r="B70" s="105" t="s">
        <v>4</v>
      </c>
      <c r="C70" s="116" t="s">
        <v>3</v>
      </c>
      <c r="D70" s="104"/>
      <c r="E70" s="104" t="s">
        <v>2</v>
      </c>
      <c r="F70" s="23" t="s">
        <v>170</v>
      </c>
      <c r="G70" s="104" t="s">
        <v>1</v>
      </c>
      <c r="H70" s="103">
        <f>[13]副本!G144</f>
        <v>1972.7499999999982</v>
      </c>
      <c r="I70" s="103">
        <f>H70</f>
        <v>1972.7499999999982</v>
      </c>
      <c r="J70" s="104"/>
      <c r="K70" s="101"/>
      <c r="L70" s="102">
        <f>H70-I70</f>
        <v>0</v>
      </c>
      <c r="M70" s="101">
        <v>15000</v>
      </c>
      <c r="N70" s="100"/>
      <c r="O70" s="99"/>
      <c r="P70" s="98" t="s">
        <v>192</v>
      </c>
    </row>
    <row r="76" spans="1:16" x14ac:dyDescent="0.15">
      <c r="L76" s="47"/>
    </row>
    <row r="228" spans="7:8" x14ac:dyDescent="0.15">
      <c r="G228" s="39"/>
      <c r="H228" s="39"/>
    </row>
  </sheetData>
  <autoFilter ref="B1:I70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38" activePane="bottomRight" state="frozen"/>
      <selection pane="topRight"/>
      <selection pane="bottomLeft"/>
      <selection pane="bottomRight" activeCell="G66" sqref="G66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9.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28.5" customHeight="1" x14ac:dyDescent="0.15">
      <c r="A2" s="104">
        <v>20170220</v>
      </c>
      <c r="B2" s="105" t="s">
        <v>130</v>
      </c>
      <c r="C2" s="116" t="s">
        <v>44</v>
      </c>
      <c r="D2" s="105"/>
      <c r="E2" s="104" t="s">
        <v>117</v>
      </c>
      <c r="F2" s="37" t="s">
        <v>270</v>
      </c>
      <c r="G2" s="98" t="s">
        <v>1</v>
      </c>
      <c r="H2" s="103">
        <f>[14]副本!G3</f>
        <v>417.77499999999964</v>
      </c>
      <c r="I2" s="103">
        <f>H2-1918.881+1918.881</f>
        <v>417.77499999999964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269</v>
      </c>
    </row>
    <row r="3" spans="1:17" s="48" customFormat="1" ht="28.5" customHeight="1" x14ac:dyDescent="0.15">
      <c r="A3" s="104">
        <v>20170220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[14]副本!G6</f>
        <v>406.89899999999989</v>
      </c>
      <c r="I3" s="103">
        <f>H3</f>
        <v>406.89899999999989</v>
      </c>
      <c r="J3" s="104"/>
      <c r="K3" s="101"/>
      <c r="L3" s="102">
        <f>H3-I3</f>
        <v>0</v>
      </c>
      <c r="M3" s="101">
        <v>1500</v>
      </c>
      <c r="N3" s="100"/>
      <c r="O3" s="99"/>
      <c r="P3" s="98"/>
    </row>
    <row r="4" spans="1:17" s="48" customFormat="1" ht="28.5" customHeight="1" x14ac:dyDescent="0.15">
      <c r="A4" s="104">
        <v>20170220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[14]副本!G8</f>
        <v>1383.3429999999958</v>
      </c>
      <c r="I4" s="103">
        <f>H4</f>
        <v>1383.3429999999958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28.5" customHeight="1" x14ac:dyDescent="0.15">
      <c r="A5" s="104">
        <v>20170220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[14]副本!G10</f>
        <v>1435.8320000000276</v>
      </c>
      <c r="I5" s="103">
        <f>H5</f>
        <v>1435.8320000000276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28.5" customHeight="1" x14ac:dyDescent="0.15">
      <c r="A6" s="104">
        <v>20170220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28.5" customHeight="1" x14ac:dyDescent="0.15">
      <c r="A7" s="104">
        <v>20170220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[14]副本!G14</f>
        <v>434.54400000000169</v>
      </c>
      <c r="I7" s="103">
        <f t="shared" ref="I7:I12" si="0">H7</f>
        <v>434.54400000000169</v>
      </c>
      <c r="J7" s="104"/>
      <c r="K7" s="101"/>
      <c r="L7" s="102"/>
      <c r="M7" s="101">
        <v>3000</v>
      </c>
      <c r="N7" s="100"/>
      <c r="O7" s="99"/>
      <c r="P7" s="98" t="s">
        <v>268</v>
      </c>
      <c r="Q7" s="49"/>
    </row>
    <row r="8" spans="1:17" s="48" customFormat="1" ht="28.5" customHeight="1" x14ac:dyDescent="0.15">
      <c r="A8" s="104">
        <v>20170220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[14]副本!G16</f>
        <v>983.40900000000011</v>
      </c>
      <c r="I8" s="103">
        <f t="shared" si="0"/>
        <v>983.40900000000011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28.5" customHeight="1" x14ac:dyDescent="0.15">
      <c r="A9" s="104">
        <v>20170220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[14]副本!G18</f>
        <v>1322.4749999999999</v>
      </c>
      <c r="I9" s="103">
        <f t="shared" si="0"/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28.5" customHeight="1" x14ac:dyDescent="0.15">
      <c r="A10" s="104">
        <v>20170220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[14]副本!G20</f>
        <v>1.5219999999999345</v>
      </c>
      <c r="I10" s="103">
        <f t="shared" si="0"/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267</v>
      </c>
    </row>
    <row r="11" spans="1:17" s="48" customFormat="1" ht="28.5" customHeight="1" x14ac:dyDescent="0.15">
      <c r="A11" s="104">
        <v>20170220</v>
      </c>
      <c r="B11" s="105"/>
      <c r="C11" s="104"/>
      <c r="D11" s="104"/>
      <c r="E11" s="104" t="s">
        <v>71</v>
      </c>
      <c r="F11" s="23" t="s">
        <v>154</v>
      </c>
      <c r="G11" s="104"/>
      <c r="H11" s="103">
        <f>[14]副本!G22</f>
        <v>1000</v>
      </c>
      <c r="I11" s="103">
        <f t="shared" si="0"/>
        <v>1000</v>
      </c>
      <c r="J11" s="104"/>
      <c r="K11" s="101"/>
      <c r="L11" s="102">
        <f>H11-I11</f>
        <v>0</v>
      </c>
      <c r="M11" s="101"/>
      <c r="N11" s="100"/>
      <c r="O11" s="99"/>
      <c r="P11" s="98" t="s">
        <v>106</v>
      </c>
    </row>
    <row r="12" spans="1:17" s="48" customFormat="1" ht="28.5" customHeight="1" x14ac:dyDescent="0.15">
      <c r="A12" s="104">
        <v>20170220</v>
      </c>
      <c r="B12" s="105" t="s">
        <v>105</v>
      </c>
      <c r="C12" s="104" t="s">
        <v>44</v>
      </c>
      <c r="D12" s="104"/>
      <c r="E12" s="104" t="s">
        <v>86</v>
      </c>
      <c r="F12" s="23" t="s">
        <v>155</v>
      </c>
      <c r="G12" s="104" t="s">
        <v>1</v>
      </c>
      <c r="H12" s="103">
        <f>[14]副本!G24</f>
        <v>1502.1479999999999</v>
      </c>
      <c r="I12" s="103">
        <f t="shared" si="0"/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/>
    </row>
    <row r="13" spans="1:17" s="48" customFormat="1" ht="28.5" customHeight="1" x14ac:dyDescent="0.15">
      <c r="A13" s="104">
        <v>20170220</v>
      </c>
      <c r="B13" s="105" t="s">
        <v>104</v>
      </c>
      <c r="C13" s="116" t="s">
        <v>19</v>
      </c>
      <c r="D13" s="104"/>
      <c r="E13" s="104" t="s">
        <v>244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28.5" customHeight="1" x14ac:dyDescent="0.15">
      <c r="A14" s="104">
        <v>20170220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28.5" customHeight="1" x14ac:dyDescent="0.15">
      <c r="A15" s="104">
        <v>20170220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[14]副本!G30</f>
        <v>165.65699999999993</v>
      </c>
      <c r="I15" s="103">
        <f>H15</f>
        <v>165.65699999999993</v>
      </c>
      <c r="J15" s="104"/>
      <c r="K15" s="101"/>
      <c r="L15" s="102">
        <v>0</v>
      </c>
      <c r="M15" s="101">
        <v>1500</v>
      </c>
      <c r="N15" s="100"/>
      <c r="O15" s="99"/>
      <c r="P15" s="98" t="s">
        <v>205</v>
      </c>
    </row>
    <row r="16" spans="1:17" s="48" customFormat="1" ht="28.5" customHeight="1" x14ac:dyDescent="0.15">
      <c r="A16" s="104">
        <v>20170220</v>
      </c>
      <c r="B16" s="105"/>
      <c r="C16" s="116"/>
      <c r="D16" s="104"/>
      <c r="E16" s="104"/>
      <c r="F16" s="23" t="s">
        <v>153</v>
      </c>
      <c r="G16" s="104"/>
      <c r="H16" s="103">
        <f>[14]副本!G31</f>
        <v>0</v>
      </c>
      <c r="I16" s="103">
        <f>H16</f>
        <v>0</v>
      </c>
      <c r="J16" s="104"/>
      <c r="K16" s="101"/>
      <c r="L16" s="102"/>
      <c r="M16" s="101"/>
      <c r="N16" s="100"/>
      <c r="O16" s="99"/>
      <c r="P16" s="121" t="s">
        <v>204</v>
      </c>
    </row>
    <row r="17" spans="1:17" s="48" customFormat="1" ht="28.5" customHeight="1" x14ac:dyDescent="0.15">
      <c r="A17" s="104">
        <v>20170220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[14]副本!G33-H18</f>
        <v>6260.8780000000188</v>
      </c>
      <c r="I17" s="103">
        <f>H17</f>
        <v>6260.8780000000188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98</v>
      </c>
    </row>
    <row r="18" spans="1:17" s="48" customFormat="1" ht="28.5" customHeight="1" x14ac:dyDescent="0.15">
      <c r="A18" s="104">
        <v>20170220</v>
      </c>
      <c r="B18" s="105"/>
      <c r="C18" s="116"/>
      <c r="D18" s="104"/>
      <c r="E18" s="104" t="s">
        <v>9</v>
      </c>
      <c r="F18" s="24" t="s">
        <v>175</v>
      </c>
      <c r="G18" s="104"/>
      <c r="H18" s="103">
        <f>[14]副本!G35</f>
        <v>12119.121999999981</v>
      </c>
      <c r="I18" s="103">
        <f>H18</f>
        <v>12119.121999999981</v>
      </c>
      <c r="J18" s="104"/>
      <c r="K18" s="101"/>
      <c r="L18" s="102">
        <f>H18-I18</f>
        <v>0</v>
      </c>
      <c r="M18" s="101"/>
      <c r="N18" s="100" t="s">
        <v>90</v>
      </c>
      <c r="O18" s="99" t="s">
        <v>89</v>
      </c>
      <c r="P18" s="98" t="s">
        <v>97</v>
      </c>
    </row>
    <row r="19" spans="1:17" s="48" customFormat="1" ht="28.5" customHeight="1" x14ac:dyDescent="0.15">
      <c r="A19" s="104">
        <v>20170220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[14]副本!G37</f>
        <v>4224.8950000000004</v>
      </c>
      <c r="I19" s="103">
        <f>H19-3496.542+1000+2496.542-3122.825</f>
        <v>1102.0700000000006</v>
      </c>
      <c r="J19" s="104"/>
      <c r="K19" s="101"/>
      <c r="L19" s="102">
        <f>H19-I19</f>
        <v>3122.8249999999998</v>
      </c>
      <c r="M19" s="101">
        <v>5000</v>
      </c>
      <c r="N19" s="100"/>
      <c r="O19" s="99"/>
      <c r="P19" s="98" t="s">
        <v>194</v>
      </c>
    </row>
    <row r="20" spans="1:17" s="48" customFormat="1" ht="28.5" customHeight="1" x14ac:dyDescent="0.15">
      <c r="A20" s="104">
        <v>20170220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28.5" customHeight="1" x14ac:dyDescent="0.15">
      <c r="A21" s="104">
        <v>20170220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[14]副本!G41-'20170220'!H22</f>
        <v>5797.5454280000376</v>
      </c>
      <c r="I21" s="103">
        <f>H21</f>
        <v>5797.5454280000376</v>
      </c>
      <c r="J21" s="104"/>
      <c r="K21" s="101"/>
      <c r="L21" s="102">
        <f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28.5" customHeight="1" x14ac:dyDescent="0.15">
      <c r="A22" s="104">
        <v>20170220</v>
      </c>
      <c r="B22" s="105"/>
      <c r="C22" s="116"/>
      <c r="D22" s="104"/>
      <c r="E22" s="104" t="s">
        <v>9</v>
      </c>
      <c r="F22" s="24" t="s">
        <v>175</v>
      </c>
      <c r="G22" s="104"/>
      <c r="H22" s="103">
        <f>[14]副本!G43</f>
        <v>5216.4545719999624</v>
      </c>
      <c r="I22" s="103">
        <f>H22</f>
        <v>5216.4545719999624</v>
      </c>
      <c r="J22" s="104"/>
      <c r="K22" s="117"/>
      <c r="L22" s="102">
        <f>H22-I22</f>
        <v>0</v>
      </c>
      <c r="M22" s="101"/>
      <c r="N22" s="100" t="s">
        <v>90</v>
      </c>
      <c r="O22" s="99" t="s">
        <v>89</v>
      </c>
      <c r="P22" s="98" t="s">
        <v>88</v>
      </c>
    </row>
    <row r="23" spans="1:17" s="48" customFormat="1" ht="28.5" customHeight="1" x14ac:dyDescent="0.15">
      <c r="A23" s="104">
        <v>20170220</v>
      </c>
      <c r="B23" s="105" t="s">
        <v>87</v>
      </c>
      <c r="C23" s="116" t="s">
        <v>44</v>
      </c>
      <c r="D23" s="104"/>
      <c r="E23" s="104" t="s">
        <v>86</v>
      </c>
      <c r="F23" s="23" t="s">
        <v>160</v>
      </c>
      <c r="G23" s="104" t="s">
        <v>1</v>
      </c>
      <c r="H23" s="103">
        <f>[14]副本!G45</f>
        <v>5300.851999999999</v>
      </c>
      <c r="I23" s="103">
        <f>H23</f>
        <v>5300.851999999999</v>
      </c>
      <c r="J23" s="104"/>
      <c r="K23" s="101">
        <v>450</v>
      </c>
      <c r="L23" s="102">
        <f>H23-I23</f>
        <v>0</v>
      </c>
      <c r="M23" s="101">
        <v>5000</v>
      </c>
      <c r="N23" s="100"/>
      <c r="O23" s="99"/>
      <c r="P23" s="98" t="s">
        <v>85</v>
      </c>
    </row>
    <row r="24" spans="1:17" s="48" customFormat="1" ht="28.5" customHeight="1" x14ac:dyDescent="0.15">
      <c r="A24" s="104">
        <v>20170220</v>
      </c>
      <c r="B24" s="105" t="s">
        <v>84</v>
      </c>
      <c r="C24" s="116" t="s">
        <v>3</v>
      </c>
      <c r="D24" s="104"/>
      <c r="E24" s="98"/>
      <c r="F24" s="104"/>
      <c r="G24" s="104"/>
      <c r="H24" s="103"/>
      <c r="I24" s="103"/>
      <c r="J24" s="104"/>
      <c r="K24" s="101"/>
      <c r="L24" s="102"/>
      <c r="M24" s="101">
        <v>5000</v>
      </c>
      <c r="N24" s="100"/>
      <c r="O24" s="99"/>
      <c r="P24" s="120"/>
    </row>
    <row r="25" spans="1:17" s="48" customFormat="1" ht="28.5" customHeight="1" x14ac:dyDescent="0.15">
      <c r="A25" s="104">
        <v>20170220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[14]副本!G49</f>
        <v>2969.3919999999998</v>
      </c>
      <c r="I25" s="103">
        <f>H25</f>
        <v>2969.3919999999998</v>
      </c>
      <c r="J25" s="104"/>
      <c r="K25" s="101">
        <v>1300</v>
      </c>
      <c r="L25" s="102">
        <f>H25-I25</f>
        <v>0</v>
      </c>
      <c r="M25" s="101">
        <v>5000</v>
      </c>
      <c r="N25" s="100"/>
      <c r="O25" s="99"/>
      <c r="P25" s="98" t="s">
        <v>254</v>
      </c>
    </row>
    <row r="26" spans="1:17" s="48" customFormat="1" ht="28.5" customHeight="1" x14ac:dyDescent="0.15">
      <c r="A26" s="104">
        <v>20170220</v>
      </c>
      <c r="B26" s="105" t="s">
        <v>80</v>
      </c>
      <c r="C26" s="116" t="s">
        <v>44</v>
      </c>
      <c r="D26" s="104"/>
      <c r="E26" s="104" t="s">
        <v>43</v>
      </c>
      <c r="F26" s="23" t="s">
        <v>157</v>
      </c>
      <c r="G26" s="104" t="s">
        <v>1</v>
      </c>
      <c r="H26" s="103">
        <f>[14]副本!G52</f>
        <v>2144.2040000000002</v>
      </c>
      <c r="I26" s="103">
        <f>H26</f>
        <v>2144.2040000000002</v>
      </c>
      <c r="J26" s="104"/>
      <c r="K26" s="101"/>
      <c r="L26" s="102">
        <f>H26-I26</f>
        <v>0</v>
      </c>
      <c r="M26" s="101">
        <v>4000</v>
      </c>
      <c r="N26" s="100"/>
      <c r="O26" s="99"/>
      <c r="P26" s="98"/>
    </row>
    <row r="27" spans="1:17" s="48" customFormat="1" ht="28.5" customHeight="1" x14ac:dyDescent="0.15">
      <c r="A27" s="104">
        <v>20170220</v>
      </c>
      <c r="B27" s="105" t="s">
        <v>79</v>
      </c>
      <c r="C27" s="116" t="s">
        <v>74</v>
      </c>
      <c r="D27" s="104" t="s">
        <v>5</v>
      </c>
      <c r="E27" s="104" t="s">
        <v>266</v>
      </c>
      <c r="F27" s="104" t="s">
        <v>271</v>
      </c>
      <c r="G27" s="104"/>
      <c r="H27" s="103">
        <f>[14]副本!G54</f>
        <v>4007.2739999999999</v>
      </c>
      <c r="I27" s="103">
        <f>H27-4007.274</f>
        <v>0</v>
      </c>
      <c r="J27" s="104"/>
      <c r="K27" s="101"/>
      <c r="L27" s="102">
        <f>H27-I27</f>
        <v>4007.2739999999999</v>
      </c>
      <c r="M27" s="101">
        <v>5000</v>
      </c>
      <c r="N27" s="100"/>
      <c r="O27" s="99"/>
      <c r="P27" s="98"/>
    </row>
    <row r="28" spans="1:17" s="48" customFormat="1" ht="28.5" customHeight="1" x14ac:dyDescent="0.15">
      <c r="A28" s="104">
        <v>20170220</v>
      </c>
      <c r="B28" s="105" t="s">
        <v>78</v>
      </c>
      <c r="C28" s="116" t="s">
        <v>74</v>
      </c>
      <c r="D28" s="104"/>
      <c r="E28" s="104" t="s">
        <v>32</v>
      </c>
      <c r="F28" s="104"/>
      <c r="G28" s="104"/>
      <c r="H28" s="103"/>
      <c r="I28" s="103"/>
      <c r="J28" s="104"/>
      <c r="K28" s="101"/>
      <c r="L28" s="102"/>
      <c r="M28" s="101">
        <v>2000</v>
      </c>
      <c r="N28" s="100"/>
      <c r="O28" s="99"/>
      <c r="P28" s="98"/>
    </row>
    <row r="29" spans="1:17" s="48" customFormat="1" ht="28.5" customHeight="1" x14ac:dyDescent="0.15">
      <c r="A29" s="104">
        <v>20170220</v>
      </c>
      <c r="B29" s="105" t="s">
        <v>77</v>
      </c>
      <c r="C29" s="116" t="s">
        <v>74</v>
      </c>
      <c r="D29" s="104"/>
      <c r="E29" s="104" t="s">
        <v>32</v>
      </c>
      <c r="F29" s="23" t="s">
        <v>153</v>
      </c>
      <c r="G29" s="104" t="s">
        <v>1</v>
      </c>
      <c r="H29" s="103">
        <f>[14]副本!G60</f>
        <v>1098.6790000000001</v>
      </c>
      <c r="I29" s="103">
        <f>H29-1098.679+1098.679</f>
        <v>1098.6790000000001</v>
      </c>
      <c r="J29" s="104"/>
      <c r="K29" s="101"/>
      <c r="L29" s="102">
        <f>H29-I29</f>
        <v>0</v>
      </c>
      <c r="M29" s="101">
        <v>1500</v>
      </c>
      <c r="N29" s="100"/>
      <c r="O29" s="99"/>
      <c r="P29" s="98" t="s">
        <v>209</v>
      </c>
    </row>
    <row r="30" spans="1:17" s="48" customFormat="1" ht="28.5" customHeight="1" x14ac:dyDescent="0.15">
      <c r="A30" s="104">
        <v>20170220</v>
      </c>
      <c r="B30" s="105" t="s">
        <v>76</v>
      </c>
      <c r="C30" s="116" t="s">
        <v>74</v>
      </c>
      <c r="D30" s="104"/>
      <c r="E30" s="104" t="s">
        <v>32</v>
      </c>
      <c r="F30" s="104"/>
      <c r="G30" s="104"/>
      <c r="H30" s="103"/>
      <c r="I30" s="103"/>
      <c r="J30" s="104"/>
      <c r="K30" s="101"/>
      <c r="L30" s="102"/>
      <c r="M30" s="101">
        <v>1500</v>
      </c>
      <c r="N30" s="100"/>
      <c r="O30" s="99"/>
      <c r="P30" s="98"/>
      <c r="Q30" s="49"/>
    </row>
    <row r="31" spans="1:17" s="48" customFormat="1" ht="28.5" customHeight="1" x14ac:dyDescent="0.15">
      <c r="A31" s="104">
        <v>20170220</v>
      </c>
      <c r="B31" s="105" t="s">
        <v>75</v>
      </c>
      <c r="C31" s="116" t="s">
        <v>74</v>
      </c>
      <c r="D31" s="104"/>
      <c r="E31" s="104" t="s">
        <v>32</v>
      </c>
      <c r="F31" s="23" t="s">
        <v>153</v>
      </c>
      <c r="G31" s="104" t="s">
        <v>1</v>
      </c>
      <c r="H31" s="103">
        <f>[14]副本!G64</f>
        <v>1096.2820000000002</v>
      </c>
      <c r="I31" s="103">
        <f>H31-1096.282+1096.282</f>
        <v>1096.2820000000002</v>
      </c>
      <c r="J31" s="104"/>
      <c r="K31" s="101"/>
      <c r="L31" s="102">
        <f>H31-I31</f>
        <v>0</v>
      </c>
      <c r="M31" s="101">
        <v>1500</v>
      </c>
      <c r="N31" s="100"/>
      <c r="O31" s="99"/>
      <c r="P31" s="98" t="s">
        <v>209</v>
      </c>
    </row>
    <row r="32" spans="1:17" s="48" customFormat="1" ht="28.5" customHeight="1" x14ac:dyDescent="0.15">
      <c r="A32" s="104">
        <v>20170220</v>
      </c>
      <c r="B32" s="105" t="s">
        <v>73</v>
      </c>
      <c r="C32" s="116" t="s">
        <v>44</v>
      </c>
      <c r="D32" s="104"/>
      <c r="E32" s="104"/>
      <c r="F32" s="104"/>
      <c r="G32" s="104"/>
      <c r="H32" s="103"/>
      <c r="I32" s="103"/>
      <c r="J32" s="104"/>
      <c r="K32" s="101"/>
      <c r="L32" s="102"/>
      <c r="M32" s="101">
        <v>1500</v>
      </c>
      <c r="N32" s="100"/>
      <c r="O32" s="99"/>
      <c r="P32" s="98"/>
    </row>
    <row r="33" spans="1:16" s="48" customFormat="1" ht="28.5" customHeight="1" x14ac:dyDescent="0.15">
      <c r="A33" s="104">
        <v>20170220</v>
      </c>
      <c r="B33" s="105" t="s">
        <v>72</v>
      </c>
      <c r="C33" s="116" t="s">
        <v>44</v>
      </c>
      <c r="D33" s="104"/>
      <c r="E33" s="104" t="s">
        <v>71</v>
      </c>
      <c r="F33" s="23" t="s">
        <v>154</v>
      </c>
      <c r="G33" s="104" t="s">
        <v>1</v>
      </c>
      <c r="H33" s="104">
        <f>[14]副本!G68</f>
        <v>931.53000000000031</v>
      </c>
      <c r="I33" s="103">
        <f>H33-1035.099+1035.099</f>
        <v>931.53000000000031</v>
      </c>
      <c r="J33" s="104"/>
      <c r="K33" s="101">
        <v>50</v>
      </c>
      <c r="L33" s="102">
        <f>H33-I33</f>
        <v>0</v>
      </c>
      <c r="M33" s="101">
        <v>2000</v>
      </c>
      <c r="N33" s="100"/>
      <c r="O33" s="99"/>
      <c r="P33" s="98" t="s">
        <v>221</v>
      </c>
    </row>
    <row r="34" spans="1:16" s="48" customFormat="1" ht="28.5" customHeight="1" x14ac:dyDescent="0.15">
      <c r="A34" s="104">
        <v>20170220</v>
      </c>
      <c r="B34" s="105" t="s">
        <v>69</v>
      </c>
      <c r="C34" s="116" t="s">
        <v>44</v>
      </c>
      <c r="D34" s="104" t="s">
        <v>5</v>
      </c>
      <c r="E34" s="104" t="s">
        <v>68</v>
      </c>
      <c r="F34" s="23" t="s">
        <v>162</v>
      </c>
      <c r="G34" s="104" t="s">
        <v>1</v>
      </c>
      <c r="H34" s="103">
        <f>[14]副本!G70</f>
        <v>557.34299999999985</v>
      </c>
      <c r="I34" s="103">
        <f>H34-1037.023+500+537.023</f>
        <v>557.34299999999996</v>
      </c>
      <c r="J34" s="104"/>
      <c r="K34" s="101">
        <v>100</v>
      </c>
      <c r="L34" s="102">
        <f>H34-I34</f>
        <v>0</v>
      </c>
      <c r="M34" s="101">
        <v>3000</v>
      </c>
      <c r="N34" s="100"/>
      <c r="O34" s="99"/>
      <c r="P34" s="110" t="s">
        <v>67</v>
      </c>
    </row>
    <row r="35" spans="1:16" s="48" customFormat="1" ht="28.5" customHeight="1" x14ac:dyDescent="0.15">
      <c r="A35" s="104">
        <v>20170220</v>
      </c>
      <c r="B35" s="105" t="s">
        <v>66</v>
      </c>
      <c r="C35" s="116" t="s">
        <v>44</v>
      </c>
      <c r="D35" s="104" t="s">
        <v>5</v>
      </c>
      <c r="E35" s="104" t="s">
        <v>61</v>
      </c>
      <c r="F35" s="23" t="s">
        <v>159</v>
      </c>
      <c r="G35" s="104" t="s">
        <v>1</v>
      </c>
      <c r="H35" s="103">
        <f>[14]副本!G72</f>
        <v>2002.9199999999992</v>
      </c>
      <c r="I35" s="103">
        <f>H35-3607.546+2050+1050+507.546-1553.792+1553.792</f>
        <v>2002.9199999999994</v>
      </c>
      <c r="J35" s="104"/>
      <c r="K35" s="101"/>
      <c r="L35" s="102">
        <f>H35-I35</f>
        <v>0</v>
      </c>
      <c r="M35" s="101">
        <v>4000</v>
      </c>
      <c r="N35" s="100"/>
      <c r="O35" s="99"/>
      <c r="P35" s="98" t="s">
        <v>65</v>
      </c>
    </row>
    <row r="36" spans="1:16" s="48" customFormat="1" ht="28.5" customHeight="1" x14ac:dyDescent="0.15">
      <c r="A36" s="104">
        <v>20170220</v>
      </c>
      <c r="B36" s="105" t="s">
        <v>64</v>
      </c>
      <c r="C36" s="116" t="s">
        <v>3</v>
      </c>
      <c r="D36" s="104"/>
      <c r="E36" s="104"/>
      <c r="F36" s="104"/>
      <c r="G36" s="104"/>
      <c r="H36" s="103"/>
      <c r="I36" s="103"/>
      <c r="J36" s="104"/>
      <c r="K36" s="101"/>
      <c r="L36" s="102"/>
      <c r="M36" s="101">
        <v>5000</v>
      </c>
      <c r="N36" s="100"/>
      <c r="O36" s="99"/>
      <c r="P36" s="98"/>
    </row>
    <row r="37" spans="1:16" s="48" customFormat="1" ht="28.5" customHeight="1" x14ac:dyDescent="0.15">
      <c r="A37" s="104">
        <v>20170220</v>
      </c>
      <c r="B37" s="105" t="s">
        <v>63</v>
      </c>
      <c r="C37" s="116" t="s">
        <v>44</v>
      </c>
      <c r="D37" s="104" t="s">
        <v>5</v>
      </c>
      <c r="E37" s="104" t="s">
        <v>61</v>
      </c>
      <c r="F37" s="23" t="s">
        <v>159</v>
      </c>
      <c r="G37" s="104" t="s">
        <v>1</v>
      </c>
      <c r="H37" s="103">
        <f>[14]副本!G76</f>
        <v>4161.1360000000532</v>
      </c>
      <c r="I37" s="103">
        <f>H37-955.747+477.874+477.873-1042.865-2628.137+500+542.865+2102.57+525.567-499.112-3147.566+2100+525+525+496.678-2617.899+1574.891+523.692-522.622+522.622-2589.467+523.692-499.362+517.893-1051.409</f>
        <v>543.16700000005312</v>
      </c>
      <c r="J37" s="104"/>
      <c r="K37" s="101"/>
      <c r="L37" s="102">
        <f>H37-I37</f>
        <v>3617.9690000000001</v>
      </c>
      <c r="M37" s="101">
        <v>5000</v>
      </c>
      <c r="N37" s="100"/>
      <c r="O37" s="99"/>
      <c r="P37" s="98" t="s">
        <v>253</v>
      </c>
    </row>
    <row r="38" spans="1:16" s="48" customFormat="1" ht="28.5" customHeight="1" x14ac:dyDescent="0.15">
      <c r="A38" s="104">
        <v>20170220</v>
      </c>
      <c r="B38" s="105"/>
      <c r="C38" s="116"/>
      <c r="D38" s="104"/>
      <c r="E38" s="104" t="s">
        <v>61</v>
      </c>
      <c r="F38" s="23" t="s">
        <v>163</v>
      </c>
      <c r="G38" s="104"/>
      <c r="H38" s="103">
        <f>[14]副本!G77</f>
        <v>300.99800000000039</v>
      </c>
      <c r="I38" s="103">
        <f>H38</f>
        <v>300.99800000000039</v>
      </c>
      <c r="J38" s="104"/>
      <c r="K38" s="101"/>
      <c r="L38" s="102">
        <f>H38-I38</f>
        <v>0</v>
      </c>
      <c r="M38" s="101"/>
      <c r="N38" s="100"/>
      <c r="O38" s="99"/>
      <c r="P38" s="98" t="s">
        <v>252</v>
      </c>
    </row>
    <row r="39" spans="1:16" s="48" customFormat="1" ht="28.5" customHeight="1" x14ac:dyDescent="0.15">
      <c r="A39" s="104">
        <v>20170220</v>
      </c>
      <c r="B39" s="105" t="s">
        <v>59</v>
      </c>
      <c r="C39" s="116" t="s">
        <v>19</v>
      </c>
      <c r="D39" s="104"/>
      <c r="E39" s="104" t="s">
        <v>32</v>
      </c>
      <c r="F39" s="23" t="s">
        <v>161</v>
      </c>
      <c r="G39" s="104" t="s">
        <v>1</v>
      </c>
      <c r="H39" s="103">
        <f>[14]副本!G79</f>
        <v>31.463999999997668</v>
      </c>
      <c r="I39" s="103">
        <f>H39-2564.978+2564.978</f>
        <v>31.463999999997668</v>
      </c>
      <c r="J39" s="104"/>
      <c r="K39" s="101"/>
      <c r="L39" s="102">
        <f>H39-I39</f>
        <v>0</v>
      </c>
      <c r="M39" s="101">
        <v>4000</v>
      </c>
      <c r="N39" s="100"/>
      <c r="O39" s="99"/>
      <c r="P39" s="98" t="s">
        <v>58</v>
      </c>
    </row>
    <row r="40" spans="1:16" s="48" customFormat="1" ht="28.5" customHeight="1" x14ac:dyDescent="0.15">
      <c r="A40" s="104">
        <v>20170220</v>
      </c>
      <c r="B40" s="105"/>
      <c r="C40" s="116"/>
      <c r="D40" s="104"/>
      <c r="E40" s="104"/>
      <c r="F40" s="23" t="s">
        <v>153</v>
      </c>
      <c r="G40" s="104"/>
      <c r="H40" s="103">
        <f>[14]副本!G82</f>
        <v>2564.9780000000001</v>
      </c>
      <c r="I40" s="103">
        <f>H40</f>
        <v>2564.9780000000001</v>
      </c>
      <c r="J40" s="104"/>
      <c r="K40" s="101"/>
      <c r="L40" s="102"/>
      <c r="M40" s="101"/>
      <c r="N40" s="100"/>
      <c r="O40" s="99"/>
      <c r="P40" s="98" t="s">
        <v>208</v>
      </c>
    </row>
    <row r="41" spans="1:16" s="48" customFormat="1" ht="28.5" customHeight="1" x14ac:dyDescent="0.15">
      <c r="A41" s="104">
        <v>20170220</v>
      </c>
      <c r="B41" s="105" t="s">
        <v>56</v>
      </c>
      <c r="C41" s="116" t="s">
        <v>19</v>
      </c>
      <c r="D41" s="104"/>
      <c r="E41" s="104"/>
      <c r="F41" s="104"/>
      <c r="G41" s="104"/>
      <c r="H41" s="103"/>
      <c r="I41" s="103"/>
      <c r="J41" s="104"/>
      <c r="K41" s="101"/>
      <c r="L41" s="102"/>
      <c r="M41" s="101">
        <v>2000</v>
      </c>
      <c r="N41" s="100"/>
      <c r="O41" s="99"/>
      <c r="P41" s="98"/>
    </row>
    <row r="42" spans="1:16" s="48" customFormat="1" ht="28.5" customHeight="1" x14ac:dyDescent="0.15">
      <c r="A42" s="104">
        <v>20170220</v>
      </c>
      <c r="B42" s="105" t="s">
        <v>55</v>
      </c>
      <c r="C42" s="116" t="s">
        <v>19</v>
      </c>
      <c r="D42" s="104"/>
      <c r="E42" s="104" t="s">
        <v>32</v>
      </c>
      <c r="F42" s="23" t="s">
        <v>161</v>
      </c>
      <c r="G42" s="104" t="s">
        <v>1</v>
      </c>
      <c r="H42" s="103">
        <f>[14]副本!G86</f>
        <v>2032.8110000000001</v>
      </c>
      <c r="I42" s="103">
        <f>H42</f>
        <v>2032.8110000000001</v>
      </c>
      <c r="J42" s="104"/>
      <c r="K42" s="101"/>
      <c r="L42" s="102">
        <f>H42-I42</f>
        <v>0</v>
      </c>
      <c r="M42" s="101">
        <v>3000</v>
      </c>
      <c r="N42" s="100"/>
      <c r="O42" s="99"/>
      <c r="P42" s="98" t="s">
        <v>251</v>
      </c>
    </row>
    <row r="43" spans="1:16" s="48" customFormat="1" ht="28.5" customHeight="1" x14ac:dyDescent="0.15">
      <c r="A43" s="104">
        <v>20170220</v>
      </c>
      <c r="B43" s="105" t="s">
        <v>54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[14]副本!G88</f>
        <v>2606.8559999999998</v>
      </c>
      <c r="I43" s="103">
        <f>H43</f>
        <v>2606.8559999999998</v>
      </c>
      <c r="J43" s="104"/>
      <c r="K43" s="101"/>
      <c r="L43" s="102">
        <f>H43-I43</f>
        <v>0</v>
      </c>
      <c r="M43" s="101">
        <v>5000</v>
      </c>
      <c r="N43" s="109"/>
      <c r="O43" s="99"/>
      <c r="P43" s="98" t="s">
        <v>250</v>
      </c>
    </row>
    <row r="44" spans="1:16" s="48" customFormat="1" ht="28.5" customHeight="1" x14ac:dyDescent="0.15">
      <c r="A44" s="104">
        <v>20170220</v>
      </c>
      <c r="B44" s="105" t="s">
        <v>52</v>
      </c>
      <c r="C44" s="116" t="s">
        <v>44</v>
      </c>
      <c r="D44" s="104"/>
      <c r="E44" s="104"/>
      <c r="F44" s="104"/>
      <c r="G44" s="104"/>
      <c r="H44" s="103"/>
      <c r="I44" s="103"/>
      <c r="J44" s="104"/>
      <c r="K44" s="101"/>
      <c r="L44" s="102"/>
      <c r="M44" s="101">
        <v>5000</v>
      </c>
      <c r="N44" s="100"/>
      <c r="O44" s="99"/>
      <c r="P44" s="98"/>
    </row>
    <row r="45" spans="1:16" s="48" customFormat="1" ht="28.5" customHeight="1" x14ac:dyDescent="0.15">
      <c r="A45" s="104">
        <v>20170220</v>
      </c>
      <c r="B45" s="105" t="s">
        <v>51</v>
      </c>
      <c r="C45" s="116" t="s">
        <v>44</v>
      </c>
      <c r="D45" s="104"/>
      <c r="E45" s="104" t="s">
        <v>50</v>
      </c>
      <c r="F45" s="23" t="s">
        <v>152</v>
      </c>
      <c r="G45" s="104" t="s">
        <v>1</v>
      </c>
      <c r="H45" s="103">
        <f>[14]副本!G94</f>
        <v>2006.1080000000002</v>
      </c>
      <c r="I45" s="103">
        <f>H45-1021.25+1021.25</f>
        <v>2006.1080000000002</v>
      </c>
      <c r="J45" s="104"/>
      <c r="K45" s="101">
        <v>100</v>
      </c>
      <c r="L45" s="102">
        <f>H45-I45</f>
        <v>0</v>
      </c>
      <c r="M45" s="101">
        <v>5000</v>
      </c>
      <c r="N45" s="100"/>
      <c r="O45" s="99"/>
      <c r="P45" s="98" t="s">
        <v>249</v>
      </c>
    </row>
    <row r="46" spans="1:16" s="48" customFormat="1" ht="28.5" customHeight="1" x14ac:dyDescent="0.15">
      <c r="A46" s="104">
        <v>20170220</v>
      </c>
      <c r="B46" s="105"/>
      <c r="C46" s="116"/>
      <c r="D46" s="104"/>
      <c r="E46" s="104"/>
      <c r="F46" s="23" t="s">
        <v>148</v>
      </c>
      <c r="G46" s="104"/>
      <c r="H46" s="103">
        <f>[14]副本!G95</f>
        <v>1000</v>
      </c>
      <c r="I46" s="103">
        <f>H46</f>
        <v>1000</v>
      </c>
      <c r="J46" s="104"/>
      <c r="K46" s="101"/>
      <c r="L46" s="102"/>
      <c r="M46" s="101"/>
      <c r="N46" s="100"/>
      <c r="O46" s="99"/>
      <c r="P46" s="98" t="s">
        <v>49</v>
      </c>
    </row>
    <row r="47" spans="1:16" s="48" customFormat="1" ht="28.5" customHeight="1" x14ac:dyDescent="0.15">
      <c r="A47" s="104">
        <v>20170220</v>
      </c>
      <c r="B47" s="105" t="s">
        <v>48</v>
      </c>
      <c r="C47" s="116" t="s">
        <v>44</v>
      </c>
      <c r="D47" s="104"/>
      <c r="E47" s="104" t="s">
        <v>43</v>
      </c>
      <c r="F47" s="23" t="s">
        <v>157</v>
      </c>
      <c r="G47" s="104" t="s">
        <v>1</v>
      </c>
      <c r="H47" s="103">
        <f>[14]副本!G97</f>
        <v>2.4439999999940483</v>
      </c>
      <c r="I47" s="103">
        <f>H47</f>
        <v>2.4439999999940483</v>
      </c>
      <c r="J47" s="104"/>
      <c r="K47" s="102"/>
      <c r="L47" s="102">
        <f>H47-I47</f>
        <v>0</v>
      </c>
      <c r="M47" s="101">
        <v>2000</v>
      </c>
      <c r="N47" s="100"/>
      <c r="O47" s="99"/>
      <c r="P47" s="98"/>
    </row>
    <row r="48" spans="1:16" s="48" customFormat="1" ht="28.5" customHeight="1" x14ac:dyDescent="0.15">
      <c r="A48" s="104">
        <v>20170220</v>
      </c>
      <c r="B48" s="105" t="s">
        <v>47</v>
      </c>
      <c r="C48" s="116" t="s">
        <v>19</v>
      </c>
      <c r="D48" s="104" t="s">
        <v>5</v>
      </c>
      <c r="E48" s="104" t="s">
        <v>27</v>
      </c>
      <c r="F48" s="23" t="s">
        <v>165</v>
      </c>
      <c r="G48" s="104" t="s">
        <v>1</v>
      </c>
      <c r="H48" s="103">
        <f>[14]副本!G99</f>
        <v>1013.1140000000005</v>
      </c>
      <c r="I48" s="103">
        <v>0</v>
      </c>
      <c r="J48" s="104"/>
      <c r="K48" s="101"/>
      <c r="L48" s="102">
        <f>H48-I48</f>
        <v>1013.1140000000005</v>
      </c>
      <c r="M48" s="101">
        <v>10000</v>
      </c>
      <c r="N48" s="100"/>
      <c r="O48" s="99"/>
      <c r="P48" s="98"/>
    </row>
    <row r="49" spans="1:17" s="48" customFormat="1" ht="28.5" customHeight="1" x14ac:dyDescent="0.15">
      <c r="A49" s="104">
        <v>20170220</v>
      </c>
      <c r="B49" s="105" t="s">
        <v>46</v>
      </c>
      <c r="C49" s="116" t="s">
        <v>19</v>
      </c>
      <c r="D49" s="104" t="s">
        <v>5</v>
      </c>
      <c r="E49" s="104" t="s">
        <v>27</v>
      </c>
      <c r="F49" s="23" t="s">
        <v>165</v>
      </c>
      <c r="G49" s="104" t="s">
        <v>1</v>
      </c>
      <c r="H49" s="103">
        <f>[14]副本!G101</f>
        <v>4217.264000000001</v>
      </c>
      <c r="I49" s="103">
        <v>0</v>
      </c>
      <c r="J49" s="104"/>
      <c r="K49" s="101"/>
      <c r="L49" s="102">
        <v>0</v>
      </c>
      <c r="M49" s="101">
        <v>10000</v>
      </c>
      <c r="N49" s="100"/>
      <c r="O49" s="99"/>
      <c r="P49" s="98"/>
    </row>
    <row r="50" spans="1:17" s="48" customFormat="1" ht="28.5" customHeight="1" x14ac:dyDescent="0.15">
      <c r="A50" s="104">
        <v>20170220</v>
      </c>
      <c r="B50" s="105" t="s">
        <v>45</v>
      </c>
      <c r="C50" s="116" t="s">
        <v>44</v>
      </c>
      <c r="D50" s="104"/>
      <c r="E50" s="104" t="s">
        <v>43</v>
      </c>
      <c r="F50" s="23" t="s">
        <v>166</v>
      </c>
      <c r="G50" s="104" t="s">
        <v>1</v>
      </c>
      <c r="H50" s="103">
        <f>[14]副本!G103</f>
        <v>1289.2750000000069</v>
      </c>
      <c r="I50" s="103">
        <f>H50</f>
        <v>1289.2750000000069</v>
      </c>
      <c r="J50" s="104"/>
      <c r="K50" s="102"/>
      <c r="L50" s="102">
        <v>0</v>
      </c>
      <c r="M50" s="101">
        <v>5000</v>
      </c>
      <c r="N50" s="107" t="s">
        <v>42</v>
      </c>
      <c r="O50" s="106" t="s">
        <v>41</v>
      </c>
      <c r="P50" s="98" t="s">
        <v>146</v>
      </c>
    </row>
    <row r="51" spans="1:17" s="48" customFormat="1" ht="28.5" customHeight="1" x14ac:dyDescent="0.15">
      <c r="A51" s="104">
        <v>20170220</v>
      </c>
      <c r="B51" s="105" t="s">
        <v>39</v>
      </c>
      <c r="C51" s="116" t="s">
        <v>19</v>
      </c>
      <c r="D51" s="104"/>
      <c r="E51" s="104"/>
      <c r="F51" s="104"/>
      <c r="G51" s="104"/>
      <c r="H51" s="103"/>
      <c r="I51" s="103"/>
      <c r="J51" s="104"/>
      <c r="K51" s="101"/>
      <c r="L51" s="102"/>
      <c r="M51" s="101">
        <v>3000</v>
      </c>
      <c r="N51" s="100"/>
      <c r="O51" s="99"/>
      <c r="P51" s="98"/>
    </row>
    <row r="52" spans="1:17" s="48" customFormat="1" ht="28.5" customHeight="1" x14ac:dyDescent="0.15">
      <c r="A52" s="104">
        <v>20170220</v>
      </c>
      <c r="B52" s="105" t="s">
        <v>38</v>
      </c>
      <c r="C52" s="116" t="s">
        <v>19</v>
      </c>
      <c r="D52" s="104" t="s">
        <v>5</v>
      </c>
      <c r="E52" s="104" t="s">
        <v>27</v>
      </c>
      <c r="F52" s="23" t="s">
        <v>165</v>
      </c>
      <c r="G52" s="104" t="s">
        <v>22</v>
      </c>
      <c r="H52" s="103">
        <f>[14]副本!G107</f>
        <v>15130.712</v>
      </c>
      <c r="I52" s="103">
        <v>0</v>
      </c>
      <c r="J52" s="104"/>
      <c r="K52" s="101"/>
      <c r="L52" s="102">
        <f>H52-I52</f>
        <v>15130.712</v>
      </c>
      <c r="M52" s="101">
        <v>25000</v>
      </c>
      <c r="N52" s="100" t="s">
        <v>37</v>
      </c>
      <c r="O52" s="99" t="s">
        <v>36</v>
      </c>
      <c r="P52" s="98" t="s">
        <v>35</v>
      </c>
    </row>
    <row r="53" spans="1:17" s="48" customFormat="1" ht="28.5" customHeight="1" x14ac:dyDescent="0.15">
      <c r="A53" s="104">
        <v>20170220</v>
      </c>
      <c r="B53" s="105" t="s">
        <v>34</v>
      </c>
      <c r="C53" s="116" t="s">
        <v>19</v>
      </c>
      <c r="D53" s="104" t="s">
        <v>5</v>
      </c>
      <c r="E53" s="104" t="s">
        <v>27</v>
      </c>
      <c r="F53" s="23" t="s">
        <v>167</v>
      </c>
      <c r="G53" s="104" t="s">
        <v>22</v>
      </c>
      <c r="H53" s="103">
        <f>[14]副本!G109</f>
        <v>30364.863000000081</v>
      </c>
      <c r="I53" s="103">
        <v>0</v>
      </c>
      <c r="J53" s="104"/>
      <c r="K53" s="101"/>
      <c r="L53" s="102">
        <f>H53-I53</f>
        <v>30364.863000000081</v>
      </c>
      <c r="M53" s="101">
        <v>50000</v>
      </c>
      <c r="N53" s="100"/>
      <c r="O53" s="99"/>
      <c r="P53" s="98"/>
    </row>
    <row r="54" spans="1:17" s="48" customFormat="1" ht="28.5" customHeight="1" x14ac:dyDescent="0.15">
      <c r="A54" s="104">
        <v>20170220</v>
      </c>
      <c r="B54" s="105" t="s">
        <v>33</v>
      </c>
      <c r="C54" s="116" t="s">
        <v>19</v>
      </c>
      <c r="D54" s="104"/>
      <c r="E54" s="104"/>
      <c r="F54" s="104"/>
      <c r="G54" s="104"/>
      <c r="H54" s="103"/>
      <c r="I54" s="103"/>
      <c r="J54" s="104"/>
      <c r="K54" s="101"/>
      <c r="L54" s="102">
        <f>H54-I54</f>
        <v>0</v>
      </c>
      <c r="M54" s="101">
        <v>4000</v>
      </c>
      <c r="N54" s="100"/>
      <c r="O54" s="99"/>
      <c r="P54" s="98"/>
    </row>
    <row r="55" spans="1:17" s="48" customFormat="1" ht="28.5" customHeight="1" x14ac:dyDescent="0.15">
      <c r="A55" s="104">
        <v>20170220</v>
      </c>
      <c r="B55" s="105" t="s">
        <v>30</v>
      </c>
      <c r="C55" s="116" t="s">
        <v>3</v>
      </c>
      <c r="D55" s="104"/>
      <c r="E55" s="104"/>
      <c r="F55" s="104"/>
      <c r="G55" s="104"/>
      <c r="H55" s="103"/>
      <c r="I55" s="103"/>
      <c r="J55" s="104"/>
      <c r="K55" s="101"/>
      <c r="L55" s="102"/>
      <c r="M55" s="101">
        <v>37000</v>
      </c>
      <c r="N55" s="100"/>
      <c r="O55" s="99"/>
      <c r="P55" s="98"/>
    </row>
    <row r="56" spans="1:17" s="48" customFormat="1" ht="28.5" customHeight="1" x14ac:dyDescent="0.15">
      <c r="A56" s="104">
        <v>20170220</v>
      </c>
      <c r="B56" s="105" t="s">
        <v>29</v>
      </c>
      <c r="C56" s="116" t="s">
        <v>3</v>
      </c>
      <c r="D56" s="104"/>
      <c r="E56" s="104"/>
      <c r="F56" s="104"/>
      <c r="G56" s="104"/>
      <c r="H56" s="103"/>
      <c r="I56" s="104"/>
      <c r="J56" s="104"/>
      <c r="K56" s="101"/>
      <c r="L56" s="102"/>
      <c r="M56" s="101">
        <v>37000</v>
      </c>
      <c r="N56" s="100"/>
      <c r="O56" s="99"/>
      <c r="P56" s="98"/>
    </row>
    <row r="57" spans="1:17" s="48" customFormat="1" ht="28.5" customHeight="1" x14ac:dyDescent="0.15">
      <c r="A57" s="104">
        <v>20170220</v>
      </c>
      <c r="B57" s="105" t="s">
        <v>28</v>
      </c>
      <c r="C57" s="116" t="s">
        <v>19</v>
      </c>
      <c r="D57" s="104" t="s">
        <v>5</v>
      </c>
      <c r="E57" s="104" t="s">
        <v>27</v>
      </c>
      <c r="F57" s="23" t="s">
        <v>165</v>
      </c>
      <c r="G57" s="104" t="s">
        <v>22</v>
      </c>
      <c r="H57" s="103">
        <f>[14]副本!G119</f>
        <v>764.82299999999941</v>
      </c>
      <c r="I57" s="103">
        <v>0</v>
      </c>
      <c r="J57" s="104"/>
      <c r="K57" s="102"/>
      <c r="L57" s="102">
        <f>H57-I57</f>
        <v>764.82299999999941</v>
      </c>
      <c r="M57" s="101">
        <v>10000</v>
      </c>
      <c r="N57" s="100"/>
      <c r="O57" s="99"/>
      <c r="P57" s="98"/>
      <c r="Q57" s="49"/>
    </row>
    <row r="58" spans="1:17" s="48" customFormat="1" ht="28.5" customHeight="1" x14ac:dyDescent="0.15">
      <c r="A58" s="104">
        <v>20170220</v>
      </c>
      <c r="B58" s="105" t="s">
        <v>26</v>
      </c>
      <c r="C58" s="116" t="s">
        <v>3</v>
      </c>
      <c r="D58" s="104" t="s">
        <v>5</v>
      </c>
      <c r="E58" s="104"/>
      <c r="F58" s="104"/>
      <c r="G58" s="104"/>
      <c r="H58" s="103"/>
      <c r="I58" s="103"/>
      <c r="J58" s="104"/>
      <c r="K58" s="102"/>
      <c r="L58" s="102"/>
      <c r="M58" s="101">
        <v>15000</v>
      </c>
      <c r="N58" s="100"/>
      <c r="O58" s="99"/>
      <c r="P58" s="98"/>
      <c r="Q58" s="49"/>
    </row>
    <row r="59" spans="1:17" s="48" customFormat="1" ht="28.5" customHeight="1" x14ac:dyDescent="0.15">
      <c r="A59" s="104">
        <v>20170220</v>
      </c>
      <c r="B59" s="105" t="s">
        <v>23</v>
      </c>
      <c r="C59" s="105" t="s">
        <v>19</v>
      </c>
      <c r="D59" s="104" t="s">
        <v>5</v>
      </c>
      <c r="E59" s="104" t="s">
        <v>2</v>
      </c>
      <c r="F59" s="23" t="s">
        <v>171</v>
      </c>
      <c r="G59" s="104" t="s">
        <v>22</v>
      </c>
      <c r="H59" s="103">
        <f>[14]副本!G124</f>
        <v>798.33099999999831</v>
      </c>
      <c r="I59" s="103">
        <f>H59</f>
        <v>798.33099999999831</v>
      </c>
      <c r="J59" s="104"/>
      <c r="K59" s="101"/>
      <c r="L59" s="102"/>
      <c r="M59" s="101">
        <v>43000</v>
      </c>
      <c r="N59" s="100"/>
      <c r="O59" s="99"/>
      <c r="P59" s="98" t="s">
        <v>228</v>
      </c>
      <c r="Q59" s="49"/>
    </row>
    <row r="60" spans="1:17" s="48" customFormat="1" ht="28.5" customHeight="1" x14ac:dyDescent="0.15">
      <c r="A60" s="104">
        <v>20170220</v>
      </c>
      <c r="B60" s="105"/>
      <c r="C60" s="105"/>
      <c r="D60" s="104"/>
      <c r="E60" s="104"/>
      <c r="F60" s="23" t="s">
        <v>172</v>
      </c>
      <c r="G60" s="104"/>
      <c r="H60" s="103">
        <f>[14]副本!G125</f>
        <v>12.239999999999782</v>
      </c>
      <c r="I60" s="103">
        <f>H60</f>
        <v>12.239999999999782</v>
      </c>
      <c r="J60" s="104"/>
      <c r="K60" s="104"/>
      <c r="L60" s="102"/>
      <c r="M60" s="101"/>
      <c r="N60" s="100"/>
      <c r="O60" s="99"/>
      <c r="P60" s="98" t="s">
        <v>21</v>
      </c>
      <c r="Q60" s="49"/>
    </row>
    <row r="61" spans="1:17" s="48" customFormat="1" ht="28.5" customHeight="1" x14ac:dyDescent="0.15">
      <c r="A61" s="104">
        <v>20170220</v>
      </c>
      <c r="B61" s="105" t="s">
        <v>20</v>
      </c>
      <c r="C61" s="105" t="s">
        <v>19</v>
      </c>
      <c r="D61" s="104" t="s">
        <v>5</v>
      </c>
      <c r="E61" s="104" t="s">
        <v>2</v>
      </c>
      <c r="F61" s="23" t="s">
        <v>282</v>
      </c>
      <c r="G61" s="104"/>
      <c r="H61" s="103">
        <f>[14]副本!G127</f>
        <v>32336.734</v>
      </c>
      <c r="I61" s="103">
        <f>H61-32336.734</f>
        <v>0</v>
      </c>
      <c r="J61" s="104"/>
      <c r="K61" s="101"/>
      <c r="L61" s="102">
        <f>H61-I61</f>
        <v>32336.734</v>
      </c>
      <c r="M61" s="101">
        <v>43000</v>
      </c>
      <c r="N61" s="100"/>
      <c r="O61" s="99"/>
      <c r="P61" s="98"/>
      <c r="Q61" s="49"/>
    </row>
    <row r="62" spans="1:17" s="48" customFormat="1" ht="28.5" customHeight="1" x14ac:dyDescent="0.15">
      <c r="A62" s="104">
        <v>20170220</v>
      </c>
      <c r="B62" s="105" t="s">
        <v>18</v>
      </c>
      <c r="C62" s="116" t="s">
        <v>3</v>
      </c>
      <c r="D62" s="104"/>
      <c r="E62" s="122"/>
      <c r="F62" s="23" t="s">
        <v>197</v>
      </c>
      <c r="G62" s="104" t="s">
        <v>1</v>
      </c>
      <c r="H62" s="103">
        <f>[14]副本!G129</f>
        <v>8339.3289999999961</v>
      </c>
      <c r="I62" s="103">
        <f>H62-8339.329+8339.329</f>
        <v>8339.3289999999961</v>
      </c>
      <c r="J62" s="104"/>
      <c r="K62" s="101">
        <v>200</v>
      </c>
      <c r="L62" s="102">
        <f>H62-I62</f>
        <v>0</v>
      </c>
      <c r="M62" s="101">
        <v>20000</v>
      </c>
      <c r="N62" s="100"/>
      <c r="O62" s="99"/>
      <c r="P62" s="98" t="s">
        <v>265</v>
      </c>
    </row>
    <row r="63" spans="1:17" s="48" customFormat="1" ht="28.5" customHeight="1" x14ac:dyDescent="0.15">
      <c r="A63" s="104">
        <v>20170220</v>
      </c>
      <c r="B63" s="105" t="s">
        <v>17</v>
      </c>
      <c r="C63" s="116" t="s">
        <v>3</v>
      </c>
      <c r="D63" s="104"/>
      <c r="E63" s="104" t="s">
        <v>9</v>
      </c>
      <c r="F63" s="23" t="s">
        <v>175</v>
      </c>
      <c r="G63" s="104" t="s">
        <v>1</v>
      </c>
      <c r="H63" s="103">
        <f>[14]副本!G131</f>
        <v>2537.9239999999991</v>
      </c>
      <c r="I63" s="103">
        <f>H63-4751.949+4751.949</f>
        <v>2537.9239999999991</v>
      </c>
      <c r="J63" s="104"/>
      <c r="K63" s="101"/>
      <c r="L63" s="102">
        <f>H63-I63</f>
        <v>0</v>
      </c>
      <c r="M63" s="101">
        <v>30000</v>
      </c>
      <c r="N63" s="100"/>
      <c r="O63" s="99"/>
      <c r="P63" s="98" t="s">
        <v>247</v>
      </c>
    </row>
    <row r="64" spans="1:17" s="48" customFormat="1" ht="28.5" customHeight="1" x14ac:dyDescent="0.15">
      <c r="A64" s="104">
        <v>20170220</v>
      </c>
      <c r="B64" s="105"/>
      <c r="C64" s="116"/>
      <c r="D64" s="104"/>
      <c r="E64" s="104"/>
      <c r="F64" s="23" t="s">
        <v>158</v>
      </c>
      <c r="G64" s="104"/>
      <c r="H64" s="103">
        <f>[14]副本!G132</f>
        <v>0</v>
      </c>
      <c r="I64" s="103">
        <f>H64</f>
        <v>0</v>
      </c>
      <c r="J64" s="104"/>
      <c r="K64" s="101"/>
      <c r="L64" s="102">
        <f>H64-I64</f>
        <v>0</v>
      </c>
      <c r="M64" s="101"/>
      <c r="N64" s="100"/>
      <c r="O64" s="99"/>
      <c r="P64" s="120" t="s">
        <v>15</v>
      </c>
    </row>
    <row r="65" spans="1:16" s="48" customFormat="1" ht="28.5" customHeight="1" x14ac:dyDescent="0.15">
      <c r="A65" s="104">
        <v>20170220</v>
      </c>
      <c r="B65" s="105" t="s">
        <v>14</v>
      </c>
      <c r="C65" s="116" t="s">
        <v>3</v>
      </c>
      <c r="D65" s="104" t="s">
        <v>5</v>
      </c>
      <c r="E65" s="104" t="s">
        <v>2</v>
      </c>
      <c r="F65" s="23" t="s">
        <v>174</v>
      </c>
      <c r="G65" s="104" t="s">
        <v>1</v>
      </c>
      <c r="H65" s="103">
        <f>[14]副本!G134</f>
        <v>14976.093999999999</v>
      </c>
      <c r="I65" s="103">
        <f>H65-14976.094</f>
        <v>0</v>
      </c>
      <c r="J65" s="104"/>
      <c r="K65" s="101">
        <v>400</v>
      </c>
      <c r="L65" s="102">
        <f>H65-I65</f>
        <v>14976.093999999999</v>
      </c>
      <c r="M65" s="101">
        <v>20000</v>
      </c>
      <c r="N65" s="100" t="s">
        <v>13</v>
      </c>
      <c r="O65" s="99" t="s">
        <v>12</v>
      </c>
      <c r="P65" s="98" t="s">
        <v>11</v>
      </c>
    </row>
    <row r="66" spans="1:16" s="48" customFormat="1" ht="28.5" customHeight="1" x14ac:dyDescent="0.15">
      <c r="A66" s="104">
        <v>20170220</v>
      </c>
      <c r="B66" s="105" t="s">
        <v>10</v>
      </c>
      <c r="C66" s="116" t="s">
        <v>3</v>
      </c>
      <c r="D66" s="104"/>
      <c r="E66" s="104" t="s">
        <v>9</v>
      </c>
      <c r="F66" s="23" t="s">
        <v>158</v>
      </c>
      <c r="G66" s="104" t="s">
        <v>1</v>
      </c>
      <c r="H66" s="103">
        <f>[14]副本!G136</f>
        <v>23765.582999999973</v>
      </c>
      <c r="I66" s="103">
        <f>H66</f>
        <v>23765.582999999973</v>
      </c>
      <c r="J66" s="104"/>
      <c r="K66" s="101"/>
      <c r="L66" s="102">
        <v>0</v>
      </c>
      <c r="M66" s="101">
        <v>30000</v>
      </c>
      <c r="N66" s="100"/>
      <c r="O66" s="99"/>
      <c r="P66" s="98"/>
    </row>
    <row r="67" spans="1:16" s="48" customFormat="1" ht="28.5" customHeight="1" x14ac:dyDescent="0.15">
      <c r="A67" s="104">
        <v>20170220</v>
      </c>
      <c r="B67" s="105" t="s">
        <v>8</v>
      </c>
      <c r="C67" s="116" t="s">
        <v>3</v>
      </c>
      <c r="D67" s="104"/>
      <c r="E67" s="104"/>
      <c r="F67" s="98"/>
      <c r="G67" s="104"/>
      <c r="H67" s="103"/>
      <c r="I67" s="103"/>
      <c r="J67" s="104"/>
      <c r="K67" s="101"/>
      <c r="L67" s="102"/>
      <c r="M67" s="101">
        <v>20000</v>
      </c>
      <c r="N67" s="100"/>
      <c r="O67" s="99"/>
      <c r="P67" s="104"/>
    </row>
    <row r="68" spans="1:16" s="48" customFormat="1" ht="28.5" customHeight="1" x14ac:dyDescent="0.15">
      <c r="A68" s="104">
        <v>20170220</v>
      </c>
      <c r="B68" s="105" t="s">
        <v>7</v>
      </c>
      <c r="C68" s="116" t="s">
        <v>3</v>
      </c>
      <c r="D68" s="104"/>
      <c r="E68" s="104"/>
      <c r="F68" s="104"/>
      <c r="G68" s="104"/>
      <c r="H68" s="103"/>
      <c r="I68" s="103"/>
      <c r="J68" s="104"/>
      <c r="K68" s="101"/>
      <c r="L68" s="102"/>
      <c r="M68" s="101">
        <v>15000</v>
      </c>
      <c r="N68" s="100"/>
      <c r="O68" s="99"/>
      <c r="P68" s="98"/>
    </row>
    <row r="69" spans="1:16" s="48" customFormat="1" ht="28.5" customHeight="1" x14ac:dyDescent="0.15">
      <c r="A69" s="104">
        <v>20170220</v>
      </c>
      <c r="B69" s="105" t="s">
        <v>6</v>
      </c>
      <c r="C69" s="116" t="s">
        <v>3</v>
      </c>
      <c r="D69" s="104" t="s">
        <v>5</v>
      </c>
      <c r="E69" s="104" t="s">
        <v>2</v>
      </c>
      <c r="F69" s="23" t="s">
        <v>171</v>
      </c>
      <c r="G69" s="104" t="s">
        <v>1</v>
      </c>
      <c r="H69" s="103">
        <f>[14]副本!G143</f>
        <v>12005.106</v>
      </c>
      <c r="I69" s="103">
        <f>H69-12005.106</f>
        <v>0</v>
      </c>
      <c r="J69" s="104"/>
      <c r="K69" s="101">
        <v>600</v>
      </c>
      <c r="L69" s="102">
        <f>H69-I69</f>
        <v>12005.106</v>
      </c>
      <c r="M69" s="101">
        <v>15000</v>
      </c>
      <c r="N69" s="100"/>
      <c r="O69" s="99"/>
      <c r="P69" s="98"/>
    </row>
    <row r="70" spans="1:16" s="48" customFormat="1" ht="28.5" customHeight="1" x14ac:dyDescent="0.15">
      <c r="A70" s="104">
        <v>20170220</v>
      </c>
      <c r="B70" s="105" t="s">
        <v>4</v>
      </c>
      <c r="C70" s="116" t="s">
        <v>3</v>
      </c>
      <c r="D70" s="104"/>
      <c r="E70" s="104" t="s">
        <v>2</v>
      </c>
      <c r="F70" s="23" t="s">
        <v>170</v>
      </c>
      <c r="G70" s="104" t="s">
        <v>1</v>
      </c>
      <c r="H70" s="103">
        <f>[14]副本!G145</f>
        <v>1972.7499999999982</v>
      </c>
      <c r="I70" s="103">
        <f>H70</f>
        <v>1972.7499999999982</v>
      </c>
      <c r="J70" s="104"/>
      <c r="K70" s="101"/>
      <c r="L70" s="102">
        <f>H70-I70</f>
        <v>0</v>
      </c>
      <c r="M70" s="101">
        <v>15000</v>
      </c>
      <c r="N70" s="100"/>
      <c r="O70" s="99"/>
      <c r="P70" s="98" t="s">
        <v>192</v>
      </c>
    </row>
    <row r="76" spans="1:16" x14ac:dyDescent="0.15">
      <c r="L76" s="47"/>
    </row>
    <row r="228" spans="7:8" x14ac:dyDescent="0.15">
      <c r="G228" s="39"/>
      <c r="H228" s="39"/>
    </row>
  </sheetData>
  <autoFilter ref="B1:I70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50" activePane="bottomRight" state="frozen"/>
      <selection pane="topRight"/>
      <selection pane="bottomLeft"/>
      <selection pane="bottomRight" activeCell="F70" sqref="F70:F71"/>
    </sheetView>
  </sheetViews>
  <sheetFormatPr defaultColWidth="8.875" defaultRowHeight="11.25" x14ac:dyDescent="0.15"/>
  <cols>
    <col min="1" max="1" width="8.875" style="1"/>
    <col min="2" max="2" width="5.875" style="3" customWidth="1"/>
    <col min="3" max="3" width="8.25" style="10" customWidth="1"/>
    <col min="4" max="4" width="4.625" style="9" customWidth="1"/>
    <col min="5" max="5" width="9.375" style="3" customWidth="1"/>
    <col min="6" max="6" width="34.25" style="3" customWidth="1"/>
    <col min="7" max="7" width="5.25" style="9" customWidth="1"/>
    <col min="8" max="8" width="10.125" style="8" customWidth="1"/>
    <col min="9" max="9" width="9.625" style="8" customWidth="1"/>
    <col min="10" max="10" width="8.25" style="2" hidden="1" customWidth="1"/>
    <col min="11" max="11" width="7" style="7" customWidth="1"/>
    <col min="12" max="12" width="8.375" style="6" customWidth="1"/>
    <col min="13" max="13" width="6" style="5" bestFit="1" customWidth="1"/>
    <col min="14" max="14" width="8.75" style="4" customWidth="1"/>
    <col min="15" max="15" width="8.25" style="4" customWidth="1"/>
    <col min="16" max="16" width="28.5" style="3" customWidth="1"/>
    <col min="17" max="17" width="8.875" style="2"/>
    <col min="18" max="16384" width="8.875" style="1"/>
  </cols>
  <sheetData>
    <row r="1" spans="1:17" s="12" customFormat="1" ht="22.5" x14ac:dyDescent="0.15">
      <c r="A1" s="87" t="s">
        <v>145</v>
      </c>
      <c r="B1" s="94" t="s">
        <v>144</v>
      </c>
      <c r="C1" s="87" t="s">
        <v>143</v>
      </c>
      <c r="D1" s="87" t="s">
        <v>142</v>
      </c>
      <c r="E1" s="87" t="s">
        <v>141</v>
      </c>
      <c r="F1" s="87" t="s">
        <v>177</v>
      </c>
      <c r="G1" s="84" t="s">
        <v>139</v>
      </c>
      <c r="H1" s="91" t="s">
        <v>138</v>
      </c>
      <c r="I1" s="90" t="s">
        <v>137</v>
      </c>
      <c r="J1" s="87"/>
      <c r="K1" s="88" t="s">
        <v>136</v>
      </c>
      <c r="L1" s="89" t="s">
        <v>135</v>
      </c>
      <c r="M1" s="88" t="s">
        <v>134</v>
      </c>
      <c r="N1" s="95" t="s">
        <v>133</v>
      </c>
      <c r="O1" s="95" t="s">
        <v>132</v>
      </c>
      <c r="P1" s="87" t="s">
        <v>131</v>
      </c>
    </row>
    <row r="2" spans="1:17" s="12" customFormat="1" ht="27.75" customHeight="1" x14ac:dyDescent="0.15">
      <c r="A2" s="80">
        <v>20170221</v>
      </c>
      <c r="B2" s="81" t="s">
        <v>130</v>
      </c>
      <c r="C2" s="92" t="s">
        <v>44</v>
      </c>
      <c r="D2" s="81"/>
      <c r="E2" s="80" t="s">
        <v>117</v>
      </c>
      <c r="F2" s="37" t="s">
        <v>178</v>
      </c>
      <c r="G2" s="74" t="s">
        <v>1</v>
      </c>
      <c r="H2" s="79">
        <f>[15]副本!G3</f>
        <v>417.77499999999964</v>
      </c>
      <c r="I2" s="79">
        <f>H2-1918.881+1918.881</f>
        <v>417.77499999999964</v>
      </c>
      <c r="J2" s="80"/>
      <c r="K2" s="77"/>
      <c r="L2" s="78">
        <f>H2-I2</f>
        <v>0</v>
      </c>
      <c r="M2" s="77">
        <v>2000</v>
      </c>
      <c r="N2" s="76" t="s">
        <v>120</v>
      </c>
      <c r="O2" s="75" t="s">
        <v>89</v>
      </c>
      <c r="P2" s="74" t="s">
        <v>269</v>
      </c>
    </row>
    <row r="3" spans="1:17" s="12" customFormat="1" ht="27.75" customHeight="1" x14ac:dyDescent="0.15">
      <c r="A3" s="80">
        <v>20170221</v>
      </c>
      <c r="B3" s="81" t="s">
        <v>129</v>
      </c>
      <c r="C3" s="92" t="s">
        <v>44</v>
      </c>
      <c r="D3" s="81"/>
      <c r="E3" s="80" t="s">
        <v>86</v>
      </c>
      <c r="F3" s="23" t="s">
        <v>156</v>
      </c>
      <c r="G3" s="74" t="s">
        <v>1</v>
      </c>
      <c r="H3" s="79">
        <f>[15]副本!G6</f>
        <v>383.19899999999984</v>
      </c>
      <c r="I3" s="79">
        <f>H3</f>
        <v>383.19899999999984</v>
      </c>
      <c r="J3" s="80"/>
      <c r="K3" s="77"/>
      <c r="L3" s="78">
        <f>H3-I3</f>
        <v>0</v>
      </c>
      <c r="M3" s="77">
        <v>1500</v>
      </c>
      <c r="N3" s="76"/>
      <c r="O3" s="75"/>
      <c r="P3" s="74"/>
    </row>
    <row r="4" spans="1:17" s="12" customFormat="1" ht="27.75" customHeight="1" x14ac:dyDescent="0.15">
      <c r="A4" s="80">
        <v>20170221</v>
      </c>
      <c r="B4" s="81" t="s">
        <v>128</v>
      </c>
      <c r="C4" s="92" t="s">
        <v>44</v>
      </c>
      <c r="D4" s="81"/>
      <c r="E4" s="80" t="s">
        <v>43</v>
      </c>
      <c r="F4" s="37" t="s">
        <v>157</v>
      </c>
      <c r="G4" s="74" t="s">
        <v>1</v>
      </c>
      <c r="H4" s="79">
        <f>[15]副本!G8</f>
        <v>1383.3429999999958</v>
      </c>
      <c r="I4" s="79">
        <f>H4</f>
        <v>1383.3429999999958</v>
      </c>
      <c r="J4" s="80"/>
      <c r="K4" s="78"/>
      <c r="L4" s="78">
        <v>0</v>
      </c>
      <c r="M4" s="77">
        <v>2000</v>
      </c>
      <c r="N4" s="76" t="s">
        <v>127</v>
      </c>
      <c r="O4" s="75" t="s">
        <v>126</v>
      </c>
      <c r="P4" s="74" t="s">
        <v>122</v>
      </c>
    </row>
    <row r="5" spans="1:17" s="12" customFormat="1" ht="27.75" customHeight="1" x14ac:dyDescent="0.15">
      <c r="A5" s="80">
        <v>20170221</v>
      </c>
      <c r="B5" s="81" t="s">
        <v>125</v>
      </c>
      <c r="C5" s="92" t="s">
        <v>44</v>
      </c>
      <c r="D5" s="80"/>
      <c r="E5" s="80" t="s">
        <v>117</v>
      </c>
      <c r="F5" s="37" t="s">
        <v>148</v>
      </c>
      <c r="G5" s="74" t="s">
        <v>1</v>
      </c>
      <c r="H5" s="79">
        <f>[15]副本!G10</f>
        <v>1411.6920000000282</v>
      </c>
      <c r="I5" s="79">
        <f>H5</f>
        <v>1411.6920000000282</v>
      </c>
      <c r="J5" s="80"/>
      <c r="K5" s="77"/>
      <c r="L5" s="78">
        <f>H5-I5</f>
        <v>0</v>
      </c>
      <c r="M5" s="77">
        <v>2000</v>
      </c>
      <c r="N5" s="76" t="s">
        <v>123</v>
      </c>
      <c r="O5" s="75" t="s">
        <v>89</v>
      </c>
      <c r="P5" s="74" t="s">
        <v>122</v>
      </c>
    </row>
    <row r="6" spans="1:17" s="12" customFormat="1" ht="27.75" customHeight="1" x14ac:dyDescent="0.15">
      <c r="A6" s="80">
        <v>20170221</v>
      </c>
      <c r="B6" s="81" t="s">
        <v>121</v>
      </c>
      <c r="C6" s="92" t="s">
        <v>44</v>
      </c>
      <c r="D6" s="80"/>
      <c r="E6" s="80" t="s">
        <v>117</v>
      </c>
      <c r="F6" s="37" t="s">
        <v>149</v>
      </c>
      <c r="G6" s="74" t="s">
        <v>1</v>
      </c>
      <c r="H6" s="79"/>
      <c r="I6" s="79"/>
      <c r="J6" s="80"/>
      <c r="K6" s="77"/>
      <c r="L6" s="78"/>
      <c r="M6" s="77">
        <v>3000</v>
      </c>
      <c r="N6" s="76" t="s">
        <v>120</v>
      </c>
      <c r="O6" s="75" t="s">
        <v>89</v>
      </c>
      <c r="P6" s="74"/>
      <c r="Q6" s="13"/>
    </row>
    <row r="7" spans="1:17" s="12" customFormat="1" ht="27.75" customHeight="1" x14ac:dyDescent="0.15">
      <c r="A7" s="80">
        <v>20170221</v>
      </c>
      <c r="B7" s="81" t="s">
        <v>118</v>
      </c>
      <c r="C7" s="92" t="s">
        <v>44</v>
      </c>
      <c r="D7" s="80"/>
      <c r="E7" s="80" t="s">
        <v>117</v>
      </c>
      <c r="F7" s="37" t="s">
        <v>148</v>
      </c>
      <c r="G7" s="80" t="s">
        <v>1</v>
      </c>
      <c r="H7" s="79">
        <f>[15]副本!G14</f>
        <v>8.5640000000021246</v>
      </c>
      <c r="I7" s="79">
        <f t="shared" ref="I7:I12" si="0">H7</f>
        <v>8.5640000000021246</v>
      </c>
      <c r="J7" s="80"/>
      <c r="K7" s="77"/>
      <c r="L7" s="78"/>
      <c r="M7" s="77">
        <v>3000</v>
      </c>
      <c r="N7" s="76"/>
      <c r="O7" s="75"/>
      <c r="P7" s="74" t="s">
        <v>268</v>
      </c>
      <c r="Q7" s="13"/>
    </row>
    <row r="8" spans="1:17" s="12" customFormat="1" ht="27.75" customHeight="1" x14ac:dyDescent="0.15">
      <c r="A8" s="80">
        <v>20170221</v>
      </c>
      <c r="B8" s="81" t="s">
        <v>115</v>
      </c>
      <c r="C8" s="92" t="s">
        <v>44</v>
      </c>
      <c r="D8" s="80"/>
      <c r="E8" s="80" t="s">
        <v>114</v>
      </c>
      <c r="F8" s="23" t="s">
        <v>150</v>
      </c>
      <c r="G8" s="80" t="s">
        <v>1</v>
      </c>
      <c r="H8" s="79">
        <f>[15]副本!G16</f>
        <v>923.62900000000013</v>
      </c>
      <c r="I8" s="79">
        <f t="shared" si="0"/>
        <v>923.62900000000013</v>
      </c>
      <c r="J8" s="80"/>
      <c r="K8" s="77"/>
      <c r="L8" s="78">
        <v>0</v>
      </c>
      <c r="M8" s="77">
        <v>3000</v>
      </c>
      <c r="N8" s="76"/>
      <c r="O8" s="75"/>
      <c r="P8" s="74" t="s">
        <v>103</v>
      </c>
    </row>
    <row r="9" spans="1:17" s="12" customFormat="1" ht="27.75" customHeight="1" x14ac:dyDescent="0.15">
      <c r="A9" s="80">
        <v>20170221</v>
      </c>
      <c r="B9" s="81" t="s">
        <v>113</v>
      </c>
      <c r="C9" s="92" t="s">
        <v>3</v>
      </c>
      <c r="D9" s="80"/>
      <c r="E9" s="80" t="s">
        <v>112</v>
      </c>
      <c r="F9" s="23" t="s">
        <v>151</v>
      </c>
      <c r="G9" s="80" t="s">
        <v>1</v>
      </c>
      <c r="H9" s="80">
        <f>[15]副本!G18</f>
        <v>1322.4749999999999</v>
      </c>
      <c r="I9" s="79">
        <f t="shared" si="0"/>
        <v>1322.4749999999999</v>
      </c>
      <c r="J9" s="80"/>
      <c r="K9" s="77">
        <v>150</v>
      </c>
      <c r="L9" s="78">
        <f>H9-I9</f>
        <v>0</v>
      </c>
      <c r="M9" s="77">
        <v>5000</v>
      </c>
      <c r="N9" s="76" t="s">
        <v>111</v>
      </c>
      <c r="O9" s="75" t="s">
        <v>110</v>
      </c>
      <c r="P9" s="74" t="s">
        <v>109</v>
      </c>
    </row>
    <row r="10" spans="1:17" s="12" customFormat="1" ht="27.75" customHeight="1" x14ac:dyDescent="0.15">
      <c r="A10" s="80">
        <v>20170221</v>
      </c>
      <c r="B10" s="81" t="s">
        <v>108</v>
      </c>
      <c r="C10" s="80" t="s">
        <v>44</v>
      </c>
      <c r="D10" s="80"/>
      <c r="E10" s="80" t="s">
        <v>71</v>
      </c>
      <c r="F10" s="23" t="s">
        <v>152</v>
      </c>
      <c r="G10" s="80" t="s">
        <v>1</v>
      </c>
      <c r="H10" s="79">
        <f>[15]副本!G20</f>
        <v>1.5219999999999345</v>
      </c>
      <c r="I10" s="79">
        <f t="shared" si="0"/>
        <v>1.5219999999999345</v>
      </c>
      <c r="J10" s="80"/>
      <c r="K10" s="77"/>
      <c r="L10" s="78">
        <f>H10-I10</f>
        <v>0</v>
      </c>
      <c r="M10" s="77">
        <v>1500</v>
      </c>
      <c r="N10" s="76"/>
      <c r="O10" s="75"/>
      <c r="P10" s="74" t="s">
        <v>281</v>
      </c>
    </row>
    <row r="11" spans="1:17" s="12" customFormat="1" ht="27.75" customHeight="1" x14ac:dyDescent="0.15">
      <c r="A11" s="80">
        <v>20170221</v>
      </c>
      <c r="B11" s="81" t="s">
        <v>108</v>
      </c>
      <c r="C11" s="80" t="s">
        <v>44</v>
      </c>
      <c r="D11" s="80"/>
      <c r="E11" s="80" t="s">
        <v>71</v>
      </c>
      <c r="F11" s="23" t="s">
        <v>154</v>
      </c>
      <c r="G11" s="80" t="s">
        <v>1</v>
      </c>
      <c r="H11" s="79">
        <f>[15]副本!G22</f>
        <v>1000</v>
      </c>
      <c r="I11" s="79">
        <f t="shared" si="0"/>
        <v>1000</v>
      </c>
      <c r="J11" s="80"/>
      <c r="K11" s="77"/>
      <c r="L11" s="78">
        <f>H11-I11</f>
        <v>0</v>
      </c>
      <c r="M11" s="77">
        <v>1500</v>
      </c>
      <c r="N11" s="76"/>
      <c r="O11" s="75"/>
      <c r="P11" s="74" t="s">
        <v>106</v>
      </c>
    </row>
    <row r="12" spans="1:17" s="12" customFormat="1" ht="27.75" customHeight="1" x14ac:dyDescent="0.15">
      <c r="A12" s="80">
        <v>20170221</v>
      </c>
      <c r="B12" s="81" t="s">
        <v>105</v>
      </c>
      <c r="C12" s="80" t="s">
        <v>44</v>
      </c>
      <c r="D12" s="80"/>
      <c r="E12" s="80" t="s">
        <v>86</v>
      </c>
      <c r="F12" s="23" t="s">
        <v>155</v>
      </c>
      <c r="G12" s="80" t="s">
        <v>1</v>
      </c>
      <c r="H12" s="79">
        <f>[15]副本!G24</f>
        <v>1502.1479999999999</v>
      </c>
      <c r="I12" s="79">
        <f t="shared" si="0"/>
        <v>1502.1479999999999</v>
      </c>
      <c r="J12" s="80"/>
      <c r="K12" s="77"/>
      <c r="L12" s="78">
        <f>H12-I12</f>
        <v>0</v>
      </c>
      <c r="M12" s="77">
        <v>1500</v>
      </c>
      <c r="N12" s="76"/>
      <c r="O12" s="75"/>
      <c r="P12" s="74"/>
    </row>
    <row r="13" spans="1:17" s="12" customFormat="1" ht="27.75" customHeight="1" x14ac:dyDescent="0.15">
      <c r="A13" s="80">
        <v>20170221</v>
      </c>
      <c r="B13" s="81" t="s">
        <v>104</v>
      </c>
      <c r="C13" s="92" t="s">
        <v>19</v>
      </c>
      <c r="D13" s="80"/>
      <c r="E13" s="80" t="s">
        <v>114</v>
      </c>
      <c r="F13" s="80"/>
      <c r="G13" s="80"/>
      <c r="H13" s="79"/>
      <c r="I13" s="79"/>
      <c r="J13" s="80"/>
      <c r="K13" s="77"/>
      <c r="L13" s="78"/>
      <c r="M13" s="77">
        <v>1500</v>
      </c>
      <c r="N13" s="76"/>
      <c r="O13" s="75"/>
      <c r="P13" s="74"/>
      <c r="Q13" s="13"/>
    </row>
    <row r="14" spans="1:17" s="12" customFormat="1" ht="27.75" customHeight="1" x14ac:dyDescent="0.15">
      <c r="A14" s="80">
        <v>20170221</v>
      </c>
      <c r="B14" s="81" t="s">
        <v>102</v>
      </c>
      <c r="C14" s="92" t="s">
        <v>19</v>
      </c>
      <c r="D14" s="80"/>
      <c r="E14" s="80"/>
      <c r="F14" s="80"/>
      <c r="G14" s="80"/>
      <c r="H14" s="79"/>
      <c r="I14" s="79"/>
      <c r="J14" s="80"/>
      <c r="K14" s="78"/>
      <c r="L14" s="78"/>
      <c r="M14" s="77">
        <v>1500</v>
      </c>
      <c r="N14" s="76"/>
      <c r="O14" s="75"/>
      <c r="P14" s="74"/>
    </row>
    <row r="15" spans="1:17" s="12" customFormat="1" ht="27.75" customHeight="1" x14ac:dyDescent="0.15">
      <c r="A15" s="80">
        <v>20170221</v>
      </c>
      <c r="B15" s="81" t="s">
        <v>101</v>
      </c>
      <c r="C15" s="92" t="s">
        <v>44</v>
      </c>
      <c r="D15" s="80"/>
      <c r="E15" s="80" t="s">
        <v>71</v>
      </c>
      <c r="F15" s="23" t="s">
        <v>152</v>
      </c>
      <c r="G15" s="80" t="s">
        <v>1</v>
      </c>
      <c r="H15" s="79">
        <f>[15]副本!G30</f>
        <v>136.33699999999999</v>
      </c>
      <c r="I15" s="79">
        <f>H15</f>
        <v>136.33699999999999</v>
      </c>
      <c r="J15" s="80"/>
      <c r="K15" s="77"/>
      <c r="L15" s="78">
        <v>0</v>
      </c>
      <c r="M15" s="77">
        <v>1500</v>
      </c>
      <c r="N15" s="76"/>
      <c r="O15" s="75"/>
      <c r="P15" s="74" t="s">
        <v>280</v>
      </c>
    </row>
    <row r="16" spans="1:17" s="12" customFormat="1" ht="27.75" customHeight="1" x14ac:dyDescent="0.15">
      <c r="A16" s="80">
        <v>20170221</v>
      </c>
      <c r="B16" s="81" t="s">
        <v>101</v>
      </c>
      <c r="C16" s="92" t="s">
        <v>44</v>
      </c>
      <c r="D16" s="80"/>
      <c r="E16" s="80" t="s">
        <v>71</v>
      </c>
      <c r="F16" s="23" t="s">
        <v>153</v>
      </c>
      <c r="G16" s="80" t="s">
        <v>1</v>
      </c>
      <c r="H16" s="79">
        <f>[15]副本!G31</f>
        <v>0</v>
      </c>
      <c r="I16" s="79">
        <f>H16</f>
        <v>0</v>
      </c>
      <c r="J16" s="80"/>
      <c r="K16" s="77"/>
      <c r="L16" s="78"/>
      <c r="M16" s="77">
        <v>1500</v>
      </c>
      <c r="N16" s="76"/>
      <c r="O16" s="75"/>
      <c r="P16" s="97" t="s">
        <v>279</v>
      </c>
    </row>
    <row r="17" spans="1:17" s="12" customFormat="1" ht="27.75" customHeight="1" x14ac:dyDescent="0.15">
      <c r="A17" s="80">
        <v>20170221</v>
      </c>
      <c r="B17" s="81" t="s">
        <v>99</v>
      </c>
      <c r="C17" s="92" t="s">
        <v>93</v>
      </c>
      <c r="D17" s="80"/>
      <c r="E17" s="80" t="s">
        <v>9</v>
      </c>
      <c r="F17" s="23" t="s">
        <v>158</v>
      </c>
      <c r="G17" s="80" t="s">
        <v>1</v>
      </c>
      <c r="H17" s="79">
        <f>[15]副本!G33-H18</f>
        <v>6260.8780000000188</v>
      </c>
      <c r="I17" s="79">
        <f>H17</f>
        <v>6260.8780000000188</v>
      </c>
      <c r="J17" s="80"/>
      <c r="K17" s="77"/>
      <c r="L17" s="78">
        <f>H17-I17</f>
        <v>0</v>
      </c>
      <c r="M17" s="77">
        <v>21000</v>
      </c>
      <c r="N17" s="76" t="s">
        <v>90</v>
      </c>
      <c r="O17" s="75" t="s">
        <v>89</v>
      </c>
      <c r="P17" s="74" t="s">
        <v>98</v>
      </c>
    </row>
    <row r="18" spans="1:17" s="12" customFormat="1" ht="27.75" customHeight="1" x14ac:dyDescent="0.15">
      <c r="A18" s="80">
        <v>20170221</v>
      </c>
      <c r="B18" s="81" t="s">
        <v>99</v>
      </c>
      <c r="C18" s="92" t="s">
        <v>93</v>
      </c>
      <c r="D18" s="80"/>
      <c r="E18" s="80" t="s">
        <v>9</v>
      </c>
      <c r="F18" s="24" t="s">
        <v>175</v>
      </c>
      <c r="G18" s="80" t="s">
        <v>1</v>
      </c>
      <c r="H18" s="79">
        <f>[15]副本!G35</f>
        <v>12119.121999999981</v>
      </c>
      <c r="I18" s="79">
        <f>H18</f>
        <v>12119.121999999981</v>
      </c>
      <c r="J18" s="80"/>
      <c r="K18" s="77"/>
      <c r="L18" s="78">
        <f>H18-I18</f>
        <v>0</v>
      </c>
      <c r="M18" s="77"/>
      <c r="N18" s="76" t="s">
        <v>90</v>
      </c>
      <c r="O18" s="75" t="s">
        <v>89</v>
      </c>
      <c r="P18" s="74" t="s">
        <v>97</v>
      </c>
    </row>
    <row r="19" spans="1:17" s="12" customFormat="1" ht="27.75" customHeight="1" x14ac:dyDescent="0.15">
      <c r="A19" s="80">
        <v>20170221</v>
      </c>
      <c r="B19" s="81" t="s">
        <v>96</v>
      </c>
      <c r="C19" s="92" t="s">
        <v>44</v>
      </c>
      <c r="D19" s="80" t="s">
        <v>5</v>
      </c>
      <c r="E19" s="80" t="s">
        <v>61</v>
      </c>
      <c r="F19" s="23" t="s">
        <v>159</v>
      </c>
      <c r="G19" s="80" t="s">
        <v>1</v>
      </c>
      <c r="H19" s="79">
        <f>[15]副本!G37</f>
        <v>4224.8950000000004</v>
      </c>
      <c r="I19" s="79">
        <f>H19-3496.542+1000+2496.542-3122.825</f>
        <v>1102.0700000000006</v>
      </c>
      <c r="J19" s="80"/>
      <c r="K19" s="77"/>
      <c r="L19" s="78">
        <f>H19-I19</f>
        <v>3122.8249999999998</v>
      </c>
      <c r="M19" s="77">
        <v>5000</v>
      </c>
      <c r="N19" s="76"/>
      <c r="O19" s="75"/>
      <c r="P19" s="74" t="s">
        <v>278</v>
      </c>
    </row>
    <row r="20" spans="1:17" s="12" customFormat="1" ht="27.75" customHeight="1" x14ac:dyDescent="0.15">
      <c r="A20" s="80">
        <v>20170221</v>
      </c>
      <c r="B20" s="81" t="s">
        <v>95</v>
      </c>
      <c r="C20" s="92" t="s">
        <v>44</v>
      </c>
      <c r="D20" s="80"/>
      <c r="E20" s="80"/>
      <c r="F20" s="80"/>
      <c r="G20" s="80"/>
      <c r="H20" s="79"/>
      <c r="I20" s="79"/>
      <c r="J20" s="80"/>
      <c r="K20" s="77"/>
      <c r="L20" s="78"/>
      <c r="M20" s="77">
        <v>3000</v>
      </c>
      <c r="N20" s="76"/>
      <c r="O20" s="75"/>
      <c r="P20" s="74"/>
    </row>
    <row r="21" spans="1:17" s="12" customFormat="1" ht="27.75" customHeight="1" x14ac:dyDescent="0.15">
      <c r="A21" s="80">
        <v>20170221</v>
      </c>
      <c r="B21" s="81" t="s">
        <v>94</v>
      </c>
      <c r="C21" s="92" t="s">
        <v>93</v>
      </c>
      <c r="D21" s="80"/>
      <c r="E21" s="80" t="s">
        <v>9</v>
      </c>
      <c r="F21" s="23" t="s">
        <v>158</v>
      </c>
      <c r="G21" s="80" t="s">
        <v>1</v>
      </c>
      <c r="H21" s="79">
        <f>[15]副本!G41-'20170221'!H22</f>
        <v>1100.5454280000376</v>
      </c>
      <c r="I21" s="79">
        <f>H21</f>
        <v>1100.5454280000376</v>
      </c>
      <c r="J21" s="80"/>
      <c r="K21" s="77"/>
      <c r="L21" s="78">
        <f>H21-I21</f>
        <v>0</v>
      </c>
      <c r="M21" s="77">
        <v>21000</v>
      </c>
      <c r="N21" s="76" t="s">
        <v>92</v>
      </c>
      <c r="O21" s="75" t="s">
        <v>89</v>
      </c>
      <c r="P21" s="74" t="s">
        <v>91</v>
      </c>
    </row>
    <row r="22" spans="1:17" s="12" customFormat="1" ht="27.75" customHeight="1" x14ac:dyDescent="0.15">
      <c r="A22" s="80">
        <v>20170221</v>
      </c>
      <c r="B22" s="81" t="s">
        <v>94</v>
      </c>
      <c r="C22" s="92" t="s">
        <v>93</v>
      </c>
      <c r="D22" s="80"/>
      <c r="E22" s="80" t="s">
        <v>9</v>
      </c>
      <c r="F22" s="24" t="s">
        <v>175</v>
      </c>
      <c r="G22" s="80" t="s">
        <v>1</v>
      </c>
      <c r="H22" s="79">
        <f>[15]副本!G43</f>
        <v>5216.4545719999624</v>
      </c>
      <c r="I22" s="79">
        <f>H22</f>
        <v>5216.4545719999624</v>
      </c>
      <c r="J22" s="80"/>
      <c r="K22" s="93"/>
      <c r="L22" s="78">
        <f>H22-I22</f>
        <v>0</v>
      </c>
      <c r="M22" s="77">
        <v>21000</v>
      </c>
      <c r="N22" s="76" t="s">
        <v>90</v>
      </c>
      <c r="O22" s="75" t="s">
        <v>89</v>
      </c>
      <c r="P22" s="74" t="s">
        <v>88</v>
      </c>
    </row>
    <row r="23" spans="1:17" s="12" customFormat="1" ht="27.75" customHeight="1" x14ac:dyDescent="0.15">
      <c r="A23" s="80">
        <v>20170221</v>
      </c>
      <c r="B23" s="81" t="s">
        <v>87</v>
      </c>
      <c r="C23" s="92" t="s">
        <v>44</v>
      </c>
      <c r="D23" s="80"/>
      <c r="E23" s="80" t="s">
        <v>86</v>
      </c>
      <c r="F23" s="23" t="s">
        <v>160</v>
      </c>
      <c r="G23" s="80" t="s">
        <v>1</v>
      </c>
      <c r="H23" s="79">
        <f>[15]副本!G45</f>
        <v>5300.851999999999</v>
      </c>
      <c r="I23" s="79">
        <f>H23</f>
        <v>5300.851999999999</v>
      </c>
      <c r="J23" s="80"/>
      <c r="K23" s="77">
        <v>450</v>
      </c>
      <c r="L23" s="78">
        <f>H23-I23</f>
        <v>0</v>
      </c>
      <c r="M23" s="77">
        <v>5000</v>
      </c>
      <c r="N23" s="76"/>
      <c r="O23" s="75"/>
      <c r="P23" s="74" t="s">
        <v>85</v>
      </c>
    </row>
    <row r="24" spans="1:17" s="12" customFormat="1" ht="27.75" customHeight="1" x14ac:dyDescent="0.15">
      <c r="A24" s="80">
        <v>20170221</v>
      </c>
      <c r="B24" s="81" t="s">
        <v>84</v>
      </c>
      <c r="C24" s="92" t="s">
        <v>3</v>
      </c>
      <c r="D24" s="80"/>
      <c r="E24" s="74"/>
      <c r="F24" s="80"/>
      <c r="G24" s="80"/>
      <c r="H24" s="79"/>
      <c r="I24" s="79"/>
      <c r="J24" s="80"/>
      <c r="K24" s="77"/>
      <c r="L24" s="78"/>
      <c r="M24" s="77">
        <v>5000</v>
      </c>
      <c r="N24" s="76"/>
      <c r="O24" s="75"/>
      <c r="P24" s="96"/>
    </row>
    <row r="25" spans="1:17" s="12" customFormat="1" ht="27.75" customHeight="1" x14ac:dyDescent="0.15">
      <c r="A25" s="80">
        <v>20170221</v>
      </c>
      <c r="B25" s="81" t="s">
        <v>81</v>
      </c>
      <c r="C25" s="92" t="s">
        <v>44</v>
      </c>
      <c r="D25" s="80"/>
      <c r="E25" s="80" t="s">
        <v>277</v>
      </c>
      <c r="F25" s="23" t="s">
        <v>161</v>
      </c>
      <c r="G25" s="80" t="s">
        <v>1</v>
      </c>
      <c r="H25" s="79">
        <f>[15]副本!G49</f>
        <v>2514.0319999999997</v>
      </c>
      <c r="I25" s="79">
        <f>H25</f>
        <v>2514.0319999999997</v>
      </c>
      <c r="J25" s="80"/>
      <c r="K25" s="77">
        <v>1300</v>
      </c>
      <c r="L25" s="78">
        <f>H25-I25</f>
        <v>0</v>
      </c>
      <c r="M25" s="77">
        <v>5000</v>
      </c>
      <c r="N25" s="76"/>
      <c r="O25" s="75"/>
      <c r="P25" s="74" t="s">
        <v>254</v>
      </c>
    </row>
    <row r="26" spans="1:17" s="12" customFormat="1" ht="27.75" customHeight="1" x14ac:dyDescent="0.15">
      <c r="A26" s="80">
        <v>20170221</v>
      </c>
      <c r="B26" s="81" t="s">
        <v>80</v>
      </c>
      <c r="C26" s="92" t="s">
        <v>44</v>
      </c>
      <c r="D26" s="80"/>
      <c r="E26" s="80" t="s">
        <v>43</v>
      </c>
      <c r="F26" s="23" t="s">
        <v>157</v>
      </c>
      <c r="G26" s="80" t="s">
        <v>1</v>
      </c>
      <c r="H26" s="79">
        <f>[15]副本!G52</f>
        <v>2144.2040000000002</v>
      </c>
      <c r="I26" s="79">
        <f>H26</f>
        <v>2144.2040000000002</v>
      </c>
      <c r="J26" s="80"/>
      <c r="K26" s="77"/>
      <c r="L26" s="78">
        <f>H26-I26</f>
        <v>0</v>
      </c>
      <c r="M26" s="77">
        <v>4000</v>
      </c>
      <c r="N26" s="76"/>
      <c r="O26" s="75"/>
      <c r="P26" s="74"/>
    </row>
    <row r="27" spans="1:17" s="12" customFormat="1" ht="27.75" customHeight="1" x14ac:dyDescent="0.15">
      <c r="A27" s="80">
        <v>20170221</v>
      </c>
      <c r="B27" s="81" t="s">
        <v>79</v>
      </c>
      <c r="C27" s="92" t="s">
        <v>74</v>
      </c>
      <c r="D27" s="80" t="s">
        <v>5</v>
      </c>
      <c r="E27" s="80" t="s">
        <v>266</v>
      </c>
      <c r="F27" s="104" t="s">
        <v>271</v>
      </c>
      <c r="G27" s="80"/>
      <c r="H27" s="79">
        <f>[15]副本!G54</f>
        <v>4007.2739999999999</v>
      </c>
      <c r="I27" s="79">
        <f>H27-4007.274</f>
        <v>0</v>
      </c>
      <c r="J27" s="80"/>
      <c r="K27" s="77"/>
      <c r="L27" s="78">
        <f>H27-I27</f>
        <v>4007.2739999999999</v>
      </c>
      <c r="M27" s="77">
        <v>5000</v>
      </c>
      <c r="N27" s="76"/>
      <c r="O27" s="75"/>
      <c r="P27" s="74" t="s">
        <v>274</v>
      </c>
    </row>
    <row r="28" spans="1:17" s="12" customFormat="1" ht="27.75" customHeight="1" x14ac:dyDescent="0.15">
      <c r="A28" s="80">
        <v>20170221</v>
      </c>
      <c r="B28" s="81" t="s">
        <v>78</v>
      </c>
      <c r="C28" s="92" t="s">
        <v>74</v>
      </c>
      <c r="D28" s="80"/>
      <c r="E28" s="80" t="s">
        <v>32</v>
      </c>
      <c r="F28" s="80"/>
      <c r="G28" s="80"/>
      <c r="H28" s="79"/>
      <c r="I28" s="79"/>
      <c r="J28" s="80"/>
      <c r="K28" s="77"/>
      <c r="L28" s="78"/>
      <c r="M28" s="77">
        <v>2000</v>
      </c>
      <c r="N28" s="76"/>
      <c r="O28" s="75"/>
      <c r="P28" s="74"/>
    </row>
    <row r="29" spans="1:17" s="12" customFormat="1" ht="27.75" customHeight="1" x14ac:dyDescent="0.15">
      <c r="A29" s="80">
        <v>20170221</v>
      </c>
      <c r="B29" s="81" t="s">
        <v>77</v>
      </c>
      <c r="C29" s="92" t="s">
        <v>74</v>
      </c>
      <c r="D29" s="80"/>
      <c r="E29" s="80" t="s">
        <v>32</v>
      </c>
      <c r="F29" s="23" t="s">
        <v>153</v>
      </c>
      <c r="G29" s="80" t="s">
        <v>1</v>
      </c>
      <c r="H29" s="79">
        <f>[15]副本!G60</f>
        <v>1098.6790000000001</v>
      </c>
      <c r="I29" s="79">
        <f>H29-1098.679+1098.679</f>
        <v>1098.6790000000001</v>
      </c>
      <c r="J29" s="80"/>
      <c r="K29" s="77"/>
      <c r="L29" s="78">
        <f>H29-I29</f>
        <v>0</v>
      </c>
      <c r="M29" s="77">
        <v>1500</v>
      </c>
      <c r="N29" s="76"/>
      <c r="O29" s="75"/>
      <c r="P29" s="74" t="s">
        <v>209</v>
      </c>
    </row>
    <row r="30" spans="1:17" s="12" customFormat="1" ht="27.75" customHeight="1" x14ac:dyDescent="0.15">
      <c r="A30" s="80">
        <v>20170221</v>
      </c>
      <c r="B30" s="81" t="s">
        <v>76</v>
      </c>
      <c r="C30" s="92" t="s">
        <v>74</v>
      </c>
      <c r="D30" s="80"/>
      <c r="E30" s="80" t="s">
        <v>32</v>
      </c>
      <c r="F30" s="104"/>
      <c r="G30" s="80"/>
      <c r="H30" s="79"/>
      <c r="I30" s="79"/>
      <c r="J30" s="80"/>
      <c r="K30" s="77"/>
      <c r="L30" s="78"/>
      <c r="M30" s="77">
        <v>1500</v>
      </c>
      <c r="N30" s="76"/>
      <c r="O30" s="75"/>
      <c r="P30" s="74"/>
      <c r="Q30" s="13"/>
    </row>
    <row r="31" spans="1:17" s="12" customFormat="1" ht="27.75" customHeight="1" x14ac:dyDescent="0.15">
      <c r="A31" s="80">
        <v>20170221</v>
      </c>
      <c r="B31" s="81" t="s">
        <v>75</v>
      </c>
      <c r="C31" s="92" t="s">
        <v>74</v>
      </c>
      <c r="D31" s="80"/>
      <c r="E31" s="80" t="s">
        <v>32</v>
      </c>
      <c r="F31" s="23" t="s">
        <v>153</v>
      </c>
      <c r="G31" s="80" t="s">
        <v>1</v>
      </c>
      <c r="H31" s="79">
        <f>[15]副本!G64</f>
        <v>1096.2820000000002</v>
      </c>
      <c r="I31" s="79">
        <f>H31-1096.282+1096.282</f>
        <v>1096.2820000000002</v>
      </c>
      <c r="J31" s="80"/>
      <c r="K31" s="77"/>
      <c r="L31" s="78">
        <f>H31-I31</f>
        <v>0</v>
      </c>
      <c r="M31" s="77">
        <v>1500</v>
      </c>
      <c r="N31" s="76"/>
      <c r="O31" s="75"/>
      <c r="P31" s="74" t="s">
        <v>209</v>
      </c>
    </row>
    <row r="32" spans="1:17" s="12" customFormat="1" ht="27.75" customHeight="1" x14ac:dyDescent="0.15">
      <c r="A32" s="80">
        <v>20170221</v>
      </c>
      <c r="B32" s="81" t="s">
        <v>73</v>
      </c>
      <c r="C32" s="92" t="s">
        <v>44</v>
      </c>
      <c r="D32" s="80"/>
      <c r="E32" s="80"/>
      <c r="F32" s="80"/>
      <c r="G32" s="80"/>
      <c r="H32" s="79"/>
      <c r="I32" s="79"/>
      <c r="J32" s="80"/>
      <c r="K32" s="77"/>
      <c r="L32" s="78"/>
      <c r="M32" s="77">
        <v>1500</v>
      </c>
      <c r="N32" s="76"/>
      <c r="O32" s="75"/>
      <c r="P32" s="74"/>
    </row>
    <row r="33" spans="1:16" s="12" customFormat="1" ht="27.75" customHeight="1" x14ac:dyDescent="0.15">
      <c r="A33" s="80">
        <v>20170221</v>
      </c>
      <c r="B33" s="81" t="s">
        <v>72</v>
      </c>
      <c r="C33" s="92" t="s">
        <v>44</v>
      </c>
      <c r="D33" s="80"/>
      <c r="E33" s="80" t="s">
        <v>71</v>
      </c>
      <c r="F33" s="23" t="s">
        <v>154</v>
      </c>
      <c r="G33" s="80" t="s">
        <v>1</v>
      </c>
      <c r="H33" s="80">
        <f>[15]副本!G68</f>
        <v>872.19000000000028</v>
      </c>
      <c r="I33" s="79">
        <f>H33-1035.099+1035.099</f>
        <v>872.19000000000028</v>
      </c>
      <c r="J33" s="80"/>
      <c r="K33" s="77">
        <v>50</v>
      </c>
      <c r="L33" s="78">
        <f>H33-I33</f>
        <v>0</v>
      </c>
      <c r="M33" s="77">
        <v>2000</v>
      </c>
      <c r="N33" s="76"/>
      <c r="O33" s="75"/>
      <c r="P33" s="74" t="s">
        <v>221</v>
      </c>
    </row>
    <row r="34" spans="1:16" s="12" customFormat="1" ht="27.75" customHeight="1" x14ac:dyDescent="0.15">
      <c r="A34" s="80">
        <v>20170221</v>
      </c>
      <c r="B34" s="81" t="s">
        <v>69</v>
      </c>
      <c r="C34" s="92" t="s">
        <v>44</v>
      </c>
      <c r="D34" s="80" t="s">
        <v>5</v>
      </c>
      <c r="E34" s="80" t="s">
        <v>68</v>
      </c>
      <c r="F34" s="23" t="s">
        <v>162</v>
      </c>
      <c r="G34" s="80" t="s">
        <v>1</v>
      </c>
      <c r="H34" s="79">
        <f>[15]副本!G70</f>
        <v>557.34299999999985</v>
      </c>
      <c r="I34" s="79">
        <f>H34-1037.023+500+537.023</f>
        <v>557.34299999999996</v>
      </c>
      <c r="J34" s="80"/>
      <c r="K34" s="77">
        <v>100</v>
      </c>
      <c r="L34" s="78">
        <f>H34-I34</f>
        <v>0</v>
      </c>
      <c r="M34" s="77">
        <v>3000</v>
      </c>
      <c r="N34" s="76"/>
      <c r="O34" s="75"/>
      <c r="P34" s="86" t="s">
        <v>67</v>
      </c>
    </row>
    <row r="35" spans="1:16" s="12" customFormat="1" ht="27.75" customHeight="1" x14ac:dyDescent="0.15">
      <c r="A35" s="80">
        <v>20170221</v>
      </c>
      <c r="B35" s="81" t="s">
        <v>66</v>
      </c>
      <c r="C35" s="92" t="s">
        <v>44</v>
      </c>
      <c r="D35" s="80" t="s">
        <v>5</v>
      </c>
      <c r="E35" s="80" t="s">
        <v>61</v>
      </c>
      <c r="F35" s="23" t="s">
        <v>159</v>
      </c>
      <c r="G35" s="80" t="s">
        <v>1</v>
      </c>
      <c r="H35" s="79">
        <f>[15]副本!G72</f>
        <v>2002.9199999999992</v>
      </c>
      <c r="I35" s="79">
        <f>H35-3607.546+2050+1050+507.546-1553.792+1553.792</f>
        <v>2002.9199999999994</v>
      </c>
      <c r="J35" s="80"/>
      <c r="K35" s="77"/>
      <c r="L35" s="78">
        <f>H35-I35</f>
        <v>0</v>
      </c>
      <c r="M35" s="77">
        <v>4000</v>
      </c>
      <c r="N35" s="76"/>
      <c r="O35" s="75"/>
      <c r="P35" s="74" t="s">
        <v>65</v>
      </c>
    </row>
    <row r="36" spans="1:16" s="12" customFormat="1" ht="27.75" customHeight="1" x14ac:dyDescent="0.15">
      <c r="A36" s="80">
        <v>20170221</v>
      </c>
      <c r="B36" s="81" t="s">
        <v>64</v>
      </c>
      <c r="C36" s="92" t="s">
        <v>3</v>
      </c>
      <c r="D36" s="80"/>
      <c r="E36" s="80"/>
      <c r="F36" s="80"/>
      <c r="G36" s="80"/>
      <c r="H36" s="79"/>
      <c r="I36" s="79"/>
      <c r="J36" s="80"/>
      <c r="K36" s="77"/>
      <c r="L36" s="78"/>
      <c r="M36" s="77">
        <v>5000</v>
      </c>
      <c r="N36" s="76"/>
      <c r="O36" s="75"/>
      <c r="P36" s="74"/>
    </row>
    <row r="37" spans="1:16" s="12" customFormat="1" ht="27.75" customHeight="1" x14ac:dyDescent="0.15">
      <c r="A37" s="80">
        <v>20170221</v>
      </c>
      <c r="B37" s="81" t="s">
        <v>63</v>
      </c>
      <c r="C37" s="92" t="s">
        <v>44</v>
      </c>
      <c r="D37" s="80" t="s">
        <v>5</v>
      </c>
      <c r="E37" s="80" t="s">
        <v>61</v>
      </c>
      <c r="F37" s="23" t="s">
        <v>159</v>
      </c>
      <c r="G37" s="80" t="s">
        <v>1</v>
      </c>
      <c r="H37" s="79">
        <f>[15]副本!G76</f>
        <v>4132.3160000000535</v>
      </c>
      <c r="I37" s="79">
        <f>H37-955.747+477.874+477.873-1042.865-2628.137+500+542.865+2102.57+525.567-499.112-3147.566+2100+525+525+496.678-2617.899+1574.891+523.692-522.622+522.622-2589.467+523.692-499.362+517.893-1051.409</f>
        <v>514.34700000005341</v>
      </c>
      <c r="J37" s="80"/>
      <c r="K37" s="77"/>
      <c r="L37" s="78">
        <f>H37-I37</f>
        <v>3617.9690000000001</v>
      </c>
      <c r="M37" s="77">
        <v>5000</v>
      </c>
      <c r="N37" s="76"/>
      <c r="O37" s="75"/>
      <c r="P37" s="74" t="s">
        <v>253</v>
      </c>
    </row>
    <row r="38" spans="1:16" s="12" customFormat="1" ht="27.75" customHeight="1" x14ac:dyDescent="0.15">
      <c r="A38" s="80">
        <v>20170221</v>
      </c>
      <c r="B38" s="81" t="s">
        <v>63</v>
      </c>
      <c r="C38" s="92" t="s">
        <v>44</v>
      </c>
      <c r="D38" s="80" t="s">
        <v>5</v>
      </c>
      <c r="E38" s="80" t="s">
        <v>61</v>
      </c>
      <c r="F38" s="23" t="s">
        <v>163</v>
      </c>
      <c r="G38" s="80" t="s">
        <v>1</v>
      </c>
      <c r="H38" s="79">
        <f>[15]副本!G77</f>
        <v>300.99800000000039</v>
      </c>
      <c r="I38" s="79">
        <f>H38</f>
        <v>300.99800000000039</v>
      </c>
      <c r="J38" s="80"/>
      <c r="K38" s="77"/>
      <c r="L38" s="78">
        <f>H38-I38</f>
        <v>0</v>
      </c>
      <c r="M38" s="77">
        <v>5000</v>
      </c>
      <c r="N38" s="76"/>
      <c r="O38" s="75"/>
      <c r="P38" s="74" t="s">
        <v>236</v>
      </c>
    </row>
    <row r="39" spans="1:16" s="12" customFormat="1" ht="27.75" customHeight="1" x14ac:dyDescent="0.15">
      <c r="A39" s="80">
        <v>20170221</v>
      </c>
      <c r="B39" s="81" t="s">
        <v>59</v>
      </c>
      <c r="C39" s="92" t="s">
        <v>19</v>
      </c>
      <c r="D39" s="80"/>
      <c r="E39" s="80" t="s">
        <v>32</v>
      </c>
      <c r="F39" s="23" t="s">
        <v>161</v>
      </c>
      <c r="G39" s="80" t="s">
        <v>1</v>
      </c>
      <c r="H39" s="79">
        <f>[15]副本!G79</f>
        <v>31.463999999997668</v>
      </c>
      <c r="I39" s="79">
        <f>H39-2564.978+2564.978</f>
        <v>31.463999999997668</v>
      </c>
      <c r="J39" s="80"/>
      <c r="K39" s="77"/>
      <c r="L39" s="78">
        <f>H39-I39</f>
        <v>0</v>
      </c>
      <c r="M39" s="77">
        <v>4000</v>
      </c>
      <c r="N39" s="76"/>
      <c r="O39" s="75"/>
      <c r="P39" s="74" t="s">
        <v>58</v>
      </c>
    </row>
    <row r="40" spans="1:16" s="12" customFormat="1" ht="27.75" customHeight="1" x14ac:dyDescent="0.15">
      <c r="A40" s="80">
        <v>20170221</v>
      </c>
      <c r="B40" s="81" t="s">
        <v>59</v>
      </c>
      <c r="C40" s="92" t="s">
        <v>19</v>
      </c>
      <c r="D40" s="80"/>
      <c r="E40" s="80" t="s">
        <v>32</v>
      </c>
      <c r="F40" s="23" t="s">
        <v>153</v>
      </c>
      <c r="G40" s="80" t="s">
        <v>1</v>
      </c>
      <c r="H40" s="79">
        <f>[15]副本!G82</f>
        <v>2564.9780000000001</v>
      </c>
      <c r="I40" s="79">
        <f>H40</f>
        <v>2564.9780000000001</v>
      </c>
      <c r="J40" s="80"/>
      <c r="K40" s="77"/>
      <c r="L40" s="78"/>
      <c r="M40" s="77">
        <v>4000</v>
      </c>
      <c r="N40" s="76"/>
      <c r="O40" s="75"/>
      <c r="P40" s="74" t="s">
        <v>208</v>
      </c>
    </row>
    <row r="41" spans="1:16" s="12" customFormat="1" ht="27.75" customHeight="1" x14ac:dyDescent="0.15">
      <c r="A41" s="80">
        <v>20170221</v>
      </c>
      <c r="B41" s="81" t="s">
        <v>56</v>
      </c>
      <c r="C41" s="92" t="s">
        <v>19</v>
      </c>
      <c r="D41" s="80"/>
      <c r="E41" s="80"/>
      <c r="F41" s="80"/>
      <c r="G41" s="80"/>
      <c r="H41" s="79"/>
      <c r="I41" s="79"/>
      <c r="J41" s="80"/>
      <c r="K41" s="77"/>
      <c r="L41" s="78"/>
      <c r="M41" s="77">
        <v>2000</v>
      </c>
      <c r="N41" s="76"/>
      <c r="O41" s="75"/>
      <c r="P41" s="74"/>
    </row>
    <row r="42" spans="1:16" s="12" customFormat="1" ht="27.75" customHeight="1" x14ac:dyDescent="0.15">
      <c r="A42" s="80">
        <v>20170221</v>
      </c>
      <c r="B42" s="81" t="s">
        <v>55</v>
      </c>
      <c r="C42" s="92" t="s">
        <v>19</v>
      </c>
      <c r="D42" s="80"/>
      <c r="E42" s="80" t="s">
        <v>32</v>
      </c>
      <c r="F42" s="23" t="s">
        <v>161</v>
      </c>
      <c r="G42" s="80" t="s">
        <v>1</v>
      </c>
      <c r="H42" s="79">
        <f>[15]副本!G86</f>
        <v>1723.211</v>
      </c>
      <c r="I42" s="79">
        <f>H42</f>
        <v>1723.211</v>
      </c>
      <c r="J42" s="80"/>
      <c r="K42" s="77"/>
      <c r="L42" s="78">
        <f>H42-I42</f>
        <v>0</v>
      </c>
      <c r="M42" s="77">
        <v>3000</v>
      </c>
      <c r="N42" s="76"/>
      <c r="O42" s="75"/>
      <c r="P42" s="74" t="s">
        <v>251</v>
      </c>
    </row>
    <row r="43" spans="1:16" s="12" customFormat="1" ht="27.75" customHeight="1" x14ac:dyDescent="0.15">
      <c r="A43" s="80">
        <v>20170221</v>
      </c>
      <c r="B43" s="81" t="s">
        <v>54</v>
      </c>
      <c r="C43" s="92" t="s">
        <v>19</v>
      </c>
      <c r="D43" s="80"/>
      <c r="E43" s="80" t="s">
        <v>32</v>
      </c>
      <c r="F43" s="23" t="s">
        <v>161</v>
      </c>
      <c r="G43" s="80" t="s">
        <v>1</v>
      </c>
      <c r="H43" s="79">
        <f>[15]副本!G88</f>
        <v>2518.1359999999995</v>
      </c>
      <c r="I43" s="79">
        <f>H43</f>
        <v>2518.1359999999995</v>
      </c>
      <c r="J43" s="80"/>
      <c r="K43" s="77"/>
      <c r="L43" s="78">
        <f>H43-I43</f>
        <v>0</v>
      </c>
      <c r="M43" s="77">
        <v>5000</v>
      </c>
      <c r="N43" s="85"/>
      <c r="O43" s="75"/>
      <c r="P43" s="74" t="s">
        <v>250</v>
      </c>
    </row>
    <row r="44" spans="1:16" s="12" customFormat="1" ht="27.75" customHeight="1" x14ac:dyDescent="0.15">
      <c r="A44" s="80">
        <v>20170221</v>
      </c>
      <c r="B44" s="81" t="s">
        <v>52</v>
      </c>
      <c r="C44" s="92" t="s">
        <v>44</v>
      </c>
      <c r="D44" s="80"/>
      <c r="E44" s="80"/>
      <c r="F44" s="80"/>
      <c r="G44" s="80"/>
      <c r="H44" s="79"/>
      <c r="I44" s="79"/>
      <c r="J44" s="80"/>
      <c r="K44" s="77"/>
      <c r="L44" s="78"/>
      <c r="M44" s="77">
        <v>5000</v>
      </c>
      <c r="N44" s="76"/>
      <c r="O44" s="75"/>
      <c r="P44" s="74"/>
    </row>
    <row r="45" spans="1:16" s="12" customFormat="1" ht="27.75" customHeight="1" x14ac:dyDescent="0.15">
      <c r="A45" s="80">
        <v>20170221</v>
      </c>
      <c r="B45" s="81" t="s">
        <v>51</v>
      </c>
      <c r="C45" s="92" t="s">
        <v>44</v>
      </c>
      <c r="D45" s="80"/>
      <c r="E45" s="80" t="s">
        <v>50</v>
      </c>
      <c r="F45" s="23" t="s">
        <v>152</v>
      </c>
      <c r="G45" s="80" t="s">
        <v>1</v>
      </c>
      <c r="H45" s="79">
        <f>[15]副本!G94</f>
        <v>2006.1080000000002</v>
      </c>
      <c r="I45" s="79">
        <f>H45-1021.25+1021.25</f>
        <v>2006.1080000000002</v>
      </c>
      <c r="J45" s="80"/>
      <c r="K45" s="77">
        <v>100</v>
      </c>
      <c r="L45" s="78">
        <f>H45-I45</f>
        <v>0</v>
      </c>
      <c r="M45" s="77">
        <v>5000</v>
      </c>
      <c r="N45" s="76"/>
      <c r="O45" s="75"/>
      <c r="P45" s="74" t="s">
        <v>234</v>
      </c>
    </row>
    <row r="46" spans="1:16" s="12" customFormat="1" ht="27.75" customHeight="1" x14ac:dyDescent="0.15">
      <c r="A46" s="80">
        <v>20170221</v>
      </c>
      <c r="B46" s="81" t="s">
        <v>51</v>
      </c>
      <c r="C46" s="92" t="s">
        <v>44</v>
      </c>
      <c r="D46" s="80"/>
      <c r="E46" s="80" t="s">
        <v>50</v>
      </c>
      <c r="F46" s="23" t="s">
        <v>148</v>
      </c>
      <c r="G46" s="80" t="s">
        <v>1</v>
      </c>
      <c r="H46" s="79">
        <f>[15]副本!G95</f>
        <v>1000</v>
      </c>
      <c r="I46" s="79">
        <f>H46</f>
        <v>1000</v>
      </c>
      <c r="J46" s="80"/>
      <c r="K46" s="77"/>
      <c r="L46" s="78"/>
      <c r="M46" s="77">
        <v>5000</v>
      </c>
      <c r="N46" s="76"/>
      <c r="O46" s="75"/>
      <c r="P46" s="74" t="s">
        <v>49</v>
      </c>
    </row>
    <row r="47" spans="1:16" s="12" customFormat="1" ht="27.75" customHeight="1" x14ac:dyDescent="0.15">
      <c r="A47" s="80">
        <v>20170221</v>
      </c>
      <c r="B47" s="81" t="s">
        <v>48</v>
      </c>
      <c r="C47" s="92" t="s">
        <v>44</v>
      </c>
      <c r="D47" s="80"/>
      <c r="E47" s="80" t="s">
        <v>43</v>
      </c>
      <c r="F47" s="23" t="s">
        <v>157</v>
      </c>
      <c r="G47" s="80" t="s">
        <v>1</v>
      </c>
      <c r="H47" s="79">
        <f>[15]副本!G97</f>
        <v>2.4439999999940483</v>
      </c>
      <c r="I47" s="79">
        <f>H47</f>
        <v>2.4439999999940483</v>
      </c>
      <c r="J47" s="80"/>
      <c r="K47" s="78"/>
      <c r="L47" s="78">
        <f>H47-I47</f>
        <v>0</v>
      </c>
      <c r="M47" s="77">
        <v>2000</v>
      </c>
      <c r="N47" s="76"/>
      <c r="O47" s="75"/>
      <c r="P47" s="74"/>
    </row>
    <row r="48" spans="1:16" s="12" customFormat="1" ht="27.75" customHeight="1" x14ac:dyDescent="0.15">
      <c r="A48" s="80">
        <v>20170221</v>
      </c>
      <c r="B48" s="81" t="s">
        <v>47</v>
      </c>
      <c r="C48" s="92" t="s">
        <v>19</v>
      </c>
      <c r="D48" s="80" t="s">
        <v>5</v>
      </c>
      <c r="E48" s="80" t="s">
        <v>27</v>
      </c>
      <c r="F48" s="23" t="s">
        <v>165</v>
      </c>
      <c r="G48" s="80" t="s">
        <v>1</v>
      </c>
      <c r="H48" s="79">
        <f>[15]副本!G99</f>
        <v>1013.1140000000005</v>
      </c>
      <c r="I48" s="79">
        <v>0</v>
      </c>
      <c r="J48" s="80"/>
      <c r="K48" s="77"/>
      <c r="L48" s="78">
        <f>H48-I48</f>
        <v>1013.1140000000005</v>
      </c>
      <c r="M48" s="77">
        <v>10000</v>
      </c>
      <c r="N48" s="76"/>
      <c r="O48" s="75"/>
      <c r="P48" s="74"/>
    </row>
    <row r="49" spans="1:17" s="12" customFormat="1" ht="27.75" customHeight="1" x14ac:dyDescent="0.15">
      <c r="A49" s="80">
        <v>20170221</v>
      </c>
      <c r="B49" s="81" t="s">
        <v>46</v>
      </c>
      <c r="C49" s="92" t="s">
        <v>19</v>
      </c>
      <c r="D49" s="80" t="s">
        <v>5</v>
      </c>
      <c r="E49" s="80" t="s">
        <v>27</v>
      </c>
      <c r="F49" s="23" t="s">
        <v>165</v>
      </c>
      <c r="G49" s="80" t="s">
        <v>1</v>
      </c>
      <c r="H49" s="79">
        <f>[15]副本!G101</f>
        <v>4217.264000000001</v>
      </c>
      <c r="I49" s="79">
        <v>0</v>
      </c>
      <c r="J49" s="80"/>
      <c r="K49" s="77"/>
      <c r="L49" s="78">
        <v>0</v>
      </c>
      <c r="M49" s="77">
        <v>10000</v>
      </c>
      <c r="N49" s="76"/>
      <c r="O49" s="75"/>
      <c r="P49" s="74"/>
    </row>
    <row r="50" spans="1:17" s="12" customFormat="1" ht="27.75" customHeight="1" x14ac:dyDescent="0.15">
      <c r="A50" s="80">
        <v>20170221</v>
      </c>
      <c r="B50" s="81" t="s">
        <v>45</v>
      </c>
      <c r="C50" s="92" t="s">
        <v>44</v>
      </c>
      <c r="D50" s="80"/>
      <c r="E50" s="80" t="s">
        <v>43</v>
      </c>
      <c r="F50" s="23" t="s">
        <v>166</v>
      </c>
      <c r="G50" s="80" t="s">
        <v>1</v>
      </c>
      <c r="H50" s="79">
        <f>[15]副本!G103</f>
        <v>986.43500000000677</v>
      </c>
      <c r="I50" s="79">
        <f>H50</f>
        <v>986.43500000000677</v>
      </c>
      <c r="J50" s="80"/>
      <c r="K50" s="78"/>
      <c r="L50" s="78">
        <v>0</v>
      </c>
      <c r="M50" s="77">
        <v>5000</v>
      </c>
      <c r="N50" s="83" t="s">
        <v>42</v>
      </c>
      <c r="O50" s="82" t="s">
        <v>41</v>
      </c>
      <c r="P50" s="74" t="s">
        <v>146</v>
      </c>
    </row>
    <row r="51" spans="1:17" s="12" customFormat="1" ht="27.75" customHeight="1" x14ac:dyDescent="0.15">
      <c r="A51" s="80">
        <v>20170221</v>
      </c>
      <c r="B51" s="81" t="s">
        <v>39</v>
      </c>
      <c r="C51" s="92" t="s">
        <v>19</v>
      </c>
      <c r="D51" s="80"/>
      <c r="E51" s="80"/>
      <c r="F51" s="80"/>
      <c r="G51" s="80"/>
      <c r="H51" s="79"/>
      <c r="I51" s="79"/>
      <c r="J51" s="80"/>
      <c r="K51" s="77"/>
      <c r="L51" s="78"/>
      <c r="M51" s="77">
        <v>3000</v>
      </c>
      <c r="N51" s="76"/>
      <c r="O51" s="75"/>
      <c r="P51" s="74"/>
    </row>
    <row r="52" spans="1:17" s="12" customFormat="1" ht="27.75" customHeight="1" x14ac:dyDescent="0.15">
      <c r="A52" s="80">
        <v>20170221</v>
      </c>
      <c r="B52" s="81" t="s">
        <v>38</v>
      </c>
      <c r="C52" s="92" t="s">
        <v>19</v>
      </c>
      <c r="D52" s="80" t="s">
        <v>5</v>
      </c>
      <c r="E52" s="80" t="s">
        <v>27</v>
      </c>
      <c r="F52" s="23" t="s">
        <v>165</v>
      </c>
      <c r="G52" s="80" t="s">
        <v>22</v>
      </c>
      <c r="H52" s="79">
        <f>[15]副本!G107</f>
        <v>15130.712</v>
      </c>
      <c r="I52" s="79">
        <v>0</v>
      </c>
      <c r="J52" s="80"/>
      <c r="K52" s="77"/>
      <c r="L52" s="78">
        <f>H52-I52</f>
        <v>15130.712</v>
      </c>
      <c r="M52" s="77">
        <v>25000</v>
      </c>
      <c r="N52" s="76" t="s">
        <v>37</v>
      </c>
      <c r="O52" s="75" t="s">
        <v>36</v>
      </c>
      <c r="P52" s="74" t="s">
        <v>35</v>
      </c>
    </row>
    <row r="53" spans="1:17" s="12" customFormat="1" ht="27.75" customHeight="1" x14ac:dyDescent="0.15">
      <c r="A53" s="80">
        <v>20170221</v>
      </c>
      <c r="B53" s="81" t="s">
        <v>34</v>
      </c>
      <c r="C53" s="92" t="s">
        <v>19</v>
      </c>
      <c r="D53" s="80" t="s">
        <v>5</v>
      </c>
      <c r="E53" s="80" t="s">
        <v>27</v>
      </c>
      <c r="F53" s="23" t="s">
        <v>167</v>
      </c>
      <c r="G53" s="80" t="s">
        <v>22</v>
      </c>
      <c r="H53" s="79">
        <f>[15]副本!G109</f>
        <v>27967.621000000079</v>
      </c>
      <c r="I53" s="79">
        <v>0</v>
      </c>
      <c r="J53" s="80"/>
      <c r="K53" s="77"/>
      <c r="L53" s="78">
        <f>H53-I53</f>
        <v>27967.621000000079</v>
      </c>
      <c r="M53" s="77">
        <v>50000</v>
      </c>
      <c r="N53" s="76"/>
      <c r="O53" s="75"/>
      <c r="P53" s="74"/>
    </row>
    <row r="54" spans="1:17" s="12" customFormat="1" ht="27.75" customHeight="1" x14ac:dyDescent="0.15">
      <c r="A54" s="80">
        <v>20170221</v>
      </c>
      <c r="B54" s="81" t="s">
        <v>33</v>
      </c>
      <c r="C54" s="92" t="s">
        <v>19</v>
      </c>
      <c r="D54" s="80"/>
      <c r="E54" s="80"/>
      <c r="F54" s="80"/>
      <c r="G54" s="80"/>
      <c r="H54" s="79"/>
      <c r="I54" s="79"/>
      <c r="J54" s="80"/>
      <c r="K54" s="77"/>
      <c r="L54" s="78">
        <f>H54-I54</f>
        <v>0</v>
      </c>
      <c r="M54" s="77">
        <v>4000</v>
      </c>
      <c r="N54" s="76"/>
      <c r="O54" s="75"/>
      <c r="P54" s="74"/>
    </row>
    <row r="55" spans="1:17" s="12" customFormat="1" ht="27.75" customHeight="1" x14ac:dyDescent="0.15">
      <c r="A55" s="80">
        <v>20170221</v>
      </c>
      <c r="B55" s="81" t="s">
        <v>30</v>
      </c>
      <c r="C55" s="92" t="s">
        <v>3</v>
      </c>
      <c r="D55" s="80"/>
      <c r="E55" s="80"/>
      <c r="F55" s="80"/>
      <c r="G55" s="80"/>
      <c r="H55" s="79"/>
      <c r="I55" s="79"/>
      <c r="J55" s="80"/>
      <c r="K55" s="77"/>
      <c r="L55" s="78"/>
      <c r="M55" s="77">
        <v>37000</v>
      </c>
      <c r="N55" s="76"/>
      <c r="O55" s="75"/>
      <c r="P55" s="74"/>
    </row>
    <row r="56" spans="1:17" s="12" customFormat="1" ht="27.75" customHeight="1" x14ac:dyDescent="0.15">
      <c r="A56" s="80">
        <v>20170221</v>
      </c>
      <c r="B56" s="81" t="s">
        <v>29</v>
      </c>
      <c r="C56" s="92" t="s">
        <v>3</v>
      </c>
      <c r="D56" s="80"/>
      <c r="E56" s="80"/>
      <c r="F56" s="80"/>
      <c r="G56" s="80"/>
      <c r="H56" s="79"/>
      <c r="I56" s="80"/>
      <c r="J56" s="80"/>
      <c r="K56" s="77"/>
      <c r="L56" s="78"/>
      <c r="M56" s="77">
        <v>37000</v>
      </c>
      <c r="N56" s="76"/>
      <c r="O56" s="75"/>
      <c r="P56" s="74"/>
    </row>
    <row r="57" spans="1:17" s="12" customFormat="1" ht="27.75" customHeight="1" x14ac:dyDescent="0.15">
      <c r="A57" s="80">
        <v>20170221</v>
      </c>
      <c r="B57" s="81" t="s">
        <v>28</v>
      </c>
      <c r="C57" s="92" t="s">
        <v>19</v>
      </c>
      <c r="D57" s="80" t="s">
        <v>5</v>
      </c>
      <c r="E57" s="80" t="s">
        <v>27</v>
      </c>
      <c r="F57" s="23" t="s">
        <v>165</v>
      </c>
      <c r="G57" s="80" t="s">
        <v>22</v>
      </c>
      <c r="H57" s="79">
        <f>[15]副本!G119</f>
        <v>764.82299999999941</v>
      </c>
      <c r="I57" s="79">
        <v>0</v>
      </c>
      <c r="J57" s="80"/>
      <c r="K57" s="78"/>
      <c r="L57" s="78">
        <f>H57-I57</f>
        <v>764.82299999999941</v>
      </c>
      <c r="M57" s="77">
        <v>10000</v>
      </c>
      <c r="N57" s="76"/>
      <c r="O57" s="75"/>
      <c r="P57" s="74"/>
      <c r="Q57" s="13"/>
    </row>
    <row r="58" spans="1:17" s="12" customFormat="1" ht="27.75" customHeight="1" x14ac:dyDescent="0.15">
      <c r="A58" s="80">
        <v>20170221</v>
      </c>
      <c r="B58" s="81" t="s">
        <v>26</v>
      </c>
      <c r="C58" s="92" t="s">
        <v>3</v>
      </c>
      <c r="D58" s="80" t="s">
        <v>5</v>
      </c>
      <c r="E58" s="80"/>
      <c r="F58" s="80"/>
      <c r="G58" s="80"/>
      <c r="H58" s="79"/>
      <c r="I58" s="79"/>
      <c r="J58" s="80"/>
      <c r="K58" s="78"/>
      <c r="L58" s="78"/>
      <c r="M58" s="77">
        <v>15000</v>
      </c>
      <c r="N58" s="76"/>
      <c r="O58" s="75"/>
      <c r="P58" s="74"/>
      <c r="Q58" s="13"/>
    </row>
    <row r="59" spans="1:17" s="12" customFormat="1" ht="27.75" customHeight="1" x14ac:dyDescent="0.15">
      <c r="A59" s="80">
        <v>20170221</v>
      </c>
      <c r="B59" s="81" t="s">
        <v>23</v>
      </c>
      <c r="C59" s="81" t="s">
        <v>19</v>
      </c>
      <c r="D59" s="80" t="s">
        <v>5</v>
      </c>
      <c r="E59" s="80" t="s">
        <v>2</v>
      </c>
      <c r="F59" s="23" t="s">
        <v>171</v>
      </c>
      <c r="G59" s="80" t="s">
        <v>275</v>
      </c>
      <c r="H59" s="79">
        <f>[15]副本!G124</f>
        <v>301.33099999999831</v>
      </c>
      <c r="I59" s="79">
        <f>H59</f>
        <v>301.33099999999831</v>
      </c>
      <c r="J59" s="80"/>
      <c r="K59" s="77"/>
      <c r="L59" s="78"/>
      <c r="M59" s="77">
        <v>43000</v>
      </c>
      <c r="N59" s="76"/>
      <c r="O59" s="75"/>
      <c r="P59" s="74" t="s">
        <v>228</v>
      </c>
      <c r="Q59" s="13"/>
    </row>
    <row r="60" spans="1:17" s="12" customFormat="1" ht="27.75" customHeight="1" x14ac:dyDescent="0.15">
      <c r="A60" s="80">
        <v>20170221</v>
      </c>
      <c r="B60" s="81" t="s">
        <v>23</v>
      </c>
      <c r="C60" s="81" t="s">
        <v>19</v>
      </c>
      <c r="D60" s="80" t="s">
        <v>5</v>
      </c>
      <c r="E60" s="80" t="s">
        <v>2</v>
      </c>
      <c r="F60" s="23" t="s">
        <v>172</v>
      </c>
      <c r="G60" s="80" t="s">
        <v>275</v>
      </c>
      <c r="H60" s="79">
        <f>[15]副本!G125</f>
        <v>117.45999999999913</v>
      </c>
      <c r="I60" s="79">
        <f>H60</f>
        <v>117.45999999999913</v>
      </c>
      <c r="J60" s="80"/>
      <c r="K60" s="80"/>
      <c r="L60" s="78"/>
      <c r="M60" s="77">
        <v>43000</v>
      </c>
      <c r="N60" s="76"/>
      <c r="O60" s="75"/>
      <c r="P60" s="74" t="s">
        <v>21</v>
      </c>
      <c r="Q60" s="13"/>
    </row>
    <row r="61" spans="1:17" s="12" customFormat="1" ht="27.75" customHeight="1" x14ac:dyDescent="0.15">
      <c r="A61" s="80">
        <v>20170221</v>
      </c>
      <c r="B61" s="81" t="s">
        <v>20</v>
      </c>
      <c r="C61" s="81" t="s">
        <v>19</v>
      </c>
      <c r="D61" s="80" t="s">
        <v>5</v>
      </c>
      <c r="E61" s="80" t="s">
        <v>2</v>
      </c>
      <c r="F61" s="23" t="s">
        <v>282</v>
      </c>
      <c r="G61" s="80" t="s">
        <v>275</v>
      </c>
      <c r="H61" s="79">
        <f>[15]副本!G127</f>
        <v>12365.038</v>
      </c>
      <c r="I61" s="79">
        <f>H61-12365.038</f>
        <v>0</v>
      </c>
      <c r="J61" s="80"/>
      <c r="K61" s="77"/>
      <c r="L61" s="78">
        <f t="shared" ref="L61:L66" si="1">H61-I61</f>
        <v>12365.038</v>
      </c>
      <c r="M61" s="77">
        <v>43000</v>
      </c>
      <c r="N61" s="76"/>
      <c r="O61" s="75"/>
      <c r="P61" s="74" t="s">
        <v>274</v>
      </c>
      <c r="Q61" s="13"/>
    </row>
    <row r="62" spans="1:17" s="12" customFormat="1" ht="27.75" customHeight="1" x14ac:dyDescent="0.15">
      <c r="A62" s="80">
        <v>20170221</v>
      </c>
      <c r="B62" s="81" t="s">
        <v>20</v>
      </c>
      <c r="C62" s="81" t="s">
        <v>19</v>
      </c>
      <c r="D62" s="80" t="s">
        <v>5</v>
      </c>
      <c r="E62" s="80" t="s">
        <v>2</v>
      </c>
      <c r="F62" s="80" t="s">
        <v>283</v>
      </c>
      <c r="G62" s="80" t="s">
        <v>275</v>
      </c>
      <c r="H62" s="79">
        <f>[15]副本!G128</f>
        <v>19971.696</v>
      </c>
      <c r="I62" s="79">
        <f>H62-19971.696</f>
        <v>0</v>
      </c>
      <c r="J62" s="80"/>
      <c r="K62" s="77"/>
      <c r="L62" s="78">
        <f t="shared" si="1"/>
        <v>19971.696</v>
      </c>
      <c r="M62" s="77">
        <v>43000</v>
      </c>
      <c r="N62" s="76"/>
      <c r="O62" s="75"/>
      <c r="P62" s="74" t="s">
        <v>273</v>
      </c>
      <c r="Q62" s="13"/>
    </row>
    <row r="63" spans="1:17" s="12" customFormat="1" ht="27.75" customHeight="1" x14ac:dyDescent="0.15">
      <c r="A63" s="80">
        <v>20170221</v>
      </c>
      <c r="B63" s="81" t="s">
        <v>18</v>
      </c>
      <c r="C63" s="92" t="s">
        <v>3</v>
      </c>
      <c r="D63" s="80"/>
      <c r="E63" s="123"/>
      <c r="F63" s="23" t="s">
        <v>197</v>
      </c>
      <c r="G63" s="80" t="s">
        <v>1</v>
      </c>
      <c r="H63" s="79">
        <f>[15]副本!G130</f>
        <v>8339.3289999999961</v>
      </c>
      <c r="I63" s="79">
        <f>H63-8339.329+8339.329</f>
        <v>8339.3289999999961</v>
      </c>
      <c r="J63" s="80"/>
      <c r="K63" s="77">
        <v>200</v>
      </c>
      <c r="L63" s="78">
        <f t="shared" si="1"/>
        <v>0</v>
      </c>
      <c r="M63" s="77">
        <v>20000</v>
      </c>
      <c r="N63" s="76"/>
      <c r="O63" s="75"/>
      <c r="P63" s="74" t="s">
        <v>265</v>
      </c>
    </row>
    <row r="64" spans="1:17" s="12" customFormat="1" ht="27.75" customHeight="1" x14ac:dyDescent="0.15">
      <c r="A64" s="80">
        <v>20170221</v>
      </c>
      <c r="B64" s="81" t="s">
        <v>17</v>
      </c>
      <c r="C64" s="92" t="s">
        <v>3</v>
      </c>
      <c r="D64" s="80"/>
      <c r="E64" s="80" t="s">
        <v>9</v>
      </c>
      <c r="F64" s="23" t="s">
        <v>175</v>
      </c>
      <c r="G64" s="80" t="s">
        <v>1</v>
      </c>
      <c r="H64" s="79">
        <f>[15]副本!G132</f>
        <v>7537.3190000000031</v>
      </c>
      <c r="I64" s="79">
        <f>H64-4751.949+4751.949-4999.395</f>
        <v>2537.9240000000027</v>
      </c>
      <c r="J64" s="80"/>
      <c r="K64" s="77"/>
      <c r="L64" s="78">
        <f t="shared" si="1"/>
        <v>4999.3950000000004</v>
      </c>
      <c r="M64" s="77">
        <v>30000</v>
      </c>
      <c r="N64" s="76"/>
      <c r="O64" s="75"/>
      <c r="P64" s="74" t="s">
        <v>247</v>
      </c>
    </row>
    <row r="65" spans="1:16" s="12" customFormat="1" ht="27.75" customHeight="1" x14ac:dyDescent="0.15">
      <c r="A65" s="80">
        <v>20170221</v>
      </c>
      <c r="B65" s="81" t="s">
        <v>17</v>
      </c>
      <c r="C65" s="92" t="s">
        <v>3</v>
      </c>
      <c r="D65" s="80"/>
      <c r="E65" s="80" t="s">
        <v>9</v>
      </c>
      <c r="F65" s="23" t="s">
        <v>158</v>
      </c>
      <c r="G65" s="80" t="s">
        <v>1</v>
      </c>
      <c r="H65" s="79">
        <f>[15]副本!G133</f>
        <v>0</v>
      </c>
      <c r="I65" s="79">
        <f>H65</f>
        <v>0</v>
      </c>
      <c r="J65" s="80"/>
      <c r="K65" s="77"/>
      <c r="L65" s="78">
        <f t="shared" si="1"/>
        <v>0</v>
      </c>
      <c r="M65" s="77">
        <v>30000</v>
      </c>
      <c r="N65" s="76"/>
      <c r="O65" s="75"/>
      <c r="P65" s="96" t="s">
        <v>15</v>
      </c>
    </row>
    <row r="66" spans="1:16" s="12" customFormat="1" ht="27.75" customHeight="1" x14ac:dyDescent="0.15">
      <c r="A66" s="80">
        <v>20170221</v>
      </c>
      <c r="B66" s="81" t="s">
        <v>14</v>
      </c>
      <c r="C66" s="92" t="s">
        <v>3</v>
      </c>
      <c r="D66" s="80" t="s">
        <v>5</v>
      </c>
      <c r="E66" s="80" t="s">
        <v>2</v>
      </c>
      <c r="F66" s="23" t="s">
        <v>174</v>
      </c>
      <c r="G66" s="80" t="s">
        <v>1</v>
      </c>
      <c r="H66" s="79">
        <f>[15]副本!G135</f>
        <v>14976.093999999999</v>
      </c>
      <c r="I66" s="79">
        <f>H66-14976.094</f>
        <v>0</v>
      </c>
      <c r="J66" s="80"/>
      <c r="K66" s="77">
        <v>400</v>
      </c>
      <c r="L66" s="78">
        <f t="shared" si="1"/>
        <v>14976.093999999999</v>
      </c>
      <c r="M66" s="77">
        <v>20000</v>
      </c>
      <c r="N66" s="76" t="s">
        <v>13</v>
      </c>
      <c r="O66" s="75" t="s">
        <v>12</v>
      </c>
      <c r="P66" s="74" t="s">
        <v>11</v>
      </c>
    </row>
    <row r="67" spans="1:16" s="12" customFormat="1" ht="27.75" customHeight="1" x14ac:dyDescent="0.15">
      <c r="A67" s="80">
        <v>20170221</v>
      </c>
      <c r="B67" s="81" t="s">
        <v>10</v>
      </c>
      <c r="C67" s="92" t="s">
        <v>3</v>
      </c>
      <c r="D67" s="80"/>
      <c r="E67" s="80" t="s">
        <v>9</v>
      </c>
      <c r="F67" s="23" t="s">
        <v>158</v>
      </c>
      <c r="G67" s="80" t="s">
        <v>1</v>
      </c>
      <c r="H67" s="79">
        <f>[15]副本!G137</f>
        <v>23765.582999999973</v>
      </c>
      <c r="I67" s="79">
        <f>H67</f>
        <v>23765.582999999973</v>
      </c>
      <c r="J67" s="80"/>
      <c r="K67" s="77"/>
      <c r="L67" s="78">
        <v>0</v>
      </c>
      <c r="M67" s="77">
        <v>30000</v>
      </c>
      <c r="N67" s="76"/>
      <c r="O67" s="75"/>
      <c r="P67" s="74"/>
    </row>
    <row r="68" spans="1:16" s="12" customFormat="1" ht="27.75" customHeight="1" x14ac:dyDescent="0.15">
      <c r="A68" s="80">
        <v>20170221</v>
      </c>
      <c r="B68" s="81" t="s">
        <v>8</v>
      </c>
      <c r="C68" s="92" t="s">
        <v>3</v>
      </c>
      <c r="D68" s="80"/>
      <c r="E68" s="80"/>
      <c r="F68" s="74"/>
      <c r="G68" s="80"/>
      <c r="H68" s="79"/>
      <c r="I68" s="79"/>
      <c r="J68" s="80"/>
      <c r="K68" s="77"/>
      <c r="L68" s="78"/>
      <c r="M68" s="77">
        <v>20000</v>
      </c>
      <c r="N68" s="76"/>
      <c r="O68" s="75"/>
      <c r="P68" s="80"/>
    </row>
    <row r="69" spans="1:16" s="12" customFormat="1" ht="27.75" customHeight="1" x14ac:dyDescent="0.15">
      <c r="A69" s="80">
        <v>20170221</v>
      </c>
      <c r="B69" s="81" t="s">
        <v>7</v>
      </c>
      <c r="C69" s="92" t="s">
        <v>3</v>
      </c>
      <c r="D69" s="80"/>
      <c r="E69" s="80"/>
      <c r="F69" s="80"/>
      <c r="G69" s="80"/>
      <c r="H69" s="79"/>
      <c r="I69" s="79"/>
      <c r="J69" s="80"/>
      <c r="K69" s="77"/>
      <c r="L69" s="78"/>
      <c r="M69" s="77">
        <v>15000</v>
      </c>
      <c r="N69" s="76"/>
      <c r="O69" s="75"/>
      <c r="P69" s="74"/>
    </row>
    <row r="70" spans="1:16" s="12" customFormat="1" ht="27.75" customHeight="1" x14ac:dyDescent="0.15">
      <c r="A70" s="80">
        <v>20170221</v>
      </c>
      <c r="B70" s="81" t="s">
        <v>6</v>
      </c>
      <c r="C70" s="92" t="s">
        <v>3</v>
      </c>
      <c r="D70" s="80" t="s">
        <v>5</v>
      </c>
      <c r="E70" s="80" t="s">
        <v>2</v>
      </c>
      <c r="F70" s="23" t="s">
        <v>171</v>
      </c>
      <c r="G70" s="80" t="s">
        <v>1</v>
      </c>
      <c r="H70" s="79">
        <f>[15]副本!G144</f>
        <v>12005.106</v>
      </c>
      <c r="I70" s="79">
        <f>H70-12005.106</f>
        <v>0</v>
      </c>
      <c r="J70" s="80"/>
      <c r="K70" s="77">
        <v>600</v>
      </c>
      <c r="L70" s="78">
        <f>H70-I70</f>
        <v>12005.106</v>
      </c>
      <c r="M70" s="77">
        <v>15000</v>
      </c>
      <c r="N70" s="76"/>
      <c r="O70" s="75"/>
      <c r="P70" s="74"/>
    </row>
    <row r="71" spans="1:16" s="12" customFormat="1" ht="27.75" customHeight="1" x14ac:dyDescent="0.15">
      <c r="A71" s="80">
        <v>20170221</v>
      </c>
      <c r="B71" s="81" t="s">
        <v>4</v>
      </c>
      <c r="C71" s="92" t="s">
        <v>3</v>
      </c>
      <c r="D71" s="80"/>
      <c r="E71" s="80" t="s">
        <v>2</v>
      </c>
      <c r="F71" s="23" t="s">
        <v>170</v>
      </c>
      <c r="G71" s="80" t="s">
        <v>1</v>
      </c>
      <c r="H71" s="79">
        <f>[15]副本!G146</f>
        <v>1857.7899999999981</v>
      </c>
      <c r="I71" s="79">
        <f>H71</f>
        <v>1857.7899999999981</v>
      </c>
      <c r="J71" s="80"/>
      <c r="K71" s="77"/>
      <c r="L71" s="78">
        <f>H71-I71</f>
        <v>0</v>
      </c>
      <c r="M71" s="77">
        <v>15000</v>
      </c>
      <c r="N71" s="76"/>
      <c r="O71" s="75"/>
      <c r="P71" s="74" t="s">
        <v>272</v>
      </c>
    </row>
    <row r="77" spans="1:16" s="2" customFormat="1" x14ac:dyDescent="0.15">
      <c r="B77" s="3"/>
      <c r="C77" s="10"/>
      <c r="D77" s="9"/>
      <c r="E77" s="3"/>
      <c r="F77" s="3"/>
      <c r="G77" s="9"/>
      <c r="H77" s="8"/>
      <c r="I77" s="8"/>
      <c r="K77" s="7"/>
      <c r="L77" s="11"/>
      <c r="M77" s="5"/>
      <c r="N77" s="4"/>
      <c r="O77" s="4"/>
      <c r="P77" s="3"/>
    </row>
    <row r="229" spans="2:16" s="2" customFormat="1" x14ac:dyDescent="0.15">
      <c r="B229" s="3"/>
      <c r="C229" s="10"/>
      <c r="D229" s="9"/>
      <c r="E229" s="3"/>
      <c r="F229" s="3"/>
      <c r="G229" s="3"/>
      <c r="H229" s="3"/>
      <c r="I229" s="8"/>
      <c r="K229" s="7"/>
      <c r="L229" s="6"/>
      <c r="M229" s="5"/>
      <c r="N229" s="4"/>
      <c r="O229" s="4"/>
      <c r="P229" s="3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1"/>
  <sheetViews>
    <sheetView workbookViewId="0">
      <pane xSplit="3" ySplit="1" topLeftCell="D60" activePane="bottomRight" state="frozen"/>
      <selection pane="topRight"/>
      <selection pane="bottomLeft"/>
      <selection pane="bottomRight" activeCell="E65" sqref="E65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0.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32.25" customHeight="1" x14ac:dyDescent="0.15">
      <c r="A2" s="104">
        <v>20170222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>
        <f>[16]副本!G3</f>
        <v>417.77499999999964</v>
      </c>
      <c r="I2" s="103">
        <f>H2-1918.881+1918.881</f>
        <v>417.77499999999964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269</v>
      </c>
    </row>
    <row r="3" spans="1:17" s="48" customFormat="1" ht="32.25" customHeight="1" x14ac:dyDescent="0.15">
      <c r="A3" s="104">
        <v>20170222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[16]副本!G6</f>
        <v>383.19899999999984</v>
      </c>
      <c r="I3" s="103">
        <f>H3</f>
        <v>383.19899999999984</v>
      </c>
      <c r="J3" s="104"/>
      <c r="K3" s="101"/>
      <c r="L3" s="102">
        <f>H3-I3</f>
        <v>0</v>
      </c>
      <c r="M3" s="101">
        <v>1500</v>
      </c>
      <c r="N3" s="100"/>
      <c r="O3" s="99"/>
      <c r="P3" s="98" t="s">
        <v>291</v>
      </c>
    </row>
    <row r="4" spans="1:17" s="48" customFormat="1" ht="32.25" customHeight="1" x14ac:dyDescent="0.15">
      <c r="A4" s="104">
        <v>20170222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[16]副本!G8</f>
        <v>1231.9229999999957</v>
      </c>
      <c r="I4" s="103">
        <f>H4</f>
        <v>1231.9229999999957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32.25" customHeight="1" x14ac:dyDescent="0.15">
      <c r="A5" s="104">
        <v>20170222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[16]副本!G10</f>
        <v>958.1920000000282</v>
      </c>
      <c r="I5" s="103">
        <f>H5</f>
        <v>958.1920000000282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32.25" customHeight="1" x14ac:dyDescent="0.15">
      <c r="A6" s="104">
        <v>20170222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32.25" customHeight="1" x14ac:dyDescent="0.15">
      <c r="A7" s="104">
        <v>20170222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[16]副本!G14</f>
        <v>2997.3480000000018</v>
      </c>
      <c r="I7" s="103">
        <f t="shared" ref="I7:I12" si="0">H7</f>
        <v>2997.3480000000018</v>
      </c>
      <c r="J7" s="104"/>
      <c r="K7" s="101"/>
      <c r="L7" s="102"/>
      <c r="M7" s="101">
        <v>3000</v>
      </c>
      <c r="N7" s="100"/>
      <c r="O7" s="99"/>
      <c r="P7" s="98" t="s">
        <v>268</v>
      </c>
      <c r="Q7" s="49"/>
    </row>
    <row r="8" spans="1:17" s="48" customFormat="1" ht="32.25" customHeight="1" x14ac:dyDescent="0.15">
      <c r="A8" s="104">
        <v>20170222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[16]副本!G16</f>
        <v>835.14900000000011</v>
      </c>
      <c r="I8" s="103">
        <f t="shared" si="0"/>
        <v>835.14900000000011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32.25" customHeight="1" x14ac:dyDescent="0.15">
      <c r="A9" s="104">
        <v>20170222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[16]副本!G18</f>
        <v>1322.4749999999999</v>
      </c>
      <c r="I9" s="103">
        <f t="shared" si="0"/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32.25" customHeight="1" x14ac:dyDescent="0.15">
      <c r="A10" s="104">
        <v>20170222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[16]副本!G20</f>
        <v>1.5219999999999345</v>
      </c>
      <c r="I10" s="103">
        <f t="shared" si="0"/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263</v>
      </c>
    </row>
    <row r="11" spans="1:17" s="48" customFormat="1" ht="32.25" customHeight="1" x14ac:dyDescent="0.15">
      <c r="A11" s="104">
        <v>20170222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[16]副本!G22</f>
        <v>1000</v>
      </c>
      <c r="I11" s="103">
        <f t="shared" si="0"/>
        <v>1000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32.25" customHeight="1" x14ac:dyDescent="0.15">
      <c r="A12" s="104">
        <v>20170222</v>
      </c>
      <c r="B12" s="105" t="s">
        <v>105</v>
      </c>
      <c r="C12" s="104" t="s">
        <v>44</v>
      </c>
      <c r="D12" s="104"/>
      <c r="E12" s="104" t="s">
        <v>86</v>
      </c>
      <c r="F12" s="23" t="s">
        <v>155</v>
      </c>
      <c r="G12" s="104" t="s">
        <v>1</v>
      </c>
      <c r="H12" s="103">
        <f>[16]副本!G24</f>
        <v>1502.1479999999999</v>
      </c>
      <c r="I12" s="103">
        <f t="shared" si="0"/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 t="s">
        <v>291</v>
      </c>
    </row>
    <row r="13" spans="1:17" s="48" customFormat="1" ht="32.25" customHeight="1" x14ac:dyDescent="0.15">
      <c r="A13" s="104">
        <v>20170222</v>
      </c>
      <c r="B13" s="105" t="s">
        <v>104</v>
      </c>
      <c r="C13" s="116" t="s">
        <v>19</v>
      </c>
      <c r="D13" s="104"/>
      <c r="E13" s="104" t="s">
        <v>114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32.25" customHeight="1" x14ac:dyDescent="0.15">
      <c r="A14" s="104">
        <v>20170222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32.25" customHeight="1" x14ac:dyDescent="0.15">
      <c r="A15" s="104">
        <v>20170222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[16]副本!G30</f>
        <v>106.85699999999997</v>
      </c>
      <c r="I15" s="103">
        <f>H15</f>
        <v>106.85699999999997</v>
      </c>
      <c r="J15" s="104"/>
      <c r="K15" s="101"/>
      <c r="L15" s="102">
        <v>0</v>
      </c>
      <c r="M15" s="101">
        <v>1500</v>
      </c>
      <c r="N15" s="100"/>
      <c r="O15" s="99"/>
      <c r="P15" s="98" t="s">
        <v>205</v>
      </c>
    </row>
    <row r="16" spans="1:17" s="48" customFormat="1" ht="32.25" customHeight="1" x14ac:dyDescent="0.15">
      <c r="A16" s="104">
        <v>20170222</v>
      </c>
      <c r="B16" s="105" t="s">
        <v>101</v>
      </c>
      <c r="C16" s="116" t="s">
        <v>44</v>
      </c>
      <c r="D16" s="104"/>
      <c r="E16" s="104" t="s">
        <v>71</v>
      </c>
      <c r="F16" s="23" t="s">
        <v>153</v>
      </c>
      <c r="G16" s="104" t="s">
        <v>1</v>
      </c>
      <c r="H16" s="103">
        <f>[16]副本!G31</f>
        <v>0</v>
      </c>
      <c r="I16" s="103">
        <f>H16</f>
        <v>0</v>
      </c>
      <c r="J16" s="104"/>
      <c r="K16" s="101"/>
      <c r="L16" s="102"/>
      <c r="M16" s="101">
        <v>1500</v>
      </c>
      <c r="N16" s="100"/>
      <c r="O16" s="99"/>
      <c r="P16" s="121" t="s">
        <v>204</v>
      </c>
    </row>
    <row r="17" spans="1:17" s="48" customFormat="1" ht="32.25" customHeight="1" x14ac:dyDescent="0.15">
      <c r="A17" s="104">
        <v>20170222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[16]副本!G33-H18</f>
        <v>5610.8780000000188</v>
      </c>
      <c r="I17" s="103">
        <f>H17</f>
        <v>5610.8780000000188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293</v>
      </c>
    </row>
    <row r="18" spans="1:17" s="48" customFormat="1" ht="32.25" customHeight="1" x14ac:dyDescent="0.15">
      <c r="A18" s="104">
        <v>20170222</v>
      </c>
      <c r="B18" s="105" t="s">
        <v>99</v>
      </c>
      <c r="C18" s="116" t="s">
        <v>93</v>
      </c>
      <c r="D18" s="104"/>
      <c r="E18" s="104" t="s">
        <v>9</v>
      </c>
      <c r="F18" s="24" t="s">
        <v>175</v>
      </c>
      <c r="G18" s="104" t="s">
        <v>1</v>
      </c>
      <c r="H18" s="103">
        <f>[16]副本!G35</f>
        <v>12119.121999999981</v>
      </c>
      <c r="I18" s="103">
        <f>H18</f>
        <v>12119.121999999981</v>
      </c>
      <c r="J18" s="104"/>
      <c r="K18" s="101"/>
      <c r="L18" s="102">
        <f>H18-I18</f>
        <v>0</v>
      </c>
      <c r="M18" s="101">
        <v>21000</v>
      </c>
      <c r="N18" s="100" t="s">
        <v>90</v>
      </c>
      <c r="O18" s="99" t="s">
        <v>89</v>
      </c>
      <c r="P18" s="98" t="s">
        <v>97</v>
      </c>
    </row>
    <row r="19" spans="1:17" s="48" customFormat="1" ht="32.25" customHeight="1" x14ac:dyDescent="0.15">
      <c r="A19" s="104">
        <v>20170222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[16]副本!G37</f>
        <v>4224.8950000000004</v>
      </c>
      <c r="I19" s="103">
        <f>H19-3496.542+1000+2496.542-3122.825+3122.825</f>
        <v>4224.8950000000004</v>
      </c>
      <c r="J19" s="104"/>
      <c r="K19" s="101"/>
      <c r="L19" s="102">
        <f>H19-I19</f>
        <v>0</v>
      </c>
      <c r="M19" s="101">
        <v>5000</v>
      </c>
      <c r="N19" s="100"/>
      <c r="O19" s="99"/>
      <c r="P19" s="98" t="s">
        <v>292</v>
      </c>
    </row>
    <row r="20" spans="1:17" s="48" customFormat="1" ht="32.25" customHeight="1" x14ac:dyDescent="0.15">
      <c r="A20" s="104">
        <v>20170222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32.25" customHeight="1" x14ac:dyDescent="0.15">
      <c r="A21" s="104">
        <v>20170222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[16]副本!G41-'20170222'!H22</f>
        <v>1100.5454280000376</v>
      </c>
      <c r="I21" s="103">
        <f>H21</f>
        <v>1100.5454280000376</v>
      </c>
      <c r="J21" s="104"/>
      <c r="K21" s="101"/>
      <c r="L21" s="102">
        <f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32.25" customHeight="1" x14ac:dyDescent="0.15">
      <c r="A22" s="104">
        <v>20170222</v>
      </c>
      <c r="B22" s="105" t="s">
        <v>94</v>
      </c>
      <c r="C22" s="116" t="s">
        <v>93</v>
      </c>
      <c r="D22" s="104"/>
      <c r="E22" s="104" t="s">
        <v>9</v>
      </c>
      <c r="F22" s="24" t="s">
        <v>175</v>
      </c>
      <c r="G22" s="104" t="s">
        <v>1</v>
      </c>
      <c r="H22" s="103">
        <f>[16]副本!G43</f>
        <v>5216.4545719999624</v>
      </c>
      <c r="I22" s="103">
        <f>H22</f>
        <v>5216.4545719999624</v>
      </c>
      <c r="J22" s="104"/>
      <c r="K22" s="117"/>
      <c r="L22" s="102">
        <f>H22-I22</f>
        <v>0</v>
      </c>
      <c r="M22" s="101">
        <v>21000</v>
      </c>
      <c r="N22" s="100" t="s">
        <v>90</v>
      </c>
      <c r="O22" s="99" t="s">
        <v>89</v>
      </c>
      <c r="P22" s="98" t="s">
        <v>88</v>
      </c>
    </row>
    <row r="23" spans="1:17" s="48" customFormat="1" ht="32.25" customHeight="1" x14ac:dyDescent="0.15">
      <c r="A23" s="104">
        <v>20170222</v>
      </c>
      <c r="B23" s="105" t="s">
        <v>87</v>
      </c>
      <c r="C23" s="116" t="s">
        <v>44</v>
      </c>
      <c r="D23" s="104"/>
      <c r="E23" s="104" t="s">
        <v>86</v>
      </c>
      <c r="F23" s="23" t="s">
        <v>160</v>
      </c>
      <c r="G23" s="104" t="s">
        <v>1</v>
      </c>
      <c r="H23" s="103">
        <f>[16]副本!G45</f>
        <v>5300.851999999999</v>
      </c>
      <c r="I23" s="103">
        <f>H23</f>
        <v>5300.851999999999</v>
      </c>
      <c r="J23" s="104"/>
      <c r="K23" s="101">
        <v>450</v>
      </c>
      <c r="L23" s="102">
        <f>H23-I23</f>
        <v>0</v>
      </c>
      <c r="M23" s="101">
        <v>5000</v>
      </c>
      <c r="N23" s="100"/>
      <c r="O23" s="99"/>
      <c r="P23" s="98" t="s">
        <v>291</v>
      </c>
    </row>
    <row r="24" spans="1:17" s="48" customFormat="1" ht="32.25" customHeight="1" x14ac:dyDescent="0.15">
      <c r="A24" s="104">
        <v>20170222</v>
      </c>
      <c r="B24" s="105" t="s">
        <v>84</v>
      </c>
      <c r="C24" s="116" t="s">
        <v>3</v>
      </c>
      <c r="D24" s="104"/>
      <c r="E24" s="98"/>
      <c r="F24" s="104"/>
      <c r="G24" s="104"/>
      <c r="H24" s="103"/>
      <c r="I24" s="103"/>
      <c r="J24" s="104"/>
      <c r="K24" s="101"/>
      <c r="L24" s="102"/>
      <c r="M24" s="101">
        <v>5000</v>
      </c>
      <c r="N24" s="100"/>
      <c r="O24" s="99"/>
      <c r="P24" s="120"/>
    </row>
    <row r="25" spans="1:17" s="48" customFormat="1" ht="32.25" customHeight="1" x14ac:dyDescent="0.15">
      <c r="A25" s="104">
        <v>20170222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[16]副本!G49</f>
        <v>1442.2679999999996</v>
      </c>
      <c r="I25" s="103">
        <f>H25</f>
        <v>1442.2679999999996</v>
      </c>
      <c r="J25" s="104"/>
      <c r="K25" s="101">
        <v>1300</v>
      </c>
      <c r="L25" s="102">
        <f>H25-I25</f>
        <v>0</v>
      </c>
      <c r="M25" s="101">
        <v>5000</v>
      </c>
      <c r="N25" s="100"/>
      <c r="O25" s="99"/>
      <c r="P25" s="98" t="s">
        <v>285</v>
      </c>
    </row>
    <row r="26" spans="1:17" s="48" customFormat="1" ht="32.25" customHeight="1" x14ac:dyDescent="0.15">
      <c r="A26" s="104">
        <v>20170222</v>
      </c>
      <c r="B26" s="105" t="s">
        <v>81</v>
      </c>
      <c r="C26" s="116" t="s">
        <v>44</v>
      </c>
      <c r="D26" s="104"/>
      <c r="E26" s="104" t="s">
        <v>203</v>
      </c>
      <c r="F26" s="104" t="s">
        <v>276</v>
      </c>
      <c r="G26" s="104" t="s">
        <v>1</v>
      </c>
      <c r="H26" s="103">
        <f>[16]副本!G50</f>
        <v>981.86400000000003</v>
      </c>
      <c r="I26" s="103">
        <f>H26</f>
        <v>981.86400000000003</v>
      </c>
      <c r="J26" s="104"/>
      <c r="K26" s="101"/>
      <c r="L26" s="102">
        <f>H26-I26</f>
        <v>0</v>
      </c>
      <c r="M26" s="101">
        <v>5000</v>
      </c>
      <c r="N26" s="100"/>
      <c r="O26" s="99"/>
      <c r="P26" s="98" t="s">
        <v>285</v>
      </c>
    </row>
    <row r="27" spans="1:17" s="48" customFormat="1" ht="32.25" customHeight="1" x14ac:dyDescent="0.15">
      <c r="A27" s="104">
        <v>20170222</v>
      </c>
      <c r="B27" s="105" t="s">
        <v>80</v>
      </c>
      <c r="C27" s="116" t="s">
        <v>44</v>
      </c>
      <c r="D27" s="104"/>
      <c r="E27" s="104" t="s">
        <v>43</v>
      </c>
      <c r="F27" s="23" t="s">
        <v>157</v>
      </c>
      <c r="G27" s="104" t="s">
        <v>1</v>
      </c>
      <c r="H27" s="103">
        <f>[16]副本!G53</f>
        <v>2144.2040000000002</v>
      </c>
      <c r="I27" s="103">
        <f>H27</f>
        <v>2144.2040000000002</v>
      </c>
      <c r="J27" s="104"/>
      <c r="K27" s="101"/>
      <c r="L27" s="102">
        <f>H27-I27</f>
        <v>0</v>
      </c>
      <c r="M27" s="101">
        <v>4000</v>
      </c>
      <c r="N27" s="100"/>
      <c r="O27" s="99"/>
      <c r="P27" s="98"/>
    </row>
    <row r="28" spans="1:17" s="48" customFormat="1" ht="32.25" customHeight="1" x14ac:dyDescent="0.15">
      <c r="A28" s="104">
        <v>20170222</v>
      </c>
      <c r="B28" s="105" t="s">
        <v>79</v>
      </c>
      <c r="C28" s="116" t="s">
        <v>74</v>
      </c>
      <c r="D28" s="104" t="s">
        <v>5</v>
      </c>
      <c r="E28" s="104" t="s">
        <v>266</v>
      </c>
      <c r="F28" s="104" t="s">
        <v>271</v>
      </c>
      <c r="G28" s="104"/>
      <c r="H28" s="103">
        <f>[16]副本!G55</f>
        <v>4007.2739999999999</v>
      </c>
      <c r="I28" s="103">
        <f>H28-4007.274</f>
        <v>0</v>
      </c>
      <c r="J28" s="104"/>
      <c r="K28" s="101"/>
      <c r="L28" s="102">
        <f>H28-I28</f>
        <v>4007.2739999999999</v>
      </c>
      <c r="M28" s="101">
        <v>5000</v>
      </c>
      <c r="N28" s="100"/>
      <c r="O28" s="99"/>
      <c r="P28" s="98" t="s">
        <v>274</v>
      </c>
    </row>
    <row r="29" spans="1:17" s="48" customFormat="1" ht="32.25" customHeight="1" x14ac:dyDescent="0.15">
      <c r="A29" s="104">
        <v>20170222</v>
      </c>
      <c r="B29" s="105" t="s">
        <v>78</v>
      </c>
      <c r="C29" s="116" t="s">
        <v>74</v>
      </c>
      <c r="D29" s="104"/>
      <c r="E29" s="104"/>
      <c r="F29" s="104"/>
      <c r="G29" s="104"/>
      <c r="H29" s="103"/>
      <c r="I29" s="103"/>
      <c r="J29" s="104"/>
      <c r="K29" s="101"/>
      <c r="L29" s="102"/>
      <c r="M29" s="101">
        <v>2000</v>
      </c>
      <c r="N29" s="100"/>
      <c r="O29" s="99"/>
      <c r="P29" s="98"/>
    </row>
    <row r="30" spans="1:17" s="48" customFormat="1" ht="32.25" customHeight="1" x14ac:dyDescent="0.15">
      <c r="A30" s="104">
        <v>20170222</v>
      </c>
      <c r="B30" s="105" t="s">
        <v>77</v>
      </c>
      <c r="C30" s="116" t="s">
        <v>74</v>
      </c>
      <c r="D30" s="104"/>
      <c r="E30" s="104" t="s">
        <v>32</v>
      </c>
      <c r="F30" s="23" t="s">
        <v>153</v>
      </c>
      <c r="G30" s="104" t="s">
        <v>1</v>
      </c>
      <c r="H30" s="103">
        <f>[16]副本!G61</f>
        <v>1098.6790000000001</v>
      </c>
      <c r="I30" s="103">
        <f>H30-1098.679+1098.679</f>
        <v>1098.6790000000001</v>
      </c>
      <c r="J30" s="104"/>
      <c r="K30" s="101"/>
      <c r="L30" s="102">
        <f>H30-I30</f>
        <v>0</v>
      </c>
      <c r="M30" s="101">
        <v>1500</v>
      </c>
      <c r="N30" s="100"/>
      <c r="O30" s="99"/>
      <c r="P30" s="98" t="s">
        <v>290</v>
      </c>
    </row>
    <row r="31" spans="1:17" s="48" customFormat="1" ht="32.25" customHeight="1" x14ac:dyDescent="0.15">
      <c r="A31" s="104">
        <v>20170222</v>
      </c>
      <c r="B31" s="105" t="s">
        <v>76</v>
      </c>
      <c r="C31" s="116" t="s">
        <v>74</v>
      </c>
      <c r="D31" s="104"/>
      <c r="E31" s="104"/>
      <c r="F31" s="104"/>
      <c r="G31" s="104"/>
      <c r="H31" s="103"/>
      <c r="I31" s="103"/>
      <c r="J31" s="104"/>
      <c r="K31" s="101"/>
      <c r="L31" s="102"/>
      <c r="M31" s="101">
        <v>1500</v>
      </c>
      <c r="N31" s="100"/>
      <c r="O31" s="99"/>
      <c r="P31" s="98"/>
      <c r="Q31" s="49"/>
    </row>
    <row r="32" spans="1:17" s="48" customFormat="1" ht="32.25" customHeight="1" x14ac:dyDescent="0.15">
      <c r="A32" s="104">
        <v>20170222</v>
      </c>
      <c r="B32" s="105" t="s">
        <v>75</v>
      </c>
      <c r="C32" s="116" t="s">
        <v>74</v>
      </c>
      <c r="D32" s="104"/>
      <c r="E32" s="104" t="s">
        <v>32</v>
      </c>
      <c r="F32" s="23" t="s">
        <v>153</v>
      </c>
      <c r="G32" s="104" t="s">
        <v>1</v>
      </c>
      <c r="H32" s="103">
        <f>[16]副本!G65</f>
        <v>1096.2820000000002</v>
      </c>
      <c r="I32" s="103">
        <f>H32-1096.282+1096.282</f>
        <v>1096.2820000000002</v>
      </c>
      <c r="J32" s="104"/>
      <c r="K32" s="101"/>
      <c r="L32" s="102">
        <f>H32-I32</f>
        <v>0</v>
      </c>
      <c r="M32" s="101">
        <v>1500</v>
      </c>
      <c r="N32" s="100"/>
      <c r="O32" s="99"/>
      <c r="P32" s="98" t="s">
        <v>289</v>
      </c>
    </row>
    <row r="33" spans="1:16" s="48" customFormat="1" ht="32.25" customHeight="1" x14ac:dyDescent="0.15">
      <c r="A33" s="104">
        <v>20170222</v>
      </c>
      <c r="B33" s="105" t="s">
        <v>73</v>
      </c>
      <c r="C33" s="116" t="s">
        <v>44</v>
      </c>
      <c r="D33" s="104"/>
      <c r="E33" s="104"/>
      <c r="F33" s="104"/>
      <c r="G33" s="104"/>
      <c r="H33" s="103"/>
      <c r="I33" s="103"/>
      <c r="J33" s="104"/>
      <c r="K33" s="101"/>
      <c r="L33" s="102"/>
      <c r="M33" s="101">
        <v>1500</v>
      </c>
      <c r="N33" s="100"/>
      <c r="O33" s="99"/>
      <c r="P33" s="98"/>
    </row>
    <row r="34" spans="1:16" s="48" customFormat="1" ht="32.25" customHeight="1" x14ac:dyDescent="0.15">
      <c r="A34" s="104">
        <v>20170222</v>
      </c>
      <c r="B34" s="105" t="s">
        <v>72</v>
      </c>
      <c r="C34" s="116" t="s">
        <v>44</v>
      </c>
      <c r="D34" s="104"/>
      <c r="E34" s="104" t="s">
        <v>71</v>
      </c>
      <c r="F34" s="23" t="s">
        <v>154</v>
      </c>
      <c r="G34" s="104" t="s">
        <v>1</v>
      </c>
      <c r="H34" s="104">
        <f>[16]副本!G69</f>
        <v>842.57000000000028</v>
      </c>
      <c r="I34" s="103">
        <f>H34-1035.099+1035.099</f>
        <v>842.57000000000028</v>
      </c>
      <c r="J34" s="104"/>
      <c r="K34" s="101">
        <v>50</v>
      </c>
      <c r="L34" s="102">
        <f>H34-I34</f>
        <v>0</v>
      </c>
      <c r="M34" s="101">
        <v>2000</v>
      </c>
      <c r="N34" s="100"/>
      <c r="O34" s="99"/>
      <c r="P34" s="98" t="s">
        <v>221</v>
      </c>
    </row>
    <row r="35" spans="1:16" s="48" customFormat="1" ht="32.25" customHeight="1" x14ac:dyDescent="0.15">
      <c r="A35" s="104">
        <v>20170222</v>
      </c>
      <c r="B35" s="105" t="s">
        <v>69</v>
      </c>
      <c r="C35" s="116" t="s">
        <v>44</v>
      </c>
      <c r="D35" s="104" t="s">
        <v>5</v>
      </c>
      <c r="E35" s="104" t="s">
        <v>68</v>
      </c>
      <c r="F35" s="23" t="s">
        <v>162</v>
      </c>
      <c r="G35" s="104" t="s">
        <v>1</v>
      </c>
      <c r="H35" s="103">
        <f>[16]副本!G71</f>
        <v>557.34299999999985</v>
      </c>
      <c r="I35" s="103">
        <f>H35-1037.023+500+537.023</f>
        <v>557.34299999999996</v>
      </c>
      <c r="J35" s="104"/>
      <c r="K35" s="101">
        <v>100</v>
      </c>
      <c r="L35" s="102">
        <f>H35-I35</f>
        <v>0</v>
      </c>
      <c r="M35" s="101">
        <v>3000</v>
      </c>
      <c r="N35" s="100"/>
      <c r="O35" s="99"/>
      <c r="P35" s="110" t="s">
        <v>288</v>
      </c>
    </row>
    <row r="36" spans="1:16" s="48" customFormat="1" ht="32.25" customHeight="1" x14ac:dyDescent="0.15">
      <c r="A36" s="104">
        <v>20170222</v>
      </c>
      <c r="B36" s="105" t="s">
        <v>66</v>
      </c>
      <c r="C36" s="116" t="s">
        <v>44</v>
      </c>
      <c r="D36" s="104" t="s">
        <v>5</v>
      </c>
      <c r="E36" s="104" t="s">
        <v>61</v>
      </c>
      <c r="F36" s="23" t="s">
        <v>159</v>
      </c>
      <c r="G36" s="104" t="s">
        <v>1</v>
      </c>
      <c r="H36" s="103">
        <f>[16]副本!G73</f>
        <v>2002.9199999999992</v>
      </c>
      <c r="I36" s="103">
        <f>H36-3607.546+2050+1050+507.546-1553.792+1553.792</f>
        <v>2002.9199999999994</v>
      </c>
      <c r="J36" s="104"/>
      <c r="K36" s="101"/>
      <c r="L36" s="102">
        <f>H36-I36</f>
        <v>0</v>
      </c>
      <c r="M36" s="101">
        <v>4000</v>
      </c>
      <c r="N36" s="100"/>
      <c r="O36" s="99"/>
      <c r="P36" s="98" t="s">
        <v>65</v>
      </c>
    </row>
    <row r="37" spans="1:16" s="48" customFormat="1" ht="32.25" customHeight="1" x14ac:dyDescent="0.15">
      <c r="A37" s="104">
        <v>20170222</v>
      </c>
      <c r="B37" s="105" t="s">
        <v>64</v>
      </c>
      <c r="C37" s="116" t="s">
        <v>3</v>
      </c>
      <c r="D37" s="104"/>
      <c r="E37" s="104"/>
      <c r="F37" s="104"/>
      <c r="G37" s="104"/>
      <c r="H37" s="103"/>
      <c r="I37" s="103"/>
      <c r="J37" s="104"/>
      <c r="K37" s="101"/>
      <c r="L37" s="102"/>
      <c r="M37" s="101">
        <v>5000</v>
      </c>
      <c r="N37" s="100"/>
      <c r="O37" s="99"/>
      <c r="P37" s="98"/>
    </row>
    <row r="38" spans="1:16" s="48" customFormat="1" ht="32.25" customHeight="1" x14ac:dyDescent="0.15">
      <c r="A38" s="104">
        <v>20170222</v>
      </c>
      <c r="B38" s="105" t="s">
        <v>63</v>
      </c>
      <c r="C38" s="116" t="s">
        <v>44</v>
      </c>
      <c r="D38" s="104" t="s">
        <v>5</v>
      </c>
      <c r="E38" s="104" t="s">
        <v>61</v>
      </c>
      <c r="F38" s="23" t="s">
        <v>159</v>
      </c>
      <c r="G38" s="104" t="s">
        <v>1</v>
      </c>
      <c r="H38" s="103">
        <f>[16]副本!G77</f>
        <v>4104.3560000000534</v>
      </c>
      <c r="I38" s="103">
        <f>H38-955.747+477.874+477.873-1042.865-2628.137+500+542.865+2102.57+525.567-499.112-3147.566+2100+525+525+496.678-2617.899+1574.891+523.692-522.622+522.622-2589.467+523.692-499.362+517.893-1051.409+499.362</f>
        <v>985.74900000005346</v>
      </c>
      <c r="J38" s="104"/>
      <c r="K38" s="101"/>
      <c r="L38" s="102">
        <f>H38-I38</f>
        <v>3118.607</v>
      </c>
      <c r="M38" s="101">
        <v>5000</v>
      </c>
      <c r="N38" s="100"/>
      <c r="O38" s="99"/>
      <c r="P38" s="98" t="s">
        <v>287</v>
      </c>
    </row>
    <row r="39" spans="1:16" s="48" customFormat="1" ht="32.25" customHeight="1" x14ac:dyDescent="0.15">
      <c r="A39" s="104">
        <v>20170222</v>
      </c>
      <c r="B39" s="105" t="s">
        <v>63</v>
      </c>
      <c r="C39" s="116" t="s">
        <v>44</v>
      </c>
      <c r="D39" s="104" t="s">
        <v>5</v>
      </c>
      <c r="E39" s="104" t="s">
        <v>61</v>
      </c>
      <c r="F39" s="23" t="s">
        <v>163</v>
      </c>
      <c r="G39" s="104" t="s">
        <v>1</v>
      </c>
      <c r="H39" s="103">
        <f>[16]副本!G78</f>
        <v>214.19800000000043</v>
      </c>
      <c r="I39" s="103">
        <f>H39</f>
        <v>214.19800000000043</v>
      </c>
      <c r="J39" s="104"/>
      <c r="K39" s="101"/>
      <c r="L39" s="102">
        <f>H39-I39</f>
        <v>0</v>
      </c>
      <c r="M39" s="101"/>
      <c r="N39" s="100"/>
      <c r="O39" s="99"/>
      <c r="P39" s="98" t="s">
        <v>236</v>
      </c>
    </row>
    <row r="40" spans="1:16" s="48" customFormat="1" ht="32.25" customHeight="1" x14ac:dyDescent="0.15">
      <c r="A40" s="104">
        <v>20170222</v>
      </c>
      <c r="B40" s="105" t="s">
        <v>59</v>
      </c>
      <c r="C40" s="116" t="s">
        <v>19</v>
      </c>
      <c r="D40" s="104"/>
      <c r="E40" s="104" t="s">
        <v>32</v>
      </c>
      <c r="F40" s="23" t="s">
        <v>161</v>
      </c>
      <c r="G40" s="104" t="s">
        <v>1</v>
      </c>
      <c r="H40" s="103">
        <f>[16]副本!G80</f>
        <v>31.463999999997668</v>
      </c>
      <c r="I40" s="103">
        <f>H40-2564.978+2564.978</f>
        <v>31.463999999997668</v>
      </c>
      <c r="J40" s="104"/>
      <c r="K40" s="101"/>
      <c r="L40" s="102">
        <f>H40-I40</f>
        <v>0</v>
      </c>
      <c r="M40" s="101">
        <v>4000</v>
      </c>
      <c r="N40" s="100"/>
      <c r="O40" s="99"/>
      <c r="P40" s="98" t="s">
        <v>58</v>
      </c>
    </row>
    <row r="41" spans="1:16" s="48" customFormat="1" ht="32.25" customHeight="1" x14ac:dyDescent="0.15">
      <c r="A41" s="104">
        <v>20170222</v>
      </c>
      <c r="B41" s="105" t="s">
        <v>59</v>
      </c>
      <c r="C41" s="116" t="s">
        <v>19</v>
      </c>
      <c r="D41" s="104"/>
      <c r="E41" s="104" t="s">
        <v>32</v>
      </c>
      <c r="F41" s="23" t="s">
        <v>153</v>
      </c>
      <c r="G41" s="104" t="s">
        <v>1</v>
      </c>
      <c r="H41" s="103">
        <f>[16]副本!G83</f>
        <v>2564.9780000000001</v>
      </c>
      <c r="I41" s="103">
        <f>H41</f>
        <v>2564.9780000000001</v>
      </c>
      <c r="J41" s="104"/>
      <c r="K41" s="101"/>
      <c r="L41" s="102"/>
      <c r="M41" s="101">
        <v>4000</v>
      </c>
      <c r="N41" s="100"/>
      <c r="O41" s="99"/>
      <c r="P41" s="98" t="s">
        <v>286</v>
      </c>
    </row>
    <row r="42" spans="1:16" s="48" customFormat="1" ht="32.25" customHeight="1" x14ac:dyDescent="0.15">
      <c r="A42" s="104">
        <v>20170222</v>
      </c>
      <c r="B42" s="105" t="s">
        <v>56</v>
      </c>
      <c r="C42" s="116" t="s">
        <v>19</v>
      </c>
      <c r="D42" s="104"/>
      <c r="E42" s="104"/>
      <c r="F42" s="104"/>
      <c r="G42" s="104"/>
      <c r="H42" s="103"/>
      <c r="I42" s="103"/>
      <c r="J42" s="104"/>
      <c r="K42" s="101"/>
      <c r="L42" s="102"/>
      <c r="M42" s="101">
        <v>2000</v>
      </c>
      <c r="N42" s="100"/>
      <c r="O42" s="99"/>
      <c r="P42" s="98"/>
    </row>
    <row r="43" spans="1:16" s="48" customFormat="1" ht="32.25" customHeight="1" x14ac:dyDescent="0.15">
      <c r="A43" s="104">
        <v>20170222</v>
      </c>
      <c r="B43" s="105" t="s">
        <v>55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[16]副本!G87</f>
        <v>1723.211</v>
      </c>
      <c r="I43" s="103">
        <f>H43</f>
        <v>1723.211</v>
      </c>
      <c r="J43" s="104"/>
      <c r="K43" s="101"/>
      <c r="L43" s="102">
        <f>H43-I43</f>
        <v>0</v>
      </c>
      <c r="M43" s="101">
        <v>3000</v>
      </c>
      <c r="N43" s="100"/>
      <c r="O43" s="99"/>
      <c r="P43" s="98" t="s">
        <v>285</v>
      </c>
    </row>
    <row r="44" spans="1:16" s="48" customFormat="1" ht="32.25" customHeight="1" x14ac:dyDescent="0.15">
      <c r="A44" s="104">
        <v>20170222</v>
      </c>
      <c r="B44" s="105" t="s">
        <v>54</v>
      </c>
      <c r="C44" s="116" t="s">
        <v>19</v>
      </c>
      <c r="D44" s="104"/>
      <c r="E44" s="104" t="s">
        <v>32</v>
      </c>
      <c r="F44" s="23" t="s">
        <v>161</v>
      </c>
      <c r="G44" s="104" t="s">
        <v>1</v>
      </c>
      <c r="H44" s="103">
        <f>[16]副本!G89</f>
        <v>111.61999999999989</v>
      </c>
      <c r="I44" s="103">
        <f>H44</f>
        <v>111.61999999999989</v>
      </c>
      <c r="J44" s="104"/>
      <c r="K44" s="102"/>
      <c r="L44" s="102">
        <f>H44-I44</f>
        <v>0</v>
      </c>
      <c r="M44" s="101">
        <v>5000</v>
      </c>
      <c r="N44" s="109"/>
      <c r="O44" s="99"/>
      <c r="P44" s="98" t="s">
        <v>284</v>
      </c>
    </row>
    <row r="45" spans="1:16" s="48" customFormat="1" ht="32.25" customHeight="1" x14ac:dyDescent="0.15">
      <c r="A45" s="104">
        <v>20170222</v>
      </c>
      <c r="B45" s="105" t="s">
        <v>54</v>
      </c>
      <c r="C45" s="116" t="s">
        <v>19</v>
      </c>
      <c r="D45" s="104"/>
      <c r="E45" s="104" t="s">
        <v>32</v>
      </c>
      <c r="F45" s="23" t="s">
        <v>153</v>
      </c>
      <c r="G45" s="104" t="s">
        <v>1</v>
      </c>
      <c r="H45" s="103">
        <f>[16]副本!G91</f>
        <v>2318.136</v>
      </c>
      <c r="I45" s="103">
        <f>H45</f>
        <v>2318.136</v>
      </c>
      <c r="J45" s="104"/>
      <c r="K45" s="102"/>
      <c r="L45" s="102">
        <f>H45-I45</f>
        <v>0</v>
      </c>
      <c r="M45" s="101">
        <v>5000</v>
      </c>
      <c r="N45" s="109"/>
      <c r="O45" s="99"/>
      <c r="P45" s="98"/>
    </row>
    <row r="46" spans="1:16" s="48" customFormat="1" ht="32.25" customHeight="1" x14ac:dyDescent="0.15">
      <c r="A46" s="104">
        <v>20170222</v>
      </c>
      <c r="B46" s="105" t="s">
        <v>52</v>
      </c>
      <c r="C46" s="116" t="s">
        <v>44</v>
      </c>
      <c r="D46" s="104"/>
      <c r="E46" s="104"/>
      <c r="F46" s="104"/>
      <c r="G46" s="104"/>
      <c r="H46" s="103"/>
      <c r="I46" s="103"/>
      <c r="J46" s="104"/>
      <c r="K46" s="101"/>
      <c r="L46" s="102"/>
      <c r="M46" s="101">
        <v>5000</v>
      </c>
      <c r="N46" s="100"/>
      <c r="O46" s="99"/>
      <c r="P46" s="98"/>
    </row>
    <row r="47" spans="1:16" s="48" customFormat="1" ht="32.25" customHeight="1" x14ac:dyDescent="0.15">
      <c r="A47" s="104">
        <v>20170222</v>
      </c>
      <c r="B47" s="105" t="s">
        <v>51</v>
      </c>
      <c r="C47" s="116" t="s">
        <v>44</v>
      </c>
      <c r="D47" s="104"/>
      <c r="E47" s="104" t="s">
        <v>50</v>
      </c>
      <c r="F47" s="23" t="s">
        <v>152</v>
      </c>
      <c r="G47" s="104" t="s">
        <v>1</v>
      </c>
      <c r="H47" s="103">
        <f>[16]副本!G95</f>
        <v>2006.1080000000002</v>
      </c>
      <c r="I47" s="103">
        <f>H47-1021.25+1021.25</f>
        <v>2006.1080000000002</v>
      </c>
      <c r="J47" s="104"/>
      <c r="K47" s="101">
        <v>100</v>
      </c>
      <c r="L47" s="102">
        <f>H47-I47</f>
        <v>0</v>
      </c>
      <c r="M47" s="101">
        <v>5000</v>
      </c>
      <c r="N47" s="100"/>
      <c r="O47" s="99"/>
      <c r="P47" s="98" t="s">
        <v>234</v>
      </c>
    </row>
    <row r="48" spans="1:16" s="48" customFormat="1" ht="32.25" customHeight="1" x14ac:dyDescent="0.15">
      <c r="A48" s="104">
        <v>20170222</v>
      </c>
      <c r="B48" s="105" t="s">
        <v>51</v>
      </c>
      <c r="C48" s="116" t="s">
        <v>44</v>
      </c>
      <c r="D48" s="104"/>
      <c r="E48" s="104" t="s">
        <v>50</v>
      </c>
      <c r="F48" s="23" t="s">
        <v>148</v>
      </c>
      <c r="G48" s="104" t="s">
        <v>1</v>
      </c>
      <c r="H48" s="103">
        <f>[16]副本!G96</f>
        <v>1000</v>
      </c>
      <c r="I48" s="103">
        <f>H48</f>
        <v>1000</v>
      </c>
      <c r="J48" s="104"/>
      <c r="K48" s="101"/>
      <c r="L48" s="102"/>
      <c r="M48" s="101">
        <v>5000</v>
      </c>
      <c r="N48" s="100"/>
      <c r="O48" s="99"/>
      <c r="P48" s="98" t="s">
        <v>49</v>
      </c>
    </row>
    <row r="49" spans="1:17" s="48" customFormat="1" ht="32.25" customHeight="1" x14ac:dyDescent="0.15">
      <c r="A49" s="104">
        <v>20170222</v>
      </c>
      <c r="B49" s="105" t="s">
        <v>48</v>
      </c>
      <c r="C49" s="116" t="s">
        <v>44</v>
      </c>
      <c r="D49" s="104"/>
      <c r="E49" s="104" t="s">
        <v>43</v>
      </c>
      <c r="F49" s="23" t="s">
        <v>157</v>
      </c>
      <c r="G49" s="104" t="s">
        <v>1</v>
      </c>
      <c r="H49" s="103">
        <f>[16]副本!G98</f>
        <v>2.4439999999940483</v>
      </c>
      <c r="I49" s="103">
        <f>H49</f>
        <v>2.4439999999940483</v>
      </c>
      <c r="J49" s="104"/>
      <c r="K49" s="102"/>
      <c r="L49" s="102">
        <f>H49-I49</f>
        <v>0</v>
      </c>
      <c r="M49" s="101">
        <v>2000</v>
      </c>
      <c r="N49" s="100"/>
      <c r="O49" s="99"/>
      <c r="P49" s="98"/>
    </row>
    <row r="50" spans="1:17" s="48" customFormat="1" ht="32.25" customHeight="1" x14ac:dyDescent="0.15">
      <c r="A50" s="104">
        <v>20170222</v>
      </c>
      <c r="B50" s="105" t="s">
        <v>47</v>
      </c>
      <c r="C50" s="116" t="s">
        <v>19</v>
      </c>
      <c r="D50" s="104" t="s">
        <v>5</v>
      </c>
      <c r="E50" s="104" t="s">
        <v>27</v>
      </c>
      <c r="F50" s="23" t="s">
        <v>165</v>
      </c>
      <c r="G50" s="104" t="s">
        <v>1</v>
      </c>
      <c r="H50" s="103">
        <f>[16]副本!G100</f>
        <v>1013.1140000000005</v>
      </c>
      <c r="I50" s="103">
        <v>0</v>
      </c>
      <c r="J50" s="104"/>
      <c r="K50" s="101"/>
      <c r="L50" s="102">
        <f>H50-I50</f>
        <v>1013.1140000000005</v>
      </c>
      <c r="M50" s="101">
        <v>10000</v>
      </c>
      <c r="N50" s="100"/>
      <c r="O50" s="99"/>
      <c r="P50" s="98"/>
    </row>
    <row r="51" spans="1:17" s="48" customFormat="1" ht="32.25" customHeight="1" x14ac:dyDescent="0.15">
      <c r="A51" s="104">
        <v>20170222</v>
      </c>
      <c r="B51" s="105" t="s">
        <v>46</v>
      </c>
      <c r="C51" s="116" t="s">
        <v>19</v>
      </c>
      <c r="D51" s="104" t="s">
        <v>5</v>
      </c>
      <c r="E51" s="104" t="s">
        <v>27</v>
      </c>
      <c r="F51" s="23" t="s">
        <v>165</v>
      </c>
      <c r="G51" s="104" t="s">
        <v>1</v>
      </c>
      <c r="H51" s="103">
        <f>[16]副本!G102</f>
        <v>4217.264000000001</v>
      </c>
      <c r="I51" s="103">
        <v>0</v>
      </c>
      <c r="J51" s="104"/>
      <c r="K51" s="101"/>
      <c r="L51" s="102">
        <v>0</v>
      </c>
      <c r="M51" s="101">
        <v>10000</v>
      </c>
      <c r="N51" s="100"/>
      <c r="O51" s="99"/>
      <c r="P51" s="98"/>
    </row>
    <row r="52" spans="1:17" s="48" customFormat="1" ht="32.25" customHeight="1" x14ac:dyDescent="0.15">
      <c r="A52" s="104">
        <v>20170222</v>
      </c>
      <c r="B52" s="105" t="s">
        <v>45</v>
      </c>
      <c r="C52" s="116" t="s">
        <v>44</v>
      </c>
      <c r="D52" s="104"/>
      <c r="E52" s="104" t="s">
        <v>43</v>
      </c>
      <c r="F52" s="23" t="s">
        <v>166</v>
      </c>
      <c r="G52" s="104" t="s">
        <v>1</v>
      </c>
      <c r="H52" s="103">
        <f>[16]副本!G104</f>
        <v>899.91500000000633</v>
      </c>
      <c r="I52" s="103">
        <f>H52</f>
        <v>899.91500000000633</v>
      </c>
      <c r="J52" s="104"/>
      <c r="K52" s="102"/>
      <c r="L52" s="102">
        <v>0</v>
      </c>
      <c r="M52" s="101">
        <v>5000</v>
      </c>
      <c r="N52" s="107" t="s">
        <v>42</v>
      </c>
      <c r="O52" s="106" t="s">
        <v>41</v>
      </c>
      <c r="P52" s="98" t="s">
        <v>146</v>
      </c>
    </row>
    <row r="53" spans="1:17" s="48" customFormat="1" ht="32.25" customHeight="1" x14ac:dyDescent="0.15">
      <c r="A53" s="104">
        <v>20170222</v>
      </c>
      <c r="B53" s="105" t="s">
        <v>39</v>
      </c>
      <c r="C53" s="116" t="s">
        <v>19</v>
      </c>
      <c r="D53" s="104"/>
      <c r="E53" s="104"/>
      <c r="F53" s="104"/>
      <c r="G53" s="104"/>
      <c r="H53" s="103"/>
      <c r="I53" s="103"/>
      <c r="J53" s="104"/>
      <c r="K53" s="101"/>
      <c r="L53" s="102"/>
      <c r="M53" s="101">
        <v>3000</v>
      </c>
      <c r="N53" s="100"/>
      <c r="O53" s="99"/>
      <c r="P53" s="98"/>
    </row>
    <row r="54" spans="1:17" s="48" customFormat="1" ht="32.25" customHeight="1" x14ac:dyDescent="0.15">
      <c r="A54" s="104">
        <v>20170222</v>
      </c>
      <c r="B54" s="105" t="s">
        <v>38</v>
      </c>
      <c r="C54" s="116" t="s">
        <v>19</v>
      </c>
      <c r="D54" s="104" t="s">
        <v>5</v>
      </c>
      <c r="E54" s="104" t="s">
        <v>27</v>
      </c>
      <c r="F54" s="23" t="s">
        <v>165</v>
      </c>
      <c r="G54" s="104" t="s">
        <v>22</v>
      </c>
      <c r="H54" s="103">
        <f>[16]副本!G108</f>
        <v>12742.686000000002</v>
      </c>
      <c r="I54" s="103">
        <v>0</v>
      </c>
      <c r="J54" s="104"/>
      <c r="K54" s="101"/>
      <c r="L54" s="102">
        <f>H54-I54</f>
        <v>12742.686000000002</v>
      </c>
      <c r="M54" s="101">
        <v>25000</v>
      </c>
      <c r="N54" s="100" t="s">
        <v>37</v>
      </c>
      <c r="O54" s="99" t="s">
        <v>36</v>
      </c>
      <c r="P54" s="98" t="s">
        <v>35</v>
      </c>
    </row>
    <row r="55" spans="1:17" s="48" customFormat="1" ht="32.25" customHeight="1" x14ac:dyDescent="0.15">
      <c r="A55" s="104">
        <v>20170222</v>
      </c>
      <c r="B55" s="105" t="s">
        <v>34</v>
      </c>
      <c r="C55" s="116" t="s">
        <v>19</v>
      </c>
      <c r="D55" s="104" t="s">
        <v>5</v>
      </c>
      <c r="E55" s="104" t="s">
        <v>27</v>
      </c>
      <c r="F55" s="23" t="s">
        <v>167</v>
      </c>
      <c r="G55" s="104" t="s">
        <v>22</v>
      </c>
      <c r="H55" s="103">
        <f>[16]副本!G110</f>
        <v>27967.621000000079</v>
      </c>
      <c r="I55" s="103">
        <v>0</v>
      </c>
      <c r="J55" s="104"/>
      <c r="K55" s="101"/>
      <c r="L55" s="102">
        <f>H55-I55</f>
        <v>27967.621000000079</v>
      </c>
      <c r="M55" s="101">
        <v>50000</v>
      </c>
      <c r="N55" s="100"/>
      <c r="O55" s="99"/>
      <c r="P55" s="98"/>
    </row>
    <row r="56" spans="1:17" s="48" customFormat="1" ht="32.25" customHeight="1" x14ac:dyDescent="0.15">
      <c r="A56" s="104">
        <v>20170222</v>
      </c>
      <c r="B56" s="105" t="s">
        <v>33</v>
      </c>
      <c r="C56" s="116" t="s">
        <v>19</v>
      </c>
      <c r="D56" s="104"/>
      <c r="E56" s="104"/>
      <c r="F56" s="80"/>
      <c r="G56" s="104"/>
      <c r="H56" s="103"/>
      <c r="I56" s="103"/>
      <c r="J56" s="104"/>
      <c r="K56" s="101"/>
      <c r="L56" s="102">
        <f>H56-I56</f>
        <v>0</v>
      </c>
      <c r="M56" s="101">
        <v>4000</v>
      </c>
      <c r="N56" s="100"/>
      <c r="O56" s="99"/>
      <c r="P56" s="98"/>
    </row>
    <row r="57" spans="1:17" s="48" customFormat="1" ht="32.25" customHeight="1" x14ac:dyDescent="0.15">
      <c r="A57" s="104">
        <v>20170222</v>
      </c>
      <c r="B57" s="105" t="s">
        <v>30</v>
      </c>
      <c r="C57" s="116" t="s">
        <v>3</v>
      </c>
      <c r="D57" s="104"/>
      <c r="E57" s="104"/>
      <c r="F57" s="80"/>
      <c r="G57" s="104"/>
      <c r="H57" s="103"/>
      <c r="I57" s="103"/>
      <c r="J57" s="104"/>
      <c r="K57" s="101"/>
      <c r="L57" s="102"/>
      <c r="M57" s="101">
        <v>37000</v>
      </c>
      <c r="N57" s="100"/>
      <c r="O57" s="99"/>
      <c r="P57" s="98"/>
    </row>
    <row r="58" spans="1:17" s="48" customFormat="1" ht="32.25" customHeight="1" x14ac:dyDescent="0.15">
      <c r="A58" s="104">
        <v>20170222</v>
      </c>
      <c r="B58" s="105" t="s">
        <v>29</v>
      </c>
      <c r="C58" s="116" t="s">
        <v>3</v>
      </c>
      <c r="D58" s="104"/>
      <c r="E58" s="104"/>
      <c r="F58" s="80"/>
      <c r="G58" s="104"/>
      <c r="H58" s="103"/>
      <c r="I58" s="104"/>
      <c r="J58" s="104"/>
      <c r="K58" s="101"/>
      <c r="L58" s="102"/>
      <c r="M58" s="101">
        <v>37000</v>
      </c>
      <c r="N58" s="100"/>
      <c r="O58" s="99"/>
      <c r="P58" s="98"/>
    </row>
    <row r="59" spans="1:17" s="48" customFormat="1" ht="32.25" customHeight="1" x14ac:dyDescent="0.15">
      <c r="A59" s="104">
        <v>20170222</v>
      </c>
      <c r="B59" s="105" t="s">
        <v>28</v>
      </c>
      <c r="C59" s="116" t="s">
        <v>19</v>
      </c>
      <c r="D59" s="104" t="s">
        <v>5</v>
      </c>
      <c r="E59" s="104" t="s">
        <v>27</v>
      </c>
      <c r="F59" s="23" t="s">
        <v>165</v>
      </c>
      <c r="G59" s="104" t="s">
        <v>22</v>
      </c>
      <c r="H59" s="103">
        <f>[16]副本!G120</f>
        <v>764.82299999999941</v>
      </c>
      <c r="I59" s="103">
        <v>0</v>
      </c>
      <c r="J59" s="104"/>
      <c r="K59" s="102"/>
      <c r="L59" s="102">
        <f>H59-I59</f>
        <v>764.82299999999941</v>
      </c>
      <c r="M59" s="101">
        <v>10000</v>
      </c>
      <c r="N59" s="100"/>
      <c r="O59" s="99"/>
      <c r="P59" s="98"/>
      <c r="Q59" s="49"/>
    </row>
    <row r="60" spans="1:17" s="48" customFormat="1" ht="32.25" customHeight="1" x14ac:dyDescent="0.15">
      <c r="A60" s="104">
        <v>20170222</v>
      </c>
      <c r="B60" s="105" t="s">
        <v>26</v>
      </c>
      <c r="C60" s="116" t="s">
        <v>3</v>
      </c>
      <c r="D60" s="104" t="s">
        <v>5</v>
      </c>
      <c r="E60" s="104"/>
      <c r="F60" s="104"/>
      <c r="G60" s="104"/>
      <c r="H60" s="103"/>
      <c r="I60" s="103"/>
      <c r="J60" s="104"/>
      <c r="K60" s="102"/>
      <c r="L60" s="102"/>
      <c r="M60" s="101">
        <v>15000</v>
      </c>
      <c r="N60" s="100"/>
      <c r="O60" s="99"/>
      <c r="P60" s="98"/>
      <c r="Q60" s="49"/>
    </row>
    <row r="61" spans="1:17" s="48" customFormat="1" ht="32.25" customHeight="1" x14ac:dyDescent="0.15">
      <c r="A61" s="104">
        <v>20170222</v>
      </c>
      <c r="B61" s="105" t="s">
        <v>23</v>
      </c>
      <c r="C61" s="105" t="s">
        <v>19</v>
      </c>
      <c r="D61" s="104" t="s">
        <v>5</v>
      </c>
      <c r="E61" s="104" t="s">
        <v>2</v>
      </c>
      <c r="F61" s="23" t="s">
        <v>299</v>
      </c>
      <c r="G61" s="104" t="s">
        <v>275</v>
      </c>
      <c r="H61" s="103">
        <f>[16]副本!G125</f>
        <v>301.33099999999831</v>
      </c>
      <c r="I61" s="103">
        <f>H61</f>
        <v>301.33099999999831</v>
      </c>
      <c r="J61" s="104"/>
      <c r="K61" s="101"/>
      <c r="L61" s="102"/>
      <c r="M61" s="101">
        <v>43000</v>
      </c>
      <c r="N61" s="100"/>
      <c r="O61" s="99"/>
      <c r="P61" s="98" t="s">
        <v>228</v>
      </c>
      <c r="Q61" s="49"/>
    </row>
    <row r="62" spans="1:17" s="48" customFormat="1" ht="32.25" customHeight="1" x14ac:dyDescent="0.15">
      <c r="A62" s="104">
        <v>20170222</v>
      </c>
      <c r="B62" s="105"/>
      <c r="C62" s="105"/>
      <c r="D62" s="104"/>
      <c r="E62" s="104"/>
      <c r="F62" s="23" t="s">
        <v>172</v>
      </c>
      <c r="G62" s="104"/>
      <c r="H62" s="103">
        <f>[16]副本!G126</f>
        <v>32.319999999999709</v>
      </c>
      <c r="I62" s="103">
        <f>H62</f>
        <v>32.319999999999709</v>
      </c>
      <c r="J62" s="104"/>
      <c r="K62" s="104"/>
      <c r="L62" s="102"/>
      <c r="M62" s="101"/>
      <c r="N62" s="100"/>
      <c r="O62" s="99"/>
      <c r="P62" s="98" t="s">
        <v>21</v>
      </c>
      <c r="Q62" s="49"/>
    </row>
    <row r="63" spans="1:17" s="48" customFormat="1" ht="32.25" customHeight="1" x14ac:dyDescent="0.15">
      <c r="A63" s="104">
        <v>20170222</v>
      </c>
      <c r="B63" s="105" t="s">
        <v>20</v>
      </c>
      <c r="C63" s="105" t="s">
        <v>19</v>
      </c>
      <c r="D63" s="104" t="s">
        <v>5</v>
      </c>
      <c r="E63" s="104" t="s">
        <v>2</v>
      </c>
      <c r="F63" s="23" t="s">
        <v>282</v>
      </c>
      <c r="G63" s="104" t="s">
        <v>275</v>
      </c>
      <c r="H63" s="103">
        <f>[16]副本!G128</f>
        <v>12365.038</v>
      </c>
      <c r="I63" s="103">
        <f>H63-12365.038</f>
        <v>0</v>
      </c>
      <c r="J63" s="104"/>
      <c r="K63" s="101"/>
      <c r="L63" s="102">
        <f t="shared" ref="L63:L68" si="1">H63-I63</f>
        <v>12365.038</v>
      </c>
      <c r="M63" s="101">
        <v>43000</v>
      </c>
      <c r="N63" s="100"/>
      <c r="O63" s="99"/>
      <c r="P63" s="98" t="s">
        <v>274</v>
      </c>
      <c r="Q63" s="49"/>
    </row>
    <row r="64" spans="1:17" s="48" customFormat="1" ht="32.25" customHeight="1" x14ac:dyDescent="0.15">
      <c r="A64" s="104">
        <v>20170222</v>
      </c>
      <c r="B64" s="105"/>
      <c r="C64" s="105"/>
      <c r="D64" s="104"/>
      <c r="E64" s="104"/>
      <c r="F64" s="80" t="s">
        <v>283</v>
      </c>
      <c r="G64" s="104"/>
      <c r="H64" s="103">
        <f>[16]副本!G129</f>
        <v>19971.696</v>
      </c>
      <c r="I64" s="103">
        <f>H64-19971.696</f>
        <v>0</v>
      </c>
      <c r="J64" s="104"/>
      <c r="K64" s="101"/>
      <c r="L64" s="102">
        <f t="shared" si="1"/>
        <v>19971.696</v>
      </c>
      <c r="M64" s="101"/>
      <c r="N64" s="100"/>
      <c r="O64" s="99"/>
      <c r="P64" s="98" t="s">
        <v>273</v>
      </c>
      <c r="Q64" s="49"/>
    </row>
    <row r="65" spans="1:16" s="48" customFormat="1" ht="32.25" customHeight="1" x14ac:dyDescent="0.15">
      <c r="A65" s="104">
        <v>20170222</v>
      </c>
      <c r="B65" s="105" t="s">
        <v>18</v>
      </c>
      <c r="C65" s="116" t="s">
        <v>3</v>
      </c>
      <c r="D65" s="104"/>
      <c r="E65" s="104" t="s">
        <v>300</v>
      </c>
      <c r="F65" s="23" t="s">
        <v>197</v>
      </c>
      <c r="G65" s="104" t="s">
        <v>1</v>
      </c>
      <c r="H65" s="103">
        <f>[16]副本!G131</f>
        <v>8094.2089999999953</v>
      </c>
      <c r="I65" s="103">
        <f>H65-8339.329+8339.329</f>
        <v>8094.2089999999953</v>
      </c>
      <c r="J65" s="104"/>
      <c r="K65" s="101">
        <v>200</v>
      </c>
      <c r="L65" s="102">
        <f t="shared" si="1"/>
        <v>0</v>
      </c>
      <c r="M65" s="101">
        <v>20000</v>
      </c>
      <c r="N65" s="100"/>
      <c r="O65" s="99"/>
      <c r="P65" s="98" t="s">
        <v>265</v>
      </c>
    </row>
    <row r="66" spans="1:16" s="48" customFormat="1" ht="32.25" customHeight="1" x14ac:dyDescent="0.15">
      <c r="A66" s="104">
        <v>20170222</v>
      </c>
      <c r="B66" s="105" t="s">
        <v>17</v>
      </c>
      <c r="C66" s="116" t="s">
        <v>3</v>
      </c>
      <c r="D66" s="104"/>
      <c r="E66" s="104" t="s">
        <v>9</v>
      </c>
      <c r="F66" s="23" t="s">
        <v>175</v>
      </c>
      <c r="G66" s="104" t="s">
        <v>1</v>
      </c>
      <c r="H66" s="103">
        <f>[16]副本!G133</f>
        <v>7537.3190000000031</v>
      </c>
      <c r="I66" s="103">
        <f>H66-4751.949+4751.949-4999.395</f>
        <v>2537.9240000000027</v>
      </c>
      <c r="J66" s="104"/>
      <c r="K66" s="101"/>
      <c r="L66" s="102">
        <f t="shared" si="1"/>
        <v>4999.3950000000004</v>
      </c>
      <c r="M66" s="101">
        <v>30000</v>
      </c>
      <c r="N66" s="100"/>
      <c r="O66" s="99"/>
      <c r="P66" s="98" t="s">
        <v>247</v>
      </c>
    </row>
    <row r="67" spans="1:16" s="48" customFormat="1" ht="32.25" customHeight="1" x14ac:dyDescent="0.15">
      <c r="A67" s="104">
        <v>20170222</v>
      </c>
      <c r="B67" s="105"/>
      <c r="C67" s="116"/>
      <c r="D67" s="104"/>
      <c r="E67" s="104"/>
      <c r="F67" s="23" t="s">
        <v>158</v>
      </c>
      <c r="G67" s="104"/>
      <c r="H67" s="103">
        <f>[16]副本!G134</f>
        <v>0</v>
      </c>
      <c r="I67" s="103">
        <f>H67</f>
        <v>0</v>
      </c>
      <c r="J67" s="104"/>
      <c r="K67" s="101"/>
      <c r="L67" s="102">
        <f t="shared" si="1"/>
        <v>0</v>
      </c>
      <c r="M67" s="101"/>
      <c r="N67" s="100"/>
      <c r="O67" s="99"/>
      <c r="P67" s="120" t="s">
        <v>15</v>
      </c>
    </row>
    <row r="68" spans="1:16" s="48" customFormat="1" ht="32.25" customHeight="1" x14ac:dyDescent="0.15">
      <c r="A68" s="104">
        <v>20170222</v>
      </c>
      <c r="B68" s="105" t="s">
        <v>14</v>
      </c>
      <c r="C68" s="116" t="s">
        <v>3</v>
      </c>
      <c r="D68" s="104" t="s">
        <v>5</v>
      </c>
      <c r="E68" s="104" t="s">
        <v>2</v>
      </c>
      <c r="F68" s="23" t="s">
        <v>174</v>
      </c>
      <c r="G68" s="104" t="s">
        <v>1</v>
      </c>
      <c r="H68" s="103">
        <f>[16]副本!G136</f>
        <v>14976.093999999999</v>
      </c>
      <c r="I68" s="103">
        <f>H68-14976.094</f>
        <v>0</v>
      </c>
      <c r="J68" s="104"/>
      <c r="K68" s="101">
        <v>400</v>
      </c>
      <c r="L68" s="102">
        <f t="shared" si="1"/>
        <v>14976.093999999999</v>
      </c>
      <c r="M68" s="101">
        <v>20000</v>
      </c>
      <c r="N68" s="100" t="s">
        <v>13</v>
      </c>
      <c r="O68" s="99" t="s">
        <v>12</v>
      </c>
      <c r="P68" s="98" t="s">
        <v>11</v>
      </c>
    </row>
    <row r="69" spans="1:16" s="48" customFormat="1" ht="32.25" customHeight="1" x14ac:dyDescent="0.15">
      <c r="A69" s="104">
        <v>20170222</v>
      </c>
      <c r="B69" s="105" t="s">
        <v>10</v>
      </c>
      <c r="C69" s="116" t="s">
        <v>3</v>
      </c>
      <c r="D69" s="104"/>
      <c r="E69" s="104" t="s">
        <v>9</v>
      </c>
      <c r="F69" s="23" t="s">
        <v>158</v>
      </c>
      <c r="G69" s="104" t="s">
        <v>1</v>
      </c>
      <c r="H69" s="103">
        <f>[16]副本!G138</f>
        <v>23765.582999999973</v>
      </c>
      <c r="I69" s="103">
        <f>H69</f>
        <v>23765.582999999973</v>
      </c>
      <c r="J69" s="104"/>
      <c r="K69" s="101"/>
      <c r="L69" s="102">
        <v>0</v>
      </c>
      <c r="M69" s="101">
        <v>30000</v>
      </c>
      <c r="N69" s="100"/>
      <c r="O69" s="99"/>
      <c r="P69" s="98"/>
    </row>
    <row r="70" spans="1:16" s="48" customFormat="1" ht="32.25" customHeight="1" x14ac:dyDescent="0.15">
      <c r="A70" s="104">
        <v>20170222</v>
      </c>
      <c r="B70" s="105" t="s">
        <v>8</v>
      </c>
      <c r="C70" s="116" t="s">
        <v>3</v>
      </c>
      <c r="D70" s="104"/>
      <c r="E70" s="104"/>
      <c r="F70" s="98"/>
      <c r="G70" s="104"/>
      <c r="H70" s="103"/>
      <c r="I70" s="103"/>
      <c r="J70" s="104"/>
      <c r="K70" s="101"/>
      <c r="L70" s="102"/>
      <c r="M70" s="101">
        <v>20000</v>
      </c>
      <c r="N70" s="100"/>
      <c r="O70" s="99"/>
      <c r="P70" s="104"/>
    </row>
    <row r="71" spans="1:16" s="48" customFormat="1" ht="32.25" customHeight="1" x14ac:dyDescent="0.15">
      <c r="A71" s="104">
        <v>20170222</v>
      </c>
      <c r="B71" s="105" t="s">
        <v>7</v>
      </c>
      <c r="C71" s="116" t="s">
        <v>3</v>
      </c>
      <c r="D71" s="104" t="s">
        <v>5</v>
      </c>
      <c r="E71" s="104"/>
      <c r="F71" s="104"/>
      <c r="G71" s="104"/>
      <c r="H71" s="103"/>
      <c r="I71" s="103"/>
      <c r="J71" s="104"/>
      <c r="K71" s="101"/>
      <c r="L71" s="102"/>
      <c r="M71" s="101">
        <v>15000</v>
      </c>
      <c r="N71" s="100"/>
      <c r="O71" s="99"/>
      <c r="P71" s="98"/>
    </row>
    <row r="72" spans="1:16" s="48" customFormat="1" ht="32.25" customHeight="1" x14ac:dyDescent="0.15">
      <c r="A72" s="104">
        <v>20170222</v>
      </c>
      <c r="B72" s="105" t="s">
        <v>6</v>
      </c>
      <c r="C72" s="116" t="s">
        <v>3</v>
      </c>
      <c r="D72" s="104" t="s">
        <v>5</v>
      </c>
      <c r="E72" s="104" t="s">
        <v>2</v>
      </c>
      <c r="F72" s="23" t="s">
        <v>171</v>
      </c>
      <c r="G72" s="104" t="s">
        <v>1</v>
      </c>
      <c r="H72" s="103">
        <f>[16]副本!G145</f>
        <v>12005.106</v>
      </c>
      <c r="I72" s="103">
        <f>H72-12005.106</f>
        <v>0</v>
      </c>
      <c r="J72" s="104"/>
      <c r="K72" s="101">
        <v>600</v>
      </c>
      <c r="L72" s="102">
        <f>H72-I72</f>
        <v>12005.106</v>
      </c>
      <c r="M72" s="101">
        <v>15000</v>
      </c>
      <c r="N72" s="100"/>
      <c r="O72" s="99"/>
      <c r="P72" s="98"/>
    </row>
    <row r="73" spans="1:16" s="48" customFormat="1" ht="32.25" customHeight="1" x14ac:dyDescent="0.15">
      <c r="A73" s="104">
        <v>20170222</v>
      </c>
      <c r="B73" s="105" t="s">
        <v>4</v>
      </c>
      <c r="C73" s="116" t="s">
        <v>3</v>
      </c>
      <c r="D73" s="104"/>
      <c r="E73" s="104" t="s">
        <v>2</v>
      </c>
      <c r="F73" s="23" t="s">
        <v>170</v>
      </c>
      <c r="G73" s="104" t="s">
        <v>1</v>
      </c>
      <c r="H73" s="103">
        <f>[16]副本!G147</f>
        <v>1566.409999999998</v>
      </c>
      <c r="I73" s="103">
        <f>H73</f>
        <v>1566.409999999998</v>
      </c>
      <c r="J73" s="104"/>
      <c r="K73" s="101"/>
      <c r="L73" s="102">
        <f>H73-I73</f>
        <v>0</v>
      </c>
      <c r="M73" s="101">
        <v>15000</v>
      </c>
      <c r="N73" s="100"/>
      <c r="O73" s="99"/>
      <c r="P73" s="98" t="s">
        <v>192</v>
      </c>
    </row>
    <row r="79" spans="1:16" x14ac:dyDescent="0.15">
      <c r="L79" s="47"/>
    </row>
    <row r="231" spans="7:8" x14ac:dyDescent="0.15">
      <c r="G231" s="39"/>
      <c r="H231" s="39"/>
    </row>
  </sheetData>
  <autoFilter ref="B1:I73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2"/>
  <sheetViews>
    <sheetView workbookViewId="0">
      <pane xSplit="3" ySplit="1" topLeftCell="D71" activePane="bottomRight" state="frozen"/>
      <selection pane="topRight"/>
      <selection pane="bottomLeft"/>
      <selection pane="bottomRight" activeCell="F74" sqref="F74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1.3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39" customHeight="1" x14ac:dyDescent="0.15">
      <c r="A2" s="104">
        <v>20170223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>
        <f>[17]副本!G3</f>
        <v>417.77499999999964</v>
      </c>
      <c r="I2" s="103">
        <f>H2-1918.881+1918.881</f>
        <v>417.77499999999964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269</v>
      </c>
    </row>
    <row r="3" spans="1:17" s="48" customFormat="1" ht="39" customHeight="1" x14ac:dyDescent="0.15">
      <c r="A3" s="104">
        <v>20170223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[17]副本!G6</f>
        <v>359.51899999999989</v>
      </c>
      <c r="I3" s="103">
        <f>H3</f>
        <v>359.51899999999989</v>
      </c>
      <c r="J3" s="104"/>
      <c r="K3" s="101"/>
      <c r="L3" s="102">
        <f>H3-I3</f>
        <v>0</v>
      </c>
      <c r="M3" s="101">
        <v>1500</v>
      </c>
      <c r="N3" s="100"/>
      <c r="O3" s="99"/>
      <c r="P3" s="98" t="s">
        <v>291</v>
      </c>
    </row>
    <row r="4" spans="1:17" s="48" customFormat="1" ht="39" customHeight="1" x14ac:dyDescent="0.15">
      <c r="A4" s="104">
        <v>20170223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[17]副本!G8</f>
        <v>761.02299999999582</v>
      </c>
      <c r="I4" s="103">
        <f>H4</f>
        <v>761.02299999999582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39" customHeight="1" x14ac:dyDescent="0.15">
      <c r="A5" s="104">
        <v>20170223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[17]副本!G10</f>
        <v>19.672000000027765</v>
      </c>
      <c r="I5" s="103">
        <f>H5</f>
        <v>19.672000000027765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39" customHeight="1" x14ac:dyDescent="0.15">
      <c r="A6" s="104">
        <v>20170223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39" customHeight="1" x14ac:dyDescent="0.15">
      <c r="A7" s="104">
        <v>20170223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[17]副本!G14</f>
        <v>2721.5880000000016</v>
      </c>
      <c r="I7" s="103">
        <f>H7</f>
        <v>2721.5880000000016</v>
      </c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39" customHeight="1" x14ac:dyDescent="0.15">
      <c r="A8" s="104">
        <v>20170223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[17]副本!G16</f>
        <v>691.8090000000002</v>
      </c>
      <c r="I8" s="103">
        <f>H8</f>
        <v>691.8090000000002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39" customHeight="1" x14ac:dyDescent="0.15">
      <c r="A9" s="104">
        <v>20170223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[17]副本!G18</f>
        <v>1322.4749999999999</v>
      </c>
      <c r="I9" s="103">
        <f>H9</f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39" customHeight="1" x14ac:dyDescent="0.15">
      <c r="A10" s="104">
        <v>20170223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[17]副本!G20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296</v>
      </c>
    </row>
    <row r="11" spans="1:17" s="48" customFormat="1" ht="39" customHeight="1" x14ac:dyDescent="0.15">
      <c r="A11" s="104">
        <v>20170223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[17]副本!G22</f>
        <v>1000</v>
      </c>
      <c r="I11" s="103">
        <f>H11</f>
        <v>1000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39" customHeight="1" x14ac:dyDescent="0.15">
      <c r="A12" s="104">
        <v>20170223</v>
      </c>
      <c r="B12" s="105" t="s">
        <v>105</v>
      </c>
      <c r="C12" s="104" t="s">
        <v>44</v>
      </c>
      <c r="D12" s="104"/>
      <c r="E12" s="104" t="s">
        <v>86</v>
      </c>
      <c r="F12" s="23" t="s">
        <v>155</v>
      </c>
      <c r="G12" s="104" t="s">
        <v>1</v>
      </c>
      <c r="H12" s="103">
        <f>[17]副本!G24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 t="s">
        <v>291</v>
      </c>
    </row>
    <row r="13" spans="1:17" s="48" customFormat="1" ht="39" customHeight="1" x14ac:dyDescent="0.15">
      <c r="A13" s="104">
        <v>20170223</v>
      </c>
      <c r="B13" s="105" t="s">
        <v>104</v>
      </c>
      <c r="C13" s="116" t="s">
        <v>19</v>
      </c>
      <c r="D13" s="104"/>
      <c r="E13" s="104" t="s">
        <v>114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39" customHeight="1" x14ac:dyDescent="0.15">
      <c r="A14" s="104">
        <v>20170223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39" customHeight="1" x14ac:dyDescent="0.15">
      <c r="A15" s="104">
        <v>20170223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[17]副本!G30</f>
        <v>77.277000000000044</v>
      </c>
      <c r="I15" s="103">
        <f>H15</f>
        <v>77.277000000000044</v>
      </c>
      <c r="J15" s="104"/>
      <c r="K15" s="101"/>
      <c r="L15" s="102">
        <v>0</v>
      </c>
      <c r="M15" s="101">
        <v>1500</v>
      </c>
      <c r="N15" s="100"/>
      <c r="O15" s="99"/>
      <c r="P15" s="98" t="s">
        <v>205</v>
      </c>
    </row>
    <row r="16" spans="1:17" s="48" customFormat="1" ht="39" customHeight="1" x14ac:dyDescent="0.15">
      <c r="A16" s="104">
        <v>20170223</v>
      </c>
      <c r="B16" s="105" t="s">
        <v>101</v>
      </c>
      <c r="C16" s="116" t="s">
        <v>44</v>
      </c>
      <c r="D16" s="104"/>
      <c r="E16" s="104" t="s">
        <v>71</v>
      </c>
      <c r="F16" s="23" t="s">
        <v>153</v>
      </c>
      <c r="G16" s="104" t="s">
        <v>1</v>
      </c>
      <c r="H16" s="103">
        <f>[17]副本!G31</f>
        <v>0</v>
      </c>
      <c r="I16" s="103">
        <f>H16</f>
        <v>0</v>
      </c>
      <c r="J16" s="104"/>
      <c r="K16" s="101"/>
      <c r="L16" s="102"/>
      <c r="M16" s="101">
        <v>1500</v>
      </c>
      <c r="N16" s="100"/>
      <c r="O16" s="99"/>
      <c r="P16" s="121" t="s">
        <v>204</v>
      </c>
    </row>
    <row r="17" spans="1:17" s="48" customFormat="1" ht="39" customHeight="1" x14ac:dyDescent="0.15">
      <c r="A17" s="104">
        <v>20170223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[17]副本!G33-H18</f>
        <v>5766.8780000000188</v>
      </c>
      <c r="I17" s="103">
        <f>H17</f>
        <v>5766.8780000000188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293</v>
      </c>
    </row>
    <row r="18" spans="1:17" s="48" customFormat="1" ht="39" customHeight="1" x14ac:dyDescent="0.15">
      <c r="A18" s="104">
        <v>20170223</v>
      </c>
      <c r="B18" s="105" t="s">
        <v>99</v>
      </c>
      <c r="C18" s="116" t="s">
        <v>93</v>
      </c>
      <c r="D18" s="104"/>
      <c r="E18" s="104" t="s">
        <v>9</v>
      </c>
      <c r="F18" s="24" t="s">
        <v>175</v>
      </c>
      <c r="G18" s="104" t="s">
        <v>1</v>
      </c>
      <c r="H18" s="103">
        <f>[17]副本!G35</f>
        <v>12119.121999999981</v>
      </c>
      <c r="I18" s="103">
        <f>H18</f>
        <v>12119.121999999981</v>
      </c>
      <c r="J18" s="104"/>
      <c r="K18" s="101"/>
      <c r="L18" s="102">
        <f>H18-I18</f>
        <v>0</v>
      </c>
      <c r="M18" s="101">
        <v>21000</v>
      </c>
      <c r="N18" s="100" t="s">
        <v>90</v>
      </c>
      <c r="O18" s="99" t="s">
        <v>89</v>
      </c>
      <c r="P18" s="98" t="s">
        <v>97</v>
      </c>
    </row>
    <row r="19" spans="1:17" s="48" customFormat="1" ht="39" customHeight="1" x14ac:dyDescent="0.15">
      <c r="A19" s="104">
        <v>20170223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[17]副本!G37</f>
        <v>4224.8950000000004</v>
      </c>
      <c r="I19" s="103">
        <f>H19-3496.542+1000+2496.542-3122.825+3122.825</f>
        <v>4224.8950000000004</v>
      </c>
      <c r="J19" s="104"/>
      <c r="K19" s="101"/>
      <c r="L19" s="102">
        <f>H19-I19</f>
        <v>0</v>
      </c>
      <c r="M19" s="101">
        <v>5000</v>
      </c>
      <c r="N19" s="100"/>
      <c r="O19" s="99"/>
      <c r="P19" s="98" t="s">
        <v>292</v>
      </c>
    </row>
    <row r="20" spans="1:17" s="48" customFormat="1" ht="39" customHeight="1" x14ac:dyDescent="0.15">
      <c r="A20" s="104">
        <v>20170223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39" customHeight="1" x14ac:dyDescent="0.15">
      <c r="A21" s="104">
        <v>20170223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[17]副本!G41-'20170223'!H22</f>
        <v>1100.5454280000376</v>
      </c>
      <c r="I21" s="103">
        <f>H21</f>
        <v>1100.5454280000376</v>
      </c>
      <c r="J21" s="104"/>
      <c r="K21" s="101"/>
      <c r="L21" s="102">
        <f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39" customHeight="1" x14ac:dyDescent="0.15">
      <c r="A22" s="104">
        <v>20170223</v>
      </c>
      <c r="B22" s="105" t="s">
        <v>94</v>
      </c>
      <c r="C22" s="116" t="s">
        <v>93</v>
      </c>
      <c r="D22" s="104"/>
      <c r="E22" s="104" t="s">
        <v>9</v>
      </c>
      <c r="F22" s="24" t="s">
        <v>175</v>
      </c>
      <c r="G22" s="104" t="s">
        <v>1</v>
      </c>
      <c r="H22" s="103">
        <f>[17]副本!G43</f>
        <v>5216.4545719999624</v>
      </c>
      <c r="I22" s="103">
        <f>H22</f>
        <v>5216.4545719999624</v>
      </c>
      <c r="J22" s="104"/>
      <c r="K22" s="117"/>
      <c r="L22" s="102">
        <f>H22-I22</f>
        <v>0</v>
      </c>
      <c r="M22" s="101">
        <v>21000</v>
      </c>
      <c r="N22" s="100" t="s">
        <v>90</v>
      </c>
      <c r="O22" s="99" t="s">
        <v>89</v>
      </c>
      <c r="P22" s="98" t="s">
        <v>88</v>
      </c>
    </row>
    <row r="23" spans="1:17" s="48" customFormat="1" ht="39" customHeight="1" x14ac:dyDescent="0.15">
      <c r="A23" s="104">
        <v>20170223</v>
      </c>
      <c r="B23" s="105" t="s">
        <v>87</v>
      </c>
      <c r="C23" s="116" t="s">
        <v>44</v>
      </c>
      <c r="D23" s="104"/>
      <c r="E23" s="104" t="s">
        <v>86</v>
      </c>
      <c r="F23" s="23" t="s">
        <v>160</v>
      </c>
      <c r="G23" s="104" t="s">
        <v>1</v>
      </c>
      <c r="H23" s="103">
        <f>[17]副本!G45</f>
        <v>5300.851999999999</v>
      </c>
      <c r="I23" s="103">
        <f>H23</f>
        <v>5300.851999999999</v>
      </c>
      <c r="J23" s="104"/>
      <c r="K23" s="101">
        <v>450</v>
      </c>
      <c r="L23" s="102">
        <f>H23-I23</f>
        <v>0</v>
      </c>
      <c r="M23" s="101">
        <v>5000</v>
      </c>
      <c r="N23" s="100"/>
      <c r="O23" s="99"/>
      <c r="P23" s="98" t="s">
        <v>291</v>
      </c>
    </row>
    <row r="24" spans="1:17" s="48" customFormat="1" ht="39" customHeight="1" x14ac:dyDescent="0.15">
      <c r="A24" s="104">
        <v>20170223</v>
      </c>
      <c r="B24" s="105" t="s">
        <v>84</v>
      </c>
      <c r="C24" s="116" t="s">
        <v>3</v>
      </c>
      <c r="D24" s="104"/>
      <c r="E24" s="98"/>
      <c r="F24" s="104"/>
      <c r="G24" s="104"/>
      <c r="H24" s="103"/>
      <c r="I24" s="103"/>
      <c r="J24" s="104"/>
      <c r="K24" s="101"/>
      <c r="L24" s="102"/>
      <c r="M24" s="101">
        <v>5000</v>
      </c>
      <c r="N24" s="100"/>
      <c r="O24" s="99"/>
      <c r="P24" s="120"/>
    </row>
    <row r="25" spans="1:17" s="48" customFormat="1" ht="39" customHeight="1" x14ac:dyDescent="0.15">
      <c r="A25" s="104">
        <v>20170223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[17]副本!G49</f>
        <v>1442.2679999999996</v>
      </c>
      <c r="I25" s="103">
        <f>H25</f>
        <v>1442.2679999999996</v>
      </c>
      <c r="J25" s="104"/>
      <c r="K25" s="101">
        <v>1300</v>
      </c>
      <c r="L25" s="102">
        <f>H25-I25</f>
        <v>0</v>
      </c>
      <c r="M25" s="101">
        <v>5000</v>
      </c>
      <c r="N25" s="100"/>
      <c r="O25" s="99"/>
      <c r="P25" s="98" t="s">
        <v>285</v>
      </c>
    </row>
    <row r="26" spans="1:17" s="48" customFormat="1" ht="39" customHeight="1" x14ac:dyDescent="0.15">
      <c r="A26" s="104">
        <v>20170223</v>
      </c>
      <c r="B26" s="105" t="s">
        <v>81</v>
      </c>
      <c r="C26" s="116" t="s">
        <v>44</v>
      </c>
      <c r="D26" s="104"/>
      <c r="E26" s="104" t="s">
        <v>203</v>
      </c>
      <c r="F26" s="23" t="s">
        <v>153</v>
      </c>
      <c r="G26" s="104" t="s">
        <v>1</v>
      </c>
      <c r="H26" s="103">
        <f>[17]副本!G50</f>
        <v>981.86400000000003</v>
      </c>
      <c r="I26" s="103">
        <f>H26</f>
        <v>981.86400000000003</v>
      </c>
      <c r="J26" s="104"/>
      <c r="K26" s="101"/>
      <c r="L26" s="102">
        <f>H26-I26</f>
        <v>0</v>
      </c>
      <c r="M26" s="101"/>
      <c r="N26" s="100"/>
      <c r="O26" s="99"/>
      <c r="P26" s="98" t="s">
        <v>285</v>
      </c>
    </row>
    <row r="27" spans="1:17" s="48" customFormat="1" ht="39" customHeight="1" x14ac:dyDescent="0.15">
      <c r="A27" s="104">
        <v>20170223</v>
      </c>
      <c r="B27" s="105" t="s">
        <v>80</v>
      </c>
      <c r="C27" s="116" t="s">
        <v>44</v>
      </c>
      <c r="D27" s="104"/>
      <c r="E27" s="104" t="s">
        <v>43</v>
      </c>
      <c r="F27" s="23" t="s">
        <v>157</v>
      </c>
      <c r="G27" s="104" t="s">
        <v>1</v>
      </c>
      <c r="H27" s="103">
        <f>[17]副本!G53</f>
        <v>2144.2040000000002</v>
      </c>
      <c r="I27" s="103">
        <f>H27</f>
        <v>2144.2040000000002</v>
      </c>
      <c r="J27" s="104"/>
      <c r="K27" s="101"/>
      <c r="L27" s="102">
        <f>H27-I27</f>
        <v>0</v>
      </c>
      <c r="M27" s="101">
        <v>4000</v>
      </c>
      <c r="N27" s="100"/>
      <c r="O27" s="99"/>
      <c r="P27" s="98"/>
    </row>
    <row r="28" spans="1:17" s="48" customFormat="1" ht="39" customHeight="1" x14ac:dyDescent="0.15">
      <c r="A28" s="104">
        <v>20170223</v>
      </c>
      <c r="B28" s="105" t="s">
        <v>79</v>
      </c>
      <c r="C28" s="116" t="s">
        <v>74</v>
      </c>
      <c r="D28" s="104" t="s">
        <v>5</v>
      </c>
      <c r="E28" s="104" t="s">
        <v>266</v>
      </c>
      <c r="F28" s="104" t="s">
        <v>271</v>
      </c>
      <c r="G28" s="104"/>
      <c r="H28" s="103">
        <f>[17]副本!G55</f>
        <v>4007.2739999999999</v>
      </c>
      <c r="I28" s="103">
        <f>H28-4007.274</f>
        <v>0</v>
      </c>
      <c r="J28" s="104"/>
      <c r="K28" s="101"/>
      <c r="L28" s="102">
        <f>H28-I28</f>
        <v>4007.2739999999999</v>
      </c>
      <c r="M28" s="101">
        <v>5000</v>
      </c>
      <c r="N28" s="100"/>
      <c r="O28" s="99"/>
      <c r="P28" s="98" t="s">
        <v>274</v>
      </c>
    </row>
    <row r="29" spans="1:17" s="48" customFormat="1" ht="39" customHeight="1" x14ac:dyDescent="0.15">
      <c r="A29" s="104">
        <v>20170223</v>
      </c>
      <c r="B29" s="105" t="s">
        <v>78</v>
      </c>
      <c r="C29" s="116" t="s">
        <v>74</v>
      </c>
      <c r="D29" s="104"/>
      <c r="E29" s="104"/>
      <c r="F29" s="104"/>
      <c r="G29" s="104"/>
      <c r="H29" s="103"/>
      <c r="I29" s="103"/>
      <c r="J29" s="104"/>
      <c r="K29" s="101"/>
      <c r="L29" s="102"/>
      <c r="M29" s="101">
        <v>2000</v>
      </c>
      <c r="N29" s="100"/>
      <c r="O29" s="99"/>
      <c r="P29" s="98"/>
    </row>
    <row r="30" spans="1:17" s="48" customFormat="1" ht="39" customHeight="1" x14ac:dyDescent="0.15">
      <c r="A30" s="104">
        <v>20170223</v>
      </c>
      <c r="B30" s="105" t="s">
        <v>77</v>
      </c>
      <c r="C30" s="116" t="s">
        <v>74</v>
      </c>
      <c r="D30" s="104"/>
      <c r="E30" s="104" t="s">
        <v>32</v>
      </c>
      <c r="F30" s="23" t="s">
        <v>153</v>
      </c>
      <c r="G30" s="104" t="s">
        <v>1</v>
      </c>
      <c r="H30" s="103">
        <f>[17]副本!G61</f>
        <v>1098.6790000000001</v>
      </c>
      <c r="I30" s="103">
        <f>H30-1098.679+1098.679</f>
        <v>1098.6790000000001</v>
      </c>
      <c r="J30" s="104"/>
      <c r="K30" s="101"/>
      <c r="L30" s="102">
        <f>H30-I30</f>
        <v>0</v>
      </c>
      <c r="M30" s="101">
        <v>1500</v>
      </c>
      <c r="N30" s="100"/>
      <c r="O30" s="99"/>
      <c r="P30" s="98" t="s">
        <v>290</v>
      </c>
    </row>
    <row r="31" spans="1:17" s="48" customFormat="1" ht="39" customHeight="1" x14ac:dyDescent="0.15">
      <c r="A31" s="104">
        <v>20170223</v>
      </c>
      <c r="B31" s="105" t="s">
        <v>76</v>
      </c>
      <c r="C31" s="116" t="s">
        <v>74</v>
      </c>
      <c r="D31" s="104"/>
      <c r="E31" s="104"/>
      <c r="F31" s="104"/>
      <c r="G31" s="104"/>
      <c r="H31" s="103"/>
      <c r="I31" s="103"/>
      <c r="J31" s="104"/>
      <c r="K31" s="101"/>
      <c r="L31" s="102"/>
      <c r="M31" s="101">
        <v>1500</v>
      </c>
      <c r="N31" s="100"/>
      <c r="O31" s="99"/>
      <c r="P31" s="98"/>
      <c r="Q31" s="49"/>
    </row>
    <row r="32" spans="1:17" s="48" customFormat="1" ht="39" customHeight="1" x14ac:dyDescent="0.15">
      <c r="A32" s="104">
        <v>20170223</v>
      </c>
      <c r="B32" s="105" t="s">
        <v>75</v>
      </c>
      <c r="C32" s="116" t="s">
        <v>74</v>
      </c>
      <c r="D32" s="104"/>
      <c r="E32" s="104" t="s">
        <v>32</v>
      </c>
      <c r="F32" s="23" t="s">
        <v>153</v>
      </c>
      <c r="G32" s="104" t="s">
        <v>1</v>
      </c>
      <c r="H32" s="103">
        <f>[17]副本!G65</f>
        <v>1096.2820000000002</v>
      </c>
      <c r="I32" s="103">
        <f>H32-1096.282+1096.282</f>
        <v>1096.2820000000002</v>
      </c>
      <c r="J32" s="104"/>
      <c r="K32" s="101"/>
      <c r="L32" s="102">
        <f>H32-I32</f>
        <v>0</v>
      </c>
      <c r="M32" s="101">
        <v>1500</v>
      </c>
      <c r="N32" s="100"/>
      <c r="O32" s="99"/>
      <c r="P32" s="98" t="s">
        <v>289</v>
      </c>
    </row>
    <row r="33" spans="1:16" s="48" customFormat="1" ht="39" customHeight="1" x14ac:dyDescent="0.15">
      <c r="A33" s="104">
        <v>20170223</v>
      </c>
      <c r="B33" s="105" t="s">
        <v>73</v>
      </c>
      <c r="C33" s="116" t="s">
        <v>44</v>
      </c>
      <c r="D33" s="104"/>
      <c r="E33" s="104"/>
      <c r="F33" s="104"/>
      <c r="G33" s="104"/>
      <c r="H33" s="103"/>
      <c r="I33" s="103"/>
      <c r="J33" s="104"/>
      <c r="K33" s="101"/>
      <c r="L33" s="102"/>
      <c r="M33" s="101">
        <v>1500</v>
      </c>
      <c r="N33" s="100"/>
      <c r="O33" s="99"/>
      <c r="P33" s="98"/>
    </row>
    <row r="34" spans="1:16" s="48" customFormat="1" ht="39" customHeight="1" x14ac:dyDescent="0.15">
      <c r="A34" s="104">
        <v>20170223</v>
      </c>
      <c r="B34" s="105" t="s">
        <v>72</v>
      </c>
      <c r="C34" s="116" t="s">
        <v>44</v>
      </c>
      <c r="D34" s="104"/>
      <c r="E34" s="104" t="s">
        <v>71</v>
      </c>
      <c r="F34" s="23" t="s">
        <v>154</v>
      </c>
      <c r="G34" s="104" t="s">
        <v>1</v>
      </c>
      <c r="H34" s="104">
        <f>[17]副本!G69</f>
        <v>783.15000000000032</v>
      </c>
      <c r="I34" s="103">
        <f>H34-1035.099+1035.099</f>
        <v>783.15000000000032</v>
      </c>
      <c r="J34" s="104"/>
      <c r="K34" s="101">
        <v>50</v>
      </c>
      <c r="L34" s="102">
        <f>H34-I34</f>
        <v>0</v>
      </c>
      <c r="M34" s="101">
        <v>2000</v>
      </c>
      <c r="N34" s="100"/>
      <c r="O34" s="99"/>
      <c r="P34" s="98" t="s">
        <v>221</v>
      </c>
    </row>
    <row r="35" spans="1:16" s="48" customFormat="1" ht="39" customHeight="1" x14ac:dyDescent="0.15">
      <c r="A35" s="104">
        <v>20170223</v>
      </c>
      <c r="B35" s="105" t="s">
        <v>69</v>
      </c>
      <c r="C35" s="116" t="s">
        <v>44</v>
      </c>
      <c r="D35" s="104" t="s">
        <v>5</v>
      </c>
      <c r="E35" s="104" t="s">
        <v>68</v>
      </c>
      <c r="F35" s="23" t="s">
        <v>162</v>
      </c>
      <c r="G35" s="104" t="s">
        <v>1</v>
      </c>
      <c r="H35" s="103">
        <f>[17]副本!G71</f>
        <v>18.10899999999981</v>
      </c>
      <c r="I35" s="103">
        <f>H35-1037.023+500+537.023</f>
        <v>18.108999999999924</v>
      </c>
      <c r="J35" s="104"/>
      <c r="K35" s="101"/>
      <c r="L35" s="102">
        <f>H35-I35</f>
        <v>-1.1368683772161603E-13</v>
      </c>
      <c r="M35" s="101">
        <v>3000</v>
      </c>
      <c r="N35" s="100"/>
      <c r="O35" s="99"/>
      <c r="P35" s="110" t="s">
        <v>297</v>
      </c>
    </row>
    <row r="36" spans="1:16" s="48" customFormat="1" ht="39" customHeight="1" x14ac:dyDescent="0.15">
      <c r="A36" s="104">
        <v>20170223</v>
      </c>
      <c r="B36" s="105" t="s">
        <v>69</v>
      </c>
      <c r="C36" s="116" t="s">
        <v>44</v>
      </c>
      <c r="D36" s="104" t="s">
        <v>5</v>
      </c>
      <c r="E36" s="104" t="s">
        <v>68</v>
      </c>
      <c r="F36" s="23" t="s">
        <v>298</v>
      </c>
      <c r="G36" s="104" t="s">
        <v>1</v>
      </c>
      <c r="H36" s="103">
        <f>[17]副本!G72</f>
        <v>458.95400000000006</v>
      </c>
      <c r="I36" s="103">
        <f>H36</f>
        <v>458.95400000000006</v>
      </c>
      <c r="J36" s="104"/>
      <c r="K36" s="101">
        <v>100</v>
      </c>
      <c r="L36" s="102">
        <f>H36-I36</f>
        <v>0</v>
      </c>
      <c r="M36" s="101">
        <v>3000</v>
      </c>
      <c r="N36" s="100"/>
      <c r="O36" s="99"/>
      <c r="P36" s="110" t="s">
        <v>297</v>
      </c>
    </row>
    <row r="37" spans="1:16" s="48" customFormat="1" ht="39" customHeight="1" x14ac:dyDescent="0.15">
      <c r="A37" s="104">
        <v>20170223</v>
      </c>
      <c r="B37" s="105" t="s">
        <v>66</v>
      </c>
      <c r="C37" s="116" t="s">
        <v>44</v>
      </c>
      <c r="D37" s="104" t="s">
        <v>5</v>
      </c>
      <c r="E37" s="104" t="s">
        <v>61</v>
      </c>
      <c r="F37" s="23" t="s">
        <v>159</v>
      </c>
      <c r="G37" s="104" t="s">
        <v>1</v>
      </c>
      <c r="H37" s="103">
        <f>[17]副本!G74</f>
        <v>2002.9199999999992</v>
      </c>
      <c r="I37" s="103">
        <f>H37-3607.546+2050+1050+507.546-1553.792+1553.792</f>
        <v>2002.9199999999994</v>
      </c>
      <c r="J37" s="104"/>
      <c r="K37" s="101"/>
      <c r="L37" s="102">
        <f>H37-I37</f>
        <v>0</v>
      </c>
      <c r="M37" s="101">
        <v>4000</v>
      </c>
      <c r="N37" s="100"/>
      <c r="O37" s="99"/>
      <c r="P37" s="98" t="s">
        <v>65</v>
      </c>
    </row>
    <row r="38" spans="1:16" s="48" customFormat="1" ht="39" customHeight="1" x14ac:dyDescent="0.15">
      <c r="A38" s="104">
        <v>20170223</v>
      </c>
      <c r="B38" s="105" t="s">
        <v>64</v>
      </c>
      <c r="C38" s="116" t="s">
        <v>3</v>
      </c>
      <c r="D38" s="104"/>
      <c r="E38" s="104"/>
      <c r="F38" s="104"/>
      <c r="G38" s="104"/>
      <c r="H38" s="103"/>
      <c r="I38" s="103"/>
      <c r="J38" s="104"/>
      <c r="K38" s="101"/>
      <c r="L38" s="102"/>
      <c r="M38" s="101">
        <v>5000</v>
      </c>
      <c r="N38" s="100"/>
      <c r="O38" s="99"/>
      <c r="P38" s="98"/>
    </row>
    <row r="39" spans="1:16" s="48" customFormat="1" ht="39" customHeight="1" x14ac:dyDescent="0.15">
      <c r="A39" s="104">
        <v>20170223</v>
      </c>
      <c r="B39" s="105" t="s">
        <v>63</v>
      </c>
      <c r="C39" s="116" t="s">
        <v>44</v>
      </c>
      <c r="D39" s="104" t="s">
        <v>5</v>
      </c>
      <c r="E39" s="104" t="s">
        <v>61</v>
      </c>
      <c r="F39" s="23" t="s">
        <v>159</v>
      </c>
      <c r="G39" s="104" t="s">
        <v>1</v>
      </c>
      <c r="H39" s="103">
        <f>[17]副本!G78</f>
        <v>3561.2230000000536</v>
      </c>
      <c r="I39" s="103">
        <f>H39-955.747+477.874+477.873-1042.865-2628.137+500+542.865+2102.57+525.567-499.112-3147.566+2100+525+525+496.678-2617.899+1574.891+523.692-522.622+522.622-2589.467+523.692-499.362+517.893-1051.409+499.362</f>
        <v>442.61600000005359</v>
      </c>
      <c r="J39" s="104"/>
      <c r="K39" s="101"/>
      <c r="L39" s="102">
        <f>H39-I39</f>
        <v>3118.607</v>
      </c>
      <c r="M39" s="101">
        <v>5000</v>
      </c>
      <c r="N39" s="100"/>
      <c r="O39" s="99"/>
      <c r="P39" s="98" t="s">
        <v>295</v>
      </c>
    </row>
    <row r="40" spans="1:16" s="48" customFormat="1" ht="39" customHeight="1" x14ac:dyDescent="0.15">
      <c r="A40" s="104">
        <v>20170223</v>
      </c>
      <c r="B40" s="105" t="s">
        <v>63</v>
      </c>
      <c r="C40" s="116" t="s">
        <v>44</v>
      </c>
      <c r="D40" s="104" t="s">
        <v>5</v>
      </c>
      <c r="E40" s="104" t="s">
        <v>61</v>
      </c>
      <c r="F40" s="23" t="s">
        <v>163</v>
      </c>
      <c r="G40" s="104" t="s">
        <v>1</v>
      </c>
      <c r="H40" s="103">
        <f>[17]副本!G79</f>
        <v>732.09100000000046</v>
      </c>
      <c r="I40" s="103">
        <f>H40</f>
        <v>732.09100000000046</v>
      </c>
      <c r="J40" s="104"/>
      <c r="K40" s="101"/>
      <c r="L40" s="102">
        <f>H40-I40</f>
        <v>0</v>
      </c>
      <c r="M40" s="101">
        <v>5000</v>
      </c>
      <c r="N40" s="100"/>
      <c r="O40" s="99"/>
      <c r="P40" s="98" t="s">
        <v>294</v>
      </c>
    </row>
    <row r="41" spans="1:16" s="48" customFormat="1" ht="39" customHeight="1" x14ac:dyDescent="0.15">
      <c r="A41" s="104">
        <v>20170223</v>
      </c>
      <c r="B41" s="105" t="s">
        <v>59</v>
      </c>
      <c r="C41" s="116" t="s">
        <v>19</v>
      </c>
      <c r="D41" s="104"/>
      <c r="E41" s="104" t="s">
        <v>32</v>
      </c>
      <c r="F41" s="23" t="s">
        <v>161</v>
      </c>
      <c r="G41" s="104" t="s">
        <v>1</v>
      </c>
      <c r="H41" s="103">
        <f>[17]副本!G81</f>
        <v>31.463999999997668</v>
      </c>
      <c r="I41" s="103">
        <f>H41-2564.978+2564.978</f>
        <v>31.463999999997668</v>
      </c>
      <c r="J41" s="104"/>
      <c r="K41" s="101"/>
      <c r="L41" s="102">
        <f>H41-I41</f>
        <v>0</v>
      </c>
      <c r="M41" s="101">
        <v>4000</v>
      </c>
      <c r="N41" s="100"/>
      <c r="O41" s="99"/>
      <c r="P41" s="98" t="s">
        <v>58</v>
      </c>
    </row>
    <row r="42" spans="1:16" s="48" customFormat="1" ht="39" customHeight="1" x14ac:dyDescent="0.15">
      <c r="A42" s="104">
        <v>20170223</v>
      </c>
      <c r="B42" s="105" t="s">
        <v>59</v>
      </c>
      <c r="C42" s="116" t="s">
        <v>19</v>
      </c>
      <c r="D42" s="104"/>
      <c r="E42" s="104" t="s">
        <v>32</v>
      </c>
      <c r="F42" s="23" t="s">
        <v>153</v>
      </c>
      <c r="G42" s="104" t="s">
        <v>1</v>
      </c>
      <c r="H42" s="103">
        <f>[17]副本!G84</f>
        <v>2564.9780000000001</v>
      </c>
      <c r="I42" s="103">
        <f>H42</f>
        <v>2564.9780000000001</v>
      </c>
      <c r="J42" s="104"/>
      <c r="K42" s="101"/>
      <c r="L42" s="102"/>
      <c r="M42" s="101">
        <v>4000</v>
      </c>
      <c r="N42" s="100"/>
      <c r="O42" s="99"/>
      <c r="P42" s="98" t="s">
        <v>286</v>
      </c>
    </row>
    <row r="43" spans="1:16" s="48" customFormat="1" ht="39" customHeight="1" x14ac:dyDescent="0.15">
      <c r="A43" s="104">
        <v>20170223</v>
      </c>
      <c r="B43" s="105" t="s">
        <v>56</v>
      </c>
      <c r="C43" s="116" t="s">
        <v>19</v>
      </c>
      <c r="D43" s="104"/>
      <c r="E43" s="104"/>
      <c r="F43" s="104"/>
      <c r="G43" s="104"/>
      <c r="H43" s="103"/>
      <c r="I43" s="103"/>
      <c r="J43" s="104"/>
      <c r="K43" s="101"/>
      <c r="L43" s="102"/>
      <c r="M43" s="101">
        <v>2000</v>
      </c>
      <c r="N43" s="100"/>
      <c r="O43" s="99"/>
      <c r="P43" s="98"/>
    </row>
    <row r="44" spans="1:16" s="48" customFormat="1" ht="39" customHeight="1" x14ac:dyDescent="0.15">
      <c r="A44" s="104">
        <v>20170223</v>
      </c>
      <c r="B44" s="105" t="s">
        <v>55</v>
      </c>
      <c r="C44" s="116" t="s">
        <v>19</v>
      </c>
      <c r="D44" s="104"/>
      <c r="E44" s="104" t="s">
        <v>32</v>
      </c>
      <c r="F44" s="23" t="s">
        <v>161</v>
      </c>
      <c r="G44" s="104" t="s">
        <v>1</v>
      </c>
      <c r="H44" s="103">
        <f>[17]副本!G88</f>
        <v>1693.3710000000001</v>
      </c>
      <c r="I44" s="103">
        <f>H44</f>
        <v>1693.3710000000001</v>
      </c>
      <c r="J44" s="104"/>
      <c r="K44" s="101"/>
      <c r="L44" s="102">
        <f>H44-I44</f>
        <v>0</v>
      </c>
      <c r="M44" s="101">
        <v>3000</v>
      </c>
      <c r="N44" s="100"/>
      <c r="O44" s="99"/>
      <c r="P44" s="98" t="s">
        <v>285</v>
      </c>
    </row>
    <row r="45" spans="1:16" s="48" customFormat="1" ht="39" customHeight="1" x14ac:dyDescent="0.15">
      <c r="A45" s="104">
        <v>20170223</v>
      </c>
      <c r="B45" s="105" t="s">
        <v>54</v>
      </c>
      <c r="C45" s="116" t="s">
        <v>19</v>
      </c>
      <c r="D45" s="104"/>
      <c r="E45" s="104" t="s">
        <v>32</v>
      </c>
      <c r="F45" s="23" t="s">
        <v>161</v>
      </c>
      <c r="G45" s="104" t="s">
        <v>1</v>
      </c>
      <c r="H45" s="103">
        <f>[17]副本!G90</f>
        <v>53.099999999999454</v>
      </c>
      <c r="I45" s="103">
        <f>H45</f>
        <v>53.099999999999454</v>
      </c>
      <c r="J45" s="104"/>
      <c r="K45" s="102"/>
      <c r="L45" s="102">
        <f>H45-I45</f>
        <v>0</v>
      </c>
      <c r="M45" s="101">
        <v>5000</v>
      </c>
      <c r="N45" s="109"/>
      <c r="O45" s="99"/>
      <c r="P45" s="98" t="s">
        <v>284</v>
      </c>
    </row>
    <row r="46" spans="1:16" s="48" customFormat="1" ht="39" customHeight="1" x14ac:dyDescent="0.15">
      <c r="A46" s="104">
        <v>20170223</v>
      </c>
      <c r="B46" s="105" t="s">
        <v>54</v>
      </c>
      <c r="C46" s="116" t="s">
        <v>19</v>
      </c>
      <c r="D46" s="104"/>
      <c r="E46" s="104" t="s">
        <v>32</v>
      </c>
      <c r="F46" s="23" t="s">
        <v>153</v>
      </c>
      <c r="G46" s="104" t="s">
        <v>1</v>
      </c>
      <c r="H46" s="103">
        <f>[17]副本!G92</f>
        <v>2318.136</v>
      </c>
      <c r="I46" s="103">
        <f>H46</f>
        <v>2318.136</v>
      </c>
      <c r="J46" s="104"/>
      <c r="K46" s="102"/>
      <c r="L46" s="102">
        <f>H46-I46</f>
        <v>0</v>
      </c>
      <c r="M46" s="101">
        <v>5000</v>
      </c>
      <c r="N46" s="109"/>
      <c r="O46" s="99"/>
      <c r="P46" s="98"/>
    </row>
    <row r="47" spans="1:16" s="48" customFormat="1" ht="39" customHeight="1" x14ac:dyDescent="0.15">
      <c r="A47" s="104">
        <v>20170223</v>
      </c>
      <c r="B47" s="105" t="s">
        <v>52</v>
      </c>
      <c r="C47" s="116" t="s">
        <v>44</v>
      </c>
      <c r="D47" s="104"/>
      <c r="E47" s="104"/>
      <c r="F47" s="104"/>
      <c r="G47" s="104"/>
      <c r="H47" s="103"/>
      <c r="I47" s="103"/>
      <c r="J47" s="104"/>
      <c r="K47" s="101"/>
      <c r="L47" s="102"/>
      <c r="M47" s="101">
        <v>5000</v>
      </c>
      <c r="N47" s="100"/>
      <c r="O47" s="99"/>
      <c r="P47" s="98"/>
    </row>
    <row r="48" spans="1:16" s="48" customFormat="1" ht="39" customHeight="1" x14ac:dyDescent="0.15">
      <c r="A48" s="104">
        <v>20170223</v>
      </c>
      <c r="B48" s="105" t="s">
        <v>51</v>
      </c>
      <c r="C48" s="116" t="s">
        <v>44</v>
      </c>
      <c r="D48" s="104"/>
      <c r="E48" s="104" t="s">
        <v>50</v>
      </c>
      <c r="F48" s="23" t="s">
        <v>152</v>
      </c>
      <c r="G48" s="104" t="s">
        <v>1</v>
      </c>
      <c r="H48" s="103">
        <f>[17]副本!G96</f>
        <v>2006.1080000000002</v>
      </c>
      <c r="I48" s="103">
        <f>H48-1021.25+1021.25</f>
        <v>2006.1080000000002</v>
      </c>
      <c r="J48" s="104"/>
      <c r="K48" s="101">
        <v>100</v>
      </c>
      <c r="L48" s="102">
        <f>H48-I48</f>
        <v>0</v>
      </c>
      <c r="M48" s="101">
        <v>5000</v>
      </c>
      <c r="N48" s="100"/>
      <c r="O48" s="99"/>
      <c r="P48" s="98" t="s">
        <v>234</v>
      </c>
    </row>
    <row r="49" spans="1:17" s="48" customFormat="1" ht="39" customHeight="1" x14ac:dyDescent="0.15">
      <c r="A49" s="104">
        <v>20170223</v>
      </c>
      <c r="B49" s="105" t="s">
        <v>51</v>
      </c>
      <c r="C49" s="116" t="s">
        <v>44</v>
      </c>
      <c r="D49" s="104"/>
      <c r="E49" s="104" t="s">
        <v>50</v>
      </c>
      <c r="F49" s="23" t="s">
        <v>148</v>
      </c>
      <c r="G49" s="104" t="s">
        <v>1</v>
      </c>
      <c r="H49" s="103">
        <f>[17]副本!G97</f>
        <v>1000</v>
      </c>
      <c r="I49" s="103">
        <f>H49</f>
        <v>1000</v>
      </c>
      <c r="J49" s="104"/>
      <c r="K49" s="101"/>
      <c r="L49" s="102"/>
      <c r="M49" s="101">
        <v>5000</v>
      </c>
      <c r="N49" s="100"/>
      <c r="O49" s="99"/>
      <c r="P49" s="98" t="s">
        <v>49</v>
      </c>
    </row>
    <row r="50" spans="1:17" s="48" customFormat="1" ht="39" customHeight="1" x14ac:dyDescent="0.15">
      <c r="A50" s="104">
        <v>20170223</v>
      </c>
      <c r="B50" s="105" t="s">
        <v>48</v>
      </c>
      <c r="C50" s="116" t="s">
        <v>44</v>
      </c>
      <c r="D50" s="104"/>
      <c r="E50" s="104" t="s">
        <v>43</v>
      </c>
      <c r="F50" s="23" t="s">
        <v>157</v>
      </c>
      <c r="G50" s="104" t="s">
        <v>1</v>
      </c>
      <c r="H50" s="103">
        <f>[17]副本!G99</f>
        <v>2.4439999999940483</v>
      </c>
      <c r="I50" s="103">
        <f>H50</f>
        <v>2.4439999999940483</v>
      </c>
      <c r="J50" s="104"/>
      <c r="K50" s="102"/>
      <c r="L50" s="102">
        <f>H50-I50</f>
        <v>0</v>
      </c>
      <c r="M50" s="101">
        <v>2000</v>
      </c>
      <c r="N50" s="100"/>
      <c r="O50" s="99"/>
      <c r="P50" s="98"/>
    </row>
    <row r="51" spans="1:17" s="48" customFormat="1" ht="39" customHeight="1" x14ac:dyDescent="0.15">
      <c r="A51" s="104">
        <v>20170223</v>
      </c>
      <c r="B51" s="105" t="s">
        <v>47</v>
      </c>
      <c r="C51" s="116" t="s">
        <v>19</v>
      </c>
      <c r="D51" s="104" t="s">
        <v>5</v>
      </c>
      <c r="E51" s="104" t="s">
        <v>27</v>
      </c>
      <c r="F51" s="23" t="s">
        <v>165</v>
      </c>
      <c r="G51" s="104" t="s">
        <v>1</v>
      </c>
      <c r="H51" s="103">
        <f>[17]副本!G101</f>
        <v>1013.1140000000005</v>
      </c>
      <c r="I51" s="103">
        <v>0</v>
      </c>
      <c r="J51" s="104"/>
      <c r="K51" s="101"/>
      <c r="L51" s="102">
        <f>H51-I51</f>
        <v>1013.1140000000005</v>
      </c>
      <c r="M51" s="101">
        <v>10000</v>
      </c>
      <c r="N51" s="100"/>
      <c r="O51" s="99"/>
      <c r="P51" s="98"/>
    </row>
    <row r="52" spans="1:17" s="48" customFormat="1" ht="39" customHeight="1" x14ac:dyDescent="0.15">
      <c r="A52" s="104">
        <v>20170223</v>
      </c>
      <c r="B52" s="105" t="s">
        <v>46</v>
      </c>
      <c r="C52" s="116" t="s">
        <v>19</v>
      </c>
      <c r="D52" s="104" t="s">
        <v>5</v>
      </c>
      <c r="E52" s="104" t="s">
        <v>27</v>
      </c>
      <c r="F52" s="23" t="s">
        <v>165</v>
      </c>
      <c r="G52" s="104" t="s">
        <v>1</v>
      </c>
      <c r="H52" s="103">
        <f>[17]副本!G103</f>
        <v>4217.264000000001</v>
      </c>
      <c r="I52" s="103">
        <v>0</v>
      </c>
      <c r="J52" s="104"/>
      <c r="K52" s="101"/>
      <c r="L52" s="102">
        <v>0</v>
      </c>
      <c r="M52" s="101">
        <v>10000</v>
      </c>
      <c r="N52" s="100"/>
      <c r="O52" s="99"/>
      <c r="P52" s="98"/>
    </row>
    <row r="53" spans="1:17" s="48" customFormat="1" ht="39" customHeight="1" x14ac:dyDescent="0.15">
      <c r="A53" s="104">
        <v>20170223</v>
      </c>
      <c r="B53" s="105" t="s">
        <v>45</v>
      </c>
      <c r="C53" s="116" t="s">
        <v>44</v>
      </c>
      <c r="D53" s="104"/>
      <c r="E53" s="104" t="s">
        <v>43</v>
      </c>
      <c r="F53" s="23" t="s">
        <v>166</v>
      </c>
      <c r="G53" s="104" t="s">
        <v>1</v>
      </c>
      <c r="H53" s="103">
        <f>[17]副本!G105</f>
        <v>899.91500000000633</v>
      </c>
      <c r="I53" s="103">
        <f>H53</f>
        <v>899.91500000000633</v>
      </c>
      <c r="J53" s="104"/>
      <c r="K53" s="102"/>
      <c r="L53" s="102">
        <v>0</v>
      </c>
      <c r="M53" s="101">
        <v>5000</v>
      </c>
      <c r="N53" s="107" t="s">
        <v>42</v>
      </c>
      <c r="O53" s="106" t="s">
        <v>41</v>
      </c>
      <c r="P53" s="98" t="s">
        <v>146</v>
      </c>
    </row>
    <row r="54" spans="1:17" s="48" customFormat="1" ht="39" customHeight="1" x14ac:dyDescent="0.15">
      <c r="A54" s="104">
        <v>20170223</v>
      </c>
      <c r="B54" s="105" t="s">
        <v>39</v>
      </c>
      <c r="C54" s="116" t="s">
        <v>19</v>
      </c>
      <c r="D54" s="104"/>
      <c r="E54" s="104"/>
      <c r="F54" s="104"/>
      <c r="G54" s="104"/>
      <c r="H54" s="103"/>
      <c r="I54" s="103"/>
      <c r="J54" s="104"/>
      <c r="K54" s="101"/>
      <c r="L54" s="102"/>
      <c r="M54" s="101">
        <v>3000</v>
      </c>
      <c r="N54" s="100"/>
      <c r="O54" s="99"/>
      <c r="P54" s="98"/>
    </row>
    <row r="55" spans="1:17" s="48" customFormat="1" ht="39" customHeight="1" x14ac:dyDescent="0.15">
      <c r="A55" s="104">
        <v>20170223</v>
      </c>
      <c r="B55" s="105" t="s">
        <v>38</v>
      </c>
      <c r="C55" s="116" t="s">
        <v>19</v>
      </c>
      <c r="D55" s="104" t="s">
        <v>5</v>
      </c>
      <c r="E55" s="104" t="s">
        <v>27</v>
      </c>
      <c r="F55" s="23" t="s">
        <v>165</v>
      </c>
      <c r="G55" s="104" t="s">
        <v>22</v>
      </c>
      <c r="H55" s="103">
        <f>[17]副本!G109</f>
        <v>12742.686000000002</v>
      </c>
      <c r="I55" s="103">
        <v>0</v>
      </c>
      <c r="J55" s="104"/>
      <c r="K55" s="101"/>
      <c r="L55" s="102">
        <f>H55-I55</f>
        <v>12742.686000000002</v>
      </c>
      <c r="M55" s="101">
        <v>25000</v>
      </c>
      <c r="N55" s="100" t="s">
        <v>37</v>
      </c>
      <c r="O55" s="99" t="s">
        <v>36</v>
      </c>
      <c r="P55" s="98" t="s">
        <v>35</v>
      </c>
    </row>
    <row r="56" spans="1:17" s="48" customFormat="1" ht="39" customHeight="1" x14ac:dyDescent="0.15">
      <c r="A56" s="104">
        <v>20170223</v>
      </c>
      <c r="B56" s="105" t="s">
        <v>34</v>
      </c>
      <c r="C56" s="116" t="s">
        <v>19</v>
      </c>
      <c r="D56" s="104" t="s">
        <v>5</v>
      </c>
      <c r="E56" s="104" t="s">
        <v>27</v>
      </c>
      <c r="F56" s="23" t="s">
        <v>167</v>
      </c>
      <c r="G56" s="104" t="s">
        <v>22</v>
      </c>
      <c r="H56" s="103">
        <f>[17]副本!G111</f>
        <v>27967.621000000079</v>
      </c>
      <c r="I56" s="103">
        <v>0</v>
      </c>
      <c r="J56" s="104"/>
      <c r="K56" s="101"/>
      <c r="L56" s="102">
        <f>H56-I56</f>
        <v>27967.621000000079</v>
      </c>
      <c r="M56" s="101">
        <v>50000</v>
      </c>
      <c r="N56" s="100"/>
      <c r="O56" s="99"/>
      <c r="P56" s="98"/>
    </row>
    <row r="57" spans="1:17" s="48" customFormat="1" ht="39" customHeight="1" x14ac:dyDescent="0.15">
      <c r="A57" s="104">
        <v>20170223</v>
      </c>
      <c r="B57" s="105" t="s">
        <v>33</v>
      </c>
      <c r="C57" s="116" t="s">
        <v>19</v>
      </c>
      <c r="D57" s="104"/>
      <c r="E57" s="104"/>
      <c r="F57" s="104"/>
      <c r="G57" s="104"/>
      <c r="H57" s="103"/>
      <c r="I57" s="103"/>
      <c r="J57" s="104"/>
      <c r="K57" s="101"/>
      <c r="L57" s="102">
        <f>H57-I57</f>
        <v>0</v>
      </c>
      <c r="M57" s="101">
        <v>4000</v>
      </c>
      <c r="N57" s="100"/>
      <c r="O57" s="99"/>
      <c r="P57" s="98"/>
    </row>
    <row r="58" spans="1:17" s="48" customFormat="1" ht="39" customHeight="1" x14ac:dyDescent="0.15">
      <c r="A58" s="104">
        <v>20170223</v>
      </c>
      <c r="B58" s="105" t="s">
        <v>30</v>
      </c>
      <c r="C58" s="116" t="s">
        <v>3</v>
      </c>
      <c r="D58" s="104"/>
      <c r="E58" s="104"/>
      <c r="F58" s="104"/>
      <c r="G58" s="104"/>
      <c r="H58" s="103"/>
      <c r="I58" s="103"/>
      <c r="J58" s="104"/>
      <c r="K58" s="101"/>
      <c r="L58" s="102"/>
      <c r="M58" s="101">
        <v>37000</v>
      </c>
      <c r="N58" s="100"/>
      <c r="O58" s="99"/>
      <c r="P58" s="98"/>
    </row>
    <row r="59" spans="1:17" s="48" customFormat="1" ht="39" customHeight="1" x14ac:dyDescent="0.15">
      <c r="A59" s="104">
        <v>20170223</v>
      </c>
      <c r="B59" s="105" t="s">
        <v>29</v>
      </c>
      <c r="C59" s="116" t="s">
        <v>3</v>
      </c>
      <c r="D59" s="104"/>
      <c r="E59" s="104"/>
      <c r="F59" s="104"/>
      <c r="G59" s="104"/>
      <c r="H59" s="103"/>
      <c r="I59" s="104"/>
      <c r="J59" s="104"/>
      <c r="K59" s="101"/>
      <c r="L59" s="102"/>
      <c r="M59" s="101">
        <v>37000</v>
      </c>
      <c r="N59" s="100"/>
      <c r="O59" s="99"/>
      <c r="P59" s="98"/>
    </row>
    <row r="60" spans="1:17" s="48" customFormat="1" ht="39" customHeight="1" x14ac:dyDescent="0.15">
      <c r="A60" s="104">
        <v>20170223</v>
      </c>
      <c r="B60" s="105" t="s">
        <v>28</v>
      </c>
      <c r="C60" s="116" t="s">
        <v>19</v>
      </c>
      <c r="D60" s="104" t="s">
        <v>5</v>
      </c>
      <c r="E60" s="104" t="s">
        <v>27</v>
      </c>
      <c r="F60" s="23" t="s">
        <v>165</v>
      </c>
      <c r="G60" s="104" t="s">
        <v>22</v>
      </c>
      <c r="H60" s="103">
        <f>[17]副本!G121</f>
        <v>764.82299999999941</v>
      </c>
      <c r="I60" s="103">
        <v>0</v>
      </c>
      <c r="J60" s="104"/>
      <c r="K60" s="102"/>
      <c r="L60" s="102">
        <f>H60-I60</f>
        <v>764.82299999999941</v>
      </c>
      <c r="M60" s="101">
        <v>10000</v>
      </c>
      <c r="N60" s="100"/>
      <c r="O60" s="99"/>
      <c r="P60" s="98"/>
      <c r="Q60" s="49"/>
    </row>
    <row r="61" spans="1:17" s="48" customFormat="1" ht="39" customHeight="1" x14ac:dyDescent="0.15">
      <c r="A61" s="104">
        <v>20170223</v>
      </c>
      <c r="B61" s="105" t="s">
        <v>26</v>
      </c>
      <c r="C61" s="116" t="s">
        <v>3</v>
      </c>
      <c r="D61" s="104" t="s">
        <v>5</v>
      </c>
      <c r="E61" s="104"/>
      <c r="F61" s="104"/>
      <c r="G61" s="104"/>
      <c r="H61" s="103"/>
      <c r="I61" s="103">
        <v>2776.9</v>
      </c>
      <c r="J61" s="104"/>
      <c r="K61" s="102"/>
      <c r="L61" s="102"/>
      <c r="M61" s="101">
        <v>15000</v>
      </c>
      <c r="N61" s="100"/>
      <c r="O61" s="99"/>
      <c r="P61" s="98"/>
      <c r="Q61" s="49"/>
    </row>
    <row r="62" spans="1:17" s="48" customFormat="1" ht="39" customHeight="1" x14ac:dyDescent="0.15">
      <c r="A62" s="104">
        <v>20170223</v>
      </c>
      <c r="B62" s="105" t="s">
        <v>23</v>
      </c>
      <c r="C62" s="105" t="s">
        <v>19</v>
      </c>
      <c r="D62" s="104" t="s">
        <v>5</v>
      </c>
      <c r="E62" s="104" t="s">
        <v>2</v>
      </c>
      <c r="F62" s="23" t="s">
        <v>299</v>
      </c>
      <c r="G62" s="104" t="s">
        <v>275</v>
      </c>
      <c r="H62" s="103">
        <f>[17]副本!G126</f>
        <v>0</v>
      </c>
      <c r="I62" s="103">
        <f>H62</f>
        <v>0</v>
      </c>
      <c r="J62" s="104"/>
      <c r="K62" s="101"/>
      <c r="L62" s="102"/>
      <c r="M62" s="101">
        <v>43000</v>
      </c>
      <c r="N62" s="100"/>
      <c r="O62" s="99"/>
      <c r="P62" s="98" t="s">
        <v>228</v>
      </c>
      <c r="Q62" s="49"/>
    </row>
    <row r="63" spans="1:17" s="48" customFormat="1" ht="39" customHeight="1" x14ac:dyDescent="0.15">
      <c r="A63" s="104">
        <v>20170223</v>
      </c>
      <c r="B63" s="105" t="s">
        <v>23</v>
      </c>
      <c r="C63" s="105" t="s">
        <v>19</v>
      </c>
      <c r="D63" s="104" t="s">
        <v>5</v>
      </c>
      <c r="E63" s="104" t="s">
        <v>2</v>
      </c>
      <c r="F63" s="23" t="s">
        <v>172</v>
      </c>
      <c r="G63" s="104" t="s">
        <v>275</v>
      </c>
      <c r="H63" s="103">
        <f>[17]副本!G127</f>
        <v>73.671000000000276</v>
      </c>
      <c r="I63" s="103">
        <f>H63</f>
        <v>73.671000000000276</v>
      </c>
      <c r="J63" s="104"/>
      <c r="K63" s="104"/>
      <c r="L63" s="102"/>
      <c r="M63" s="101">
        <v>43000</v>
      </c>
      <c r="N63" s="100"/>
      <c r="O63" s="99"/>
      <c r="P63" s="98" t="s">
        <v>21</v>
      </c>
      <c r="Q63" s="49"/>
    </row>
    <row r="64" spans="1:17" s="48" customFormat="1" ht="39" customHeight="1" x14ac:dyDescent="0.15">
      <c r="A64" s="104">
        <v>20170223</v>
      </c>
      <c r="B64" s="105" t="s">
        <v>20</v>
      </c>
      <c r="C64" s="105" t="s">
        <v>19</v>
      </c>
      <c r="D64" s="104" t="s">
        <v>5</v>
      </c>
      <c r="E64" s="104" t="s">
        <v>2</v>
      </c>
      <c r="F64" s="23" t="s">
        <v>282</v>
      </c>
      <c r="G64" s="104" t="s">
        <v>275</v>
      </c>
      <c r="H64" s="103">
        <f>[17]副本!G129</f>
        <v>12365.038</v>
      </c>
      <c r="I64" s="103">
        <f>H64-12365.038</f>
        <v>0</v>
      </c>
      <c r="J64" s="104"/>
      <c r="K64" s="101"/>
      <c r="L64" s="102">
        <f>H64-I64</f>
        <v>12365.038</v>
      </c>
      <c r="M64" s="101">
        <v>43000</v>
      </c>
      <c r="N64" s="100"/>
      <c r="O64" s="99"/>
      <c r="P64" s="98" t="s">
        <v>274</v>
      </c>
      <c r="Q64" s="49"/>
    </row>
    <row r="65" spans="1:17" s="48" customFormat="1" ht="39" customHeight="1" x14ac:dyDescent="0.15">
      <c r="A65" s="104">
        <v>20170223</v>
      </c>
      <c r="B65" s="105" t="s">
        <v>20</v>
      </c>
      <c r="C65" s="105" t="s">
        <v>19</v>
      </c>
      <c r="D65" s="104" t="s">
        <v>5</v>
      </c>
      <c r="E65" s="104" t="s">
        <v>2</v>
      </c>
      <c r="F65" s="80" t="s">
        <v>283</v>
      </c>
      <c r="G65" s="104" t="s">
        <v>275</v>
      </c>
      <c r="H65" s="103">
        <f>[17]副本!G130</f>
        <v>19971.696</v>
      </c>
      <c r="I65" s="103">
        <f>H65-19971.696</f>
        <v>0</v>
      </c>
      <c r="J65" s="104"/>
      <c r="K65" s="101"/>
      <c r="L65" s="102">
        <f>H65-I65</f>
        <v>19971.696</v>
      </c>
      <c r="M65" s="101">
        <v>43000</v>
      </c>
      <c r="N65" s="100"/>
      <c r="O65" s="99"/>
      <c r="P65" s="98" t="s">
        <v>273</v>
      </c>
      <c r="Q65" s="49"/>
    </row>
    <row r="66" spans="1:17" s="48" customFormat="1" ht="39" customHeight="1" x14ac:dyDescent="0.15">
      <c r="A66" s="104">
        <v>20170223</v>
      </c>
      <c r="B66" s="105" t="s">
        <v>18</v>
      </c>
      <c r="C66" s="116" t="s">
        <v>3</v>
      </c>
      <c r="D66" s="104"/>
      <c r="E66" s="104" t="s">
        <v>300</v>
      </c>
      <c r="F66" s="23" t="s">
        <v>197</v>
      </c>
      <c r="G66" s="104" t="s">
        <v>1</v>
      </c>
      <c r="H66" s="103">
        <f>[17]副本!G132</f>
        <v>7330.9289999999955</v>
      </c>
      <c r="I66" s="103">
        <f>H66-8339.329+8339.329</f>
        <v>7330.9289999999955</v>
      </c>
      <c r="J66" s="104"/>
      <c r="K66" s="101">
        <v>200</v>
      </c>
      <c r="L66" s="102">
        <f>H66-I66</f>
        <v>0</v>
      </c>
      <c r="M66" s="101">
        <v>20000</v>
      </c>
      <c r="N66" s="100"/>
      <c r="O66" s="99"/>
      <c r="P66" s="98" t="s">
        <v>265</v>
      </c>
    </row>
    <row r="67" spans="1:17" s="48" customFormat="1" ht="39" customHeight="1" x14ac:dyDescent="0.15">
      <c r="A67" s="104">
        <v>20170223</v>
      </c>
      <c r="B67" s="105" t="s">
        <v>17</v>
      </c>
      <c r="C67" s="116" t="s">
        <v>3</v>
      </c>
      <c r="D67" s="104"/>
      <c r="E67" s="104" t="s">
        <v>9</v>
      </c>
      <c r="F67" s="23" t="s">
        <v>175</v>
      </c>
      <c r="G67" s="104" t="s">
        <v>1</v>
      </c>
      <c r="H67" s="103">
        <f>[17]副本!G134</f>
        <v>7537.3190000000031</v>
      </c>
      <c r="I67" s="103">
        <f>H67-4751.949+4751.949-4999.395</f>
        <v>2537.9240000000027</v>
      </c>
      <c r="J67" s="104"/>
      <c r="K67" s="101"/>
      <c r="L67" s="102">
        <f>H67-I67</f>
        <v>4999.3950000000004</v>
      </c>
      <c r="M67" s="101">
        <v>30000</v>
      </c>
      <c r="N67" s="100"/>
      <c r="O67" s="99"/>
      <c r="P67" s="98" t="s">
        <v>247</v>
      </c>
    </row>
    <row r="68" spans="1:17" s="48" customFormat="1" ht="39" customHeight="1" x14ac:dyDescent="0.15">
      <c r="A68" s="104">
        <v>20170223</v>
      </c>
      <c r="B68" s="105" t="s">
        <v>17</v>
      </c>
      <c r="C68" s="116" t="s">
        <v>3</v>
      </c>
      <c r="D68" s="104"/>
      <c r="E68" s="104" t="s">
        <v>9</v>
      </c>
      <c r="F68" s="23" t="s">
        <v>158</v>
      </c>
      <c r="G68" s="104"/>
      <c r="H68" s="103">
        <f>[17]副本!G135</f>
        <v>0</v>
      </c>
      <c r="I68" s="103">
        <f>H68</f>
        <v>0</v>
      </c>
      <c r="J68" s="104"/>
      <c r="K68" s="101"/>
      <c r="L68" s="102">
        <f>H68-I68</f>
        <v>0</v>
      </c>
      <c r="M68" s="101"/>
      <c r="N68" s="100"/>
      <c r="O68" s="99"/>
      <c r="P68" s="120" t="s">
        <v>15</v>
      </c>
    </row>
    <row r="69" spans="1:17" s="48" customFormat="1" ht="39" customHeight="1" x14ac:dyDescent="0.15">
      <c r="A69" s="104">
        <v>20170223</v>
      </c>
      <c r="B69" s="105" t="s">
        <v>14</v>
      </c>
      <c r="C69" s="116" t="s">
        <v>3</v>
      </c>
      <c r="D69" s="104" t="s">
        <v>5</v>
      </c>
      <c r="E69" s="104" t="s">
        <v>2</v>
      </c>
      <c r="F69" s="23" t="s">
        <v>174</v>
      </c>
      <c r="G69" s="104" t="s">
        <v>1</v>
      </c>
      <c r="H69" s="103">
        <f>[17]副本!G137</f>
        <v>14976.093999999999</v>
      </c>
      <c r="I69" s="103">
        <f>H69-14976.094</f>
        <v>0</v>
      </c>
      <c r="J69" s="104"/>
      <c r="K69" s="101">
        <v>400</v>
      </c>
      <c r="L69" s="102">
        <f>H69-I69</f>
        <v>14976.093999999999</v>
      </c>
      <c r="M69" s="101">
        <v>20000</v>
      </c>
      <c r="N69" s="100" t="s">
        <v>13</v>
      </c>
      <c r="O69" s="99" t="s">
        <v>12</v>
      </c>
      <c r="P69" s="98" t="s">
        <v>11</v>
      </c>
    </row>
    <row r="70" spans="1:17" s="48" customFormat="1" ht="39" customHeight="1" x14ac:dyDescent="0.15">
      <c r="A70" s="104">
        <v>20170223</v>
      </c>
      <c r="B70" s="105" t="s">
        <v>10</v>
      </c>
      <c r="C70" s="116" t="s">
        <v>3</v>
      </c>
      <c r="D70" s="104"/>
      <c r="E70" s="104" t="s">
        <v>9</v>
      </c>
      <c r="F70" s="23" t="s">
        <v>158</v>
      </c>
      <c r="G70" s="104" t="s">
        <v>1</v>
      </c>
      <c r="H70" s="103">
        <f>[17]副本!G139</f>
        <v>23765.582999999973</v>
      </c>
      <c r="I70" s="103">
        <f>H70</f>
        <v>23765.582999999973</v>
      </c>
      <c r="J70" s="104"/>
      <c r="K70" s="101"/>
      <c r="L70" s="102">
        <v>0</v>
      </c>
      <c r="M70" s="101">
        <v>30000</v>
      </c>
      <c r="N70" s="100"/>
      <c r="O70" s="99"/>
      <c r="P70" s="98"/>
    </row>
    <row r="71" spans="1:17" s="48" customFormat="1" ht="39" customHeight="1" x14ac:dyDescent="0.15">
      <c r="A71" s="104">
        <v>20170223</v>
      </c>
      <c r="B71" s="105" t="s">
        <v>8</v>
      </c>
      <c r="C71" s="116" t="s">
        <v>3</v>
      </c>
      <c r="D71" s="104"/>
      <c r="E71" s="104"/>
      <c r="F71" s="98"/>
      <c r="G71" s="104"/>
      <c r="H71" s="103"/>
      <c r="I71" s="103"/>
      <c r="J71" s="104"/>
      <c r="K71" s="101"/>
      <c r="L71" s="102"/>
      <c r="M71" s="101">
        <v>20000</v>
      </c>
      <c r="N71" s="100"/>
      <c r="O71" s="99"/>
      <c r="P71" s="104"/>
    </row>
    <row r="72" spans="1:17" s="48" customFormat="1" ht="39" customHeight="1" x14ac:dyDescent="0.15">
      <c r="A72" s="104">
        <v>20170223</v>
      </c>
      <c r="B72" s="105" t="s">
        <v>7</v>
      </c>
      <c r="C72" s="116" t="s">
        <v>3</v>
      </c>
      <c r="D72" s="104" t="s">
        <v>5</v>
      </c>
      <c r="E72" s="104"/>
      <c r="F72" s="104"/>
      <c r="G72" s="104"/>
      <c r="H72" s="103"/>
      <c r="I72" s="103"/>
      <c r="J72" s="104"/>
      <c r="K72" s="101"/>
      <c r="L72" s="102"/>
      <c r="M72" s="101">
        <v>15000</v>
      </c>
      <c r="N72" s="100"/>
      <c r="O72" s="99"/>
      <c r="P72" s="98"/>
    </row>
    <row r="73" spans="1:17" s="48" customFormat="1" ht="39" customHeight="1" x14ac:dyDescent="0.15">
      <c r="A73" s="104">
        <v>20170223</v>
      </c>
      <c r="B73" s="105" t="s">
        <v>6</v>
      </c>
      <c r="C73" s="116" t="s">
        <v>3</v>
      </c>
      <c r="D73" s="104" t="s">
        <v>5</v>
      </c>
      <c r="E73" s="104" t="s">
        <v>2</v>
      </c>
      <c r="F73" s="23" t="s">
        <v>171</v>
      </c>
      <c r="G73" s="104" t="s">
        <v>1</v>
      </c>
      <c r="H73" s="103">
        <f>[17]副本!G146</f>
        <v>12005.106</v>
      </c>
      <c r="I73" s="103">
        <f>H73-12005.106</f>
        <v>0</v>
      </c>
      <c r="J73" s="104"/>
      <c r="K73" s="101">
        <v>600</v>
      </c>
      <c r="L73" s="102">
        <f>H73-I73</f>
        <v>12005.106</v>
      </c>
      <c r="M73" s="101">
        <v>15000</v>
      </c>
      <c r="N73" s="100"/>
      <c r="O73" s="99"/>
      <c r="P73" s="98"/>
    </row>
    <row r="74" spans="1:17" s="48" customFormat="1" ht="39" customHeight="1" x14ac:dyDescent="0.15">
      <c r="A74" s="104">
        <v>20170223</v>
      </c>
      <c r="B74" s="105" t="s">
        <v>4</v>
      </c>
      <c r="C74" s="116" t="s">
        <v>3</v>
      </c>
      <c r="D74" s="104"/>
      <c r="E74" s="104" t="s">
        <v>2</v>
      </c>
      <c r="F74" s="23" t="s">
        <v>170</v>
      </c>
      <c r="G74" s="104" t="s">
        <v>1</v>
      </c>
      <c r="H74" s="103">
        <f>[17]副本!G148</f>
        <v>1248.8099999999977</v>
      </c>
      <c r="I74" s="103">
        <f>H74</f>
        <v>1248.8099999999977</v>
      </c>
      <c r="J74" s="104"/>
      <c r="K74" s="101"/>
      <c r="L74" s="102">
        <f>H74-I74</f>
        <v>0</v>
      </c>
      <c r="M74" s="101">
        <v>15000</v>
      </c>
      <c r="N74" s="100"/>
      <c r="O74" s="99"/>
      <c r="P74" s="98" t="s">
        <v>192</v>
      </c>
    </row>
    <row r="80" spans="1:17" x14ac:dyDescent="0.15">
      <c r="L80" s="47"/>
    </row>
    <row r="232" spans="7:8" x14ac:dyDescent="0.15">
      <c r="G232" s="39"/>
      <c r="H232" s="39"/>
    </row>
  </sheetData>
  <autoFilter ref="B1:I74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3"/>
  <sheetViews>
    <sheetView workbookViewId="0">
      <pane xSplit="3" ySplit="1" topLeftCell="D69" activePane="bottomRight" state="frozen"/>
      <selection pane="topRight"/>
      <selection pane="bottomLeft"/>
      <selection pane="bottomRight" activeCell="F73" sqref="F73:F75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5.1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31.5" customHeight="1" x14ac:dyDescent="0.15">
      <c r="A2" s="104">
        <v>20170224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>
        <f>[18]副本!G3</f>
        <v>417.77499999999964</v>
      </c>
      <c r="I2" s="103">
        <f>H2-1918.881+1918.881</f>
        <v>417.77499999999964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269</v>
      </c>
    </row>
    <row r="3" spans="1:17" s="48" customFormat="1" ht="31.5" customHeight="1" x14ac:dyDescent="0.15">
      <c r="A3" s="104">
        <v>20170224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[18]副本!G6</f>
        <v>288.29899999999986</v>
      </c>
      <c r="I3" s="103">
        <f>H3</f>
        <v>288.29899999999986</v>
      </c>
      <c r="J3" s="104"/>
      <c r="K3" s="101"/>
      <c r="L3" s="102">
        <f>H3-I3</f>
        <v>0</v>
      </c>
      <c r="M3" s="101">
        <v>1500</v>
      </c>
      <c r="N3" s="100"/>
      <c r="O3" s="99"/>
      <c r="P3" s="98" t="s">
        <v>291</v>
      </c>
    </row>
    <row r="4" spans="1:17" s="48" customFormat="1" ht="31.5" customHeight="1" x14ac:dyDescent="0.15">
      <c r="A4" s="104">
        <v>20170224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[18]副本!G8</f>
        <v>587.78299999999581</v>
      </c>
      <c r="I4" s="103">
        <f>H4</f>
        <v>587.78299999999581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31.5" customHeight="1" x14ac:dyDescent="0.15">
      <c r="A5" s="104">
        <v>20170224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[18]副本!G10</f>
        <v>19.672000000027765</v>
      </c>
      <c r="I5" s="103">
        <f>H5</f>
        <v>19.672000000027765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31.5" customHeight="1" x14ac:dyDescent="0.15">
      <c r="A6" s="104">
        <v>20170224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31.5" customHeight="1" x14ac:dyDescent="0.15">
      <c r="A7" s="104">
        <v>20170224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[18]副本!G14</f>
        <v>1605.6280000000006</v>
      </c>
      <c r="I7" s="103">
        <f>H7</f>
        <v>1605.6280000000006</v>
      </c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31.5" customHeight="1" x14ac:dyDescent="0.15">
      <c r="A8" s="104">
        <v>20170224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[18]副本!G16</f>
        <v>560.04900000000021</v>
      </c>
      <c r="I8" s="103">
        <f>H8</f>
        <v>560.04900000000021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31.5" customHeight="1" x14ac:dyDescent="0.15">
      <c r="A9" s="104">
        <v>20170224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[18]副本!G18</f>
        <v>1322.4749999999999</v>
      </c>
      <c r="I9" s="103">
        <f>H9</f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31.5" customHeight="1" x14ac:dyDescent="0.15">
      <c r="A10" s="104">
        <v>20170224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[18]副本!G20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263</v>
      </c>
    </row>
    <row r="11" spans="1:17" s="48" customFormat="1" ht="31.5" customHeight="1" x14ac:dyDescent="0.15">
      <c r="A11" s="104">
        <v>20170224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[18]副本!G22</f>
        <v>970.28</v>
      </c>
      <c r="I11" s="103">
        <f>H11</f>
        <v>970.28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31.5" customHeight="1" x14ac:dyDescent="0.15">
      <c r="A12" s="104">
        <v>20170224</v>
      </c>
      <c r="B12" s="105" t="s">
        <v>105</v>
      </c>
      <c r="C12" s="104" t="s">
        <v>44</v>
      </c>
      <c r="D12" s="104"/>
      <c r="E12" s="104" t="s">
        <v>86</v>
      </c>
      <c r="F12" s="23" t="s">
        <v>156</v>
      </c>
      <c r="G12" s="104" t="s">
        <v>1</v>
      </c>
      <c r="H12" s="103">
        <f>[18]副本!G24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 t="s">
        <v>291</v>
      </c>
    </row>
    <row r="13" spans="1:17" s="48" customFormat="1" ht="31.5" customHeight="1" x14ac:dyDescent="0.15">
      <c r="A13" s="104">
        <v>20170224</v>
      </c>
      <c r="B13" s="105" t="s">
        <v>104</v>
      </c>
      <c r="C13" s="116" t="s">
        <v>19</v>
      </c>
      <c r="D13" s="104"/>
      <c r="E13" s="104" t="s">
        <v>244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31.5" customHeight="1" x14ac:dyDescent="0.15">
      <c r="A14" s="104">
        <v>20170224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31.5" customHeight="1" x14ac:dyDescent="0.15">
      <c r="A15" s="104">
        <v>20170224</v>
      </c>
      <c r="B15" s="105" t="s">
        <v>101</v>
      </c>
      <c r="C15" s="116" t="s">
        <v>44</v>
      </c>
      <c r="D15" s="104"/>
      <c r="E15" s="104" t="s">
        <v>71</v>
      </c>
      <c r="F15" s="23" t="s">
        <v>152</v>
      </c>
      <c r="G15" s="104" t="s">
        <v>1</v>
      </c>
      <c r="H15" s="103">
        <f>[18]副本!G30</f>
        <v>47.59699999999998</v>
      </c>
      <c r="I15" s="103">
        <f>H15</f>
        <v>47.59699999999998</v>
      </c>
      <c r="J15" s="104"/>
      <c r="K15" s="101"/>
      <c r="L15" s="102">
        <v>0</v>
      </c>
      <c r="M15" s="101">
        <v>1500</v>
      </c>
      <c r="N15" s="100"/>
      <c r="O15" s="99"/>
      <c r="P15" s="98" t="s">
        <v>205</v>
      </c>
    </row>
    <row r="16" spans="1:17" s="48" customFormat="1" ht="31.5" customHeight="1" x14ac:dyDescent="0.15">
      <c r="A16" s="104">
        <v>20170224</v>
      </c>
      <c r="B16" s="105" t="s">
        <v>101</v>
      </c>
      <c r="C16" s="116" t="s">
        <v>44</v>
      </c>
      <c r="D16" s="104"/>
      <c r="E16" s="104" t="s">
        <v>71</v>
      </c>
      <c r="F16" s="23" t="s">
        <v>153</v>
      </c>
      <c r="G16" s="104" t="s">
        <v>1</v>
      </c>
      <c r="H16" s="103">
        <f>[18]副本!G31</f>
        <v>0</v>
      </c>
      <c r="I16" s="103">
        <f>H16</f>
        <v>0</v>
      </c>
      <c r="J16" s="104"/>
      <c r="K16" s="101"/>
      <c r="L16" s="102"/>
      <c r="M16" s="101">
        <v>1500</v>
      </c>
      <c r="N16" s="100"/>
      <c r="O16" s="99"/>
      <c r="P16" s="121" t="s">
        <v>204</v>
      </c>
    </row>
    <row r="17" spans="1:17" s="48" customFormat="1" ht="31.5" customHeight="1" x14ac:dyDescent="0.15">
      <c r="A17" s="104">
        <v>20170224</v>
      </c>
      <c r="B17" s="105" t="s">
        <v>99</v>
      </c>
      <c r="C17" s="116" t="s">
        <v>93</v>
      </c>
      <c r="D17" s="104"/>
      <c r="E17" s="104" t="s">
        <v>9</v>
      </c>
      <c r="F17" s="23" t="s">
        <v>158</v>
      </c>
      <c r="G17" s="104" t="s">
        <v>1</v>
      </c>
      <c r="H17" s="103">
        <f>[18]副本!G33-H18</f>
        <v>5195.8780000000188</v>
      </c>
      <c r="I17" s="103">
        <f>H17</f>
        <v>5195.8780000000188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293</v>
      </c>
    </row>
    <row r="18" spans="1:17" s="48" customFormat="1" ht="31.5" customHeight="1" x14ac:dyDescent="0.15">
      <c r="A18" s="104">
        <v>20170224</v>
      </c>
      <c r="B18" s="105" t="s">
        <v>99</v>
      </c>
      <c r="C18" s="116" t="s">
        <v>93</v>
      </c>
      <c r="D18" s="104"/>
      <c r="E18" s="104" t="s">
        <v>9</v>
      </c>
      <c r="F18" s="24" t="s">
        <v>175</v>
      </c>
      <c r="G18" s="104" t="s">
        <v>1</v>
      </c>
      <c r="H18" s="103">
        <f>[18]副本!G35</f>
        <v>12119.121999999981</v>
      </c>
      <c r="I18" s="103">
        <f>H18</f>
        <v>12119.121999999981</v>
      </c>
      <c r="J18" s="104"/>
      <c r="K18" s="101"/>
      <c r="L18" s="102">
        <f>H18-I18</f>
        <v>0</v>
      </c>
      <c r="M18" s="101">
        <v>21000</v>
      </c>
      <c r="N18" s="100" t="s">
        <v>90</v>
      </c>
      <c r="O18" s="99" t="s">
        <v>89</v>
      </c>
      <c r="P18" s="98" t="s">
        <v>97</v>
      </c>
    </row>
    <row r="19" spans="1:17" s="48" customFormat="1" ht="31.5" customHeight="1" x14ac:dyDescent="0.15">
      <c r="A19" s="104">
        <v>20170224</v>
      </c>
      <c r="B19" s="105" t="s">
        <v>96</v>
      </c>
      <c r="C19" s="116" t="s">
        <v>44</v>
      </c>
      <c r="D19" s="104" t="s">
        <v>5</v>
      </c>
      <c r="E19" s="104" t="s">
        <v>61</v>
      </c>
      <c r="F19" s="23" t="s">
        <v>159</v>
      </c>
      <c r="G19" s="104" t="s">
        <v>1</v>
      </c>
      <c r="H19" s="103">
        <f>[18]副本!G37</f>
        <v>4224.8950000000004</v>
      </c>
      <c r="I19" s="103">
        <f>H19-3496.542+1000+2496.542-3122.825+3122.825</f>
        <v>4224.8950000000004</v>
      </c>
      <c r="J19" s="104"/>
      <c r="K19" s="101"/>
      <c r="L19" s="102">
        <f>H19-I19</f>
        <v>0</v>
      </c>
      <c r="M19" s="101">
        <v>5000</v>
      </c>
      <c r="N19" s="100"/>
      <c r="O19" s="99"/>
      <c r="P19" s="98" t="s">
        <v>292</v>
      </c>
    </row>
    <row r="20" spans="1:17" s="48" customFormat="1" ht="31.5" customHeight="1" x14ac:dyDescent="0.15">
      <c r="A20" s="104">
        <v>20170224</v>
      </c>
      <c r="B20" s="105" t="s">
        <v>95</v>
      </c>
      <c r="C20" s="116" t="s">
        <v>44</v>
      </c>
      <c r="D20" s="104"/>
      <c r="E20" s="104"/>
      <c r="F20" s="104"/>
      <c r="G20" s="104"/>
      <c r="H20" s="103"/>
      <c r="I20" s="103"/>
      <c r="J20" s="104"/>
      <c r="K20" s="101"/>
      <c r="L20" s="102"/>
      <c r="M20" s="101">
        <v>3000</v>
      </c>
      <c r="N20" s="100"/>
      <c r="O20" s="99"/>
      <c r="P20" s="98"/>
    </row>
    <row r="21" spans="1:17" s="48" customFormat="1" ht="31.5" customHeight="1" x14ac:dyDescent="0.15">
      <c r="A21" s="104">
        <v>20170224</v>
      </c>
      <c r="B21" s="105" t="s">
        <v>94</v>
      </c>
      <c r="C21" s="116" t="s">
        <v>93</v>
      </c>
      <c r="D21" s="104"/>
      <c r="E21" s="104" t="s">
        <v>9</v>
      </c>
      <c r="F21" s="23" t="s">
        <v>158</v>
      </c>
      <c r="G21" s="104" t="s">
        <v>1</v>
      </c>
      <c r="H21" s="103">
        <f>[18]副本!G41-'20170224'!H22</f>
        <v>7086.5454280000376</v>
      </c>
      <c r="I21" s="103">
        <f>H21</f>
        <v>7086.5454280000376</v>
      </c>
      <c r="J21" s="104"/>
      <c r="K21" s="101"/>
      <c r="L21" s="102">
        <f>H21-I21</f>
        <v>0</v>
      </c>
      <c r="M21" s="101">
        <v>21000</v>
      </c>
      <c r="N21" s="100" t="s">
        <v>92</v>
      </c>
      <c r="O21" s="99" t="s">
        <v>89</v>
      </c>
      <c r="P21" s="98" t="s">
        <v>91</v>
      </c>
    </row>
    <row r="22" spans="1:17" s="48" customFormat="1" ht="31.5" customHeight="1" x14ac:dyDescent="0.15">
      <c r="A22" s="104">
        <v>20170224</v>
      </c>
      <c r="B22" s="105" t="s">
        <v>94</v>
      </c>
      <c r="C22" s="116" t="s">
        <v>93</v>
      </c>
      <c r="D22" s="104"/>
      <c r="E22" s="104" t="s">
        <v>9</v>
      </c>
      <c r="F22" s="24" t="s">
        <v>175</v>
      </c>
      <c r="G22" s="104" t="s">
        <v>1</v>
      </c>
      <c r="H22" s="103">
        <f>[18]副本!G43</f>
        <v>5216.4545719999624</v>
      </c>
      <c r="I22" s="103">
        <f>H22</f>
        <v>5216.4545719999624</v>
      </c>
      <c r="J22" s="104"/>
      <c r="K22" s="117"/>
      <c r="L22" s="102">
        <f>H22-I22</f>
        <v>0</v>
      </c>
      <c r="M22" s="101">
        <v>21000</v>
      </c>
      <c r="N22" s="100" t="s">
        <v>90</v>
      </c>
      <c r="O22" s="99" t="s">
        <v>89</v>
      </c>
      <c r="P22" s="98" t="s">
        <v>88</v>
      </c>
    </row>
    <row r="23" spans="1:17" s="48" customFormat="1" ht="31.5" customHeight="1" x14ac:dyDescent="0.15">
      <c r="A23" s="104">
        <v>20170224</v>
      </c>
      <c r="B23" s="105" t="s">
        <v>87</v>
      </c>
      <c r="C23" s="116" t="s">
        <v>44</v>
      </c>
      <c r="D23" s="104"/>
      <c r="E23" s="104" t="s">
        <v>86</v>
      </c>
      <c r="F23" s="23" t="s">
        <v>156</v>
      </c>
      <c r="G23" s="104" t="s">
        <v>1</v>
      </c>
      <c r="H23" s="103">
        <f>[18]副本!G45</f>
        <v>5300.851999999999</v>
      </c>
      <c r="I23" s="103">
        <f>H23</f>
        <v>5300.851999999999</v>
      </c>
      <c r="J23" s="104"/>
      <c r="K23" s="101">
        <v>450</v>
      </c>
      <c r="L23" s="102">
        <f>H23-I23</f>
        <v>0</v>
      </c>
      <c r="M23" s="101">
        <v>5000</v>
      </c>
      <c r="N23" s="100"/>
      <c r="O23" s="99"/>
      <c r="P23" s="98" t="s">
        <v>291</v>
      </c>
    </row>
    <row r="24" spans="1:17" s="48" customFormat="1" ht="31.5" customHeight="1" x14ac:dyDescent="0.15">
      <c r="A24" s="104">
        <v>20170224</v>
      </c>
      <c r="B24" s="105" t="s">
        <v>84</v>
      </c>
      <c r="C24" s="116" t="s">
        <v>3</v>
      </c>
      <c r="D24" s="104"/>
      <c r="E24" s="98"/>
      <c r="F24" s="104"/>
      <c r="G24" s="104"/>
      <c r="H24" s="103"/>
      <c r="I24" s="103"/>
      <c r="J24" s="104"/>
      <c r="K24" s="101"/>
      <c r="L24" s="102"/>
      <c r="M24" s="101">
        <v>5000</v>
      </c>
      <c r="N24" s="100"/>
      <c r="O24" s="99"/>
      <c r="P24" s="120"/>
    </row>
    <row r="25" spans="1:17" s="48" customFormat="1" ht="31.5" customHeight="1" x14ac:dyDescent="0.15">
      <c r="A25" s="104">
        <v>20170224</v>
      </c>
      <c r="B25" s="105" t="s">
        <v>81</v>
      </c>
      <c r="C25" s="116" t="s">
        <v>44</v>
      </c>
      <c r="D25" s="104"/>
      <c r="E25" s="104" t="s">
        <v>203</v>
      </c>
      <c r="F25" s="23" t="s">
        <v>161</v>
      </c>
      <c r="G25" s="104" t="s">
        <v>1</v>
      </c>
      <c r="H25" s="103">
        <f>[18]副本!G49</f>
        <v>1420.1679999999997</v>
      </c>
      <c r="I25" s="103">
        <f>H25</f>
        <v>1420.1679999999997</v>
      </c>
      <c r="J25" s="104"/>
      <c r="K25" s="101">
        <v>1300</v>
      </c>
      <c r="L25" s="102">
        <f>H25-I25</f>
        <v>0</v>
      </c>
      <c r="M25" s="101">
        <v>5000</v>
      </c>
      <c r="N25" s="100"/>
      <c r="O25" s="99"/>
      <c r="P25" s="98" t="s">
        <v>285</v>
      </c>
    </row>
    <row r="26" spans="1:17" s="48" customFormat="1" ht="31.5" customHeight="1" x14ac:dyDescent="0.15">
      <c r="A26" s="104">
        <v>20170224</v>
      </c>
      <c r="B26" s="105" t="s">
        <v>81</v>
      </c>
      <c r="C26" s="116" t="s">
        <v>44</v>
      </c>
      <c r="D26" s="104"/>
      <c r="E26" s="104" t="s">
        <v>203</v>
      </c>
      <c r="F26" s="23" t="s">
        <v>153</v>
      </c>
      <c r="G26" s="104" t="s">
        <v>1</v>
      </c>
      <c r="H26" s="103">
        <f>[18]副本!G50</f>
        <v>981.86400000000003</v>
      </c>
      <c r="I26" s="103">
        <f>H26</f>
        <v>981.86400000000003</v>
      </c>
      <c r="J26" s="104"/>
      <c r="K26" s="101"/>
      <c r="L26" s="102">
        <f>H26-I26</f>
        <v>0</v>
      </c>
      <c r="M26" s="101">
        <v>5000</v>
      </c>
      <c r="N26" s="100"/>
      <c r="O26" s="99"/>
      <c r="P26" s="98" t="s">
        <v>285</v>
      </c>
    </row>
    <row r="27" spans="1:17" s="48" customFormat="1" ht="31.5" customHeight="1" x14ac:dyDescent="0.15">
      <c r="A27" s="104">
        <v>20170224</v>
      </c>
      <c r="B27" s="105" t="s">
        <v>80</v>
      </c>
      <c r="C27" s="116" t="s">
        <v>44</v>
      </c>
      <c r="D27" s="104"/>
      <c r="E27" s="104" t="s">
        <v>43</v>
      </c>
      <c r="F27" s="23" t="s">
        <v>157</v>
      </c>
      <c r="G27" s="104" t="s">
        <v>1</v>
      </c>
      <c r="H27" s="103">
        <f>[18]副本!G53</f>
        <v>2144.2040000000002</v>
      </c>
      <c r="I27" s="103">
        <f>H27</f>
        <v>2144.2040000000002</v>
      </c>
      <c r="J27" s="104"/>
      <c r="K27" s="101"/>
      <c r="L27" s="102">
        <f>H27-I27</f>
        <v>0</v>
      </c>
      <c r="M27" s="101">
        <v>4000</v>
      </c>
      <c r="N27" s="100"/>
      <c r="O27" s="99"/>
      <c r="P27" s="98"/>
    </row>
    <row r="28" spans="1:17" s="48" customFormat="1" ht="31.5" customHeight="1" x14ac:dyDescent="0.15">
      <c r="A28" s="104">
        <v>20170224</v>
      </c>
      <c r="B28" s="105" t="s">
        <v>79</v>
      </c>
      <c r="C28" s="116" t="s">
        <v>74</v>
      </c>
      <c r="D28" s="104" t="s">
        <v>5</v>
      </c>
      <c r="E28" s="104" t="s">
        <v>266</v>
      </c>
      <c r="F28" s="104" t="s">
        <v>271</v>
      </c>
      <c r="G28" s="104"/>
      <c r="H28" s="103">
        <f>[18]副本!G55</f>
        <v>4007.2739999999999</v>
      </c>
      <c r="I28" s="103">
        <f>H28-4007.274</f>
        <v>0</v>
      </c>
      <c r="J28" s="104"/>
      <c r="K28" s="101"/>
      <c r="L28" s="102">
        <f>H28-I28</f>
        <v>4007.2739999999999</v>
      </c>
      <c r="M28" s="101">
        <v>5000</v>
      </c>
      <c r="N28" s="100"/>
      <c r="O28" s="99"/>
      <c r="P28" s="98" t="s">
        <v>274</v>
      </c>
    </row>
    <row r="29" spans="1:17" s="48" customFormat="1" ht="31.5" customHeight="1" x14ac:dyDescent="0.15">
      <c r="A29" s="104">
        <v>20170224</v>
      </c>
      <c r="B29" s="105" t="s">
        <v>78</v>
      </c>
      <c r="C29" s="116" t="s">
        <v>74</v>
      </c>
      <c r="D29" s="104"/>
      <c r="E29" s="104"/>
      <c r="F29" s="104"/>
      <c r="G29" s="104"/>
      <c r="H29" s="103"/>
      <c r="I29" s="103"/>
      <c r="J29" s="104"/>
      <c r="K29" s="101"/>
      <c r="L29" s="102"/>
      <c r="M29" s="101">
        <v>2000</v>
      </c>
      <c r="N29" s="100"/>
      <c r="O29" s="99"/>
      <c r="P29" s="98"/>
    </row>
    <row r="30" spans="1:17" s="48" customFormat="1" ht="31.5" customHeight="1" x14ac:dyDescent="0.15">
      <c r="A30" s="104">
        <v>20170224</v>
      </c>
      <c r="B30" s="105" t="s">
        <v>77</v>
      </c>
      <c r="C30" s="116" t="s">
        <v>74</v>
      </c>
      <c r="D30" s="104"/>
      <c r="E30" s="104" t="s">
        <v>32</v>
      </c>
      <c r="F30" s="23" t="s">
        <v>153</v>
      </c>
      <c r="G30" s="104" t="s">
        <v>1</v>
      </c>
      <c r="H30" s="103">
        <f>[18]副本!G61</f>
        <v>1098.6790000000001</v>
      </c>
      <c r="I30" s="103">
        <f>H30-1098.679+1098.679</f>
        <v>1098.6790000000001</v>
      </c>
      <c r="J30" s="104"/>
      <c r="K30" s="101"/>
      <c r="L30" s="102">
        <f>H30-I30</f>
        <v>0</v>
      </c>
      <c r="M30" s="101">
        <v>1500</v>
      </c>
      <c r="N30" s="100"/>
      <c r="O30" s="99"/>
      <c r="P30" s="98" t="s">
        <v>290</v>
      </c>
    </row>
    <row r="31" spans="1:17" s="48" customFormat="1" ht="31.5" customHeight="1" x14ac:dyDescent="0.15">
      <c r="A31" s="104">
        <v>20170224</v>
      </c>
      <c r="B31" s="105" t="s">
        <v>76</v>
      </c>
      <c r="C31" s="116" t="s">
        <v>74</v>
      </c>
      <c r="D31" s="104"/>
      <c r="E31" s="104"/>
      <c r="F31" s="104"/>
      <c r="G31" s="104"/>
      <c r="H31" s="103"/>
      <c r="I31" s="103"/>
      <c r="J31" s="104"/>
      <c r="K31" s="101"/>
      <c r="L31" s="102"/>
      <c r="M31" s="101">
        <v>1500</v>
      </c>
      <c r="N31" s="100"/>
      <c r="O31" s="99"/>
      <c r="P31" s="98"/>
      <c r="Q31" s="49"/>
    </row>
    <row r="32" spans="1:17" s="48" customFormat="1" ht="31.5" customHeight="1" x14ac:dyDescent="0.15">
      <c r="A32" s="104">
        <v>20170224</v>
      </c>
      <c r="B32" s="105" t="s">
        <v>75</v>
      </c>
      <c r="C32" s="116" t="s">
        <v>74</v>
      </c>
      <c r="D32" s="104"/>
      <c r="E32" s="104" t="s">
        <v>32</v>
      </c>
      <c r="F32" s="23" t="s">
        <v>153</v>
      </c>
      <c r="G32" s="104" t="s">
        <v>1</v>
      </c>
      <c r="H32" s="103">
        <f>[18]副本!G65</f>
        <v>1096.2820000000002</v>
      </c>
      <c r="I32" s="103">
        <f>H32-1096.282+1096.282</f>
        <v>1096.2820000000002</v>
      </c>
      <c r="J32" s="104"/>
      <c r="K32" s="101"/>
      <c r="L32" s="102">
        <f>H32-I32</f>
        <v>0</v>
      </c>
      <c r="M32" s="101">
        <v>1500</v>
      </c>
      <c r="N32" s="100"/>
      <c r="O32" s="99"/>
      <c r="P32" s="98" t="s">
        <v>289</v>
      </c>
    </row>
    <row r="33" spans="1:16" s="48" customFormat="1" ht="31.5" customHeight="1" x14ac:dyDescent="0.15">
      <c r="A33" s="104">
        <v>20170224</v>
      </c>
      <c r="B33" s="105" t="s">
        <v>73</v>
      </c>
      <c r="C33" s="116" t="s">
        <v>44</v>
      </c>
      <c r="D33" s="104"/>
      <c r="E33" s="104"/>
      <c r="F33" s="104"/>
      <c r="G33" s="104"/>
      <c r="H33" s="103"/>
      <c r="I33" s="103"/>
      <c r="J33" s="104"/>
      <c r="K33" s="101"/>
      <c r="L33" s="102"/>
      <c r="M33" s="101">
        <v>1500</v>
      </c>
      <c r="N33" s="100"/>
      <c r="O33" s="99"/>
      <c r="P33" s="98"/>
    </row>
    <row r="34" spans="1:16" s="48" customFormat="1" ht="31.5" customHeight="1" x14ac:dyDescent="0.15">
      <c r="A34" s="104">
        <v>20170224</v>
      </c>
      <c r="B34" s="105" t="s">
        <v>72</v>
      </c>
      <c r="C34" s="116" t="s">
        <v>44</v>
      </c>
      <c r="D34" s="104"/>
      <c r="E34" s="104" t="s">
        <v>71</v>
      </c>
      <c r="F34" s="23" t="s">
        <v>154</v>
      </c>
      <c r="G34" s="104" t="s">
        <v>1</v>
      </c>
      <c r="H34" s="104">
        <f>[18]副本!G69</f>
        <v>753.33000000000027</v>
      </c>
      <c r="I34" s="103">
        <f>H34-1035.099+1035.099</f>
        <v>753.33000000000027</v>
      </c>
      <c r="J34" s="104"/>
      <c r="K34" s="101">
        <v>50</v>
      </c>
      <c r="L34" s="102">
        <f>H34-I34</f>
        <v>0</v>
      </c>
      <c r="M34" s="101">
        <v>2000</v>
      </c>
      <c r="N34" s="100"/>
      <c r="O34" s="99"/>
      <c r="P34" s="98" t="s">
        <v>221</v>
      </c>
    </row>
    <row r="35" spans="1:16" s="48" customFormat="1" ht="31.5" customHeight="1" x14ac:dyDescent="0.15">
      <c r="A35" s="104">
        <v>20170224</v>
      </c>
      <c r="B35" s="105" t="s">
        <v>69</v>
      </c>
      <c r="C35" s="116" t="s">
        <v>44</v>
      </c>
      <c r="D35" s="104" t="s">
        <v>5</v>
      </c>
      <c r="E35" s="104" t="s">
        <v>68</v>
      </c>
      <c r="F35" s="23" t="s">
        <v>162</v>
      </c>
      <c r="G35" s="104" t="s">
        <v>1</v>
      </c>
      <c r="H35" s="103">
        <f>[18]副本!G71</f>
        <v>18.10899999999981</v>
      </c>
      <c r="I35" s="103">
        <f>H35-1037.023+500+537.023</f>
        <v>18.108999999999924</v>
      </c>
      <c r="J35" s="104"/>
      <c r="K35" s="101"/>
      <c r="L35" s="102">
        <f>H35-I35</f>
        <v>-1.1368683772161603E-13</v>
      </c>
      <c r="M35" s="101">
        <v>3000</v>
      </c>
      <c r="N35" s="100"/>
      <c r="O35" s="99"/>
      <c r="P35" s="110" t="s">
        <v>297</v>
      </c>
    </row>
    <row r="36" spans="1:16" s="48" customFormat="1" ht="31.5" customHeight="1" x14ac:dyDescent="0.15">
      <c r="A36" s="104">
        <v>20170224</v>
      </c>
      <c r="B36" s="105" t="s">
        <v>69</v>
      </c>
      <c r="C36" s="116" t="s">
        <v>44</v>
      </c>
      <c r="D36" s="104" t="s">
        <v>5</v>
      </c>
      <c r="E36" s="104" t="s">
        <v>68</v>
      </c>
      <c r="F36" s="23" t="s">
        <v>298</v>
      </c>
      <c r="G36" s="104" t="s">
        <v>1</v>
      </c>
      <c r="H36" s="103">
        <f>[18]副本!G72</f>
        <v>404.89400000000001</v>
      </c>
      <c r="I36" s="103">
        <f>H36</f>
        <v>404.89400000000001</v>
      </c>
      <c r="J36" s="104"/>
      <c r="K36" s="101">
        <v>100</v>
      </c>
      <c r="L36" s="102">
        <f>H36-I36</f>
        <v>0</v>
      </c>
      <c r="M36" s="101">
        <v>3000</v>
      </c>
      <c r="N36" s="100"/>
      <c r="O36" s="99"/>
      <c r="P36" s="110" t="s">
        <v>297</v>
      </c>
    </row>
    <row r="37" spans="1:16" s="48" customFormat="1" ht="31.5" customHeight="1" x14ac:dyDescent="0.15">
      <c r="A37" s="104">
        <v>20170224</v>
      </c>
      <c r="B37" s="105" t="s">
        <v>66</v>
      </c>
      <c r="C37" s="116" t="s">
        <v>44</v>
      </c>
      <c r="D37" s="104" t="s">
        <v>5</v>
      </c>
      <c r="E37" s="104" t="s">
        <v>61</v>
      </c>
      <c r="F37" s="23" t="s">
        <v>159</v>
      </c>
      <c r="G37" s="104" t="s">
        <v>1</v>
      </c>
      <c r="H37" s="103">
        <f>[18]副本!G74</f>
        <v>755.74599999999919</v>
      </c>
      <c r="I37" s="103">
        <f>H37-3607.546+2050+1050+507.546-1553.792+1553.792</f>
        <v>755.74599999999941</v>
      </c>
      <c r="J37" s="104"/>
      <c r="K37" s="101"/>
      <c r="L37" s="102">
        <f>H37-I37</f>
        <v>0</v>
      </c>
      <c r="M37" s="101">
        <v>4000</v>
      </c>
      <c r="N37" s="100"/>
      <c r="O37" s="99"/>
      <c r="P37" s="98" t="s">
        <v>65</v>
      </c>
    </row>
    <row r="38" spans="1:16" s="48" customFormat="1" ht="31.5" customHeight="1" x14ac:dyDescent="0.15">
      <c r="A38" s="104">
        <v>20170224</v>
      </c>
      <c r="B38" s="105" t="s">
        <v>64</v>
      </c>
      <c r="C38" s="116" t="s">
        <v>3</v>
      </c>
      <c r="D38" s="104"/>
      <c r="E38" s="104"/>
      <c r="F38" s="104"/>
      <c r="G38" s="104"/>
      <c r="H38" s="103"/>
      <c r="I38" s="103"/>
      <c r="J38" s="104"/>
      <c r="K38" s="101"/>
      <c r="L38" s="102"/>
      <c r="M38" s="101">
        <v>5000</v>
      </c>
      <c r="N38" s="100"/>
      <c r="O38" s="99"/>
      <c r="P38" s="98"/>
    </row>
    <row r="39" spans="1:16" s="48" customFormat="1" ht="31.5" customHeight="1" x14ac:dyDescent="0.15">
      <c r="A39" s="104">
        <v>20170224</v>
      </c>
      <c r="B39" s="105" t="s">
        <v>63</v>
      </c>
      <c r="C39" s="116" t="s">
        <v>44</v>
      </c>
      <c r="D39" s="104" t="s">
        <v>5</v>
      </c>
      <c r="E39" s="104" t="s">
        <v>61</v>
      </c>
      <c r="F39" s="23" t="s">
        <v>159</v>
      </c>
      <c r="G39" s="104" t="s">
        <v>1</v>
      </c>
      <c r="H39" s="103">
        <f>[18]副本!G78</f>
        <v>3505.7230000000536</v>
      </c>
      <c r="I39" s="103">
        <f>H39-955.747+477.874+477.873-1042.865-2628.137+500+542.865+2102.57+525.567-499.112-3147.566+2100+525+525+496.678-2617.899+1574.891+523.692-522.622+522.622-2589.467+523.692-499.362+517.893-1051.409+499.362</f>
        <v>387.11600000005359</v>
      </c>
      <c r="J39" s="104"/>
      <c r="K39" s="101"/>
      <c r="L39" s="102">
        <f>H39-I39</f>
        <v>3118.607</v>
      </c>
      <c r="M39" s="101">
        <v>5000</v>
      </c>
      <c r="N39" s="100"/>
      <c r="O39" s="99"/>
      <c r="P39" s="98" t="s">
        <v>295</v>
      </c>
    </row>
    <row r="40" spans="1:16" s="48" customFormat="1" ht="31.5" customHeight="1" x14ac:dyDescent="0.15">
      <c r="A40" s="104">
        <v>20170224</v>
      </c>
      <c r="B40" s="105" t="s">
        <v>63</v>
      </c>
      <c r="C40" s="116" t="s">
        <v>44</v>
      </c>
      <c r="D40" s="104" t="s">
        <v>5</v>
      </c>
      <c r="E40" s="104" t="s">
        <v>61</v>
      </c>
      <c r="F40" s="23" t="s">
        <v>163</v>
      </c>
      <c r="G40" s="104" t="s">
        <v>1</v>
      </c>
      <c r="H40" s="103">
        <f>[18]副本!G79</f>
        <v>674.37100000000044</v>
      </c>
      <c r="I40" s="103">
        <f>H40</f>
        <v>674.37100000000044</v>
      </c>
      <c r="J40" s="104"/>
      <c r="K40" s="101"/>
      <c r="L40" s="102">
        <f>H40-I40</f>
        <v>0</v>
      </c>
      <c r="M40" s="101">
        <v>5000</v>
      </c>
      <c r="N40" s="100"/>
      <c r="O40" s="99"/>
      <c r="P40" s="98" t="s">
        <v>294</v>
      </c>
    </row>
    <row r="41" spans="1:16" s="48" customFormat="1" ht="31.5" customHeight="1" x14ac:dyDescent="0.15">
      <c r="A41" s="104">
        <v>20170224</v>
      </c>
      <c r="B41" s="105" t="s">
        <v>59</v>
      </c>
      <c r="C41" s="116" t="s">
        <v>19</v>
      </c>
      <c r="D41" s="104"/>
      <c r="E41" s="104" t="s">
        <v>32</v>
      </c>
      <c r="F41" s="23" t="s">
        <v>161</v>
      </c>
      <c r="G41" s="104" t="s">
        <v>1</v>
      </c>
      <c r="H41" s="103">
        <f>[18]副本!G81</f>
        <v>31.463999999997668</v>
      </c>
      <c r="I41" s="103">
        <f>H41-2564.978+2564.978</f>
        <v>31.463999999997668</v>
      </c>
      <c r="J41" s="104"/>
      <c r="K41" s="101"/>
      <c r="L41" s="102">
        <f>H41-I41</f>
        <v>0</v>
      </c>
      <c r="M41" s="101">
        <v>4000</v>
      </c>
      <c r="N41" s="100"/>
      <c r="O41" s="99"/>
      <c r="P41" s="98" t="s">
        <v>58</v>
      </c>
    </row>
    <row r="42" spans="1:16" s="48" customFormat="1" ht="31.5" customHeight="1" x14ac:dyDescent="0.15">
      <c r="A42" s="104">
        <v>20170224</v>
      </c>
      <c r="B42" s="105" t="s">
        <v>59</v>
      </c>
      <c r="C42" s="116" t="s">
        <v>19</v>
      </c>
      <c r="D42" s="104"/>
      <c r="E42" s="104" t="s">
        <v>32</v>
      </c>
      <c r="F42" s="23" t="s">
        <v>153</v>
      </c>
      <c r="G42" s="104" t="s">
        <v>1</v>
      </c>
      <c r="H42" s="103">
        <f>[18]副本!G84</f>
        <v>2564.9780000000001</v>
      </c>
      <c r="I42" s="103">
        <f>H42</f>
        <v>2564.9780000000001</v>
      </c>
      <c r="J42" s="104"/>
      <c r="K42" s="101"/>
      <c r="L42" s="102"/>
      <c r="M42" s="101">
        <v>4000</v>
      </c>
      <c r="N42" s="100"/>
      <c r="O42" s="99"/>
      <c r="P42" s="98" t="s">
        <v>286</v>
      </c>
    </row>
    <row r="43" spans="1:16" s="48" customFormat="1" ht="31.5" customHeight="1" x14ac:dyDescent="0.15">
      <c r="A43" s="104">
        <v>20170224</v>
      </c>
      <c r="B43" s="105" t="s">
        <v>56</v>
      </c>
      <c r="C43" s="116" t="s">
        <v>19</v>
      </c>
      <c r="D43" s="104"/>
      <c r="E43" s="104"/>
      <c r="F43" s="104"/>
      <c r="G43" s="104"/>
      <c r="H43" s="103"/>
      <c r="I43" s="103"/>
      <c r="J43" s="104"/>
      <c r="K43" s="101"/>
      <c r="L43" s="102"/>
      <c r="M43" s="101">
        <v>2000</v>
      </c>
      <c r="N43" s="100"/>
      <c r="O43" s="99"/>
      <c r="P43" s="98"/>
    </row>
    <row r="44" spans="1:16" s="48" customFormat="1" ht="31.5" customHeight="1" x14ac:dyDescent="0.15">
      <c r="A44" s="104">
        <v>20170224</v>
      </c>
      <c r="B44" s="105" t="s">
        <v>55</v>
      </c>
      <c r="C44" s="116" t="s">
        <v>19</v>
      </c>
      <c r="D44" s="104"/>
      <c r="E44" s="104" t="s">
        <v>32</v>
      </c>
      <c r="F44" s="23" t="s">
        <v>161</v>
      </c>
      <c r="G44" s="104" t="s">
        <v>1</v>
      </c>
      <c r="H44" s="103">
        <f>[18]副本!G88</f>
        <v>1457.771</v>
      </c>
      <c r="I44" s="103">
        <f>H44</f>
        <v>1457.771</v>
      </c>
      <c r="J44" s="104"/>
      <c r="K44" s="101"/>
      <c r="L44" s="102">
        <f>H44-I44</f>
        <v>0</v>
      </c>
      <c r="M44" s="101">
        <v>3000</v>
      </c>
      <c r="N44" s="100"/>
      <c r="O44" s="99"/>
      <c r="P44" s="98" t="s">
        <v>285</v>
      </c>
    </row>
    <row r="45" spans="1:16" s="48" customFormat="1" ht="31.5" customHeight="1" x14ac:dyDescent="0.15">
      <c r="A45" s="104">
        <v>20170224</v>
      </c>
      <c r="B45" s="105" t="s">
        <v>54</v>
      </c>
      <c r="C45" s="116" t="s">
        <v>19</v>
      </c>
      <c r="D45" s="104"/>
      <c r="E45" s="104" t="s">
        <v>32</v>
      </c>
      <c r="F45" s="23" t="s">
        <v>161</v>
      </c>
      <c r="G45" s="104" t="s">
        <v>1</v>
      </c>
      <c r="H45" s="103">
        <f>[18]副本!G90</f>
        <v>24.139999999999418</v>
      </c>
      <c r="I45" s="103">
        <f>H45</f>
        <v>24.139999999999418</v>
      </c>
      <c r="J45" s="104"/>
      <c r="K45" s="102"/>
      <c r="L45" s="102">
        <f>H45-I45</f>
        <v>0</v>
      </c>
      <c r="M45" s="101">
        <v>5000</v>
      </c>
      <c r="N45" s="109"/>
      <c r="O45" s="99"/>
      <c r="P45" s="98" t="s">
        <v>284</v>
      </c>
    </row>
    <row r="46" spans="1:16" s="48" customFormat="1" ht="31.5" customHeight="1" x14ac:dyDescent="0.15">
      <c r="A46" s="104">
        <v>20170224</v>
      </c>
      <c r="B46" s="105" t="s">
        <v>54</v>
      </c>
      <c r="C46" s="116" t="s">
        <v>19</v>
      </c>
      <c r="D46" s="104"/>
      <c r="E46" s="104" t="s">
        <v>32</v>
      </c>
      <c r="F46" s="23" t="s">
        <v>153</v>
      </c>
      <c r="G46" s="104" t="s">
        <v>1</v>
      </c>
      <c r="H46" s="103">
        <f>[18]副本!G92</f>
        <v>2318.136</v>
      </c>
      <c r="I46" s="103">
        <f>H46</f>
        <v>2318.136</v>
      </c>
      <c r="J46" s="104"/>
      <c r="K46" s="102"/>
      <c r="L46" s="102">
        <f>H46-I46</f>
        <v>0</v>
      </c>
      <c r="M46" s="101">
        <v>5000</v>
      </c>
      <c r="N46" s="109"/>
      <c r="O46" s="99"/>
      <c r="P46" s="98"/>
    </row>
    <row r="47" spans="1:16" s="48" customFormat="1" ht="31.5" customHeight="1" x14ac:dyDescent="0.15">
      <c r="A47" s="104">
        <v>20170224</v>
      </c>
      <c r="B47" s="105" t="s">
        <v>52</v>
      </c>
      <c r="C47" s="116" t="s">
        <v>44</v>
      </c>
      <c r="D47" s="104"/>
      <c r="E47" s="104"/>
      <c r="F47" s="104"/>
      <c r="G47" s="104"/>
      <c r="H47" s="103"/>
      <c r="I47" s="103"/>
      <c r="J47" s="104"/>
      <c r="K47" s="101"/>
      <c r="L47" s="102"/>
      <c r="M47" s="101">
        <v>5000</v>
      </c>
      <c r="N47" s="100"/>
      <c r="O47" s="99"/>
      <c r="P47" s="98"/>
    </row>
    <row r="48" spans="1:16" s="48" customFormat="1" ht="31.5" customHeight="1" x14ac:dyDescent="0.15">
      <c r="A48" s="104">
        <v>20170224</v>
      </c>
      <c r="B48" s="105" t="s">
        <v>51</v>
      </c>
      <c r="C48" s="116" t="s">
        <v>44</v>
      </c>
      <c r="D48" s="104"/>
      <c r="E48" s="104" t="s">
        <v>50</v>
      </c>
      <c r="F48" s="23" t="s">
        <v>152</v>
      </c>
      <c r="G48" s="104" t="s">
        <v>1</v>
      </c>
      <c r="H48" s="103">
        <f>[18]副本!G96</f>
        <v>2006.1080000000002</v>
      </c>
      <c r="I48" s="103">
        <f>H48-1021.25+1021.25</f>
        <v>2006.1080000000002</v>
      </c>
      <c r="J48" s="104"/>
      <c r="K48" s="101">
        <v>100</v>
      </c>
      <c r="L48" s="102">
        <f>H48-I48</f>
        <v>0</v>
      </c>
      <c r="M48" s="101">
        <v>5000</v>
      </c>
      <c r="N48" s="100"/>
      <c r="O48" s="99"/>
      <c r="P48" s="98" t="s">
        <v>234</v>
      </c>
    </row>
    <row r="49" spans="1:17" s="48" customFormat="1" ht="31.5" customHeight="1" x14ac:dyDescent="0.15">
      <c r="A49" s="104">
        <v>20170224</v>
      </c>
      <c r="B49" s="105" t="s">
        <v>51</v>
      </c>
      <c r="C49" s="116" t="s">
        <v>44</v>
      </c>
      <c r="D49" s="104"/>
      <c r="E49" s="104" t="s">
        <v>50</v>
      </c>
      <c r="F49" s="23" t="s">
        <v>148</v>
      </c>
      <c r="G49" s="104" t="s">
        <v>1</v>
      </c>
      <c r="H49" s="103">
        <f>[18]副本!G97</f>
        <v>1000</v>
      </c>
      <c r="I49" s="103">
        <f>H49</f>
        <v>1000</v>
      </c>
      <c r="J49" s="104"/>
      <c r="K49" s="101"/>
      <c r="L49" s="102"/>
      <c r="M49" s="101">
        <v>5000</v>
      </c>
      <c r="N49" s="100"/>
      <c r="O49" s="99"/>
      <c r="P49" s="98" t="s">
        <v>49</v>
      </c>
    </row>
    <row r="50" spans="1:17" s="48" customFormat="1" ht="31.5" customHeight="1" x14ac:dyDescent="0.15">
      <c r="A50" s="104">
        <v>20170224</v>
      </c>
      <c r="B50" s="105" t="s">
        <v>48</v>
      </c>
      <c r="C50" s="116" t="s">
        <v>44</v>
      </c>
      <c r="D50" s="104"/>
      <c r="E50" s="104" t="s">
        <v>43</v>
      </c>
      <c r="F50" s="104"/>
      <c r="G50" s="104"/>
      <c r="H50" s="103"/>
      <c r="I50" s="103"/>
      <c r="J50" s="104"/>
      <c r="K50" s="102"/>
      <c r="L50" s="102"/>
      <c r="M50" s="101">
        <v>2000</v>
      </c>
      <c r="N50" s="100"/>
      <c r="O50" s="99"/>
      <c r="P50" s="98"/>
    </row>
    <row r="51" spans="1:17" s="48" customFormat="1" ht="31.5" customHeight="1" x14ac:dyDescent="0.15">
      <c r="A51" s="104">
        <v>20170224</v>
      </c>
      <c r="B51" s="105" t="s">
        <v>47</v>
      </c>
      <c r="C51" s="116" t="s">
        <v>19</v>
      </c>
      <c r="D51" s="104" t="s">
        <v>5</v>
      </c>
      <c r="E51" s="104" t="s">
        <v>27</v>
      </c>
      <c r="F51" s="23" t="s">
        <v>165</v>
      </c>
      <c r="G51" s="104" t="s">
        <v>1</v>
      </c>
      <c r="H51" s="103">
        <f>[18]副本!G101</f>
        <v>1013.1140000000005</v>
      </c>
      <c r="I51" s="103">
        <v>0</v>
      </c>
      <c r="J51" s="104"/>
      <c r="K51" s="101"/>
      <c r="L51" s="102">
        <f>H51-I51</f>
        <v>1013.1140000000005</v>
      </c>
      <c r="M51" s="101">
        <v>10000</v>
      </c>
      <c r="N51" s="100"/>
      <c r="O51" s="99"/>
      <c r="P51" s="98"/>
    </row>
    <row r="52" spans="1:17" s="48" customFormat="1" ht="31.5" customHeight="1" x14ac:dyDescent="0.15">
      <c r="A52" s="104">
        <v>20170224</v>
      </c>
      <c r="B52" s="105" t="s">
        <v>46</v>
      </c>
      <c r="C52" s="116" t="s">
        <v>19</v>
      </c>
      <c r="D52" s="104" t="s">
        <v>5</v>
      </c>
      <c r="E52" s="104" t="s">
        <v>27</v>
      </c>
      <c r="F52" s="23" t="s">
        <v>165</v>
      </c>
      <c r="G52" s="104" t="s">
        <v>1</v>
      </c>
      <c r="H52" s="103">
        <f>[18]副本!G103</f>
        <v>4217.264000000001</v>
      </c>
      <c r="I52" s="103">
        <v>0</v>
      </c>
      <c r="J52" s="104"/>
      <c r="K52" s="101"/>
      <c r="L52" s="102">
        <v>0</v>
      </c>
      <c r="M52" s="101">
        <v>10000</v>
      </c>
      <c r="N52" s="100"/>
      <c r="O52" s="99"/>
      <c r="P52" s="98"/>
    </row>
    <row r="53" spans="1:17" s="48" customFormat="1" ht="31.5" customHeight="1" x14ac:dyDescent="0.15">
      <c r="A53" s="104">
        <v>20170224</v>
      </c>
      <c r="B53" s="105" t="s">
        <v>45</v>
      </c>
      <c r="C53" s="116" t="s">
        <v>44</v>
      </c>
      <c r="D53" s="104"/>
      <c r="E53" s="104" t="s">
        <v>43</v>
      </c>
      <c r="F53" s="23" t="s">
        <v>166</v>
      </c>
      <c r="G53" s="104" t="s">
        <v>1</v>
      </c>
      <c r="H53" s="103">
        <f>[18]副本!G105</f>
        <v>863.41500000000633</v>
      </c>
      <c r="I53" s="103">
        <f>H53</f>
        <v>863.41500000000633</v>
      </c>
      <c r="J53" s="104"/>
      <c r="K53" s="102"/>
      <c r="L53" s="102">
        <v>0</v>
      </c>
      <c r="M53" s="101">
        <v>5000</v>
      </c>
      <c r="N53" s="107" t="s">
        <v>42</v>
      </c>
      <c r="O53" s="106" t="s">
        <v>41</v>
      </c>
      <c r="P53" s="98" t="s">
        <v>146</v>
      </c>
    </row>
    <row r="54" spans="1:17" s="48" customFormat="1" ht="31.5" customHeight="1" x14ac:dyDescent="0.15">
      <c r="A54" s="104">
        <v>20170224</v>
      </c>
      <c r="B54" s="105" t="s">
        <v>39</v>
      </c>
      <c r="C54" s="116" t="s">
        <v>19</v>
      </c>
      <c r="D54" s="104"/>
      <c r="E54" s="104"/>
      <c r="F54" s="104"/>
      <c r="G54" s="104"/>
      <c r="H54" s="103"/>
      <c r="I54" s="103"/>
      <c r="J54" s="104"/>
      <c r="K54" s="101"/>
      <c r="L54" s="102"/>
      <c r="M54" s="101">
        <v>3000</v>
      </c>
      <c r="N54" s="100"/>
      <c r="O54" s="99"/>
      <c r="P54" s="98"/>
    </row>
    <row r="55" spans="1:17" s="48" customFormat="1" ht="31.5" customHeight="1" x14ac:dyDescent="0.15">
      <c r="A55" s="104">
        <v>20170224</v>
      </c>
      <c r="B55" s="105" t="s">
        <v>38</v>
      </c>
      <c r="C55" s="116" t="s">
        <v>19</v>
      </c>
      <c r="D55" s="104" t="s">
        <v>5</v>
      </c>
      <c r="E55" s="104" t="s">
        <v>27</v>
      </c>
      <c r="F55" s="23" t="s">
        <v>165</v>
      </c>
      <c r="G55" s="104" t="s">
        <v>22</v>
      </c>
      <c r="H55" s="103">
        <f>[18]副本!G109</f>
        <v>10350.048000000003</v>
      </c>
      <c r="I55" s="103">
        <v>0</v>
      </c>
      <c r="J55" s="104"/>
      <c r="K55" s="101"/>
      <c r="L55" s="102">
        <f>H55-I55</f>
        <v>10350.048000000003</v>
      </c>
      <c r="M55" s="101">
        <v>25000</v>
      </c>
      <c r="N55" s="100" t="s">
        <v>37</v>
      </c>
      <c r="O55" s="99" t="s">
        <v>36</v>
      </c>
      <c r="P55" s="98" t="s">
        <v>35</v>
      </c>
    </row>
    <row r="56" spans="1:17" s="48" customFormat="1" ht="31.5" customHeight="1" x14ac:dyDescent="0.15">
      <c r="A56" s="104">
        <v>20170224</v>
      </c>
      <c r="B56" s="105" t="s">
        <v>34</v>
      </c>
      <c r="C56" s="116" t="s">
        <v>19</v>
      </c>
      <c r="D56" s="104" t="s">
        <v>5</v>
      </c>
      <c r="E56" s="104" t="s">
        <v>27</v>
      </c>
      <c r="F56" s="23" t="s">
        <v>167</v>
      </c>
      <c r="G56" s="104" t="s">
        <v>22</v>
      </c>
      <c r="H56" s="103">
        <f>[18]副本!G111</f>
        <v>27967.621000000079</v>
      </c>
      <c r="I56" s="103">
        <v>0</v>
      </c>
      <c r="J56" s="104"/>
      <c r="K56" s="101"/>
      <c r="L56" s="102">
        <f>H56-I56</f>
        <v>27967.621000000079</v>
      </c>
      <c r="M56" s="101">
        <v>50000</v>
      </c>
      <c r="N56" s="100"/>
      <c r="O56" s="99"/>
      <c r="P56" s="98"/>
    </row>
    <row r="57" spans="1:17" s="48" customFormat="1" ht="31.5" customHeight="1" x14ac:dyDescent="0.15">
      <c r="A57" s="104">
        <v>20170224</v>
      </c>
      <c r="B57" s="105" t="s">
        <v>33</v>
      </c>
      <c r="C57" s="116" t="s">
        <v>19</v>
      </c>
      <c r="D57" s="104"/>
      <c r="E57" s="104"/>
      <c r="F57" s="104"/>
      <c r="G57" s="104"/>
      <c r="H57" s="103"/>
      <c r="I57" s="103"/>
      <c r="J57" s="104"/>
      <c r="K57" s="101"/>
      <c r="L57" s="102">
        <f>H57-I57</f>
        <v>0</v>
      </c>
      <c r="M57" s="101">
        <v>4000</v>
      </c>
      <c r="N57" s="100"/>
      <c r="O57" s="99"/>
      <c r="P57" s="98"/>
    </row>
    <row r="58" spans="1:17" s="48" customFormat="1" ht="31.5" customHeight="1" x14ac:dyDescent="0.15">
      <c r="A58" s="104">
        <v>20170224</v>
      </c>
      <c r="B58" s="105" t="s">
        <v>30</v>
      </c>
      <c r="C58" s="116" t="s">
        <v>3</v>
      </c>
      <c r="D58" s="104"/>
      <c r="E58" s="104"/>
      <c r="F58" s="104"/>
      <c r="G58" s="104"/>
      <c r="H58" s="103"/>
      <c r="I58" s="103"/>
      <c r="J58" s="104"/>
      <c r="K58" s="101"/>
      <c r="L58" s="102"/>
      <c r="M58" s="101">
        <v>37000</v>
      </c>
      <c r="N58" s="100"/>
      <c r="O58" s="99"/>
      <c r="P58" s="98"/>
    </row>
    <row r="59" spans="1:17" s="48" customFormat="1" ht="31.5" customHeight="1" x14ac:dyDescent="0.15">
      <c r="A59" s="104">
        <v>20170224</v>
      </c>
      <c r="B59" s="105" t="s">
        <v>29</v>
      </c>
      <c r="C59" s="116" t="s">
        <v>3</v>
      </c>
      <c r="D59" s="104"/>
      <c r="E59" s="104"/>
      <c r="F59" s="104"/>
      <c r="G59" s="104"/>
      <c r="H59" s="103"/>
      <c r="I59" s="104"/>
      <c r="J59" s="104"/>
      <c r="K59" s="101"/>
      <c r="L59" s="102"/>
      <c r="M59" s="101">
        <v>37000</v>
      </c>
      <c r="N59" s="100"/>
      <c r="O59" s="99"/>
      <c r="P59" s="98"/>
    </row>
    <row r="60" spans="1:17" s="48" customFormat="1" ht="31.5" customHeight="1" x14ac:dyDescent="0.15">
      <c r="A60" s="104">
        <v>20170224</v>
      </c>
      <c r="B60" s="105" t="s">
        <v>28</v>
      </c>
      <c r="C60" s="116" t="s">
        <v>19</v>
      </c>
      <c r="D60" s="104" t="s">
        <v>5</v>
      </c>
      <c r="E60" s="104" t="s">
        <v>27</v>
      </c>
      <c r="F60" s="23" t="s">
        <v>165</v>
      </c>
      <c r="G60" s="104" t="s">
        <v>22</v>
      </c>
      <c r="H60" s="103">
        <f>[18]副本!G121</f>
        <v>764.82299999999941</v>
      </c>
      <c r="I60" s="103">
        <v>0</v>
      </c>
      <c r="J60" s="104"/>
      <c r="K60" s="102"/>
      <c r="L60" s="102">
        <f>H60-I60</f>
        <v>764.82299999999941</v>
      </c>
      <c r="M60" s="101">
        <v>10000</v>
      </c>
      <c r="N60" s="100"/>
      <c r="O60" s="99"/>
      <c r="P60" s="98"/>
      <c r="Q60" s="49"/>
    </row>
    <row r="61" spans="1:17" s="48" customFormat="1" ht="31.5" customHeight="1" x14ac:dyDescent="0.15">
      <c r="A61" s="104">
        <v>20170224</v>
      </c>
      <c r="B61" s="105" t="s">
        <v>26</v>
      </c>
      <c r="C61" s="116" t="s">
        <v>3</v>
      </c>
      <c r="D61" s="104" t="s">
        <v>5</v>
      </c>
      <c r="E61" s="104" t="s">
        <v>266</v>
      </c>
      <c r="F61" s="23" t="s">
        <v>302</v>
      </c>
      <c r="G61" s="104" t="s">
        <v>22</v>
      </c>
      <c r="H61" s="103">
        <f>[18]副本!G123</f>
        <v>9981.8399999999983</v>
      </c>
      <c r="I61" s="103">
        <f>H61-9981.84</f>
        <v>0</v>
      </c>
      <c r="J61" s="104"/>
      <c r="K61" s="102"/>
      <c r="L61" s="102"/>
      <c r="M61" s="101">
        <v>15000</v>
      </c>
      <c r="N61" s="100"/>
      <c r="O61" s="99"/>
      <c r="P61" s="98"/>
      <c r="Q61" s="49"/>
    </row>
    <row r="62" spans="1:17" s="48" customFormat="1" ht="31.5" customHeight="1" x14ac:dyDescent="0.15">
      <c r="A62" s="104">
        <v>20170224</v>
      </c>
      <c r="B62" s="105" t="s">
        <v>23</v>
      </c>
      <c r="C62" s="105" t="s">
        <v>19</v>
      </c>
      <c r="D62" s="104" t="s">
        <v>5</v>
      </c>
      <c r="E62" s="104" t="s">
        <v>266</v>
      </c>
      <c r="F62" s="23" t="s">
        <v>299</v>
      </c>
      <c r="G62" s="104" t="s">
        <v>275</v>
      </c>
      <c r="H62" s="103">
        <f>[18]副本!G126</f>
        <v>0</v>
      </c>
      <c r="I62" s="103">
        <f>H62</f>
        <v>0</v>
      </c>
      <c r="J62" s="104"/>
      <c r="K62" s="101"/>
      <c r="L62" s="102"/>
      <c r="M62" s="101">
        <v>43000</v>
      </c>
      <c r="N62" s="100"/>
      <c r="O62" s="99"/>
      <c r="P62" s="98" t="s">
        <v>228</v>
      </c>
      <c r="Q62" s="49"/>
    </row>
    <row r="63" spans="1:17" s="48" customFormat="1" ht="31.5" customHeight="1" x14ac:dyDescent="0.15">
      <c r="A63" s="104">
        <v>20170224</v>
      </c>
      <c r="B63" s="105" t="s">
        <v>23</v>
      </c>
      <c r="C63" s="105" t="s">
        <v>19</v>
      </c>
      <c r="D63" s="104" t="s">
        <v>5</v>
      </c>
      <c r="E63" s="104" t="s">
        <v>266</v>
      </c>
      <c r="F63" s="23" t="s">
        <v>172</v>
      </c>
      <c r="G63" s="104" t="s">
        <v>275</v>
      </c>
      <c r="H63" s="103">
        <f>[18]副本!G127</f>
        <v>9.8909999999996217</v>
      </c>
      <c r="I63" s="103">
        <f>H63</f>
        <v>9.8909999999996217</v>
      </c>
      <c r="J63" s="104"/>
      <c r="K63" s="104"/>
      <c r="L63" s="102"/>
      <c r="M63" s="101">
        <v>43000</v>
      </c>
      <c r="N63" s="100"/>
      <c r="O63" s="99"/>
      <c r="P63" s="98" t="s">
        <v>21</v>
      </c>
      <c r="Q63" s="49"/>
    </row>
    <row r="64" spans="1:17" s="48" customFormat="1" ht="31.5" customHeight="1" x14ac:dyDescent="0.15">
      <c r="A64" s="104">
        <v>20170224</v>
      </c>
      <c r="B64" s="105" t="s">
        <v>20</v>
      </c>
      <c r="C64" s="105" t="s">
        <v>19</v>
      </c>
      <c r="D64" s="104" t="s">
        <v>5</v>
      </c>
      <c r="E64" s="104" t="s">
        <v>2</v>
      </c>
      <c r="F64" s="23" t="s">
        <v>282</v>
      </c>
      <c r="G64" s="104" t="s">
        <v>275</v>
      </c>
      <c r="H64" s="103">
        <f>[18]副本!G129</f>
        <v>12365.038</v>
      </c>
      <c r="I64" s="103">
        <f>H64-12365.038</f>
        <v>0</v>
      </c>
      <c r="J64" s="104"/>
      <c r="K64" s="101"/>
      <c r="L64" s="102">
        <f>H64-I64</f>
        <v>12365.038</v>
      </c>
      <c r="M64" s="101">
        <v>43000</v>
      </c>
      <c r="N64" s="100"/>
      <c r="O64" s="99"/>
      <c r="P64" s="98" t="s">
        <v>274</v>
      </c>
      <c r="Q64" s="49"/>
    </row>
    <row r="65" spans="1:17" s="48" customFormat="1" ht="31.5" customHeight="1" x14ac:dyDescent="0.15">
      <c r="A65" s="104">
        <v>20170224</v>
      </c>
      <c r="B65" s="105" t="s">
        <v>20</v>
      </c>
      <c r="C65" s="105" t="s">
        <v>19</v>
      </c>
      <c r="D65" s="104" t="s">
        <v>5</v>
      </c>
      <c r="E65" s="104" t="s">
        <v>2</v>
      </c>
      <c r="F65" s="80" t="s">
        <v>283</v>
      </c>
      <c r="G65" s="104" t="s">
        <v>275</v>
      </c>
      <c r="H65" s="103">
        <f>[18]副本!G130</f>
        <v>19971.696</v>
      </c>
      <c r="I65" s="103">
        <f>H65-19971.696</f>
        <v>0</v>
      </c>
      <c r="J65" s="104"/>
      <c r="K65" s="101"/>
      <c r="L65" s="102">
        <f>H65-I65</f>
        <v>19971.696</v>
      </c>
      <c r="M65" s="101">
        <v>43000</v>
      </c>
      <c r="N65" s="100"/>
      <c r="O65" s="99"/>
      <c r="P65" s="98" t="s">
        <v>273</v>
      </c>
      <c r="Q65" s="49"/>
    </row>
    <row r="66" spans="1:17" s="48" customFormat="1" ht="31.5" customHeight="1" x14ac:dyDescent="0.15">
      <c r="A66" s="104">
        <v>20170224</v>
      </c>
      <c r="B66" s="105" t="s">
        <v>18</v>
      </c>
      <c r="C66" s="116" t="s">
        <v>3</v>
      </c>
      <c r="D66" s="104"/>
      <c r="E66" s="104" t="s">
        <v>300</v>
      </c>
      <c r="F66" s="23" t="s">
        <v>197</v>
      </c>
      <c r="G66" s="104" t="s">
        <v>1</v>
      </c>
      <c r="H66" s="103">
        <f>[18]副本!G132</f>
        <v>6633.7689999999957</v>
      </c>
      <c r="I66" s="103">
        <f>H66-8339.329+8339.329</f>
        <v>6633.7689999999957</v>
      </c>
      <c r="J66" s="104"/>
      <c r="K66" s="101">
        <v>200</v>
      </c>
      <c r="L66" s="102">
        <f>H66-I66</f>
        <v>0</v>
      </c>
      <c r="M66" s="101">
        <v>20000</v>
      </c>
      <c r="N66" s="100"/>
      <c r="O66" s="99"/>
      <c r="P66" s="98" t="s">
        <v>265</v>
      </c>
    </row>
    <row r="67" spans="1:17" s="48" customFormat="1" ht="31.5" customHeight="1" x14ac:dyDescent="0.15">
      <c r="A67" s="104">
        <v>20170224</v>
      </c>
      <c r="B67" s="105" t="s">
        <v>17</v>
      </c>
      <c r="C67" s="116" t="s">
        <v>3</v>
      </c>
      <c r="D67" s="104"/>
      <c r="E67" s="104" t="s">
        <v>9</v>
      </c>
      <c r="F67" s="23" t="s">
        <v>175</v>
      </c>
      <c r="G67" s="104" t="s">
        <v>1</v>
      </c>
      <c r="H67" s="103">
        <f>[18]副本!G134</f>
        <v>7537.3190000000031</v>
      </c>
      <c r="I67" s="103">
        <f>H67-4751.949+4751.949-4999.395</f>
        <v>2537.9240000000027</v>
      </c>
      <c r="J67" s="104"/>
      <c r="K67" s="101"/>
      <c r="L67" s="102">
        <f>H67-I67</f>
        <v>4999.3950000000004</v>
      </c>
      <c r="M67" s="101">
        <v>30000</v>
      </c>
      <c r="N67" s="100"/>
      <c r="O67" s="99"/>
      <c r="P67" s="98" t="s">
        <v>247</v>
      </c>
    </row>
    <row r="68" spans="1:17" s="48" customFormat="1" ht="31.5" customHeight="1" x14ac:dyDescent="0.15">
      <c r="A68" s="104">
        <v>20170224</v>
      </c>
      <c r="B68" s="105" t="s">
        <v>17</v>
      </c>
      <c r="C68" s="116" t="s">
        <v>3</v>
      </c>
      <c r="D68" s="104"/>
      <c r="E68" s="104" t="s">
        <v>9</v>
      </c>
      <c r="F68" s="23" t="s">
        <v>158</v>
      </c>
      <c r="G68" s="104" t="s">
        <v>1</v>
      </c>
      <c r="H68" s="103">
        <f>[18]副本!G135</f>
        <v>0</v>
      </c>
      <c r="I68" s="103">
        <f>H68</f>
        <v>0</v>
      </c>
      <c r="J68" s="104"/>
      <c r="K68" s="101"/>
      <c r="L68" s="102">
        <f>H68-I68</f>
        <v>0</v>
      </c>
      <c r="M68" s="101">
        <v>30000</v>
      </c>
      <c r="N68" s="100"/>
      <c r="O68" s="99"/>
      <c r="P68" s="120" t="s">
        <v>15</v>
      </c>
    </row>
    <row r="69" spans="1:17" s="48" customFormat="1" ht="31.5" customHeight="1" x14ac:dyDescent="0.15">
      <c r="A69" s="104">
        <v>20170224</v>
      </c>
      <c r="B69" s="105" t="s">
        <v>14</v>
      </c>
      <c r="C69" s="116" t="s">
        <v>3</v>
      </c>
      <c r="D69" s="104" t="s">
        <v>5</v>
      </c>
      <c r="E69" s="104" t="s">
        <v>2</v>
      </c>
      <c r="F69" s="23" t="s">
        <v>174</v>
      </c>
      <c r="G69" s="104" t="s">
        <v>1</v>
      </c>
      <c r="H69" s="103">
        <f>[18]副本!G137</f>
        <v>14976.093999999999</v>
      </c>
      <c r="I69" s="103">
        <f>H69-14976.094</f>
        <v>0</v>
      </c>
      <c r="J69" s="104"/>
      <c r="K69" s="101">
        <v>400</v>
      </c>
      <c r="L69" s="102">
        <f>H69-I69</f>
        <v>14976.093999999999</v>
      </c>
      <c r="M69" s="101">
        <v>20000</v>
      </c>
      <c r="N69" s="100" t="s">
        <v>13</v>
      </c>
      <c r="O69" s="99" t="s">
        <v>12</v>
      </c>
      <c r="P69" s="98" t="s">
        <v>11</v>
      </c>
    </row>
    <row r="70" spans="1:17" s="48" customFormat="1" ht="31.5" customHeight="1" x14ac:dyDescent="0.15">
      <c r="A70" s="104">
        <v>20170224</v>
      </c>
      <c r="B70" s="105" t="s">
        <v>10</v>
      </c>
      <c r="C70" s="116" t="s">
        <v>3</v>
      </c>
      <c r="D70" s="104"/>
      <c r="E70" s="104" t="s">
        <v>9</v>
      </c>
      <c r="F70" s="23" t="s">
        <v>158</v>
      </c>
      <c r="G70" s="104" t="s">
        <v>1</v>
      </c>
      <c r="H70" s="103">
        <f>[18]副本!G139</f>
        <v>23765.582999999973</v>
      </c>
      <c r="I70" s="103">
        <f>H70</f>
        <v>23765.582999999973</v>
      </c>
      <c r="J70" s="104"/>
      <c r="K70" s="101"/>
      <c r="L70" s="102">
        <v>0</v>
      </c>
      <c r="M70" s="101">
        <v>30000</v>
      </c>
      <c r="N70" s="100"/>
      <c r="O70" s="99"/>
      <c r="P70" s="98"/>
    </row>
    <row r="71" spans="1:17" s="48" customFormat="1" ht="31.5" customHeight="1" x14ac:dyDescent="0.15">
      <c r="A71" s="104">
        <v>20170224</v>
      </c>
      <c r="B71" s="105" t="s">
        <v>8</v>
      </c>
      <c r="C71" s="116" t="s">
        <v>3</v>
      </c>
      <c r="D71" s="104"/>
      <c r="E71" s="104"/>
      <c r="F71" s="98"/>
      <c r="G71" s="104"/>
      <c r="H71" s="103"/>
      <c r="I71" s="103"/>
      <c r="J71" s="104"/>
      <c r="K71" s="101"/>
      <c r="L71" s="102"/>
      <c r="M71" s="101">
        <v>20000</v>
      </c>
      <c r="N71" s="100"/>
      <c r="O71" s="99"/>
      <c r="P71" s="104"/>
    </row>
    <row r="72" spans="1:17" s="48" customFormat="1" ht="31.5" customHeight="1" x14ac:dyDescent="0.15">
      <c r="A72" s="104">
        <v>20170224</v>
      </c>
      <c r="B72" s="105" t="s">
        <v>7</v>
      </c>
      <c r="C72" s="116" t="s">
        <v>3</v>
      </c>
      <c r="D72" s="104" t="s">
        <v>5</v>
      </c>
      <c r="E72" s="104"/>
      <c r="F72" s="104"/>
      <c r="G72" s="104"/>
      <c r="H72" s="103"/>
      <c r="I72" s="103"/>
      <c r="J72" s="104"/>
      <c r="K72" s="101"/>
      <c r="L72" s="102"/>
      <c r="M72" s="101">
        <v>15000</v>
      </c>
      <c r="N72" s="100"/>
      <c r="O72" s="99"/>
      <c r="P72" s="98"/>
    </row>
    <row r="73" spans="1:17" s="48" customFormat="1" ht="31.5" customHeight="1" x14ac:dyDescent="0.15">
      <c r="A73" s="104">
        <v>20170224</v>
      </c>
      <c r="B73" s="105" t="s">
        <v>6</v>
      </c>
      <c r="C73" s="116" t="s">
        <v>3</v>
      </c>
      <c r="D73" s="104" t="s">
        <v>5</v>
      </c>
      <c r="E73" s="104" t="s">
        <v>2</v>
      </c>
      <c r="F73" s="23" t="s">
        <v>171</v>
      </c>
      <c r="G73" s="104" t="s">
        <v>1</v>
      </c>
      <c r="H73" s="103">
        <f>[18]副本!G146</f>
        <v>6023.1059999999998</v>
      </c>
      <c r="I73" s="103">
        <f>H73</f>
        <v>6023.1059999999998</v>
      </c>
      <c r="J73" s="104"/>
      <c r="K73" s="101">
        <v>600</v>
      </c>
      <c r="L73" s="102">
        <f>H73-I73</f>
        <v>0</v>
      </c>
      <c r="M73" s="101">
        <v>15000</v>
      </c>
      <c r="N73" s="100"/>
      <c r="O73" s="99"/>
      <c r="P73" s="98" t="s">
        <v>301</v>
      </c>
    </row>
    <row r="74" spans="1:17" s="48" customFormat="1" ht="31.5" customHeight="1" x14ac:dyDescent="0.15">
      <c r="A74" s="104">
        <v>20170224</v>
      </c>
      <c r="B74" s="105" t="s">
        <v>6</v>
      </c>
      <c r="C74" s="116" t="s">
        <v>3</v>
      </c>
      <c r="D74" s="104" t="s">
        <v>5</v>
      </c>
      <c r="E74" s="104" t="s">
        <v>2</v>
      </c>
      <c r="F74" s="23" t="s">
        <v>172</v>
      </c>
      <c r="G74" s="104" t="s">
        <v>1</v>
      </c>
      <c r="H74" s="103">
        <f>[18]副本!G147</f>
        <v>5241.74</v>
      </c>
      <c r="I74" s="103">
        <f>H74</f>
        <v>5241.74</v>
      </c>
      <c r="J74" s="104"/>
      <c r="K74" s="101"/>
      <c r="L74" s="102"/>
      <c r="M74" s="101">
        <v>15000</v>
      </c>
      <c r="N74" s="100"/>
      <c r="O74" s="99"/>
      <c r="P74" s="98" t="s">
        <v>301</v>
      </c>
    </row>
    <row r="75" spans="1:17" s="48" customFormat="1" ht="31.5" customHeight="1" x14ac:dyDescent="0.15">
      <c r="A75" s="104">
        <v>20170224</v>
      </c>
      <c r="B75" s="105" t="s">
        <v>4</v>
      </c>
      <c r="C75" s="116" t="s">
        <v>3</v>
      </c>
      <c r="D75" s="104"/>
      <c r="E75" s="104" t="s">
        <v>2</v>
      </c>
      <c r="F75" s="23" t="s">
        <v>170</v>
      </c>
      <c r="G75" s="104" t="s">
        <v>1</v>
      </c>
      <c r="H75" s="103">
        <f>[18]副本!G149</f>
        <v>893.66999999999825</v>
      </c>
      <c r="I75" s="103">
        <f>H75</f>
        <v>893.66999999999825</v>
      </c>
      <c r="J75" s="104"/>
      <c r="K75" s="101"/>
      <c r="L75" s="102">
        <f>H75-I75</f>
        <v>0</v>
      </c>
      <c r="M75" s="101">
        <v>15000</v>
      </c>
      <c r="N75" s="100"/>
      <c r="O75" s="99"/>
      <c r="P75" s="98" t="s">
        <v>192</v>
      </c>
    </row>
    <row r="81" spans="12:12" x14ac:dyDescent="0.15">
      <c r="L81" s="47"/>
    </row>
    <row r="233" spans="7:8" x14ac:dyDescent="0.15">
      <c r="G233" s="39"/>
      <c r="H233" s="39"/>
    </row>
  </sheetData>
  <autoFilter ref="B1:I75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1"/>
  <sheetViews>
    <sheetView workbookViewId="0">
      <pane xSplit="3" ySplit="1" topLeftCell="D68" activePane="bottomRight" state="frozen"/>
      <selection pane="topRight"/>
      <selection pane="bottomLeft"/>
      <selection pane="bottomRight" activeCell="F71" sqref="F71:F73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9.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11" t="s">
        <v>145</v>
      </c>
      <c r="B1" s="118" t="s">
        <v>144</v>
      </c>
      <c r="C1" s="111" t="s">
        <v>143</v>
      </c>
      <c r="D1" s="111" t="s">
        <v>142</v>
      </c>
      <c r="E1" s="111" t="s">
        <v>141</v>
      </c>
      <c r="F1" s="111" t="s">
        <v>177</v>
      </c>
      <c r="G1" s="108" t="s">
        <v>139</v>
      </c>
      <c r="H1" s="115" t="s">
        <v>138</v>
      </c>
      <c r="I1" s="114" t="s">
        <v>137</v>
      </c>
      <c r="J1" s="111"/>
      <c r="K1" s="112" t="s">
        <v>136</v>
      </c>
      <c r="L1" s="113" t="s">
        <v>135</v>
      </c>
      <c r="M1" s="112" t="s">
        <v>134</v>
      </c>
      <c r="N1" s="119" t="s">
        <v>133</v>
      </c>
      <c r="O1" s="119" t="s">
        <v>132</v>
      </c>
      <c r="P1" s="111" t="s">
        <v>131</v>
      </c>
    </row>
    <row r="2" spans="1:17" s="48" customFormat="1" ht="43.5" customHeight="1" x14ac:dyDescent="0.15">
      <c r="A2" s="104">
        <v>20170227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>
        <f>[19]副本!G3</f>
        <v>417.77499999999964</v>
      </c>
      <c r="I2" s="103">
        <f>H2-1918.881+1918.881</f>
        <v>417.77499999999964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269</v>
      </c>
    </row>
    <row r="3" spans="1:17" s="48" customFormat="1" ht="43.5" customHeight="1" x14ac:dyDescent="0.15">
      <c r="A3" s="104">
        <v>20170227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[19]副本!G6</f>
        <v>240.53899999999987</v>
      </c>
      <c r="I3" s="103">
        <f>H3</f>
        <v>240.53899999999987</v>
      </c>
      <c r="J3" s="104"/>
      <c r="K3" s="101"/>
      <c r="L3" s="102">
        <f>H3-I3</f>
        <v>0</v>
      </c>
      <c r="M3" s="101">
        <v>1500</v>
      </c>
      <c r="N3" s="100"/>
      <c r="O3" s="99"/>
      <c r="P3" s="98" t="s">
        <v>291</v>
      </c>
    </row>
    <row r="4" spans="1:17" s="48" customFormat="1" ht="43.5" customHeight="1" x14ac:dyDescent="0.15">
      <c r="A4" s="104">
        <v>20170227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[19]副本!G8</f>
        <v>558.20299999999588</v>
      </c>
      <c r="I4" s="103">
        <f>H4</f>
        <v>558.20299999999588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43.5" customHeight="1" x14ac:dyDescent="0.15">
      <c r="A5" s="104">
        <v>20170227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[19]副本!G10</f>
        <v>1919.9280000000272</v>
      </c>
      <c r="I5" s="103">
        <f>H5</f>
        <v>1919.9280000000272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43.5" customHeight="1" x14ac:dyDescent="0.15">
      <c r="A6" s="104">
        <v>20170227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/>
      <c r="I6" s="103"/>
      <c r="J6" s="104"/>
      <c r="K6" s="101"/>
      <c r="L6" s="102"/>
      <c r="M6" s="101">
        <v>3000</v>
      </c>
      <c r="N6" s="100" t="s">
        <v>120</v>
      </c>
      <c r="O6" s="99" t="s">
        <v>89</v>
      </c>
      <c r="P6" s="98"/>
      <c r="Q6" s="49"/>
    </row>
    <row r="7" spans="1:17" s="48" customFormat="1" ht="43.5" customHeight="1" x14ac:dyDescent="0.15">
      <c r="A7" s="104">
        <v>20170227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[19]副本!G14</f>
        <v>1469.0460000000003</v>
      </c>
      <c r="I7" s="103">
        <f>H7</f>
        <v>1469.0460000000003</v>
      </c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43.5" customHeight="1" x14ac:dyDescent="0.15">
      <c r="A8" s="104">
        <v>20170227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[19]副本!G16</f>
        <v>413.26900000000023</v>
      </c>
      <c r="I8" s="103">
        <f>H8</f>
        <v>413.26900000000023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43.5" customHeight="1" x14ac:dyDescent="0.15">
      <c r="A9" s="104">
        <v>20170227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[19]副本!G18</f>
        <v>1322.4749999999999</v>
      </c>
      <c r="I9" s="103">
        <f>H9</f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43.5" customHeight="1" x14ac:dyDescent="0.15">
      <c r="A10" s="104">
        <v>20170227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[19]副本!G20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263</v>
      </c>
    </row>
    <row r="11" spans="1:17" s="48" customFormat="1" ht="43.5" customHeight="1" x14ac:dyDescent="0.15">
      <c r="A11" s="104">
        <v>20170227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[19]副本!G22</f>
        <v>940.3</v>
      </c>
      <c r="I11" s="103">
        <f>H11</f>
        <v>940.3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43.5" customHeight="1" x14ac:dyDescent="0.15">
      <c r="A12" s="104">
        <v>20170227</v>
      </c>
      <c r="B12" s="105" t="s">
        <v>105</v>
      </c>
      <c r="C12" s="104" t="s">
        <v>44</v>
      </c>
      <c r="D12" s="104"/>
      <c r="E12" s="104" t="s">
        <v>86</v>
      </c>
      <c r="F12" s="23" t="s">
        <v>156</v>
      </c>
      <c r="G12" s="104" t="s">
        <v>1</v>
      </c>
      <c r="H12" s="103">
        <f>[19]副本!G24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 t="s">
        <v>291</v>
      </c>
    </row>
    <row r="13" spans="1:17" s="48" customFormat="1" ht="43.5" customHeight="1" x14ac:dyDescent="0.15">
      <c r="A13" s="104">
        <v>20170227</v>
      </c>
      <c r="B13" s="105" t="s">
        <v>104</v>
      </c>
      <c r="C13" s="116" t="s">
        <v>19</v>
      </c>
      <c r="D13" s="104"/>
      <c r="E13" s="104" t="s">
        <v>114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43.5" customHeight="1" x14ac:dyDescent="0.15">
      <c r="A14" s="104">
        <v>20170227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43.5" customHeight="1" x14ac:dyDescent="0.15">
      <c r="A15" s="104">
        <v>20170227</v>
      </c>
      <c r="B15" s="105" t="s">
        <v>101</v>
      </c>
      <c r="C15" s="116" t="s">
        <v>44</v>
      </c>
      <c r="D15" s="104"/>
      <c r="E15" s="104"/>
      <c r="F15" s="104"/>
      <c r="G15" s="104"/>
      <c r="H15" s="103"/>
      <c r="I15" s="103"/>
      <c r="J15" s="104"/>
      <c r="K15" s="101"/>
      <c r="L15" s="102"/>
      <c r="M15" s="101">
        <v>1500</v>
      </c>
      <c r="N15" s="100"/>
      <c r="O15" s="99"/>
      <c r="P15" s="98"/>
    </row>
    <row r="16" spans="1:17" s="48" customFormat="1" ht="43.5" customHeight="1" x14ac:dyDescent="0.15">
      <c r="A16" s="104">
        <v>20170227</v>
      </c>
      <c r="B16" s="105" t="s">
        <v>99</v>
      </c>
      <c r="C16" s="116" t="s">
        <v>93</v>
      </c>
      <c r="D16" s="104"/>
      <c r="E16" s="104" t="s">
        <v>9</v>
      </c>
      <c r="F16" s="23" t="s">
        <v>158</v>
      </c>
      <c r="G16" s="104" t="s">
        <v>1</v>
      </c>
      <c r="H16" s="103">
        <f>[19]副本!G33-H17</f>
        <v>1003.8780000000188</v>
      </c>
      <c r="I16" s="103">
        <f>H16</f>
        <v>1003.8780000000188</v>
      </c>
      <c r="J16" s="104"/>
      <c r="K16" s="101"/>
      <c r="L16" s="102">
        <f>H16-I16</f>
        <v>0</v>
      </c>
      <c r="M16" s="101">
        <v>21000</v>
      </c>
      <c r="N16" s="100" t="s">
        <v>90</v>
      </c>
      <c r="O16" s="99" t="s">
        <v>89</v>
      </c>
      <c r="P16" s="98" t="s">
        <v>293</v>
      </c>
    </row>
    <row r="17" spans="1:17" s="48" customFormat="1" ht="43.5" customHeight="1" x14ac:dyDescent="0.15">
      <c r="A17" s="104">
        <v>20170227</v>
      </c>
      <c r="B17" s="105" t="s">
        <v>99</v>
      </c>
      <c r="C17" s="116" t="s">
        <v>93</v>
      </c>
      <c r="D17" s="104"/>
      <c r="E17" s="104" t="s">
        <v>9</v>
      </c>
      <c r="F17" s="24" t="s">
        <v>175</v>
      </c>
      <c r="G17" s="104" t="s">
        <v>1</v>
      </c>
      <c r="H17" s="103">
        <f>[19]副本!G35</f>
        <v>12119.121999999981</v>
      </c>
      <c r="I17" s="103">
        <f>H17</f>
        <v>12119.121999999981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97</v>
      </c>
    </row>
    <row r="18" spans="1:17" s="48" customFormat="1" ht="43.5" customHeight="1" x14ac:dyDescent="0.15">
      <c r="A18" s="104">
        <v>20170227</v>
      </c>
      <c r="B18" s="105" t="s">
        <v>96</v>
      </c>
      <c r="C18" s="116" t="s">
        <v>44</v>
      </c>
      <c r="D18" s="104" t="s">
        <v>5</v>
      </c>
      <c r="E18" s="104" t="s">
        <v>61</v>
      </c>
      <c r="F18" s="23" t="s">
        <v>159</v>
      </c>
      <c r="G18" s="104" t="s">
        <v>1</v>
      </c>
      <c r="H18" s="103">
        <f>[19]副本!G37</f>
        <v>4224.8950000000004</v>
      </c>
      <c r="I18" s="103">
        <f>H18-3496.542+1000+2496.542-3122.825+3122.825</f>
        <v>4224.8950000000004</v>
      </c>
      <c r="J18" s="104"/>
      <c r="K18" s="101"/>
      <c r="L18" s="102">
        <f>H18-I18</f>
        <v>0</v>
      </c>
      <c r="M18" s="101">
        <v>5000</v>
      </c>
      <c r="N18" s="100"/>
      <c r="O18" s="99"/>
      <c r="P18" s="98" t="s">
        <v>292</v>
      </c>
    </row>
    <row r="19" spans="1:17" s="48" customFormat="1" ht="43.5" customHeight="1" x14ac:dyDescent="0.15">
      <c r="A19" s="104">
        <v>20170227</v>
      </c>
      <c r="B19" s="105" t="s">
        <v>95</v>
      </c>
      <c r="C19" s="116" t="s">
        <v>44</v>
      </c>
      <c r="D19" s="104"/>
      <c r="E19" s="104"/>
      <c r="F19" s="104"/>
      <c r="G19" s="104"/>
      <c r="H19" s="103"/>
      <c r="I19" s="103"/>
      <c r="J19" s="104"/>
      <c r="K19" s="101"/>
      <c r="L19" s="102"/>
      <c r="M19" s="101">
        <v>3000</v>
      </c>
      <c r="N19" s="100"/>
      <c r="O19" s="99"/>
      <c r="P19" s="98"/>
    </row>
    <row r="20" spans="1:17" s="48" customFormat="1" ht="43.5" customHeight="1" x14ac:dyDescent="0.15">
      <c r="A20" s="104">
        <v>20170227</v>
      </c>
      <c r="B20" s="105" t="s">
        <v>94</v>
      </c>
      <c r="C20" s="116" t="s">
        <v>93</v>
      </c>
      <c r="D20" s="104"/>
      <c r="E20" s="104" t="s">
        <v>9</v>
      </c>
      <c r="F20" s="23" t="s">
        <v>158</v>
      </c>
      <c r="G20" s="104" t="s">
        <v>1</v>
      </c>
      <c r="H20" s="103">
        <f>[19]副本!G41-'20170227'!H21</f>
        <v>3894.5454280000376</v>
      </c>
      <c r="I20" s="103">
        <f>H20</f>
        <v>3894.5454280000376</v>
      </c>
      <c r="J20" s="104"/>
      <c r="K20" s="101"/>
      <c r="L20" s="102">
        <f>H20-I20</f>
        <v>0</v>
      </c>
      <c r="M20" s="101">
        <v>21000</v>
      </c>
      <c r="N20" s="100" t="s">
        <v>92</v>
      </c>
      <c r="O20" s="99" t="s">
        <v>89</v>
      </c>
      <c r="P20" s="98" t="s">
        <v>91</v>
      </c>
    </row>
    <row r="21" spans="1:17" s="48" customFormat="1" ht="43.5" customHeight="1" x14ac:dyDescent="0.15">
      <c r="A21" s="104">
        <v>20170227</v>
      </c>
      <c r="B21" s="105" t="s">
        <v>94</v>
      </c>
      <c r="C21" s="116" t="s">
        <v>93</v>
      </c>
      <c r="D21" s="104"/>
      <c r="E21" s="104" t="s">
        <v>9</v>
      </c>
      <c r="F21" s="24" t="s">
        <v>175</v>
      </c>
      <c r="G21" s="104"/>
      <c r="H21" s="103">
        <f>[19]副本!G43</f>
        <v>5216.4545719999624</v>
      </c>
      <c r="I21" s="103">
        <f>H21</f>
        <v>5216.4545719999624</v>
      </c>
      <c r="J21" s="104"/>
      <c r="K21" s="117"/>
      <c r="L21" s="102">
        <f>H21-I21</f>
        <v>0</v>
      </c>
      <c r="M21" s="101">
        <v>21000</v>
      </c>
      <c r="N21" s="100" t="s">
        <v>90</v>
      </c>
      <c r="O21" s="99" t="s">
        <v>89</v>
      </c>
      <c r="P21" s="98" t="s">
        <v>88</v>
      </c>
    </row>
    <row r="22" spans="1:17" s="48" customFormat="1" ht="43.5" customHeight="1" x14ac:dyDescent="0.15">
      <c r="A22" s="104">
        <v>20170227</v>
      </c>
      <c r="B22" s="105" t="s">
        <v>87</v>
      </c>
      <c r="C22" s="116" t="s">
        <v>44</v>
      </c>
      <c r="D22" s="104"/>
      <c r="E22" s="104" t="s">
        <v>86</v>
      </c>
      <c r="F22" s="23" t="s">
        <v>156</v>
      </c>
      <c r="G22" s="104" t="s">
        <v>1</v>
      </c>
      <c r="H22" s="103">
        <f>[19]副本!G45</f>
        <v>4534.1449999999995</v>
      </c>
      <c r="I22" s="103">
        <f>H22</f>
        <v>4534.1449999999995</v>
      </c>
      <c r="J22" s="104"/>
      <c r="K22" s="101">
        <v>450</v>
      </c>
      <c r="L22" s="102">
        <f>H22-I22</f>
        <v>0</v>
      </c>
      <c r="M22" s="101">
        <v>5000</v>
      </c>
      <c r="N22" s="100"/>
      <c r="O22" s="99"/>
      <c r="P22" s="98" t="s">
        <v>291</v>
      </c>
    </row>
    <row r="23" spans="1:17" s="48" customFormat="1" ht="43.5" customHeight="1" x14ac:dyDescent="0.15">
      <c r="A23" s="104">
        <v>20170227</v>
      </c>
      <c r="B23" s="105" t="s">
        <v>84</v>
      </c>
      <c r="C23" s="116" t="s">
        <v>3</v>
      </c>
      <c r="D23" s="104"/>
      <c r="E23" s="98"/>
      <c r="F23" s="104"/>
      <c r="G23" s="104"/>
      <c r="H23" s="103"/>
      <c r="I23" s="103"/>
      <c r="J23" s="104"/>
      <c r="K23" s="101"/>
      <c r="L23" s="102"/>
      <c r="M23" s="101">
        <v>5000</v>
      </c>
      <c r="N23" s="100"/>
      <c r="O23" s="99"/>
      <c r="P23" s="120"/>
    </row>
    <row r="24" spans="1:17" s="48" customFormat="1" ht="43.5" customHeight="1" x14ac:dyDescent="0.15">
      <c r="A24" s="104">
        <v>20170227</v>
      </c>
      <c r="B24" s="105" t="s">
        <v>81</v>
      </c>
      <c r="C24" s="116" t="s">
        <v>44</v>
      </c>
      <c r="D24" s="104"/>
      <c r="E24" s="104" t="s">
        <v>203</v>
      </c>
      <c r="F24" s="23" t="s">
        <v>161</v>
      </c>
      <c r="G24" s="104" t="s">
        <v>1</v>
      </c>
      <c r="H24" s="103">
        <f>[19]副本!G49</f>
        <v>1376.0679999999998</v>
      </c>
      <c r="I24" s="103">
        <f>H24</f>
        <v>1376.0679999999998</v>
      </c>
      <c r="J24" s="104"/>
      <c r="K24" s="101">
        <v>1300</v>
      </c>
      <c r="L24" s="102">
        <f>H24-I24</f>
        <v>0</v>
      </c>
      <c r="M24" s="101">
        <v>5000</v>
      </c>
      <c r="N24" s="100"/>
      <c r="O24" s="99"/>
      <c r="P24" s="98" t="s">
        <v>285</v>
      </c>
    </row>
    <row r="25" spans="1:17" s="48" customFormat="1" ht="43.5" customHeight="1" x14ac:dyDescent="0.15">
      <c r="A25" s="104">
        <v>20170227</v>
      </c>
      <c r="B25" s="105" t="s">
        <v>81</v>
      </c>
      <c r="C25" s="116" t="s">
        <v>44</v>
      </c>
      <c r="D25" s="104"/>
      <c r="E25" s="104" t="s">
        <v>203</v>
      </c>
      <c r="F25" s="23" t="s">
        <v>153</v>
      </c>
      <c r="G25" s="104" t="s">
        <v>1</v>
      </c>
      <c r="H25" s="103">
        <f>[19]副本!G50</f>
        <v>981.86400000000003</v>
      </c>
      <c r="I25" s="103">
        <f>H25</f>
        <v>981.86400000000003</v>
      </c>
      <c r="J25" s="104"/>
      <c r="K25" s="101"/>
      <c r="L25" s="102">
        <f>H25-I25</f>
        <v>0</v>
      </c>
      <c r="M25" s="101">
        <v>5000</v>
      </c>
      <c r="N25" s="100"/>
      <c r="O25" s="99"/>
      <c r="P25" s="98" t="s">
        <v>285</v>
      </c>
    </row>
    <row r="26" spans="1:17" s="48" customFormat="1" ht="43.5" customHeight="1" x14ac:dyDescent="0.15">
      <c r="A26" s="104">
        <v>20170227</v>
      </c>
      <c r="B26" s="105" t="s">
        <v>80</v>
      </c>
      <c r="C26" s="116" t="s">
        <v>44</v>
      </c>
      <c r="D26" s="104"/>
      <c r="E26" s="104" t="s">
        <v>43</v>
      </c>
      <c r="F26" s="23" t="s">
        <v>157</v>
      </c>
      <c r="G26" s="104" t="s">
        <v>1</v>
      </c>
      <c r="H26" s="103">
        <f>[19]副本!G53</f>
        <v>1386.6840000000002</v>
      </c>
      <c r="I26" s="103">
        <f>H26</f>
        <v>1386.6840000000002</v>
      </c>
      <c r="J26" s="104"/>
      <c r="K26" s="101"/>
      <c r="L26" s="102">
        <f>H26-I26</f>
        <v>0</v>
      </c>
      <c r="M26" s="101">
        <v>4000</v>
      </c>
      <c r="N26" s="100"/>
      <c r="O26" s="99"/>
      <c r="P26" s="98"/>
    </row>
    <row r="27" spans="1:17" s="48" customFormat="1" ht="43.5" customHeight="1" x14ac:dyDescent="0.15">
      <c r="A27" s="104">
        <v>20170227</v>
      </c>
      <c r="B27" s="105" t="s">
        <v>79</v>
      </c>
      <c r="C27" s="116" t="s">
        <v>74</v>
      </c>
      <c r="D27" s="104" t="s">
        <v>5</v>
      </c>
      <c r="E27" s="104" t="s">
        <v>266</v>
      </c>
      <c r="F27" s="104" t="s">
        <v>271</v>
      </c>
      <c r="G27" s="104"/>
      <c r="H27" s="103">
        <f>[19]副本!G55</f>
        <v>4007.2739999999999</v>
      </c>
      <c r="I27" s="103">
        <f>H27-4007.274</f>
        <v>0</v>
      </c>
      <c r="J27" s="104"/>
      <c r="K27" s="101"/>
      <c r="L27" s="102">
        <f>H27-I27</f>
        <v>4007.2739999999999</v>
      </c>
      <c r="M27" s="101">
        <v>5000</v>
      </c>
      <c r="N27" s="100"/>
      <c r="O27" s="99"/>
      <c r="P27" s="98" t="s">
        <v>274</v>
      </c>
    </row>
    <row r="28" spans="1:17" s="48" customFormat="1" ht="43.5" customHeight="1" x14ac:dyDescent="0.15">
      <c r="A28" s="104">
        <v>20170227</v>
      </c>
      <c r="B28" s="105" t="s">
        <v>78</v>
      </c>
      <c r="C28" s="116" t="s">
        <v>74</v>
      </c>
      <c r="D28" s="104"/>
      <c r="E28" s="104"/>
      <c r="F28" s="104"/>
      <c r="G28" s="104"/>
      <c r="H28" s="103"/>
      <c r="I28" s="103"/>
      <c r="J28" s="104"/>
      <c r="K28" s="101"/>
      <c r="L28" s="102"/>
      <c r="M28" s="101">
        <v>2000</v>
      </c>
      <c r="N28" s="100"/>
      <c r="O28" s="99"/>
      <c r="P28" s="98"/>
    </row>
    <row r="29" spans="1:17" s="48" customFormat="1" ht="43.5" customHeight="1" x14ac:dyDescent="0.15">
      <c r="A29" s="104">
        <v>20170227</v>
      </c>
      <c r="B29" s="105" t="s">
        <v>77</v>
      </c>
      <c r="C29" s="116" t="s">
        <v>74</v>
      </c>
      <c r="D29" s="104"/>
      <c r="E29" s="104" t="s">
        <v>32</v>
      </c>
      <c r="F29" s="23" t="s">
        <v>153</v>
      </c>
      <c r="G29" s="104" t="s">
        <v>1</v>
      </c>
      <c r="H29" s="103">
        <f>[19]副本!G61</f>
        <v>1098.6790000000001</v>
      </c>
      <c r="I29" s="103">
        <f>H29-1098.679+1098.679</f>
        <v>1098.6790000000001</v>
      </c>
      <c r="J29" s="104"/>
      <c r="K29" s="101"/>
      <c r="L29" s="102">
        <f>H29-I29</f>
        <v>0</v>
      </c>
      <c r="M29" s="101">
        <v>1500</v>
      </c>
      <c r="N29" s="100"/>
      <c r="O29" s="99"/>
      <c r="P29" s="98" t="s">
        <v>290</v>
      </c>
    </row>
    <row r="30" spans="1:17" s="48" customFormat="1" ht="43.5" customHeight="1" x14ac:dyDescent="0.15">
      <c r="A30" s="104">
        <v>20170227</v>
      </c>
      <c r="B30" s="105" t="s">
        <v>76</v>
      </c>
      <c r="C30" s="116" t="s">
        <v>74</v>
      </c>
      <c r="D30" s="104"/>
      <c r="E30" s="104"/>
      <c r="F30" s="104"/>
      <c r="G30" s="104"/>
      <c r="H30" s="103"/>
      <c r="I30" s="103"/>
      <c r="J30" s="104"/>
      <c r="K30" s="101"/>
      <c r="L30" s="102"/>
      <c r="M30" s="101">
        <v>1500</v>
      </c>
      <c r="N30" s="100"/>
      <c r="O30" s="99"/>
      <c r="P30" s="98"/>
      <c r="Q30" s="49"/>
    </row>
    <row r="31" spans="1:17" s="48" customFormat="1" ht="43.5" customHeight="1" x14ac:dyDescent="0.15">
      <c r="A31" s="104">
        <v>20170227</v>
      </c>
      <c r="B31" s="105" t="s">
        <v>75</v>
      </c>
      <c r="C31" s="116" t="s">
        <v>74</v>
      </c>
      <c r="D31" s="104"/>
      <c r="E31" s="104" t="s">
        <v>32</v>
      </c>
      <c r="F31" s="23" t="s">
        <v>153</v>
      </c>
      <c r="G31" s="104" t="s">
        <v>1</v>
      </c>
      <c r="H31" s="103">
        <f>[19]副本!G65</f>
        <v>1096.2820000000002</v>
      </c>
      <c r="I31" s="103">
        <f>H31-1096.282+1096.282</f>
        <v>1096.2820000000002</v>
      </c>
      <c r="J31" s="104"/>
      <c r="K31" s="101"/>
      <c r="L31" s="102">
        <f>H31-I31</f>
        <v>0</v>
      </c>
      <c r="M31" s="101">
        <v>1500</v>
      </c>
      <c r="N31" s="100"/>
      <c r="O31" s="99"/>
      <c r="P31" s="98" t="s">
        <v>289</v>
      </c>
    </row>
    <row r="32" spans="1:17" s="48" customFormat="1" ht="43.5" customHeight="1" x14ac:dyDescent="0.15">
      <c r="A32" s="104">
        <v>20170227</v>
      </c>
      <c r="B32" s="105" t="s">
        <v>73</v>
      </c>
      <c r="C32" s="116" t="s">
        <v>44</v>
      </c>
      <c r="D32" s="104"/>
      <c r="E32" s="104"/>
      <c r="F32" s="104"/>
      <c r="G32" s="104"/>
      <c r="H32" s="103"/>
      <c r="I32" s="103"/>
      <c r="J32" s="104"/>
      <c r="K32" s="101"/>
      <c r="L32" s="102"/>
      <c r="M32" s="101">
        <v>1500</v>
      </c>
      <c r="N32" s="100"/>
      <c r="O32" s="99"/>
      <c r="P32" s="98"/>
    </row>
    <row r="33" spans="1:16" s="48" customFormat="1" ht="43.5" customHeight="1" x14ac:dyDescent="0.15">
      <c r="A33" s="104">
        <v>20170227</v>
      </c>
      <c r="B33" s="105" t="s">
        <v>72</v>
      </c>
      <c r="C33" s="116" t="s">
        <v>44</v>
      </c>
      <c r="D33" s="104"/>
      <c r="E33" s="104" t="s">
        <v>71</v>
      </c>
      <c r="F33" s="23" t="s">
        <v>154</v>
      </c>
      <c r="G33" s="104" t="s">
        <v>1</v>
      </c>
      <c r="H33" s="104">
        <f>[19]副本!G69</f>
        <v>753.33000000000027</v>
      </c>
      <c r="I33" s="103">
        <f>H33-1035.099+1035.099</f>
        <v>753.33000000000027</v>
      </c>
      <c r="J33" s="104"/>
      <c r="K33" s="101">
        <v>50</v>
      </c>
      <c r="L33" s="102">
        <f>H33-I33</f>
        <v>0</v>
      </c>
      <c r="M33" s="101">
        <v>2000</v>
      </c>
      <c r="N33" s="100"/>
      <c r="O33" s="99"/>
      <c r="P33" s="98" t="s">
        <v>221</v>
      </c>
    </row>
    <row r="34" spans="1:16" s="48" customFormat="1" ht="43.5" customHeight="1" x14ac:dyDescent="0.15">
      <c r="A34" s="104">
        <v>20170227</v>
      </c>
      <c r="B34" s="105" t="s">
        <v>69</v>
      </c>
      <c r="C34" s="116" t="s">
        <v>44</v>
      </c>
      <c r="D34" s="104" t="s">
        <v>5</v>
      </c>
      <c r="E34" s="104" t="s">
        <v>68</v>
      </c>
      <c r="F34" s="23" t="s">
        <v>162</v>
      </c>
      <c r="G34" s="104" t="s">
        <v>1</v>
      </c>
      <c r="H34" s="103">
        <f>[19]副本!G71</f>
        <v>18.10899999999981</v>
      </c>
      <c r="I34" s="103">
        <f>H34-1037.023+500+537.023</f>
        <v>18.108999999999924</v>
      </c>
      <c r="J34" s="104"/>
      <c r="K34" s="101"/>
      <c r="L34" s="102">
        <f>H34-I34</f>
        <v>-1.1368683772161603E-13</v>
      </c>
      <c r="M34" s="101">
        <v>3000</v>
      </c>
      <c r="N34" s="100"/>
      <c r="O34" s="99"/>
      <c r="P34" s="110" t="s">
        <v>297</v>
      </c>
    </row>
    <row r="35" spans="1:16" s="48" customFormat="1" ht="43.5" customHeight="1" x14ac:dyDescent="0.15">
      <c r="A35" s="104">
        <v>20170227</v>
      </c>
      <c r="B35" s="105" t="s">
        <v>69</v>
      </c>
      <c r="C35" s="116" t="s">
        <v>44</v>
      </c>
      <c r="D35" s="104" t="s">
        <v>5</v>
      </c>
      <c r="E35" s="104" t="s">
        <v>68</v>
      </c>
      <c r="F35" s="23" t="s">
        <v>298</v>
      </c>
      <c r="G35" s="104" t="s">
        <v>1</v>
      </c>
      <c r="H35" s="103">
        <f>[19]副本!G72</f>
        <v>375.35400000000004</v>
      </c>
      <c r="I35" s="103">
        <f>H35</f>
        <v>375.35400000000004</v>
      </c>
      <c r="J35" s="104"/>
      <c r="K35" s="101">
        <v>100</v>
      </c>
      <c r="L35" s="102">
        <f>H35-I35</f>
        <v>0</v>
      </c>
      <c r="M35" s="101">
        <v>3000</v>
      </c>
      <c r="N35" s="100"/>
      <c r="O35" s="99"/>
      <c r="P35" s="110" t="s">
        <v>297</v>
      </c>
    </row>
    <row r="36" spans="1:16" s="48" customFormat="1" ht="43.5" customHeight="1" x14ac:dyDescent="0.15">
      <c r="A36" s="104">
        <v>20170227</v>
      </c>
      <c r="B36" s="105" t="s">
        <v>66</v>
      </c>
      <c r="C36" s="116" t="s">
        <v>44</v>
      </c>
      <c r="D36" s="104" t="s">
        <v>5</v>
      </c>
      <c r="E36" s="104" t="s">
        <v>61</v>
      </c>
      <c r="F36" s="23" t="s">
        <v>159</v>
      </c>
      <c r="G36" s="104" t="s">
        <v>1</v>
      </c>
      <c r="H36" s="103">
        <f>[19]副本!G74</f>
        <v>755.74599999999919</v>
      </c>
      <c r="I36" s="103">
        <f>H36-3607.546+2050+1050+507.546-1553.792+1553.792</f>
        <v>755.74599999999941</v>
      </c>
      <c r="J36" s="104"/>
      <c r="K36" s="101"/>
      <c r="L36" s="102">
        <f>H36-I36</f>
        <v>0</v>
      </c>
      <c r="M36" s="101">
        <v>4000</v>
      </c>
      <c r="N36" s="100"/>
      <c r="O36" s="99"/>
      <c r="P36" s="98" t="s">
        <v>305</v>
      </c>
    </row>
    <row r="37" spans="1:16" s="48" customFormat="1" ht="43.5" customHeight="1" x14ac:dyDescent="0.15">
      <c r="A37" s="104">
        <v>20170227</v>
      </c>
      <c r="B37" s="105" t="s">
        <v>64</v>
      </c>
      <c r="C37" s="116" t="s">
        <v>3</v>
      </c>
      <c r="D37" s="104"/>
      <c r="E37" s="104"/>
      <c r="F37" s="104"/>
      <c r="G37" s="104"/>
      <c r="H37" s="103"/>
      <c r="I37" s="103"/>
      <c r="J37" s="104"/>
      <c r="K37" s="101"/>
      <c r="L37" s="102"/>
      <c r="M37" s="101">
        <v>5000</v>
      </c>
      <c r="N37" s="100"/>
      <c r="O37" s="99"/>
      <c r="P37" s="98"/>
    </row>
    <row r="38" spans="1:16" s="48" customFormat="1" ht="43.5" customHeight="1" x14ac:dyDescent="0.15">
      <c r="A38" s="104">
        <v>20170227</v>
      </c>
      <c r="B38" s="105" t="s">
        <v>63</v>
      </c>
      <c r="C38" s="116" t="s">
        <v>44</v>
      </c>
      <c r="D38" s="104" t="s">
        <v>5</v>
      </c>
      <c r="E38" s="104" t="s">
        <v>61</v>
      </c>
      <c r="F38" s="23" t="s">
        <v>159</v>
      </c>
      <c r="G38" s="104" t="s">
        <v>1</v>
      </c>
      <c r="H38" s="103">
        <f>[19]副本!G78</f>
        <v>3339.0830000000533</v>
      </c>
      <c r="I38" s="103">
        <f>H38-955.747+477.874+477.873-1042.865-2628.137+500+542.865+2102.57+525.567-499.112-3147.566+2100+525+525+496.678-2617.899+1574.891+523.692-522.622+522.622-2589.467+523.692-499.362+517.893-1051.409+499.362</f>
        <v>220.47600000005326</v>
      </c>
      <c r="J38" s="104"/>
      <c r="K38" s="101"/>
      <c r="L38" s="102">
        <f>H38-I38</f>
        <v>3118.607</v>
      </c>
      <c r="M38" s="101">
        <v>5000</v>
      </c>
      <c r="N38" s="100"/>
      <c r="O38" s="99"/>
      <c r="P38" s="98" t="s">
        <v>295</v>
      </c>
    </row>
    <row r="39" spans="1:16" s="48" customFormat="1" ht="43.5" customHeight="1" x14ac:dyDescent="0.15">
      <c r="A39" s="104">
        <v>20170227</v>
      </c>
      <c r="B39" s="105" t="s">
        <v>63</v>
      </c>
      <c r="C39" s="116" t="s">
        <v>44</v>
      </c>
      <c r="D39" s="104" t="s">
        <v>5</v>
      </c>
      <c r="E39" s="104" t="s">
        <v>61</v>
      </c>
      <c r="F39" s="23" t="s">
        <v>163</v>
      </c>
      <c r="G39" s="104" t="s">
        <v>1</v>
      </c>
      <c r="H39" s="103">
        <f>[19]副本!G79</f>
        <v>616.69100000000049</v>
      </c>
      <c r="I39" s="103">
        <f>H39</f>
        <v>616.69100000000049</v>
      </c>
      <c r="J39" s="104"/>
      <c r="K39" s="101"/>
      <c r="L39" s="102">
        <f>H39-I39</f>
        <v>0</v>
      </c>
      <c r="M39" s="101">
        <v>5000</v>
      </c>
      <c r="N39" s="100"/>
      <c r="O39" s="99"/>
      <c r="P39" s="98" t="s">
        <v>294</v>
      </c>
    </row>
    <row r="40" spans="1:16" s="48" customFormat="1" ht="43.5" customHeight="1" x14ac:dyDescent="0.15">
      <c r="A40" s="104">
        <v>20170227</v>
      </c>
      <c r="B40" s="105" t="s">
        <v>59</v>
      </c>
      <c r="C40" s="116" t="s">
        <v>19</v>
      </c>
      <c r="D40" s="104"/>
      <c r="E40" s="104" t="s">
        <v>32</v>
      </c>
      <c r="F40" s="23" t="s">
        <v>161</v>
      </c>
      <c r="G40" s="104" t="s">
        <v>1</v>
      </c>
      <c r="H40" s="103">
        <f>[19]副本!G81</f>
        <v>31.463999999997668</v>
      </c>
      <c r="I40" s="103">
        <f>H40-2564.978+2564.978</f>
        <v>31.463999999997668</v>
      </c>
      <c r="J40" s="104"/>
      <c r="K40" s="101"/>
      <c r="L40" s="102">
        <f>H40-I40</f>
        <v>0</v>
      </c>
      <c r="M40" s="101">
        <v>4000</v>
      </c>
      <c r="N40" s="100"/>
      <c r="O40" s="99"/>
      <c r="P40" s="98" t="s">
        <v>58</v>
      </c>
    </row>
    <row r="41" spans="1:16" s="48" customFormat="1" ht="43.5" customHeight="1" x14ac:dyDescent="0.15">
      <c r="A41" s="104">
        <v>20170227</v>
      </c>
      <c r="B41" s="105" t="s">
        <v>59</v>
      </c>
      <c r="C41" s="116" t="s">
        <v>19</v>
      </c>
      <c r="D41" s="104"/>
      <c r="E41" s="104" t="s">
        <v>32</v>
      </c>
      <c r="F41" s="23" t="s">
        <v>153</v>
      </c>
      <c r="G41" s="104" t="s">
        <v>1</v>
      </c>
      <c r="H41" s="103">
        <f>[19]副本!G84</f>
        <v>2564.9780000000001</v>
      </c>
      <c r="I41" s="103">
        <f>H41</f>
        <v>2564.9780000000001</v>
      </c>
      <c r="J41" s="104"/>
      <c r="K41" s="101"/>
      <c r="L41" s="102"/>
      <c r="M41" s="101">
        <v>4000</v>
      </c>
      <c r="N41" s="100"/>
      <c r="O41" s="99"/>
      <c r="P41" s="98" t="s">
        <v>286</v>
      </c>
    </row>
    <row r="42" spans="1:16" s="48" customFormat="1" ht="43.5" customHeight="1" x14ac:dyDescent="0.15">
      <c r="A42" s="104">
        <v>20170227</v>
      </c>
      <c r="B42" s="105" t="s">
        <v>56</v>
      </c>
      <c r="C42" s="116" t="s">
        <v>19</v>
      </c>
      <c r="D42" s="104"/>
      <c r="E42" s="104"/>
      <c r="F42" s="104"/>
      <c r="G42" s="104"/>
      <c r="H42" s="103"/>
      <c r="I42" s="103"/>
      <c r="J42" s="104"/>
      <c r="K42" s="101"/>
      <c r="L42" s="102"/>
      <c r="M42" s="101">
        <v>2000</v>
      </c>
      <c r="N42" s="100"/>
      <c r="O42" s="99"/>
      <c r="P42" s="98"/>
    </row>
    <row r="43" spans="1:16" s="48" customFormat="1" ht="43.5" customHeight="1" x14ac:dyDescent="0.15">
      <c r="A43" s="104">
        <v>20170227</v>
      </c>
      <c r="B43" s="105" t="s">
        <v>55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[19]副本!G88</f>
        <v>67.850999999999658</v>
      </c>
      <c r="I43" s="103">
        <f>H43</f>
        <v>67.850999999999658</v>
      </c>
      <c r="J43" s="104"/>
      <c r="K43" s="101"/>
      <c r="L43" s="102">
        <f>H43-I43</f>
        <v>0</v>
      </c>
      <c r="M43" s="101">
        <v>3000</v>
      </c>
      <c r="N43" s="100"/>
      <c r="O43" s="99"/>
      <c r="P43" s="98" t="s">
        <v>285</v>
      </c>
    </row>
    <row r="44" spans="1:16" s="48" customFormat="1" ht="43.5" customHeight="1" x14ac:dyDescent="0.15">
      <c r="A44" s="104">
        <v>20170227</v>
      </c>
      <c r="B44" s="105" t="s">
        <v>54</v>
      </c>
      <c r="C44" s="116" t="s">
        <v>19</v>
      </c>
      <c r="D44" s="104"/>
      <c r="E44" s="104" t="s">
        <v>32</v>
      </c>
      <c r="F44" s="23" t="s">
        <v>161</v>
      </c>
      <c r="G44" s="104" t="s">
        <v>1</v>
      </c>
      <c r="H44" s="103">
        <f>[19]副本!G90</f>
        <v>24.139999999999418</v>
      </c>
      <c r="I44" s="103">
        <f>H44</f>
        <v>24.139999999999418</v>
      </c>
      <c r="J44" s="104"/>
      <c r="K44" s="102"/>
      <c r="L44" s="102">
        <f>H44-I44</f>
        <v>0</v>
      </c>
      <c r="M44" s="101">
        <v>5000</v>
      </c>
      <c r="N44" s="109"/>
      <c r="O44" s="99"/>
      <c r="P44" s="98" t="s">
        <v>284</v>
      </c>
    </row>
    <row r="45" spans="1:16" s="48" customFormat="1" ht="43.5" customHeight="1" x14ac:dyDescent="0.15">
      <c r="A45" s="104">
        <v>20170227</v>
      </c>
      <c r="B45" s="105" t="s">
        <v>54</v>
      </c>
      <c r="C45" s="116" t="s">
        <v>19</v>
      </c>
      <c r="D45" s="104"/>
      <c r="E45" s="104" t="s">
        <v>32</v>
      </c>
      <c r="F45" s="23" t="s">
        <v>153</v>
      </c>
      <c r="G45" s="104" t="s">
        <v>1</v>
      </c>
      <c r="H45" s="103">
        <f>[19]副本!G92</f>
        <v>2318.136</v>
      </c>
      <c r="I45" s="103">
        <f>H45</f>
        <v>2318.136</v>
      </c>
      <c r="J45" s="104"/>
      <c r="K45" s="102"/>
      <c r="L45" s="102">
        <f>H45-I45</f>
        <v>0</v>
      </c>
      <c r="M45" s="101">
        <v>5000</v>
      </c>
      <c r="N45" s="109"/>
      <c r="O45" s="99"/>
      <c r="P45" s="98"/>
    </row>
    <row r="46" spans="1:16" s="48" customFormat="1" ht="43.5" customHeight="1" x14ac:dyDescent="0.15">
      <c r="A46" s="104">
        <v>20170227</v>
      </c>
      <c r="B46" s="105" t="s">
        <v>52</v>
      </c>
      <c r="C46" s="116" t="s">
        <v>44</v>
      </c>
      <c r="D46" s="104"/>
      <c r="E46" s="104"/>
      <c r="F46" s="104"/>
      <c r="G46" s="104"/>
      <c r="H46" s="103"/>
      <c r="I46" s="103"/>
      <c r="J46" s="104"/>
      <c r="K46" s="101"/>
      <c r="L46" s="102"/>
      <c r="M46" s="101">
        <v>5000</v>
      </c>
      <c r="N46" s="100"/>
      <c r="O46" s="99"/>
      <c r="P46" s="98"/>
    </row>
    <row r="47" spans="1:16" s="48" customFormat="1" ht="43.5" customHeight="1" x14ac:dyDescent="0.15">
      <c r="A47" s="104">
        <v>20170227</v>
      </c>
      <c r="B47" s="105" t="s">
        <v>51</v>
      </c>
      <c r="C47" s="116" t="s">
        <v>44</v>
      </c>
      <c r="D47" s="104"/>
      <c r="E47" s="104" t="s">
        <v>50</v>
      </c>
      <c r="F47" s="23" t="s">
        <v>152</v>
      </c>
      <c r="G47" s="104" t="s">
        <v>1</v>
      </c>
      <c r="H47" s="103">
        <f>[19]副本!G96</f>
        <v>1935.9680000000003</v>
      </c>
      <c r="I47" s="103">
        <f>H47-1021.25+1021.25</f>
        <v>1935.9680000000003</v>
      </c>
      <c r="J47" s="104"/>
      <c r="K47" s="101">
        <v>100</v>
      </c>
      <c r="L47" s="102">
        <f>H47-I47</f>
        <v>0</v>
      </c>
      <c r="M47" s="101">
        <v>5000</v>
      </c>
      <c r="N47" s="100"/>
      <c r="O47" s="99"/>
      <c r="P47" s="98" t="s">
        <v>234</v>
      </c>
    </row>
    <row r="48" spans="1:16" s="48" customFormat="1" ht="43.5" customHeight="1" x14ac:dyDescent="0.15">
      <c r="A48" s="104">
        <v>20170227</v>
      </c>
      <c r="B48" s="105" t="s">
        <v>51</v>
      </c>
      <c r="C48" s="116" t="s">
        <v>44</v>
      </c>
      <c r="D48" s="104"/>
      <c r="E48" s="104" t="s">
        <v>50</v>
      </c>
      <c r="F48" s="23" t="s">
        <v>148</v>
      </c>
      <c r="G48" s="104" t="s">
        <v>1</v>
      </c>
      <c r="H48" s="103">
        <f>[19]副本!G97</f>
        <v>1000</v>
      </c>
      <c r="I48" s="103">
        <f>H48</f>
        <v>1000</v>
      </c>
      <c r="J48" s="104"/>
      <c r="K48" s="101"/>
      <c r="L48" s="102"/>
      <c r="M48" s="101">
        <v>5000</v>
      </c>
      <c r="N48" s="100"/>
      <c r="O48" s="99"/>
      <c r="P48" s="98" t="s">
        <v>49</v>
      </c>
    </row>
    <row r="49" spans="1:17" s="48" customFormat="1" ht="43.5" customHeight="1" x14ac:dyDescent="0.15">
      <c r="A49" s="104">
        <v>20170227</v>
      </c>
      <c r="B49" s="105" t="s">
        <v>48</v>
      </c>
      <c r="C49" s="116" t="s">
        <v>44</v>
      </c>
      <c r="D49" s="104"/>
      <c r="E49" s="104" t="s">
        <v>43</v>
      </c>
      <c r="F49" s="104"/>
      <c r="G49" s="104"/>
      <c r="H49" s="103"/>
      <c r="I49" s="103"/>
      <c r="J49" s="104"/>
      <c r="K49" s="102"/>
      <c r="L49" s="102"/>
      <c r="M49" s="101">
        <v>2000</v>
      </c>
      <c r="N49" s="100"/>
      <c r="O49" s="99"/>
      <c r="P49" s="98"/>
    </row>
    <row r="50" spans="1:17" s="48" customFormat="1" ht="43.5" customHeight="1" x14ac:dyDescent="0.15">
      <c r="A50" s="104">
        <v>20170227</v>
      </c>
      <c r="B50" s="105" t="s">
        <v>47</v>
      </c>
      <c r="C50" s="116" t="s">
        <v>19</v>
      </c>
      <c r="D50" s="104" t="s">
        <v>5</v>
      </c>
      <c r="E50" s="104" t="s">
        <v>27</v>
      </c>
      <c r="F50" s="23" t="s">
        <v>165</v>
      </c>
      <c r="G50" s="104" t="s">
        <v>1</v>
      </c>
      <c r="H50" s="103">
        <f>[19]副本!G101</f>
        <v>1013.1140000000005</v>
      </c>
      <c r="I50" s="103">
        <v>0</v>
      </c>
      <c r="J50" s="104"/>
      <c r="K50" s="101"/>
      <c r="L50" s="102">
        <f>H50-I50</f>
        <v>1013.1140000000005</v>
      </c>
      <c r="M50" s="101">
        <v>10000</v>
      </c>
      <c r="N50" s="100"/>
      <c r="O50" s="99"/>
      <c r="P50" s="98"/>
    </row>
    <row r="51" spans="1:17" s="48" customFormat="1" ht="43.5" customHeight="1" x14ac:dyDescent="0.15">
      <c r="A51" s="104">
        <v>20170227</v>
      </c>
      <c r="B51" s="105" t="s">
        <v>46</v>
      </c>
      <c r="C51" s="116" t="s">
        <v>19</v>
      </c>
      <c r="D51" s="104" t="s">
        <v>5</v>
      </c>
      <c r="E51" s="104" t="s">
        <v>27</v>
      </c>
      <c r="F51" s="23" t="s">
        <v>165</v>
      </c>
      <c r="G51" s="104" t="s">
        <v>1</v>
      </c>
      <c r="H51" s="103">
        <f>[19]副本!G103</f>
        <v>4217.264000000001</v>
      </c>
      <c r="I51" s="103">
        <v>0</v>
      </c>
      <c r="J51" s="104"/>
      <c r="K51" s="101"/>
      <c r="L51" s="102">
        <v>0</v>
      </c>
      <c r="M51" s="101">
        <v>10000</v>
      </c>
      <c r="N51" s="100"/>
      <c r="O51" s="99"/>
      <c r="P51" s="98"/>
    </row>
    <row r="52" spans="1:17" s="48" customFormat="1" ht="43.5" customHeight="1" x14ac:dyDescent="0.15">
      <c r="A52" s="104">
        <v>20170227</v>
      </c>
      <c r="B52" s="105" t="s">
        <v>45</v>
      </c>
      <c r="C52" s="116" t="s">
        <v>44</v>
      </c>
      <c r="D52" s="104"/>
      <c r="E52" s="104" t="s">
        <v>43</v>
      </c>
      <c r="F52" s="23" t="s">
        <v>166</v>
      </c>
      <c r="G52" s="104" t="s">
        <v>1</v>
      </c>
      <c r="H52" s="103">
        <f>[19]副本!G105</f>
        <v>841.91500000000633</v>
      </c>
      <c r="I52" s="103">
        <f>H52</f>
        <v>841.91500000000633</v>
      </c>
      <c r="J52" s="104"/>
      <c r="K52" s="102"/>
      <c r="L52" s="102">
        <v>0</v>
      </c>
      <c r="M52" s="101">
        <v>5000</v>
      </c>
      <c r="N52" s="107" t="s">
        <v>42</v>
      </c>
      <c r="O52" s="106" t="s">
        <v>41</v>
      </c>
      <c r="P52" s="98" t="s">
        <v>146</v>
      </c>
    </row>
    <row r="53" spans="1:17" s="48" customFormat="1" ht="43.5" customHeight="1" x14ac:dyDescent="0.15">
      <c r="A53" s="104">
        <v>20170227</v>
      </c>
      <c r="B53" s="105" t="s">
        <v>39</v>
      </c>
      <c r="C53" s="116" t="s">
        <v>19</v>
      </c>
      <c r="D53" s="104"/>
      <c r="E53" s="104"/>
      <c r="F53" s="104"/>
      <c r="G53" s="104"/>
      <c r="H53" s="103"/>
      <c r="I53" s="103"/>
      <c r="J53" s="104"/>
      <c r="K53" s="101"/>
      <c r="L53" s="102"/>
      <c r="M53" s="101">
        <v>3000</v>
      </c>
      <c r="N53" s="100"/>
      <c r="O53" s="99"/>
      <c r="P53" s="98"/>
    </row>
    <row r="54" spans="1:17" s="48" customFormat="1" ht="43.5" customHeight="1" x14ac:dyDescent="0.15">
      <c r="A54" s="104">
        <v>20170227</v>
      </c>
      <c r="B54" s="105" t="s">
        <v>38</v>
      </c>
      <c r="C54" s="116" t="s">
        <v>19</v>
      </c>
      <c r="D54" s="104" t="s">
        <v>5</v>
      </c>
      <c r="E54" s="104" t="s">
        <v>27</v>
      </c>
      <c r="F54" s="23" t="s">
        <v>165</v>
      </c>
      <c r="G54" s="104" t="s">
        <v>22</v>
      </c>
      <c r="H54" s="103">
        <f>[19]副本!G109</f>
        <v>7956.9250000000029</v>
      </c>
      <c r="I54" s="103">
        <v>0</v>
      </c>
      <c r="J54" s="104"/>
      <c r="K54" s="101"/>
      <c r="L54" s="102">
        <f>H54-I54</f>
        <v>7956.9250000000029</v>
      </c>
      <c r="M54" s="101">
        <v>25000</v>
      </c>
      <c r="N54" s="100" t="s">
        <v>37</v>
      </c>
      <c r="O54" s="99" t="s">
        <v>36</v>
      </c>
      <c r="P54" s="98" t="s">
        <v>35</v>
      </c>
    </row>
    <row r="55" spans="1:17" s="48" customFormat="1" ht="43.5" customHeight="1" x14ac:dyDescent="0.15">
      <c r="A55" s="104">
        <v>20170227</v>
      </c>
      <c r="B55" s="105" t="s">
        <v>34</v>
      </c>
      <c r="C55" s="116" t="s">
        <v>19</v>
      </c>
      <c r="D55" s="104" t="s">
        <v>5</v>
      </c>
      <c r="E55" s="104" t="s">
        <v>27</v>
      </c>
      <c r="F55" s="23" t="s">
        <v>167</v>
      </c>
      <c r="G55" s="104" t="s">
        <v>22</v>
      </c>
      <c r="H55" s="103">
        <f>[19]副本!G111</f>
        <v>27967.621000000079</v>
      </c>
      <c r="I55" s="103">
        <v>0</v>
      </c>
      <c r="J55" s="104"/>
      <c r="K55" s="101"/>
      <c r="L55" s="102">
        <f>H55-I55</f>
        <v>27967.621000000079</v>
      </c>
      <c r="M55" s="101">
        <v>50000</v>
      </c>
      <c r="N55" s="100"/>
      <c r="O55" s="99"/>
      <c r="P55" s="98"/>
    </row>
    <row r="56" spans="1:17" s="48" customFormat="1" ht="43.5" customHeight="1" x14ac:dyDescent="0.15">
      <c r="A56" s="104">
        <v>20170227</v>
      </c>
      <c r="B56" s="105" t="s">
        <v>33</v>
      </c>
      <c r="C56" s="116" t="s">
        <v>19</v>
      </c>
      <c r="D56" s="104"/>
      <c r="E56" s="104"/>
      <c r="F56" s="104"/>
      <c r="G56" s="104"/>
      <c r="H56" s="103"/>
      <c r="I56" s="103"/>
      <c r="J56" s="104"/>
      <c r="K56" s="101"/>
      <c r="L56" s="102">
        <f>H56-I56</f>
        <v>0</v>
      </c>
      <c r="M56" s="101">
        <v>4000</v>
      </c>
      <c r="N56" s="100"/>
      <c r="O56" s="99"/>
      <c r="P56" s="98"/>
    </row>
    <row r="57" spans="1:17" s="48" customFormat="1" ht="43.5" customHeight="1" x14ac:dyDescent="0.15">
      <c r="A57" s="104">
        <v>20170227</v>
      </c>
      <c r="B57" s="105" t="s">
        <v>30</v>
      </c>
      <c r="C57" s="116" t="s">
        <v>3</v>
      </c>
      <c r="D57" s="104"/>
      <c r="E57" s="104"/>
      <c r="F57" s="104"/>
      <c r="G57" s="104"/>
      <c r="H57" s="103"/>
      <c r="I57" s="103"/>
      <c r="J57" s="104"/>
      <c r="K57" s="101"/>
      <c r="L57" s="102"/>
      <c r="M57" s="101">
        <v>37000</v>
      </c>
      <c r="N57" s="100"/>
      <c r="O57" s="99"/>
      <c r="P57" s="98"/>
    </row>
    <row r="58" spans="1:17" s="48" customFormat="1" ht="43.5" customHeight="1" x14ac:dyDescent="0.15">
      <c r="A58" s="104">
        <v>20170227</v>
      </c>
      <c r="B58" s="105" t="s">
        <v>29</v>
      </c>
      <c r="C58" s="116" t="s">
        <v>3</v>
      </c>
      <c r="D58" s="104"/>
      <c r="E58" s="104"/>
      <c r="F58" s="104"/>
      <c r="G58" s="104"/>
      <c r="H58" s="103"/>
      <c r="I58" s="104"/>
      <c r="J58" s="104"/>
      <c r="K58" s="101"/>
      <c r="L58" s="102"/>
      <c r="M58" s="101">
        <v>37000</v>
      </c>
      <c r="N58" s="100"/>
      <c r="O58" s="99"/>
      <c r="P58" s="98"/>
    </row>
    <row r="59" spans="1:17" s="48" customFormat="1" ht="43.5" customHeight="1" x14ac:dyDescent="0.15">
      <c r="A59" s="104">
        <v>20170227</v>
      </c>
      <c r="B59" s="105" t="s">
        <v>28</v>
      </c>
      <c r="C59" s="116" t="s">
        <v>19</v>
      </c>
      <c r="D59" s="104" t="s">
        <v>5</v>
      </c>
      <c r="E59" s="104" t="s">
        <v>27</v>
      </c>
      <c r="F59" s="23" t="s">
        <v>165</v>
      </c>
      <c r="G59" s="104" t="s">
        <v>22</v>
      </c>
      <c r="H59" s="103">
        <f>[19]副本!G121</f>
        <v>764.82299999999941</v>
      </c>
      <c r="I59" s="103">
        <v>0</v>
      </c>
      <c r="J59" s="104"/>
      <c r="K59" s="102"/>
      <c r="L59" s="102">
        <f>H59-I59</f>
        <v>764.82299999999941</v>
      </c>
      <c r="M59" s="101">
        <v>10000</v>
      </c>
      <c r="N59" s="100"/>
      <c r="O59" s="99"/>
      <c r="P59" s="98"/>
      <c r="Q59" s="49"/>
    </row>
    <row r="60" spans="1:17" s="48" customFormat="1" ht="43.5" customHeight="1" x14ac:dyDescent="0.15">
      <c r="A60" s="104">
        <v>20170227</v>
      </c>
      <c r="B60" s="105" t="s">
        <v>26</v>
      </c>
      <c r="C60" s="116" t="s">
        <v>3</v>
      </c>
      <c r="D60" s="104" t="s">
        <v>5</v>
      </c>
      <c r="E60" s="104" t="s">
        <v>266</v>
      </c>
      <c r="F60" s="23" t="s">
        <v>302</v>
      </c>
      <c r="G60" s="104" t="s">
        <v>22</v>
      </c>
      <c r="H60" s="103">
        <f>[19]副本!G123</f>
        <v>9981.8399999999983</v>
      </c>
      <c r="I60" s="103">
        <f>H60-9981.84</f>
        <v>0</v>
      </c>
      <c r="J60" s="104"/>
      <c r="K60" s="102">
        <v>200</v>
      </c>
      <c r="L60" s="102"/>
      <c r="M60" s="101">
        <v>15000</v>
      </c>
      <c r="N60" s="100"/>
      <c r="O60" s="99"/>
      <c r="P60" s="98"/>
      <c r="Q60" s="49"/>
    </row>
    <row r="61" spans="1:17" s="48" customFormat="1" ht="43.5" customHeight="1" x14ac:dyDescent="0.15">
      <c r="A61" s="104">
        <v>20170227</v>
      </c>
      <c r="B61" s="105" t="s">
        <v>23</v>
      </c>
      <c r="C61" s="105" t="s">
        <v>19</v>
      </c>
      <c r="D61" s="104" t="s">
        <v>5</v>
      </c>
      <c r="E61" s="104"/>
      <c r="F61" s="104"/>
      <c r="G61" s="104"/>
      <c r="H61" s="103"/>
      <c r="I61" s="103"/>
      <c r="J61" s="104"/>
      <c r="K61" s="101"/>
      <c r="L61" s="102"/>
      <c r="M61" s="101">
        <v>43000</v>
      </c>
      <c r="N61" s="100"/>
      <c r="O61" s="99"/>
      <c r="P61" s="98"/>
      <c r="Q61" s="49"/>
    </row>
    <row r="62" spans="1:17" s="48" customFormat="1" ht="43.5" customHeight="1" x14ac:dyDescent="0.15">
      <c r="A62" s="104">
        <v>20170227</v>
      </c>
      <c r="B62" s="105" t="s">
        <v>20</v>
      </c>
      <c r="C62" s="105" t="s">
        <v>19</v>
      </c>
      <c r="D62" s="104" t="s">
        <v>5</v>
      </c>
      <c r="E62" s="104" t="s">
        <v>2</v>
      </c>
      <c r="F62" s="23" t="s">
        <v>282</v>
      </c>
      <c r="G62" s="104" t="s">
        <v>275</v>
      </c>
      <c r="H62" s="103">
        <f>[19]副本!G129</f>
        <v>12365.038</v>
      </c>
      <c r="I62" s="103">
        <f>H62-12365.038</f>
        <v>0</v>
      </c>
      <c r="J62" s="104"/>
      <c r="K62" s="101">
        <v>300</v>
      </c>
      <c r="L62" s="102">
        <f>H62-I62</f>
        <v>12365.038</v>
      </c>
      <c r="M62" s="101">
        <v>43000</v>
      </c>
      <c r="N62" s="100"/>
      <c r="O62" s="99"/>
      <c r="P62" s="98" t="s">
        <v>274</v>
      </c>
      <c r="Q62" s="49"/>
    </row>
    <row r="63" spans="1:17" s="48" customFormat="1" ht="43.5" customHeight="1" x14ac:dyDescent="0.15">
      <c r="A63" s="104">
        <v>20170227</v>
      </c>
      <c r="B63" s="105" t="s">
        <v>20</v>
      </c>
      <c r="C63" s="105" t="s">
        <v>19</v>
      </c>
      <c r="D63" s="104" t="s">
        <v>5</v>
      </c>
      <c r="E63" s="104" t="s">
        <v>2</v>
      </c>
      <c r="F63" s="80" t="s">
        <v>283</v>
      </c>
      <c r="G63" s="104" t="s">
        <v>275</v>
      </c>
      <c r="H63" s="103">
        <f>[19]副本!G130</f>
        <v>19971.696</v>
      </c>
      <c r="I63" s="103">
        <f>H63-19971.696</f>
        <v>0</v>
      </c>
      <c r="J63" s="104"/>
      <c r="K63" s="101">
        <v>350</v>
      </c>
      <c r="L63" s="102">
        <f>H63-I63</f>
        <v>19971.696</v>
      </c>
      <c r="M63" s="101">
        <v>43000</v>
      </c>
      <c r="N63" s="100"/>
      <c r="O63" s="99"/>
      <c r="P63" s="98" t="s">
        <v>273</v>
      </c>
      <c r="Q63" s="49"/>
    </row>
    <row r="64" spans="1:17" s="48" customFormat="1" ht="43.5" customHeight="1" x14ac:dyDescent="0.15">
      <c r="A64" s="104">
        <v>20170227</v>
      </c>
      <c r="B64" s="105" t="s">
        <v>18</v>
      </c>
      <c r="C64" s="116" t="s">
        <v>3</v>
      </c>
      <c r="D64" s="104"/>
      <c r="E64" s="104" t="s">
        <v>300</v>
      </c>
      <c r="F64" s="23" t="s">
        <v>197</v>
      </c>
      <c r="G64" s="104" t="s">
        <v>1</v>
      </c>
      <c r="H64" s="103">
        <f>[19]副本!G132</f>
        <v>4702.2489999999952</v>
      </c>
      <c r="I64" s="103">
        <f>H64-8339.329+8339.329</f>
        <v>4702.2489999999952</v>
      </c>
      <c r="J64" s="104"/>
      <c r="K64" s="101">
        <v>200</v>
      </c>
      <c r="L64" s="102">
        <f>H64-I64</f>
        <v>0</v>
      </c>
      <c r="M64" s="101">
        <v>20000</v>
      </c>
      <c r="N64" s="100"/>
      <c r="O64" s="99"/>
      <c r="P64" s="98" t="s">
        <v>265</v>
      </c>
    </row>
    <row r="65" spans="1:16" s="48" customFormat="1" ht="43.5" customHeight="1" x14ac:dyDescent="0.15">
      <c r="A65" s="104">
        <v>20170227</v>
      </c>
      <c r="B65" s="105" t="s">
        <v>17</v>
      </c>
      <c r="C65" s="116" t="s">
        <v>3</v>
      </c>
      <c r="D65" s="104"/>
      <c r="E65" s="104" t="s">
        <v>9</v>
      </c>
      <c r="F65" s="23" t="s">
        <v>175</v>
      </c>
      <c r="G65" s="104" t="s">
        <v>1</v>
      </c>
      <c r="H65" s="103">
        <f>[19]副本!G134</f>
        <v>7537.3190000000031</v>
      </c>
      <c r="I65" s="103">
        <f>H65-4751.949+4751.949</f>
        <v>7537.3190000000031</v>
      </c>
      <c r="J65" s="104"/>
      <c r="K65" s="101"/>
      <c r="L65" s="102">
        <f>H65-I65</f>
        <v>0</v>
      </c>
      <c r="M65" s="101">
        <v>30000</v>
      </c>
      <c r="N65" s="100"/>
      <c r="O65" s="99"/>
      <c r="P65" s="98" t="s">
        <v>304</v>
      </c>
    </row>
    <row r="66" spans="1:16" s="48" customFormat="1" ht="43.5" customHeight="1" x14ac:dyDescent="0.15">
      <c r="A66" s="104">
        <v>20170227</v>
      </c>
      <c r="B66" s="105" t="s">
        <v>17</v>
      </c>
      <c r="C66" s="116" t="s">
        <v>3</v>
      </c>
      <c r="D66" s="104"/>
      <c r="E66" s="104" t="s">
        <v>9</v>
      </c>
      <c r="F66" s="23" t="s">
        <v>158</v>
      </c>
      <c r="G66" s="104" t="s">
        <v>1</v>
      </c>
      <c r="H66" s="103">
        <f>[19]副本!G135</f>
        <v>10477.050999999999</v>
      </c>
      <c r="I66" s="103">
        <f>H66-10477.051</f>
        <v>0</v>
      </c>
      <c r="J66" s="104"/>
      <c r="K66" s="101"/>
      <c r="L66" s="102">
        <f>H66-I66</f>
        <v>10477.050999999999</v>
      </c>
      <c r="M66" s="101">
        <v>30000</v>
      </c>
      <c r="N66" s="100"/>
      <c r="O66" s="99"/>
      <c r="P66" s="120" t="s">
        <v>15</v>
      </c>
    </row>
    <row r="67" spans="1:16" s="48" customFormat="1" ht="43.5" customHeight="1" x14ac:dyDescent="0.15">
      <c r="A67" s="104">
        <v>20170227</v>
      </c>
      <c r="B67" s="105" t="s">
        <v>14</v>
      </c>
      <c r="C67" s="116" t="s">
        <v>3</v>
      </c>
      <c r="D67" s="104" t="s">
        <v>5</v>
      </c>
      <c r="E67" s="104" t="s">
        <v>2</v>
      </c>
      <c r="F67" s="23" t="s">
        <v>174</v>
      </c>
      <c r="G67" s="104" t="s">
        <v>1</v>
      </c>
      <c r="H67" s="103">
        <f>[19]副本!G137</f>
        <v>14976.093999999999</v>
      </c>
      <c r="I67" s="103">
        <f>H67-14976.094</f>
        <v>0</v>
      </c>
      <c r="J67" s="104"/>
      <c r="K67" s="101">
        <v>400</v>
      </c>
      <c r="L67" s="102">
        <f>H67-I67</f>
        <v>14976.093999999999</v>
      </c>
      <c r="M67" s="101">
        <v>20000</v>
      </c>
      <c r="N67" s="100" t="s">
        <v>13</v>
      </c>
      <c r="O67" s="99" t="s">
        <v>12</v>
      </c>
      <c r="P67" s="98" t="s">
        <v>11</v>
      </c>
    </row>
    <row r="68" spans="1:16" s="48" customFormat="1" ht="43.5" customHeight="1" x14ac:dyDescent="0.15">
      <c r="A68" s="104">
        <v>20170227</v>
      </c>
      <c r="B68" s="105" t="s">
        <v>10</v>
      </c>
      <c r="C68" s="116" t="s">
        <v>3</v>
      </c>
      <c r="D68" s="104"/>
      <c r="E68" s="104" t="s">
        <v>9</v>
      </c>
      <c r="F68" s="23" t="s">
        <v>158</v>
      </c>
      <c r="G68" s="104" t="s">
        <v>1</v>
      </c>
      <c r="H68" s="103">
        <f>[19]副本!G139</f>
        <v>11846.198999999971</v>
      </c>
      <c r="I68" s="103">
        <f>H68</f>
        <v>11846.198999999971</v>
      </c>
      <c r="J68" s="104"/>
      <c r="K68" s="101"/>
      <c r="L68" s="102">
        <v>0</v>
      </c>
      <c r="M68" s="101">
        <v>30000</v>
      </c>
      <c r="N68" s="100"/>
      <c r="O68" s="99"/>
      <c r="P68" s="98"/>
    </row>
    <row r="69" spans="1:16" s="48" customFormat="1" ht="43.5" customHeight="1" x14ac:dyDescent="0.15">
      <c r="A69" s="104">
        <v>20170227</v>
      </c>
      <c r="B69" s="105" t="s">
        <v>8</v>
      </c>
      <c r="C69" s="116" t="s">
        <v>3</v>
      </c>
      <c r="D69" s="104"/>
      <c r="E69" s="104"/>
      <c r="F69" s="98"/>
      <c r="G69" s="104"/>
      <c r="H69" s="103"/>
      <c r="I69" s="103"/>
      <c r="J69" s="104"/>
      <c r="K69" s="101"/>
      <c r="L69" s="102"/>
      <c r="M69" s="101">
        <v>20000</v>
      </c>
      <c r="N69" s="100"/>
      <c r="O69" s="99"/>
      <c r="P69" s="104"/>
    </row>
    <row r="70" spans="1:16" s="48" customFormat="1" ht="43.5" customHeight="1" x14ac:dyDescent="0.15">
      <c r="A70" s="104">
        <v>20170227</v>
      </c>
      <c r="B70" s="105" t="s">
        <v>7</v>
      </c>
      <c r="C70" s="116" t="s">
        <v>3</v>
      </c>
      <c r="D70" s="104" t="s">
        <v>5</v>
      </c>
      <c r="E70" s="104" t="s">
        <v>303</v>
      </c>
      <c r="F70" s="104" t="s">
        <v>306</v>
      </c>
      <c r="G70" s="104" t="s">
        <v>1</v>
      </c>
      <c r="H70" s="103">
        <f>[19]副本!G144</f>
        <v>7234.21</v>
      </c>
      <c r="I70" s="103">
        <f>H70-7234.21</f>
        <v>0</v>
      </c>
      <c r="J70" s="104"/>
      <c r="K70" s="101"/>
      <c r="L70" s="102">
        <f>H70-I70</f>
        <v>7234.21</v>
      </c>
      <c r="M70" s="101">
        <v>15000</v>
      </c>
      <c r="N70" s="100"/>
      <c r="O70" s="99"/>
      <c r="P70" s="98"/>
    </row>
    <row r="71" spans="1:16" s="48" customFormat="1" ht="43.5" customHeight="1" x14ac:dyDescent="0.15">
      <c r="A71" s="104">
        <v>20170227</v>
      </c>
      <c r="B71" s="105" t="s">
        <v>6</v>
      </c>
      <c r="C71" s="116" t="s">
        <v>3</v>
      </c>
      <c r="D71" s="104" t="s">
        <v>5</v>
      </c>
      <c r="E71" s="104" t="s">
        <v>2</v>
      </c>
      <c r="F71" s="23" t="s">
        <v>171</v>
      </c>
      <c r="G71" s="104" t="s">
        <v>1</v>
      </c>
      <c r="H71" s="103">
        <f>[19]副本!G146</f>
        <v>6023.1059999999998</v>
      </c>
      <c r="I71" s="103">
        <f>H71</f>
        <v>6023.1059999999998</v>
      </c>
      <c r="J71" s="104"/>
      <c r="K71" s="101">
        <v>700</v>
      </c>
      <c r="L71" s="102">
        <f>H71-I71</f>
        <v>0</v>
      </c>
      <c r="M71" s="101">
        <v>15000</v>
      </c>
      <c r="N71" s="100"/>
      <c r="O71" s="99"/>
      <c r="P71" s="98" t="s">
        <v>301</v>
      </c>
    </row>
    <row r="72" spans="1:16" s="48" customFormat="1" ht="43.5" customHeight="1" x14ac:dyDescent="0.15">
      <c r="A72" s="104">
        <v>20170227</v>
      </c>
      <c r="B72" s="105" t="s">
        <v>6</v>
      </c>
      <c r="C72" s="116" t="s">
        <v>3</v>
      </c>
      <c r="D72" s="104" t="s">
        <v>5</v>
      </c>
      <c r="E72" s="104" t="s">
        <v>2</v>
      </c>
      <c r="F72" s="23" t="s">
        <v>172</v>
      </c>
      <c r="G72" s="104" t="s">
        <v>1</v>
      </c>
      <c r="H72" s="103">
        <f>[19]副本!G147</f>
        <v>769.84000000000015</v>
      </c>
      <c r="I72" s="103">
        <f>H72</f>
        <v>769.84000000000015</v>
      </c>
      <c r="J72" s="104"/>
      <c r="K72" s="101"/>
      <c r="L72" s="102"/>
      <c r="M72" s="101">
        <v>15000</v>
      </c>
      <c r="N72" s="100"/>
      <c r="O72" s="99"/>
      <c r="P72" s="98" t="s">
        <v>301</v>
      </c>
    </row>
    <row r="73" spans="1:16" s="48" customFormat="1" ht="43.5" customHeight="1" x14ac:dyDescent="0.15">
      <c r="A73" s="104">
        <v>20170227</v>
      </c>
      <c r="B73" s="105" t="s">
        <v>4</v>
      </c>
      <c r="C73" s="116" t="s">
        <v>3</v>
      </c>
      <c r="D73" s="104"/>
      <c r="E73" s="104" t="s">
        <v>2</v>
      </c>
      <c r="F73" s="23" t="s">
        <v>170</v>
      </c>
      <c r="G73" s="104" t="s">
        <v>1</v>
      </c>
      <c r="H73" s="103">
        <f>[19]副本!G149</f>
        <v>56.409999999998035</v>
      </c>
      <c r="I73" s="103">
        <f>H73</f>
        <v>56.409999999998035</v>
      </c>
      <c r="J73" s="104"/>
      <c r="K73" s="101"/>
      <c r="L73" s="102">
        <f>H73-I73</f>
        <v>0</v>
      </c>
      <c r="M73" s="101">
        <v>15000</v>
      </c>
      <c r="N73" s="100"/>
      <c r="O73" s="99"/>
      <c r="P73" s="98" t="s">
        <v>192</v>
      </c>
    </row>
    <row r="79" spans="1:16" x14ac:dyDescent="0.15">
      <c r="L79" s="47"/>
    </row>
    <row r="231" spans="7:8" x14ac:dyDescent="0.15">
      <c r="G231" s="39"/>
      <c r="H231" s="39"/>
    </row>
  </sheetData>
  <autoFilter ref="B1:I73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5" activePane="bottomRight" state="frozen"/>
      <selection pane="topRight"/>
      <selection pane="bottomLeft"/>
      <selection pane="bottomRight" activeCell="E14" sqref="E14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12" style="39" customWidth="1"/>
    <col min="6" max="6" width="23.6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6" customHeight="1" x14ac:dyDescent="0.15">
      <c r="A2" s="37">
        <v>20170203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/>
    </row>
    <row r="3" spans="1:17" s="48" customFormat="1" ht="36" customHeight="1" x14ac:dyDescent="0.15">
      <c r="A3" s="37">
        <v>20170203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[2]副本!G6</f>
        <v>667.51900000000001</v>
      </c>
      <c r="I3" s="60">
        <f>H3</f>
        <v>667.51900000000001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6" customHeight="1" x14ac:dyDescent="0.15">
      <c r="A4" s="37">
        <v>20170203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[2]副本!G8</f>
        <v>1710.5029999999958</v>
      </c>
      <c r="I4" s="60">
        <f>H4</f>
        <v>1710.5029999999958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6" customHeight="1" x14ac:dyDescent="0.15">
      <c r="A5" s="37">
        <v>20170203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 t="s">
        <v>124</v>
      </c>
      <c r="I5" s="60" t="s">
        <v>124</v>
      </c>
      <c r="J5" s="37"/>
      <c r="K5" s="62"/>
      <c r="L5" s="61">
        <v>0</v>
      </c>
      <c r="M5" s="62">
        <v>2000</v>
      </c>
      <c r="N5" s="63" t="s">
        <v>123</v>
      </c>
      <c r="O5" s="64" t="s">
        <v>89</v>
      </c>
      <c r="P5" s="59" t="s">
        <v>122</v>
      </c>
    </row>
    <row r="6" spans="1:17" s="48" customFormat="1" ht="36" customHeight="1" x14ac:dyDescent="0.15">
      <c r="A6" s="37">
        <v>20170203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>
        <f>[2]副本!G12</f>
        <v>579.24799999999959</v>
      </c>
      <c r="I6" s="60">
        <f t="shared" ref="I6:I14" si="0">H6</f>
        <v>579.24799999999959</v>
      </c>
      <c r="J6" s="37"/>
      <c r="K6" s="62"/>
      <c r="L6" s="61">
        <v>0</v>
      </c>
      <c r="M6" s="62">
        <v>3000</v>
      </c>
      <c r="N6" s="63" t="s">
        <v>120</v>
      </c>
      <c r="O6" s="64" t="s">
        <v>89</v>
      </c>
      <c r="P6" s="59" t="s">
        <v>119</v>
      </c>
      <c r="Q6" s="49"/>
    </row>
    <row r="7" spans="1:17" s="48" customFormat="1" ht="36" customHeight="1" x14ac:dyDescent="0.15">
      <c r="A7" s="37">
        <v>20170203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[2]副本!G14</f>
        <v>150.85999999999876</v>
      </c>
      <c r="I7" s="60">
        <f t="shared" si="0"/>
        <v>150.85999999999876</v>
      </c>
      <c r="J7" s="37"/>
      <c r="K7" s="62"/>
      <c r="L7" s="61">
        <v>0</v>
      </c>
      <c r="M7" s="62">
        <v>3000</v>
      </c>
      <c r="N7" s="63"/>
      <c r="O7" s="64"/>
      <c r="P7" s="59" t="s">
        <v>116</v>
      </c>
      <c r="Q7" s="49"/>
    </row>
    <row r="8" spans="1:17" s="48" customFormat="1" ht="36" customHeight="1" x14ac:dyDescent="0.15">
      <c r="A8" s="37">
        <v>20170203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[2]副本!G16</f>
        <v>2087.2890000000002</v>
      </c>
      <c r="I8" s="60">
        <f t="shared" si="0"/>
        <v>2087.2890000000002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6" customHeight="1" x14ac:dyDescent="0.15">
      <c r="A9" s="37">
        <v>20170203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[2]副本!G18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2" t="s">
        <v>109</v>
      </c>
    </row>
    <row r="10" spans="1:17" s="48" customFormat="1" ht="36" customHeight="1" x14ac:dyDescent="0.15">
      <c r="A10" s="37">
        <v>20170203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[2]副本!G20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36" customHeight="1" x14ac:dyDescent="0.15">
      <c r="A11" s="37">
        <v>20170203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[2]副本!G21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>
        <v>1500</v>
      </c>
      <c r="N11" s="63"/>
      <c r="O11" s="64"/>
      <c r="P11" s="59" t="s">
        <v>106</v>
      </c>
    </row>
    <row r="12" spans="1:17" s="48" customFormat="1" ht="36" customHeight="1" x14ac:dyDescent="0.15">
      <c r="A12" s="37">
        <v>20170203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[2]副本!G22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>
        <v>1500</v>
      </c>
      <c r="N12" s="63"/>
      <c r="O12" s="64"/>
      <c r="P12" s="59" t="s">
        <v>106</v>
      </c>
    </row>
    <row r="13" spans="1:17" s="48" customFormat="1" ht="36" customHeight="1" x14ac:dyDescent="0.15">
      <c r="A13" s="37">
        <v>20170203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[2]副本!G24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36" customHeight="1" x14ac:dyDescent="0.15">
      <c r="A14" s="37">
        <v>20170203</v>
      </c>
      <c r="B14" s="58" t="s">
        <v>104</v>
      </c>
      <c r="C14" s="65" t="s">
        <v>19</v>
      </c>
      <c r="D14" s="37"/>
      <c r="E14" s="37" t="s">
        <v>198</v>
      </c>
      <c r="F14" s="23" t="s">
        <v>150</v>
      </c>
      <c r="G14" s="37"/>
      <c r="H14" s="60">
        <f>[2]副本!G26</f>
        <v>904.43000000000006</v>
      </c>
      <c r="I14" s="60">
        <f t="shared" si="0"/>
        <v>904.43000000000006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36" customHeight="1" x14ac:dyDescent="0.15">
      <c r="A15" s="37">
        <v>20170203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6" customHeight="1" x14ac:dyDescent="0.15">
      <c r="A16" s="37">
        <v>20170203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[2]副本!G30</f>
        <v>1051.9169999999999</v>
      </c>
      <c r="I16" s="60">
        <f>H16</f>
        <v>1051.9169999999999</v>
      </c>
      <c r="J16" s="37"/>
      <c r="K16" s="62">
        <v>70</v>
      </c>
      <c r="L16" s="61">
        <v>0</v>
      </c>
      <c r="M16" s="62">
        <v>1500</v>
      </c>
      <c r="N16" s="63"/>
      <c r="O16" s="64"/>
      <c r="P16" s="59" t="s">
        <v>100</v>
      </c>
    </row>
    <row r="17" spans="1:17" s="48" customFormat="1" ht="36" customHeight="1" x14ac:dyDescent="0.15">
      <c r="A17" s="37">
        <v>20170203</v>
      </c>
      <c r="B17" s="58" t="s">
        <v>99</v>
      </c>
      <c r="C17" s="65" t="s">
        <v>93</v>
      </c>
      <c r="D17" s="37"/>
      <c r="E17" s="37" t="s">
        <v>9</v>
      </c>
      <c r="F17" s="23" t="s">
        <v>158</v>
      </c>
      <c r="G17" s="37" t="s">
        <v>1</v>
      </c>
      <c r="H17" s="60">
        <f>[2]副本!G32-H18</f>
        <v>12199.247000000018</v>
      </c>
      <c r="I17" s="60">
        <f>H17</f>
        <v>12199.247000000018</v>
      </c>
      <c r="J17" s="37"/>
      <c r="K17" s="62"/>
      <c r="L17" s="61">
        <f>H17-I17</f>
        <v>0</v>
      </c>
      <c r="M17" s="62">
        <v>21000</v>
      </c>
      <c r="N17" s="63" t="s">
        <v>90</v>
      </c>
      <c r="O17" s="64" t="s">
        <v>89</v>
      </c>
      <c r="P17" s="59" t="s">
        <v>98</v>
      </c>
    </row>
    <row r="18" spans="1:17" s="48" customFormat="1" ht="36" customHeight="1" x14ac:dyDescent="0.15">
      <c r="A18" s="37">
        <v>20170203</v>
      </c>
      <c r="B18" s="58" t="s">
        <v>99</v>
      </c>
      <c r="C18" s="65" t="s">
        <v>93</v>
      </c>
      <c r="D18" s="37"/>
      <c r="E18" s="37" t="s">
        <v>9</v>
      </c>
      <c r="F18" s="24" t="s">
        <v>176</v>
      </c>
      <c r="G18" s="37" t="s">
        <v>1</v>
      </c>
      <c r="H18" s="60">
        <f>[2]副本!G34</f>
        <v>2172.7529999999824</v>
      </c>
      <c r="I18" s="60">
        <f>H18</f>
        <v>2172.7529999999824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97</v>
      </c>
    </row>
    <row r="19" spans="1:17" s="48" customFormat="1" ht="36" customHeight="1" x14ac:dyDescent="0.15">
      <c r="A19" s="37">
        <v>20170203</v>
      </c>
      <c r="B19" s="58" t="s">
        <v>96</v>
      </c>
      <c r="C19" s="65" t="s">
        <v>44</v>
      </c>
      <c r="D19" s="37" t="s">
        <v>5</v>
      </c>
      <c r="E19" s="37" t="s">
        <v>61</v>
      </c>
      <c r="F19" s="23" t="s">
        <v>159</v>
      </c>
      <c r="G19" s="37" t="s">
        <v>1</v>
      </c>
      <c r="H19" s="60">
        <f>[2]副本!G36</f>
        <v>3496.5419999999999</v>
      </c>
      <c r="I19" s="60">
        <f>H19-3496.542</f>
        <v>0</v>
      </c>
      <c r="J19" s="37"/>
      <c r="K19" s="62"/>
      <c r="L19" s="61">
        <f>H19-I19</f>
        <v>3496.5419999999999</v>
      </c>
      <c r="M19" s="62">
        <v>5000</v>
      </c>
      <c r="N19" s="63"/>
      <c r="O19" s="64"/>
      <c r="P19" s="59"/>
    </row>
    <row r="20" spans="1:17" s="48" customFormat="1" ht="36" customHeight="1" x14ac:dyDescent="0.15">
      <c r="A20" s="37">
        <v>20170203</v>
      </c>
      <c r="B20" s="58" t="s">
        <v>95</v>
      </c>
      <c r="C20" s="65" t="s">
        <v>44</v>
      </c>
      <c r="D20" s="37"/>
      <c r="E20" s="37"/>
      <c r="F20" s="37"/>
      <c r="G20" s="37"/>
      <c r="H20" s="60"/>
      <c r="I20" s="60"/>
      <c r="J20" s="37"/>
      <c r="K20" s="62"/>
      <c r="L20" s="61"/>
      <c r="M20" s="62">
        <v>3000</v>
      </c>
      <c r="N20" s="63"/>
      <c r="O20" s="64"/>
      <c r="P20" s="59"/>
    </row>
    <row r="21" spans="1:17" s="48" customFormat="1" ht="36" customHeight="1" x14ac:dyDescent="0.15">
      <c r="A21" s="37">
        <v>20170203</v>
      </c>
      <c r="B21" s="58" t="s">
        <v>94</v>
      </c>
      <c r="C21" s="65" t="s">
        <v>93</v>
      </c>
      <c r="D21" s="37"/>
      <c r="E21" s="37" t="s">
        <v>9</v>
      </c>
      <c r="F21" s="23" t="s">
        <v>158</v>
      </c>
      <c r="G21" s="37" t="s">
        <v>1</v>
      </c>
      <c r="H21" s="60">
        <f>[2]副本!G40-'20170203'!H22</f>
        <v>5005.5454280000376</v>
      </c>
      <c r="I21" s="60">
        <f>H21</f>
        <v>5005.5454280000376</v>
      </c>
      <c r="J21" s="37"/>
      <c r="K21" s="62"/>
      <c r="L21" s="61">
        <f>H21-I21</f>
        <v>0</v>
      </c>
      <c r="M21" s="62">
        <v>21000</v>
      </c>
      <c r="N21" s="63" t="s">
        <v>92</v>
      </c>
      <c r="O21" s="64" t="s">
        <v>89</v>
      </c>
      <c r="P21" s="59" t="s">
        <v>91</v>
      </c>
    </row>
    <row r="22" spans="1:17" s="48" customFormat="1" ht="36" customHeight="1" x14ac:dyDescent="0.15">
      <c r="A22" s="37">
        <v>20170203</v>
      </c>
      <c r="B22" s="58" t="s">
        <v>94</v>
      </c>
      <c r="C22" s="65" t="s">
        <v>93</v>
      </c>
      <c r="D22" s="37"/>
      <c r="E22" s="37" t="s">
        <v>9</v>
      </c>
      <c r="F22" s="24" t="s">
        <v>175</v>
      </c>
      <c r="G22" s="37" t="s">
        <v>1</v>
      </c>
      <c r="H22" s="60">
        <f>[2]副本!G42</f>
        <v>8385.4545719999624</v>
      </c>
      <c r="I22" s="60">
        <f>H22</f>
        <v>8385.4545719999624</v>
      </c>
      <c r="J22" s="37"/>
      <c r="K22" s="71"/>
      <c r="L22" s="61">
        <f>H22-I22</f>
        <v>0</v>
      </c>
      <c r="M22" s="62">
        <v>21000</v>
      </c>
      <c r="N22" s="63" t="s">
        <v>90</v>
      </c>
      <c r="O22" s="64" t="s">
        <v>89</v>
      </c>
      <c r="P22" s="59" t="s">
        <v>88</v>
      </c>
    </row>
    <row r="23" spans="1:17" s="48" customFormat="1" ht="36" customHeight="1" x14ac:dyDescent="0.15">
      <c r="A23" s="37">
        <v>20170203</v>
      </c>
      <c r="B23" s="58" t="s">
        <v>87</v>
      </c>
      <c r="C23" s="65" t="s">
        <v>44</v>
      </c>
      <c r="D23" s="37"/>
      <c r="E23" s="37" t="s">
        <v>86</v>
      </c>
      <c r="F23" s="23" t="s">
        <v>160</v>
      </c>
      <c r="G23" s="37" t="s">
        <v>1</v>
      </c>
      <c r="H23" s="60">
        <f>[2]副本!G44</f>
        <v>6134.7419999999993</v>
      </c>
      <c r="I23" s="60">
        <f>H23</f>
        <v>6134.7419999999993</v>
      </c>
      <c r="J23" s="37"/>
      <c r="K23" s="62">
        <v>350</v>
      </c>
      <c r="L23" s="61">
        <f>H23-I23</f>
        <v>0</v>
      </c>
      <c r="M23" s="62">
        <v>5000</v>
      </c>
      <c r="N23" s="63"/>
      <c r="O23" s="64"/>
      <c r="P23" s="59" t="s">
        <v>85</v>
      </c>
    </row>
    <row r="24" spans="1:17" s="48" customFormat="1" ht="36" customHeight="1" x14ac:dyDescent="0.15">
      <c r="A24" s="37">
        <v>20170203</v>
      </c>
      <c r="B24" s="58" t="s">
        <v>84</v>
      </c>
      <c r="C24" s="65" t="s">
        <v>3</v>
      </c>
      <c r="D24" s="37"/>
      <c r="E24" s="59" t="s">
        <v>83</v>
      </c>
      <c r="F24" s="23" t="s">
        <v>161</v>
      </c>
      <c r="G24" s="37" t="s">
        <v>1</v>
      </c>
      <c r="H24" s="60">
        <f>[2]副本!G46</f>
        <v>1008.913</v>
      </c>
      <c r="I24" s="60">
        <f>H24</f>
        <v>1008.913</v>
      </c>
      <c r="J24" s="37"/>
      <c r="K24" s="62"/>
      <c r="L24" s="61">
        <f>H24-I24</f>
        <v>0</v>
      </c>
      <c r="M24" s="62">
        <v>5000</v>
      </c>
      <c r="N24" s="63"/>
      <c r="O24" s="64"/>
      <c r="P24" s="66" t="s">
        <v>82</v>
      </c>
    </row>
    <row r="25" spans="1:17" s="48" customFormat="1" ht="36" customHeight="1" x14ac:dyDescent="0.15">
      <c r="A25" s="37">
        <v>20170203</v>
      </c>
      <c r="B25" s="58" t="s">
        <v>81</v>
      </c>
      <c r="C25" s="65" t="s">
        <v>44</v>
      </c>
      <c r="D25" s="37"/>
      <c r="E25" s="37"/>
      <c r="F25" s="37"/>
      <c r="G25" s="37"/>
      <c r="H25" s="60"/>
      <c r="I25" s="60"/>
      <c r="J25" s="37"/>
      <c r="K25" s="62"/>
      <c r="L25" s="61"/>
      <c r="M25" s="62">
        <v>5000</v>
      </c>
      <c r="N25" s="63"/>
      <c r="O25" s="64"/>
      <c r="P25" s="59"/>
    </row>
    <row r="26" spans="1:17" s="48" customFormat="1" ht="36" customHeight="1" x14ac:dyDescent="0.15">
      <c r="A26" s="37">
        <v>20170203</v>
      </c>
      <c r="B26" s="58" t="s">
        <v>80</v>
      </c>
      <c r="C26" s="65" t="s">
        <v>44</v>
      </c>
      <c r="D26" s="37"/>
      <c r="E26" s="37"/>
      <c r="F26" s="37"/>
      <c r="G26" s="37"/>
      <c r="H26" s="60"/>
      <c r="I26" s="60"/>
      <c r="J26" s="37"/>
      <c r="K26" s="62"/>
      <c r="L26" s="61"/>
      <c r="M26" s="62">
        <v>4000</v>
      </c>
      <c r="N26" s="63"/>
      <c r="O26" s="64"/>
      <c r="P26" s="59"/>
    </row>
    <row r="27" spans="1:17" s="48" customFormat="1" ht="36" customHeight="1" x14ac:dyDescent="0.15">
      <c r="A27" s="37">
        <v>20170203</v>
      </c>
      <c r="B27" s="58" t="s">
        <v>79</v>
      </c>
      <c r="C27" s="65" t="s">
        <v>74</v>
      </c>
      <c r="D27" s="37"/>
      <c r="E27" s="37"/>
      <c r="F27" s="37"/>
      <c r="G27" s="37"/>
      <c r="H27" s="60"/>
      <c r="I27" s="60"/>
      <c r="J27" s="37"/>
      <c r="K27" s="62"/>
      <c r="L27" s="61"/>
      <c r="M27" s="62">
        <v>5000</v>
      </c>
      <c r="N27" s="63"/>
      <c r="O27" s="64"/>
      <c r="P27" s="59"/>
    </row>
    <row r="28" spans="1:17" s="48" customFormat="1" ht="36" customHeight="1" x14ac:dyDescent="0.15">
      <c r="A28" s="37">
        <v>20170203</v>
      </c>
      <c r="B28" s="58" t="s">
        <v>78</v>
      </c>
      <c r="C28" s="65" t="s">
        <v>74</v>
      </c>
      <c r="D28" s="37"/>
      <c r="E28" s="37" t="s">
        <v>32</v>
      </c>
      <c r="F28" s="23" t="s">
        <v>161</v>
      </c>
      <c r="G28" s="37" t="s">
        <v>1</v>
      </c>
      <c r="H28" s="60">
        <f>[2]副本!G55</f>
        <v>1496.749</v>
      </c>
      <c r="I28" s="60">
        <f>H28</f>
        <v>1496.749</v>
      </c>
      <c r="J28" s="37"/>
      <c r="K28" s="62">
        <v>1300</v>
      </c>
      <c r="L28" s="61">
        <f>H28-I28</f>
        <v>0</v>
      </c>
      <c r="M28" s="62">
        <v>2000</v>
      </c>
      <c r="N28" s="63"/>
      <c r="O28" s="64"/>
      <c r="P28" s="59" t="s">
        <v>31</v>
      </c>
    </row>
    <row r="29" spans="1:17" s="48" customFormat="1" ht="36" customHeight="1" x14ac:dyDescent="0.15">
      <c r="A29" s="37">
        <v>20170203</v>
      </c>
      <c r="B29" s="58" t="s">
        <v>77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[2]副本!G57</f>
        <v>1098.6790000000001</v>
      </c>
      <c r="I29" s="60">
        <f>H29-1098.679</f>
        <v>0</v>
      </c>
      <c r="J29" s="37"/>
      <c r="K29" s="62"/>
      <c r="L29" s="61">
        <f>H29-I29</f>
        <v>1098.6790000000001</v>
      </c>
      <c r="M29" s="62">
        <v>1500</v>
      </c>
      <c r="N29" s="63"/>
      <c r="O29" s="64"/>
      <c r="P29" s="59"/>
    </row>
    <row r="30" spans="1:17" s="48" customFormat="1" ht="36" customHeight="1" x14ac:dyDescent="0.15">
      <c r="A30" s="37">
        <v>20170203</v>
      </c>
      <c r="B30" s="58" t="s">
        <v>76</v>
      </c>
      <c r="C30" s="65" t="s">
        <v>74</v>
      </c>
      <c r="D30" s="37"/>
      <c r="E30" s="37" t="s">
        <v>32</v>
      </c>
      <c r="F30" s="23" t="s">
        <v>161</v>
      </c>
      <c r="G30" s="37" t="s">
        <v>1</v>
      </c>
      <c r="H30" s="60">
        <f>[2]副本!G59</f>
        <v>886.72700000000009</v>
      </c>
      <c r="I30" s="60">
        <f>H30</f>
        <v>886.72700000000009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31</v>
      </c>
      <c r="Q30" s="49"/>
    </row>
    <row r="31" spans="1:17" s="48" customFormat="1" ht="36" customHeight="1" x14ac:dyDescent="0.15">
      <c r="A31" s="37">
        <v>20170203</v>
      </c>
      <c r="B31" s="58" t="s">
        <v>75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[2]副本!G61</f>
        <v>1096.2820000000002</v>
      </c>
      <c r="I31" s="60">
        <f>H31-1096.282</f>
        <v>0</v>
      </c>
      <c r="J31" s="37"/>
      <c r="K31" s="62"/>
      <c r="L31" s="61">
        <f>H31-I31</f>
        <v>1096.2820000000002</v>
      </c>
      <c r="M31" s="62">
        <v>1500</v>
      </c>
      <c r="N31" s="63"/>
      <c r="O31" s="64"/>
      <c r="P31" s="59"/>
    </row>
    <row r="32" spans="1:17" s="48" customFormat="1" ht="36" customHeight="1" x14ac:dyDescent="0.15">
      <c r="A32" s="37">
        <v>20170203</v>
      </c>
      <c r="B32" s="58" t="s">
        <v>73</v>
      </c>
      <c r="C32" s="65" t="s">
        <v>44</v>
      </c>
      <c r="D32" s="37"/>
      <c r="E32" s="37"/>
      <c r="F32" s="37"/>
      <c r="G32" s="37"/>
      <c r="H32" s="60"/>
      <c r="I32" s="60"/>
      <c r="J32" s="37"/>
      <c r="K32" s="62"/>
      <c r="L32" s="61"/>
      <c r="M32" s="62">
        <v>1500</v>
      </c>
      <c r="N32" s="63"/>
      <c r="O32" s="64"/>
      <c r="P32" s="59"/>
    </row>
    <row r="33" spans="1:16" s="48" customFormat="1" ht="36" customHeight="1" x14ac:dyDescent="0.15">
      <c r="A33" s="37">
        <v>20170203</v>
      </c>
      <c r="B33" s="58" t="s">
        <v>72</v>
      </c>
      <c r="C33" s="65" t="s">
        <v>44</v>
      </c>
      <c r="D33" s="37"/>
      <c r="E33" s="37" t="s">
        <v>71</v>
      </c>
      <c r="F33" s="23" t="s">
        <v>154</v>
      </c>
      <c r="G33" s="37" t="s">
        <v>1</v>
      </c>
      <c r="H33" s="37">
        <f>[2]副本!G65</f>
        <v>408.81600000000014</v>
      </c>
      <c r="I33" s="60">
        <f>H33-1035.099+1035.099</f>
        <v>408.81600000000014</v>
      </c>
      <c r="J33" s="37"/>
      <c r="K33" s="62">
        <v>30</v>
      </c>
      <c r="L33" s="61">
        <f>H33-I33</f>
        <v>0</v>
      </c>
      <c r="M33" s="62">
        <v>2000</v>
      </c>
      <c r="N33" s="63"/>
      <c r="O33" s="64"/>
      <c r="P33" s="59" t="s">
        <v>70</v>
      </c>
    </row>
    <row r="34" spans="1:16" s="48" customFormat="1" ht="36" customHeight="1" x14ac:dyDescent="0.15">
      <c r="A34" s="37">
        <v>20170203</v>
      </c>
      <c r="B34" s="58" t="s">
        <v>69</v>
      </c>
      <c r="C34" s="65" t="s">
        <v>44</v>
      </c>
      <c r="D34" s="37" t="s">
        <v>5</v>
      </c>
      <c r="E34" s="37" t="s">
        <v>68</v>
      </c>
      <c r="F34" s="23" t="s">
        <v>162</v>
      </c>
      <c r="G34" s="37" t="s">
        <v>1</v>
      </c>
      <c r="H34" s="60">
        <f>[2]副本!G67</f>
        <v>640.54299999999989</v>
      </c>
      <c r="I34" s="60">
        <f>H34-1037.023+500+537.023</f>
        <v>640.54300000000001</v>
      </c>
      <c r="J34" s="37"/>
      <c r="K34" s="62">
        <v>100</v>
      </c>
      <c r="L34" s="61">
        <f>H34-I34</f>
        <v>0</v>
      </c>
      <c r="M34" s="62">
        <v>3000</v>
      </c>
      <c r="N34" s="63"/>
      <c r="O34" s="64"/>
      <c r="P34" s="67" t="s">
        <v>67</v>
      </c>
    </row>
    <row r="35" spans="1:16" s="48" customFormat="1" ht="36" customHeight="1" x14ac:dyDescent="0.15">
      <c r="A35" s="37">
        <v>20170203</v>
      </c>
      <c r="B35" s="58" t="s">
        <v>66</v>
      </c>
      <c r="C35" s="65" t="s">
        <v>44</v>
      </c>
      <c r="D35" s="37" t="s">
        <v>5</v>
      </c>
      <c r="E35" s="37" t="s">
        <v>61</v>
      </c>
      <c r="F35" s="23" t="s">
        <v>159</v>
      </c>
      <c r="G35" s="37" t="s">
        <v>1</v>
      </c>
      <c r="H35" s="60">
        <f>[2]副本!G69</f>
        <v>3147.802999999999</v>
      </c>
      <c r="I35" s="60">
        <f>H35-3607.546+2050+1050+507.546-1553.792+1553.792</f>
        <v>3147.802999999999</v>
      </c>
      <c r="J35" s="37"/>
      <c r="K35" s="62"/>
      <c r="L35" s="61">
        <f>H35-I35</f>
        <v>0</v>
      </c>
      <c r="M35" s="62">
        <v>4000</v>
      </c>
      <c r="N35" s="63"/>
      <c r="O35" s="64"/>
      <c r="P35" s="59" t="s">
        <v>65</v>
      </c>
    </row>
    <row r="36" spans="1:16" s="48" customFormat="1" ht="36" customHeight="1" x14ac:dyDescent="0.15">
      <c r="A36" s="37">
        <v>20170203</v>
      </c>
      <c r="B36" s="58" t="s">
        <v>64</v>
      </c>
      <c r="C36" s="65" t="s">
        <v>3</v>
      </c>
      <c r="D36" s="37"/>
      <c r="E36" s="37"/>
      <c r="F36" s="37"/>
      <c r="G36" s="37"/>
      <c r="H36" s="60"/>
      <c r="I36" s="60"/>
      <c r="J36" s="37"/>
      <c r="K36" s="62"/>
      <c r="L36" s="61"/>
      <c r="M36" s="62">
        <v>5000</v>
      </c>
      <c r="N36" s="63"/>
      <c r="O36" s="64"/>
      <c r="P36" s="59"/>
    </row>
    <row r="37" spans="1:16" s="48" customFormat="1" ht="36" customHeight="1" x14ac:dyDescent="0.15">
      <c r="A37" s="37">
        <v>20170203</v>
      </c>
      <c r="B37" s="58" t="s">
        <v>63</v>
      </c>
      <c r="C37" s="65" t="s">
        <v>44</v>
      </c>
      <c r="D37" s="37" t="s">
        <v>5</v>
      </c>
      <c r="E37" s="37" t="s">
        <v>61</v>
      </c>
      <c r="F37" s="23" t="s">
        <v>159</v>
      </c>
      <c r="G37" s="37" t="s">
        <v>1</v>
      </c>
      <c r="H37" s="60">
        <f>[2]副本!G73</f>
        <v>3607.9570000000522</v>
      </c>
      <c r="I37" s="60">
        <f>H37-955.747+477.874+477.873-1042.865-2628.137+500+542.865+2102.57+525.567-499.112-3147.566+2100+525+525+496.678-2617.899+1574.891+523.692-522.622+522.622-2589.467+523.692-499.362</f>
        <v>523.5040000000522</v>
      </c>
      <c r="J37" s="37"/>
      <c r="K37" s="62"/>
      <c r="L37" s="61">
        <f>H37-I37</f>
        <v>3084.453</v>
      </c>
      <c r="M37" s="62">
        <v>5000</v>
      </c>
      <c r="N37" s="63"/>
      <c r="O37" s="64"/>
      <c r="P37" s="59" t="s">
        <v>62</v>
      </c>
    </row>
    <row r="38" spans="1:16" s="48" customFormat="1" ht="36" customHeight="1" x14ac:dyDescent="0.15">
      <c r="A38" s="37">
        <v>20170203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163</v>
      </c>
      <c r="G38" s="37" t="s">
        <v>1</v>
      </c>
      <c r="H38" s="60">
        <f>[2]副本!G74</f>
        <v>934.32800000000032</v>
      </c>
      <c r="I38" s="60">
        <f>H38</f>
        <v>934.32800000000032</v>
      </c>
      <c r="J38" s="37"/>
      <c r="K38" s="62"/>
      <c r="L38" s="61">
        <f>H38-I38</f>
        <v>0</v>
      </c>
      <c r="M38" s="62">
        <v>5000</v>
      </c>
      <c r="N38" s="63"/>
      <c r="O38" s="64"/>
      <c r="P38" s="59" t="s">
        <v>60</v>
      </c>
    </row>
    <row r="39" spans="1:16" s="48" customFormat="1" ht="36" customHeight="1" x14ac:dyDescent="0.15">
      <c r="A39" s="37">
        <v>20170203</v>
      </c>
      <c r="B39" s="58" t="s">
        <v>59</v>
      </c>
      <c r="C39" s="65" t="s">
        <v>19</v>
      </c>
      <c r="D39" s="37"/>
      <c r="E39" s="37" t="s">
        <v>32</v>
      </c>
      <c r="F39" s="23" t="s">
        <v>161</v>
      </c>
      <c r="G39" s="37" t="s">
        <v>1</v>
      </c>
      <c r="H39" s="60">
        <f>[2]副本!G76</f>
        <v>2596.4419999999977</v>
      </c>
      <c r="I39" s="60">
        <f>H39-2564.978</f>
        <v>31.463999999997668</v>
      </c>
      <c r="J39" s="37"/>
      <c r="K39" s="62"/>
      <c r="L39" s="61">
        <f>H39-I39</f>
        <v>2564.9780000000001</v>
      </c>
      <c r="M39" s="62">
        <v>4000</v>
      </c>
      <c r="N39" s="63"/>
      <c r="O39" s="64"/>
      <c r="P39" s="52" t="s">
        <v>58</v>
      </c>
    </row>
    <row r="40" spans="1:16" s="48" customFormat="1" ht="36" customHeight="1" x14ac:dyDescent="0.15">
      <c r="A40" s="37">
        <v>20170203</v>
      </c>
      <c r="B40" s="58" t="s">
        <v>59</v>
      </c>
      <c r="C40" s="65" t="s">
        <v>19</v>
      </c>
      <c r="D40" s="37"/>
      <c r="E40" s="37" t="s">
        <v>32</v>
      </c>
      <c r="F40" s="23" t="s">
        <v>164</v>
      </c>
      <c r="G40" s="37" t="s">
        <v>1</v>
      </c>
      <c r="H40" s="60">
        <f>[2]副本!G77</f>
        <v>-0.23699999999985266</v>
      </c>
      <c r="I40" s="60">
        <f>H40</f>
        <v>-0.23699999999985266</v>
      </c>
      <c r="J40" s="37"/>
      <c r="K40" s="62"/>
      <c r="L40" s="61"/>
      <c r="M40" s="62">
        <v>4000</v>
      </c>
      <c r="N40" s="63"/>
      <c r="O40" s="64"/>
      <c r="P40" s="52" t="s">
        <v>57</v>
      </c>
    </row>
    <row r="41" spans="1:16" s="48" customFormat="1" ht="36" customHeight="1" x14ac:dyDescent="0.15">
      <c r="A41" s="37">
        <v>20170203</v>
      </c>
      <c r="B41" s="58" t="s">
        <v>56</v>
      </c>
      <c r="C41" s="65" t="s">
        <v>19</v>
      </c>
      <c r="D41" s="37"/>
      <c r="E41" s="37"/>
      <c r="F41" s="37"/>
      <c r="G41" s="37"/>
      <c r="H41" s="60"/>
      <c r="I41" s="60"/>
      <c r="J41" s="37"/>
      <c r="K41" s="62"/>
      <c r="L41" s="61"/>
      <c r="M41" s="62">
        <v>2000</v>
      </c>
      <c r="N41" s="63"/>
      <c r="O41" s="64"/>
      <c r="P41" s="59"/>
    </row>
    <row r="42" spans="1:16" s="48" customFormat="1" ht="36" customHeight="1" x14ac:dyDescent="0.15">
      <c r="A42" s="37">
        <v>20170203</v>
      </c>
      <c r="B42" s="58" t="s">
        <v>55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3000</v>
      </c>
      <c r="N42" s="63"/>
      <c r="O42" s="64"/>
      <c r="P42" s="59"/>
    </row>
    <row r="43" spans="1:16" s="48" customFormat="1" ht="36" customHeight="1" x14ac:dyDescent="0.15">
      <c r="A43" s="37">
        <v>20170203</v>
      </c>
      <c r="B43" s="58" t="s">
        <v>54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[2]副本!G84</f>
        <v>1118.4909999999995</v>
      </c>
      <c r="I43" s="60">
        <f>H43</f>
        <v>1118.4909999999995</v>
      </c>
      <c r="J43" s="37"/>
      <c r="K43" s="62"/>
      <c r="L43" s="61">
        <f>H43-I43</f>
        <v>0</v>
      </c>
      <c r="M43" s="62">
        <v>5000</v>
      </c>
      <c r="N43" s="68"/>
      <c r="O43" s="64"/>
      <c r="P43" s="52" t="s">
        <v>53</v>
      </c>
    </row>
    <row r="44" spans="1:16" s="48" customFormat="1" ht="36" customHeight="1" x14ac:dyDescent="0.15">
      <c r="A44" s="37">
        <v>20170203</v>
      </c>
      <c r="B44" s="58" t="s">
        <v>52</v>
      </c>
      <c r="C44" s="65" t="s">
        <v>44</v>
      </c>
      <c r="D44" s="37"/>
      <c r="E44" s="37"/>
      <c r="F44" s="37"/>
      <c r="G44" s="37"/>
      <c r="H44" s="60"/>
      <c r="I44" s="60"/>
      <c r="J44" s="37"/>
      <c r="K44" s="62"/>
      <c r="L44" s="61"/>
      <c r="M44" s="62">
        <v>5000</v>
      </c>
      <c r="N44" s="63"/>
      <c r="O44" s="64"/>
      <c r="P44" s="59"/>
    </row>
    <row r="45" spans="1:16" s="48" customFormat="1" ht="36" customHeight="1" x14ac:dyDescent="0.15">
      <c r="A45" s="37">
        <v>20170203</v>
      </c>
      <c r="B45" s="58" t="s">
        <v>51</v>
      </c>
      <c r="C45" s="65" t="s">
        <v>44</v>
      </c>
      <c r="D45" s="37"/>
      <c r="E45" s="37" t="s">
        <v>50</v>
      </c>
      <c r="F45" s="23" t="s">
        <v>152</v>
      </c>
      <c r="G45" s="37" t="s">
        <v>1</v>
      </c>
      <c r="H45" s="60">
        <f>[2]副本!G90</f>
        <v>2006.1080000000002</v>
      </c>
      <c r="I45" s="60">
        <f>H45-1021.25</f>
        <v>984.85800000000017</v>
      </c>
      <c r="J45" s="37"/>
      <c r="K45" s="62">
        <v>70</v>
      </c>
      <c r="L45" s="61">
        <f>H45-I45</f>
        <v>1021.25</v>
      </c>
      <c r="M45" s="62">
        <v>5000</v>
      </c>
      <c r="N45" s="63"/>
      <c r="O45" s="64"/>
      <c r="P45" s="52" t="s">
        <v>49</v>
      </c>
    </row>
    <row r="46" spans="1:16" s="48" customFormat="1" ht="36" customHeight="1" x14ac:dyDescent="0.15">
      <c r="A46" s="37">
        <v>20170203</v>
      </c>
      <c r="B46" s="58" t="s">
        <v>51</v>
      </c>
      <c r="C46" s="65" t="s">
        <v>44</v>
      </c>
      <c r="D46" s="37"/>
      <c r="E46" s="37" t="s">
        <v>50</v>
      </c>
      <c r="F46" s="23" t="s">
        <v>148</v>
      </c>
      <c r="G46" s="37" t="s">
        <v>1</v>
      </c>
      <c r="H46" s="60">
        <f>[2]副本!G91</f>
        <v>1000</v>
      </c>
      <c r="I46" s="60">
        <f>H46</f>
        <v>1000</v>
      </c>
      <c r="J46" s="37"/>
      <c r="K46" s="62"/>
      <c r="L46" s="61"/>
      <c r="M46" s="62">
        <v>5000</v>
      </c>
      <c r="N46" s="63"/>
      <c r="O46" s="64"/>
      <c r="P46" s="52" t="s">
        <v>49</v>
      </c>
    </row>
    <row r="47" spans="1:16" s="48" customFormat="1" ht="36" customHeight="1" x14ac:dyDescent="0.15">
      <c r="A47" s="37">
        <v>20170203</v>
      </c>
      <c r="B47" s="58" t="s">
        <v>48</v>
      </c>
      <c r="C47" s="65" t="s">
        <v>44</v>
      </c>
      <c r="D47" s="37"/>
      <c r="E47" s="37" t="s">
        <v>43</v>
      </c>
      <c r="F47" s="23" t="s">
        <v>157</v>
      </c>
      <c r="G47" s="37" t="s">
        <v>1</v>
      </c>
      <c r="H47" s="60">
        <f>[2]副本!G93</f>
        <v>173.70399999999404</v>
      </c>
      <c r="I47" s="60">
        <f>H47</f>
        <v>173.70399999999404</v>
      </c>
      <c r="J47" s="37"/>
      <c r="K47" s="61"/>
      <c r="L47" s="61">
        <f>H47-I47</f>
        <v>0</v>
      </c>
      <c r="M47" s="62">
        <v>2000</v>
      </c>
      <c r="N47" s="63"/>
      <c r="O47" s="64"/>
      <c r="P47" s="59"/>
    </row>
    <row r="48" spans="1:16" s="48" customFormat="1" ht="36" customHeight="1" x14ac:dyDescent="0.15">
      <c r="A48" s="37">
        <v>20170203</v>
      </c>
      <c r="B48" s="58" t="s">
        <v>47</v>
      </c>
      <c r="C48" s="65" t="s">
        <v>19</v>
      </c>
      <c r="D48" s="37" t="s">
        <v>5</v>
      </c>
      <c r="E48" s="37" t="s">
        <v>27</v>
      </c>
      <c r="F48" s="23" t="s">
        <v>165</v>
      </c>
      <c r="G48" s="37" t="s">
        <v>1</v>
      </c>
      <c r="H48" s="60">
        <f>[2]副本!G95</f>
        <v>2409.6100000000006</v>
      </c>
      <c r="I48" s="60">
        <v>0</v>
      </c>
      <c r="J48" s="37"/>
      <c r="K48" s="62"/>
      <c r="L48" s="61">
        <f>H48-I48</f>
        <v>2409.6100000000006</v>
      </c>
      <c r="M48" s="62">
        <v>10000</v>
      </c>
      <c r="N48" s="63"/>
      <c r="O48" s="64"/>
      <c r="P48" s="59"/>
    </row>
    <row r="49" spans="1:17" s="48" customFormat="1" ht="36" customHeight="1" x14ac:dyDescent="0.15">
      <c r="A49" s="37">
        <v>20170203</v>
      </c>
      <c r="B49" s="58" t="s">
        <v>46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[2]副本!G97</f>
        <v>4217.264000000001</v>
      </c>
      <c r="I49" s="60">
        <v>0</v>
      </c>
      <c r="J49" s="37"/>
      <c r="K49" s="62"/>
      <c r="L49" s="61">
        <v>0</v>
      </c>
      <c r="M49" s="62">
        <v>10000</v>
      </c>
      <c r="N49" s="63"/>
      <c r="O49" s="64"/>
      <c r="P49" s="59"/>
    </row>
    <row r="50" spans="1:17" s="48" customFormat="1" ht="36" customHeight="1" x14ac:dyDescent="0.15">
      <c r="A50" s="37">
        <v>20170203</v>
      </c>
      <c r="B50" s="58" t="s">
        <v>45</v>
      </c>
      <c r="C50" s="65" t="s">
        <v>44</v>
      </c>
      <c r="D50" s="37"/>
      <c r="E50" s="37" t="s">
        <v>43</v>
      </c>
      <c r="F50" s="23" t="s">
        <v>166</v>
      </c>
      <c r="G50" s="37" t="s">
        <v>1</v>
      </c>
      <c r="H50" s="60">
        <f>[2]副本!G99</f>
        <v>2709.6150000000071</v>
      </c>
      <c r="I50" s="60">
        <f>H50</f>
        <v>2709.6150000000071</v>
      </c>
      <c r="J50" s="37"/>
      <c r="K50" s="61"/>
      <c r="L50" s="61">
        <v>0</v>
      </c>
      <c r="M50" s="62">
        <v>5000</v>
      </c>
      <c r="N50" s="69" t="s">
        <v>42</v>
      </c>
      <c r="O50" s="70" t="s">
        <v>41</v>
      </c>
      <c r="P50" s="59" t="s">
        <v>40</v>
      </c>
    </row>
    <row r="51" spans="1:17" s="48" customFormat="1" ht="36" customHeight="1" x14ac:dyDescent="0.15">
      <c r="A51" s="37">
        <v>20170203</v>
      </c>
      <c r="B51" s="58" t="s">
        <v>39</v>
      </c>
      <c r="C51" s="65" t="s">
        <v>19</v>
      </c>
      <c r="D51" s="37"/>
      <c r="E51" s="37"/>
      <c r="F51" s="37"/>
      <c r="G51" s="37"/>
      <c r="H51" s="60"/>
      <c r="I51" s="60"/>
      <c r="J51" s="37"/>
      <c r="K51" s="62"/>
      <c r="L51" s="61"/>
      <c r="M51" s="62">
        <v>3000</v>
      </c>
      <c r="N51" s="63"/>
      <c r="O51" s="64"/>
      <c r="P51" s="59"/>
    </row>
    <row r="52" spans="1:17" s="48" customFormat="1" ht="36" customHeight="1" x14ac:dyDescent="0.15">
      <c r="A52" s="37">
        <v>20170203</v>
      </c>
      <c r="B52" s="58" t="s">
        <v>38</v>
      </c>
      <c r="C52" s="65" t="s">
        <v>19</v>
      </c>
      <c r="D52" s="37" t="s">
        <v>5</v>
      </c>
      <c r="E52" s="37" t="s">
        <v>27</v>
      </c>
      <c r="F52" s="23" t="s">
        <v>165</v>
      </c>
      <c r="G52" s="37" t="s">
        <v>22</v>
      </c>
      <c r="H52" s="60">
        <f>[2]副本!G103</f>
        <v>17526.61</v>
      </c>
      <c r="I52" s="60">
        <v>0</v>
      </c>
      <c r="J52" s="37"/>
      <c r="K52" s="62"/>
      <c r="L52" s="61">
        <f>H52-I52</f>
        <v>17526.61</v>
      </c>
      <c r="M52" s="62">
        <v>25000</v>
      </c>
      <c r="N52" s="63" t="s">
        <v>37</v>
      </c>
      <c r="O52" s="64" t="s">
        <v>36</v>
      </c>
      <c r="P52" s="59" t="s">
        <v>35</v>
      </c>
    </row>
    <row r="53" spans="1:17" s="48" customFormat="1" ht="36" customHeight="1" x14ac:dyDescent="0.15">
      <c r="A53" s="37">
        <v>20170203</v>
      </c>
      <c r="B53" s="58" t="s">
        <v>34</v>
      </c>
      <c r="C53" s="65" t="s">
        <v>19</v>
      </c>
      <c r="D53" s="37" t="s">
        <v>5</v>
      </c>
      <c r="E53" s="37" t="s">
        <v>27</v>
      </c>
      <c r="F53" s="23" t="s">
        <v>167</v>
      </c>
      <c r="G53" s="37" t="s">
        <v>22</v>
      </c>
      <c r="H53" s="60">
        <f>[2]副本!G105</f>
        <v>32753.382000000081</v>
      </c>
      <c r="I53" s="60">
        <v>0</v>
      </c>
      <c r="J53" s="37"/>
      <c r="K53" s="62"/>
      <c r="L53" s="61">
        <f>H53-I53</f>
        <v>32753.382000000081</v>
      </c>
      <c r="M53" s="62">
        <v>50000</v>
      </c>
      <c r="N53" s="63"/>
      <c r="O53" s="64"/>
      <c r="P53" s="59"/>
    </row>
    <row r="54" spans="1:17" s="48" customFormat="1" ht="36" customHeight="1" x14ac:dyDescent="0.15">
      <c r="A54" s="37">
        <v>20170203</v>
      </c>
      <c r="B54" s="58" t="s">
        <v>33</v>
      </c>
      <c r="C54" s="65" t="s">
        <v>19</v>
      </c>
      <c r="D54" s="37"/>
      <c r="E54" s="37" t="s">
        <v>32</v>
      </c>
      <c r="F54" s="23" t="s">
        <v>161</v>
      </c>
      <c r="G54" s="37" t="s">
        <v>22</v>
      </c>
      <c r="H54" s="60">
        <f>[2]副本!G107</f>
        <v>2024.1310000000169</v>
      </c>
      <c r="I54" s="60">
        <f>H54</f>
        <v>2024.1310000000169</v>
      </c>
      <c r="J54" s="37"/>
      <c r="K54" s="62"/>
      <c r="L54" s="61">
        <f>H54-I54</f>
        <v>0</v>
      </c>
      <c r="M54" s="62">
        <v>4000</v>
      </c>
      <c r="N54" s="63"/>
      <c r="O54" s="64"/>
      <c r="P54" s="59" t="s">
        <v>31</v>
      </c>
    </row>
    <row r="55" spans="1:17" s="48" customFormat="1" ht="36" customHeight="1" x14ac:dyDescent="0.15">
      <c r="A55" s="37">
        <v>20170203</v>
      </c>
      <c r="B55" s="58" t="s">
        <v>30</v>
      </c>
      <c r="C55" s="65" t="s">
        <v>3</v>
      </c>
      <c r="D55" s="37"/>
      <c r="E55" s="37"/>
      <c r="F55" s="37"/>
      <c r="G55" s="37"/>
      <c r="H55" s="60"/>
      <c r="I55" s="60"/>
      <c r="J55" s="37"/>
      <c r="K55" s="62"/>
      <c r="L55" s="61"/>
      <c r="M55" s="62">
        <v>37000</v>
      </c>
      <c r="N55" s="63"/>
      <c r="O55" s="64"/>
      <c r="P55" s="59"/>
    </row>
    <row r="56" spans="1:17" s="48" customFormat="1" ht="36" customHeight="1" x14ac:dyDescent="0.15">
      <c r="A56" s="37">
        <v>20170203</v>
      </c>
      <c r="B56" s="58" t="s">
        <v>29</v>
      </c>
      <c r="C56" s="65" t="s">
        <v>3</v>
      </c>
      <c r="D56" s="37"/>
      <c r="E56" s="37"/>
      <c r="F56" s="37"/>
      <c r="G56" s="37"/>
      <c r="H56" s="60"/>
      <c r="I56" s="37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6" customHeight="1" x14ac:dyDescent="0.15">
      <c r="A57" s="37">
        <v>20170203</v>
      </c>
      <c r="B57" s="58" t="s">
        <v>28</v>
      </c>
      <c r="C57" s="65" t="s">
        <v>19</v>
      </c>
      <c r="D57" s="37" t="s">
        <v>5</v>
      </c>
      <c r="E57" s="37" t="s">
        <v>27</v>
      </c>
      <c r="F57" s="23" t="s">
        <v>168</v>
      </c>
      <c r="G57" s="37" t="s">
        <v>22</v>
      </c>
      <c r="H57" s="60">
        <f>[2]副本!G115</f>
        <v>1767.3689999999997</v>
      </c>
      <c r="I57" s="60">
        <v>0</v>
      </c>
      <c r="J57" s="37"/>
      <c r="K57" s="61"/>
      <c r="L57" s="61">
        <f>H57-I57</f>
        <v>1767.3689999999997</v>
      </c>
      <c r="M57" s="62">
        <v>10000</v>
      </c>
      <c r="N57" s="63"/>
      <c r="O57" s="64"/>
      <c r="P57" s="59"/>
      <c r="Q57" s="49"/>
    </row>
    <row r="58" spans="1:17" s="48" customFormat="1" ht="36" customHeight="1" x14ac:dyDescent="0.15">
      <c r="A58" s="37">
        <v>20170203</v>
      </c>
      <c r="B58" s="58" t="s">
        <v>26</v>
      </c>
      <c r="C58" s="65" t="s">
        <v>3</v>
      </c>
      <c r="D58" s="37" t="s">
        <v>5</v>
      </c>
      <c r="E58" s="37" t="s">
        <v>2</v>
      </c>
      <c r="F58" s="23" t="s">
        <v>169</v>
      </c>
      <c r="G58" s="37" t="s">
        <v>22</v>
      </c>
      <c r="H58" s="60">
        <f>[2]副本!G117</f>
        <v>3990.8999999999996</v>
      </c>
      <c r="I58" s="60">
        <v>0</v>
      </c>
      <c r="J58" s="37"/>
      <c r="K58" s="68">
        <v>150</v>
      </c>
      <c r="L58" s="61">
        <f>H58-I58</f>
        <v>3990.8999999999996</v>
      </c>
      <c r="M58" s="62">
        <v>15000</v>
      </c>
      <c r="N58" s="63"/>
      <c r="O58" s="64"/>
      <c r="P58" s="59" t="s">
        <v>25</v>
      </c>
      <c r="Q58" s="49"/>
    </row>
    <row r="59" spans="1:17" s="48" customFormat="1" ht="36" customHeight="1" x14ac:dyDescent="0.15">
      <c r="A59" s="37">
        <v>20170203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170</v>
      </c>
      <c r="G59" s="37" t="s">
        <v>22</v>
      </c>
      <c r="H59" s="60">
        <f>[2]副本!G118</f>
        <v>96.340000000000146</v>
      </c>
      <c r="I59" s="60">
        <f>H59</f>
        <v>96.340000000000146</v>
      </c>
      <c r="J59" s="37"/>
      <c r="K59" s="68"/>
      <c r="L59" s="61">
        <f>H59-I59</f>
        <v>0</v>
      </c>
      <c r="M59" s="62">
        <v>15000</v>
      </c>
      <c r="N59" s="63"/>
      <c r="O59" s="64"/>
      <c r="P59" s="59" t="s">
        <v>24</v>
      </c>
      <c r="Q59" s="49"/>
    </row>
    <row r="60" spans="1:17" s="48" customFormat="1" ht="36" customHeight="1" x14ac:dyDescent="0.15">
      <c r="A60" s="37">
        <v>20170203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[2]副本!G120</f>
        <v>9621.2509999999966</v>
      </c>
      <c r="I60" s="60">
        <f>H60</f>
        <v>9621.2509999999966</v>
      </c>
      <c r="J60" s="37"/>
      <c r="K60" s="62">
        <v>650</v>
      </c>
      <c r="L60" s="61"/>
      <c r="M60" s="62">
        <v>43000</v>
      </c>
      <c r="N60" s="63"/>
      <c r="O60" s="64"/>
      <c r="P60" s="59" t="s">
        <v>21</v>
      </c>
      <c r="Q60" s="49"/>
    </row>
    <row r="61" spans="1:17" s="48" customFormat="1" ht="36" customHeight="1" x14ac:dyDescent="0.15">
      <c r="A61" s="37">
        <v>20170203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[2]副本!G121</f>
        <v>21.100000000000364</v>
      </c>
      <c r="I61" s="60">
        <f>H61</f>
        <v>21.100000000000364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36" customHeight="1" x14ac:dyDescent="0.15">
      <c r="A62" s="37">
        <v>20170203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/>
      <c r="N62" s="63"/>
      <c r="O62" s="64"/>
      <c r="P62" s="59"/>
      <c r="Q62" s="49"/>
    </row>
    <row r="63" spans="1:17" s="48" customFormat="1" ht="36" customHeight="1" x14ac:dyDescent="0.15">
      <c r="A63" s="37">
        <v>20170203</v>
      </c>
      <c r="B63" s="58" t="s">
        <v>18</v>
      </c>
      <c r="C63" s="65" t="s">
        <v>3</v>
      </c>
      <c r="D63" s="37"/>
      <c r="E63" s="37" t="s">
        <v>147</v>
      </c>
      <c r="F63" s="23" t="s">
        <v>173</v>
      </c>
      <c r="G63" s="37" t="s">
        <v>1</v>
      </c>
      <c r="H63" s="60">
        <f>[2]副本!G125</f>
        <v>8339.3289999999961</v>
      </c>
      <c r="I63" s="60">
        <f>H63-8339.329</f>
        <v>0</v>
      </c>
      <c r="J63" s="37"/>
      <c r="K63" s="62"/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36" customHeight="1" x14ac:dyDescent="0.15">
      <c r="A64" s="37">
        <v>20170203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[2]副本!G127</f>
        <v>512.93299999998999</v>
      </c>
      <c r="I64" s="60">
        <f>H64-4751.949+4751.949</f>
        <v>512.93299999998999</v>
      </c>
      <c r="J64" s="37"/>
      <c r="K64" s="62"/>
      <c r="L64" s="61">
        <f>H64-I64</f>
        <v>0</v>
      </c>
      <c r="M64" s="62">
        <v>30000</v>
      </c>
      <c r="N64" s="63"/>
      <c r="O64" s="64"/>
      <c r="P64" s="59" t="s">
        <v>16</v>
      </c>
    </row>
    <row r="65" spans="1:16" s="48" customFormat="1" ht="36" customHeight="1" x14ac:dyDescent="0.15">
      <c r="A65" s="37">
        <v>20170203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[2]副本!G128</f>
        <v>9946.3690000000006</v>
      </c>
      <c r="I65" s="60">
        <f>H65</f>
        <v>9946.3690000000006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36" customHeight="1" x14ac:dyDescent="0.15">
      <c r="A66" s="37">
        <v>20170203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[2]副本!G130</f>
        <v>14976.093999999999</v>
      </c>
      <c r="I66" s="60">
        <f>H66-14976.094</f>
        <v>0</v>
      </c>
      <c r="J66" s="37"/>
      <c r="K66" s="62">
        <v>350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36" customHeight="1" x14ac:dyDescent="0.15">
      <c r="A67" s="37">
        <v>20170203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[2]副本!G132</f>
        <v>20204.884999999973</v>
      </c>
      <c r="I67" s="60">
        <f>H67</f>
        <v>20204.884999999973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36" customHeight="1" x14ac:dyDescent="0.15">
      <c r="A68" s="37">
        <v>20170203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36" customHeight="1" x14ac:dyDescent="0.15">
      <c r="A69" s="37">
        <v>20170203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36" customHeight="1" x14ac:dyDescent="0.15">
      <c r="A70" s="37">
        <v>20170203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[2]副本!G139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36" customHeight="1" x14ac:dyDescent="0.15">
      <c r="A71" s="37">
        <v>20170203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[2]副本!G141</f>
        <v>6436.6699999999983</v>
      </c>
      <c r="I71" s="60">
        <f>H71</f>
        <v>6436.6699999999983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0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P73" sqref="A2:P73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34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124" t="s">
        <v>145</v>
      </c>
      <c r="B1" s="131" t="s">
        <v>144</v>
      </c>
      <c r="C1" s="125" t="s">
        <v>143</v>
      </c>
      <c r="D1" s="125" t="s">
        <v>142</v>
      </c>
      <c r="E1" s="125" t="s">
        <v>141</v>
      </c>
      <c r="F1" s="125" t="s">
        <v>177</v>
      </c>
      <c r="G1" s="132" t="s">
        <v>139</v>
      </c>
      <c r="H1" s="126" t="s">
        <v>138</v>
      </c>
      <c r="I1" s="127" t="s">
        <v>137</v>
      </c>
      <c r="J1" s="125"/>
      <c r="K1" s="128" t="s">
        <v>136</v>
      </c>
      <c r="L1" s="129" t="s">
        <v>135</v>
      </c>
      <c r="M1" s="128" t="s">
        <v>134</v>
      </c>
      <c r="N1" s="133" t="s">
        <v>133</v>
      </c>
      <c r="O1" s="133" t="s">
        <v>132</v>
      </c>
      <c r="P1" s="125" t="s">
        <v>131</v>
      </c>
    </row>
    <row r="2" spans="1:17" s="48" customFormat="1" ht="29.25" customHeight="1" x14ac:dyDescent="0.15">
      <c r="A2" s="104">
        <v>20170228</v>
      </c>
      <c r="B2" s="105" t="s">
        <v>130</v>
      </c>
      <c r="C2" s="116" t="s">
        <v>44</v>
      </c>
      <c r="D2" s="105"/>
      <c r="E2" s="104" t="s">
        <v>117</v>
      </c>
      <c r="F2" s="37" t="s">
        <v>178</v>
      </c>
      <c r="G2" s="98" t="s">
        <v>1</v>
      </c>
      <c r="H2" s="103">
        <f>[20]副本!G3</f>
        <v>423.51899999999932</v>
      </c>
      <c r="I2" s="103">
        <f>H2-1918.881+1918.881</f>
        <v>423.51899999999932</v>
      </c>
      <c r="J2" s="104"/>
      <c r="K2" s="101"/>
      <c r="L2" s="102">
        <f>H2-I2</f>
        <v>0</v>
      </c>
      <c r="M2" s="101">
        <v>2000</v>
      </c>
      <c r="N2" s="100" t="s">
        <v>120</v>
      </c>
      <c r="O2" s="99" t="s">
        <v>89</v>
      </c>
      <c r="P2" s="98" t="s">
        <v>332</v>
      </c>
    </row>
    <row r="3" spans="1:17" s="48" customFormat="1" ht="29.25" customHeight="1" x14ac:dyDescent="0.15">
      <c r="A3" s="104">
        <v>20170228</v>
      </c>
      <c r="B3" s="105" t="s">
        <v>129</v>
      </c>
      <c r="C3" s="116" t="s">
        <v>44</v>
      </c>
      <c r="D3" s="105"/>
      <c r="E3" s="104" t="s">
        <v>86</v>
      </c>
      <c r="F3" s="23" t="s">
        <v>156</v>
      </c>
      <c r="G3" s="98" t="s">
        <v>1</v>
      </c>
      <c r="H3" s="103">
        <f>[20]副本!G6</f>
        <v>192.79899999999986</v>
      </c>
      <c r="I3" s="103">
        <f>H3</f>
        <v>192.79899999999986</v>
      </c>
      <c r="J3" s="104"/>
      <c r="K3" s="101"/>
      <c r="L3" s="102">
        <f>H3-I3</f>
        <v>0</v>
      </c>
      <c r="M3" s="101">
        <v>1500</v>
      </c>
      <c r="N3" s="100"/>
      <c r="O3" s="99"/>
      <c r="P3" s="98" t="s">
        <v>291</v>
      </c>
    </row>
    <row r="4" spans="1:17" s="48" customFormat="1" ht="29.25" customHeight="1" x14ac:dyDescent="0.15">
      <c r="A4" s="104">
        <v>20170228</v>
      </c>
      <c r="B4" s="105" t="s">
        <v>128</v>
      </c>
      <c r="C4" s="116" t="s">
        <v>44</v>
      </c>
      <c r="D4" s="105"/>
      <c r="E4" s="104" t="s">
        <v>43</v>
      </c>
      <c r="F4" s="37" t="s">
        <v>157</v>
      </c>
      <c r="G4" s="98" t="s">
        <v>1</v>
      </c>
      <c r="H4" s="103">
        <f>[20]副本!G8</f>
        <v>528.42299999999591</v>
      </c>
      <c r="I4" s="103">
        <f>H4</f>
        <v>528.42299999999591</v>
      </c>
      <c r="J4" s="104"/>
      <c r="K4" s="102"/>
      <c r="L4" s="102">
        <v>0</v>
      </c>
      <c r="M4" s="101">
        <v>2000</v>
      </c>
      <c r="N4" s="100" t="s">
        <v>127</v>
      </c>
      <c r="O4" s="99" t="s">
        <v>126</v>
      </c>
      <c r="P4" s="98" t="s">
        <v>122</v>
      </c>
    </row>
    <row r="5" spans="1:17" s="48" customFormat="1" ht="29.25" customHeight="1" x14ac:dyDescent="0.15">
      <c r="A5" s="104">
        <v>20170228</v>
      </c>
      <c r="B5" s="105" t="s">
        <v>125</v>
      </c>
      <c r="C5" s="116" t="s">
        <v>44</v>
      </c>
      <c r="D5" s="104"/>
      <c r="E5" s="104" t="s">
        <v>117</v>
      </c>
      <c r="F5" s="37" t="s">
        <v>148</v>
      </c>
      <c r="G5" s="98" t="s">
        <v>1</v>
      </c>
      <c r="H5" s="103">
        <f>[20]副本!G10</f>
        <v>1772.5080000000271</v>
      </c>
      <c r="I5" s="103">
        <f>H5</f>
        <v>1772.5080000000271</v>
      </c>
      <c r="J5" s="104"/>
      <c r="K5" s="101"/>
      <c r="L5" s="102">
        <f>H5-I5</f>
        <v>0</v>
      </c>
      <c r="M5" s="101">
        <v>2000</v>
      </c>
      <c r="N5" s="100" t="s">
        <v>123</v>
      </c>
      <c r="O5" s="99" t="s">
        <v>89</v>
      </c>
      <c r="P5" s="98" t="s">
        <v>122</v>
      </c>
    </row>
    <row r="6" spans="1:17" s="48" customFormat="1" ht="29.25" customHeight="1" x14ac:dyDescent="0.15">
      <c r="A6" s="104">
        <v>20170228</v>
      </c>
      <c r="B6" s="105" t="s">
        <v>121</v>
      </c>
      <c r="C6" s="116" t="s">
        <v>44</v>
      </c>
      <c r="D6" s="104"/>
      <c r="E6" s="104" t="s">
        <v>117</v>
      </c>
      <c r="F6" s="37" t="s">
        <v>149</v>
      </c>
      <c r="G6" s="98" t="s">
        <v>1</v>
      </c>
      <c r="H6" s="103">
        <f>[20]副本!G12</f>
        <v>2520.6060000000007</v>
      </c>
      <c r="I6" s="103">
        <f>H6</f>
        <v>2520.6060000000007</v>
      </c>
      <c r="J6" s="104"/>
      <c r="K6" s="101"/>
      <c r="L6" s="102"/>
      <c r="M6" s="101">
        <v>3000</v>
      </c>
      <c r="N6" s="100" t="s">
        <v>120</v>
      </c>
      <c r="O6" s="99" t="s">
        <v>89</v>
      </c>
      <c r="P6" s="98" t="s">
        <v>331</v>
      </c>
      <c r="Q6" s="49"/>
    </row>
    <row r="7" spans="1:17" s="48" customFormat="1" ht="29.25" customHeight="1" x14ac:dyDescent="0.15">
      <c r="A7" s="104">
        <v>20170228</v>
      </c>
      <c r="B7" s="105" t="s">
        <v>118</v>
      </c>
      <c r="C7" s="116" t="s">
        <v>44</v>
      </c>
      <c r="D7" s="104"/>
      <c r="E7" s="104" t="s">
        <v>117</v>
      </c>
      <c r="F7" s="37" t="s">
        <v>148</v>
      </c>
      <c r="G7" s="104" t="s">
        <v>1</v>
      </c>
      <c r="H7" s="103">
        <f>[20]副本!G14</f>
        <v>1043.1260000000002</v>
      </c>
      <c r="I7" s="103">
        <f>H7</f>
        <v>1043.1260000000002</v>
      </c>
      <c r="J7" s="104"/>
      <c r="K7" s="101"/>
      <c r="L7" s="102"/>
      <c r="M7" s="101">
        <v>3000</v>
      </c>
      <c r="N7" s="100"/>
      <c r="O7" s="99"/>
      <c r="P7" s="98"/>
      <c r="Q7" s="49"/>
    </row>
    <row r="8" spans="1:17" s="48" customFormat="1" ht="29.25" customHeight="1" x14ac:dyDescent="0.15">
      <c r="A8" s="104">
        <v>20170228</v>
      </c>
      <c r="B8" s="105" t="s">
        <v>115</v>
      </c>
      <c r="C8" s="116" t="s">
        <v>44</v>
      </c>
      <c r="D8" s="104"/>
      <c r="E8" s="104" t="s">
        <v>114</v>
      </c>
      <c r="F8" s="23" t="s">
        <v>150</v>
      </c>
      <c r="G8" s="104" t="s">
        <v>1</v>
      </c>
      <c r="H8" s="103">
        <f>[20]副本!G16</f>
        <v>229.88900000000012</v>
      </c>
      <c r="I8" s="103">
        <f>H8</f>
        <v>229.88900000000012</v>
      </c>
      <c r="J8" s="104"/>
      <c r="K8" s="101"/>
      <c r="L8" s="102">
        <v>0</v>
      </c>
      <c r="M8" s="101">
        <v>3000</v>
      </c>
      <c r="N8" s="100"/>
      <c r="O8" s="99"/>
      <c r="P8" s="98" t="s">
        <v>103</v>
      </c>
    </row>
    <row r="9" spans="1:17" s="48" customFormat="1" ht="29.25" customHeight="1" x14ac:dyDescent="0.15">
      <c r="A9" s="104">
        <v>20170228</v>
      </c>
      <c r="B9" s="105" t="s">
        <v>113</v>
      </c>
      <c r="C9" s="116" t="s">
        <v>3</v>
      </c>
      <c r="D9" s="104"/>
      <c r="E9" s="104" t="s">
        <v>112</v>
      </c>
      <c r="F9" s="23" t="s">
        <v>151</v>
      </c>
      <c r="G9" s="104" t="s">
        <v>1</v>
      </c>
      <c r="H9" s="104">
        <f>[20]副本!G18</f>
        <v>1322.4749999999999</v>
      </c>
      <c r="I9" s="103">
        <f>H9</f>
        <v>1322.4749999999999</v>
      </c>
      <c r="J9" s="104"/>
      <c r="K9" s="101">
        <v>150</v>
      </c>
      <c r="L9" s="102">
        <f>H9-I9</f>
        <v>0</v>
      </c>
      <c r="M9" s="101">
        <v>5000</v>
      </c>
      <c r="N9" s="100" t="s">
        <v>111</v>
      </c>
      <c r="O9" s="99" t="s">
        <v>110</v>
      </c>
      <c r="P9" s="98" t="s">
        <v>109</v>
      </c>
    </row>
    <row r="10" spans="1:17" s="48" customFormat="1" ht="29.25" customHeight="1" x14ac:dyDescent="0.15">
      <c r="A10" s="104">
        <v>20170228</v>
      </c>
      <c r="B10" s="105" t="s">
        <v>108</v>
      </c>
      <c r="C10" s="104" t="s">
        <v>44</v>
      </c>
      <c r="D10" s="104"/>
      <c r="E10" s="104" t="s">
        <v>71</v>
      </c>
      <c r="F10" s="23" t="s">
        <v>152</v>
      </c>
      <c r="G10" s="104" t="s">
        <v>1</v>
      </c>
      <c r="H10" s="103">
        <f>[20]副本!G20</f>
        <v>1.5219999999999345</v>
      </c>
      <c r="I10" s="103">
        <f>H10</f>
        <v>1.5219999999999345</v>
      </c>
      <c r="J10" s="104"/>
      <c r="K10" s="101"/>
      <c r="L10" s="102">
        <f>H10-I10</f>
        <v>0</v>
      </c>
      <c r="M10" s="101">
        <v>1500</v>
      </c>
      <c r="N10" s="100"/>
      <c r="O10" s="99"/>
      <c r="P10" s="98" t="s">
        <v>330</v>
      </c>
    </row>
    <row r="11" spans="1:17" s="48" customFormat="1" ht="29.25" customHeight="1" x14ac:dyDescent="0.15">
      <c r="A11" s="104">
        <v>20170228</v>
      </c>
      <c r="B11" s="105" t="s">
        <v>108</v>
      </c>
      <c r="C11" s="104" t="s">
        <v>44</v>
      </c>
      <c r="D11" s="104"/>
      <c r="E11" s="104" t="s">
        <v>71</v>
      </c>
      <c r="F11" s="23" t="s">
        <v>154</v>
      </c>
      <c r="G11" s="104" t="s">
        <v>1</v>
      </c>
      <c r="H11" s="103">
        <f>[20]副本!G22</f>
        <v>910.54</v>
      </c>
      <c r="I11" s="103">
        <f>H11</f>
        <v>910.54</v>
      </c>
      <c r="J11" s="104"/>
      <c r="K11" s="101"/>
      <c r="L11" s="102">
        <f>H11-I11</f>
        <v>0</v>
      </c>
      <c r="M11" s="101">
        <v>1500</v>
      </c>
      <c r="N11" s="100"/>
      <c r="O11" s="99"/>
      <c r="P11" s="98" t="s">
        <v>106</v>
      </c>
    </row>
    <row r="12" spans="1:17" s="48" customFormat="1" ht="29.25" customHeight="1" x14ac:dyDescent="0.15">
      <c r="A12" s="104">
        <v>20170228</v>
      </c>
      <c r="B12" s="105" t="s">
        <v>105</v>
      </c>
      <c r="C12" s="104" t="s">
        <v>44</v>
      </c>
      <c r="D12" s="104"/>
      <c r="E12" s="104" t="s">
        <v>86</v>
      </c>
      <c r="F12" s="23" t="s">
        <v>156</v>
      </c>
      <c r="G12" s="104" t="s">
        <v>1</v>
      </c>
      <c r="H12" s="103">
        <f>[20]副本!G24</f>
        <v>1502.1479999999999</v>
      </c>
      <c r="I12" s="103">
        <f>H12</f>
        <v>1502.1479999999999</v>
      </c>
      <c r="J12" s="104"/>
      <c r="K12" s="101"/>
      <c r="L12" s="102">
        <f>H12-I12</f>
        <v>0</v>
      </c>
      <c r="M12" s="101">
        <v>1500</v>
      </c>
      <c r="N12" s="100"/>
      <c r="O12" s="99"/>
      <c r="P12" s="98" t="s">
        <v>291</v>
      </c>
    </row>
    <row r="13" spans="1:17" s="48" customFormat="1" ht="29.25" customHeight="1" x14ac:dyDescent="0.15">
      <c r="A13" s="104">
        <v>20170228</v>
      </c>
      <c r="B13" s="105" t="s">
        <v>104</v>
      </c>
      <c r="C13" s="116" t="s">
        <v>19</v>
      </c>
      <c r="D13" s="104"/>
      <c r="E13" s="104" t="s">
        <v>114</v>
      </c>
      <c r="F13" s="104"/>
      <c r="G13" s="104"/>
      <c r="H13" s="103"/>
      <c r="I13" s="103"/>
      <c r="J13" s="104"/>
      <c r="K13" s="101"/>
      <c r="L13" s="102"/>
      <c r="M13" s="101">
        <v>1500</v>
      </c>
      <c r="N13" s="100"/>
      <c r="O13" s="99"/>
      <c r="P13" s="98"/>
      <c r="Q13" s="49"/>
    </row>
    <row r="14" spans="1:17" s="48" customFormat="1" ht="29.25" customHeight="1" x14ac:dyDescent="0.15">
      <c r="A14" s="104">
        <v>20170228</v>
      </c>
      <c r="B14" s="105" t="s">
        <v>102</v>
      </c>
      <c r="C14" s="116" t="s">
        <v>19</v>
      </c>
      <c r="D14" s="104"/>
      <c r="E14" s="104"/>
      <c r="F14" s="104"/>
      <c r="G14" s="104"/>
      <c r="H14" s="103"/>
      <c r="I14" s="103"/>
      <c r="J14" s="104"/>
      <c r="K14" s="102"/>
      <c r="L14" s="102"/>
      <c r="M14" s="101">
        <v>1500</v>
      </c>
      <c r="N14" s="100"/>
      <c r="O14" s="99"/>
      <c r="P14" s="98"/>
    </row>
    <row r="15" spans="1:17" s="48" customFormat="1" ht="29.25" customHeight="1" x14ac:dyDescent="0.15">
      <c r="A15" s="104">
        <v>20170228</v>
      </c>
      <c r="B15" s="105" t="s">
        <v>101</v>
      </c>
      <c r="C15" s="116" t="s">
        <v>44</v>
      </c>
      <c r="D15" s="104"/>
      <c r="E15" s="104"/>
      <c r="F15" s="23" t="s">
        <v>152</v>
      </c>
      <c r="G15" s="104"/>
      <c r="H15" s="103">
        <f>[20]副本!G30</f>
        <v>1021.2750000000001</v>
      </c>
      <c r="I15" s="103">
        <f>H15-1021.275</f>
        <v>0</v>
      </c>
      <c r="J15" s="104"/>
      <c r="K15" s="101"/>
      <c r="L15" s="102"/>
      <c r="M15" s="101">
        <v>1500</v>
      </c>
      <c r="N15" s="100"/>
      <c r="O15" s="99"/>
      <c r="P15" s="98" t="s">
        <v>329</v>
      </c>
    </row>
    <row r="16" spans="1:17" s="48" customFormat="1" ht="29.25" customHeight="1" x14ac:dyDescent="0.15">
      <c r="A16" s="104">
        <v>20170228</v>
      </c>
      <c r="B16" s="105" t="s">
        <v>99</v>
      </c>
      <c r="C16" s="116" t="s">
        <v>93</v>
      </c>
      <c r="D16" s="104"/>
      <c r="E16" s="104" t="s">
        <v>9</v>
      </c>
      <c r="F16" s="23" t="s">
        <v>158</v>
      </c>
      <c r="G16" s="104" t="s">
        <v>1</v>
      </c>
      <c r="H16" s="103">
        <f>[20]副本!G33-H17</f>
        <v>5874.8780000000188</v>
      </c>
      <c r="I16" s="103">
        <f>H16</f>
        <v>5874.8780000000188</v>
      </c>
      <c r="J16" s="104"/>
      <c r="K16" s="101"/>
      <c r="L16" s="102">
        <f>H16-I16</f>
        <v>0</v>
      </c>
      <c r="M16" s="101">
        <v>21000</v>
      </c>
      <c r="N16" s="100" t="s">
        <v>90</v>
      </c>
      <c r="O16" s="99" t="s">
        <v>89</v>
      </c>
      <c r="P16" s="98"/>
    </row>
    <row r="17" spans="1:17" s="48" customFormat="1" ht="29.25" customHeight="1" x14ac:dyDescent="0.15">
      <c r="A17" s="104">
        <v>20170228</v>
      </c>
      <c r="B17" s="105" t="s">
        <v>99</v>
      </c>
      <c r="C17" s="116" t="s">
        <v>93</v>
      </c>
      <c r="D17" s="104"/>
      <c r="E17" s="104" t="s">
        <v>9</v>
      </c>
      <c r="F17" s="24" t="s">
        <v>175</v>
      </c>
      <c r="G17" s="104" t="s">
        <v>1</v>
      </c>
      <c r="H17" s="103">
        <f>[20]副本!G35</f>
        <v>12119.121999999981</v>
      </c>
      <c r="I17" s="103">
        <f>H17</f>
        <v>12119.121999999981</v>
      </c>
      <c r="J17" s="104"/>
      <c r="K17" s="101"/>
      <c r="L17" s="102">
        <f>H17-I17</f>
        <v>0</v>
      </c>
      <c r="M17" s="101">
        <v>21000</v>
      </c>
      <c r="N17" s="100" t="s">
        <v>90</v>
      </c>
      <c r="O17" s="99" t="s">
        <v>89</v>
      </c>
      <c r="P17" s="98" t="s">
        <v>97</v>
      </c>
    </row>
    <row r="18" spans="1:17" s="48" customFormat="1" ht="29.25" customHeight="1" x14ac:dyDescent="0.15">
      <c r="A18" s="104">
        <v>20170228</v>
      </c>
      <c r="B18" s="105" t="s">
        <v>96</v>
      </c>
      <c r="C18" s="116" t="s">
        <v>44</v>
      </c>
      <c r="D18" s="104" t="s">
        <v>5</v>
      </c>
      <c r="E18" s="104" t="s">
        <v>61</v>
      </c>
      <c r="F18" s="23" t="s">
        <v>159</v>
      </c>
      <c r="G18" s="104" t="s">
        <v>1</v>
      </c>
      <c r="H18" s="103">
        <f>[20]副本!G37</f>
        <v>4224.8950000000004</v>
      </c>
      <c r="I18" s="103">
        <f>H18-3496.542+1000+2496.542-3122.825+3122.825</f>
        <v>4224.8950000000004</v>
      </c>
      <c r="J18" s="104"/>
      <c r="K18" s="101"/>
      <c r="L18" s="102">
        <f>H18-I18</f>
        <v>0</v>
      </c>
      <c r="M18" s="101">
        <v>5000</v>
      </c>
      <c r="N18" s="100"/>
      <c r="O18" s="99"/>
      <c r="P18" s="98" t="s">
        <v>328</v>
      </c>
    </row>
    <row r="19" spans="1:17" s="48" customFormat="1" ht="29.25" customHeight="1" x14ac:dyDescent="0.15">
      <c r="A19" s="104">
        <v>20170228</v>
      </c>
      <c r="B19" s="105" t="s">
        <v>95</v>
      </c>
      <c r="C19" s="116" t="s">
        <v>44</v>
      </c>
      <c r="D19" s="104"/>
      <c r="E19" s="104"/>
      <c r="F19" s="104"/>
      <c r="G19" s="104"/>
      <c r="H19" s="103"/>
      <c r="I19" s="103"/>
      <c r="J19" s="104"/>
      <c r="K19" s="101"/>
      <c r="L19" s="102"/>
      <c r="M19" s="101">
        <v>3000</v>
      </c>
      <c r="N19" s="100"/>
      <c r="O19" s="99"/>
      <c r="P19" s="98"/>
    </row>
    <row r="20" spans="1:17" s="48" customFormat="1" ht="29.25" customHeight="1" x14ac:dyDescent="0.15">
      <c r="A20" s="104">
        <v>20170228</v>
      </c>
      <c r="B20" s="105" t="s">
        <v>94</v>
      </c>
      <c r="C20" s="116" t="s">
        <v>93</v>
      </c>
      <c r="D20" s="104"/>
      <c r="E20" s="104" t="s">
        <v>9</v>
      </c>
      <c r="F20" s="23" t="s">
        <v>158</v>
      </c>
      <c r="G20" s="104" t="s">
        <v>1</v>
      </c>
      <c r="H20" s="103">
        <f>[20]副本!G41-'20170228'!H21</f>
        <v>452.54542800003765</v>
      </c>
      <c r="I20" s="103">
        <f>H20</f>
        <v>452.54542800003765</v>
      </c>
      <c r="J20" s="104"/>
      <c r="K20" s="101"/>
      <c r="L20" s="102">
        <f>H20-I20</f>
        <v>0</v>
      </c>
      <c r="M20" s="101">
        <v>21000</v>
      </c>
      <c r="N20" s="100" t="s">
        <v>92</v>
      </c>
      <c r="O20" s="99" t="s">
        <v>89</v>
      </c>
      <c r="P20" s="98" t="s">
        <v>91</v>
      </c>
    </row>
    <row r="21" spans="1:17" s="48" customFormat="1" ht="29.25" customHeight="1" x14ac:dyDescent="0.15">
      <c r="A21" s="104">
        <v>20170228</v>
      </c>
      <c r="B21" s="105" t="s">
        <v>94</v>
      </c>
      <c r="C21" s="116" t="s">
        <v>93</v>
      </c>
      <c r="D21" s="104"/>
      <c r="E21" s="104" t="s">
        <v>9</v>
      </c>
      <c r="F21" s="24" t="s">
        <v>175</v>
      </c>
      <c r="G21" s="104" t="s">
        <v>1</v>
      </c>
      <c r="H21" s="103">
        <f>[20]副本!G43</f>
        <v>5216.4545719999624</v>
      </c>
      <c r="I21" s="103">
        <f>H21</f>
        <v>5216.4545719999624</v>
      </c>
      <c r="J21" s="104"/>
      <c r="K21" s="117"/>
      <c r="L21" s="102">
        <f>H21-I21</f>
        <v>0</v>
      </c>
      <c r="M21" s="101">
        <v>21000</v>
      </c>
      <c r="N21" s="100" t="s">
        <v>90</v>
      </c>
      <c r="O21" s="99" t="s">
        <v>89</v>
      </c>
      <c r="P21" s="98" t="s">
        <v>88</v>
      </c>
    </row>
    <row r="22" spans="1:17" s="48" customFormat="1" ht="29.25" customHeight="1" x14ac:dyDescent="0.15">
      <c r="A22" s="104">
        <v>20170228</v>
      </c>
      <c r="B22" s="105" t="s">
        <v>87</v>
      </c>
      <c r="C22" s="116" t="s">
        <v>44</v>
      </c>
      <c r="D22" s="104"/>
      <c r="E22" s="104" t="s">
        <v>86</v>
      </c>
      <c r="F22" s="23" t="s">
        <v>156</v>
      </c>
      <c r="G22" s="104" t="s">
        <v>1</v>
      </c>
      <c r="H22" s="103">
        <f>[20]副本!G45</f>
        <v>4534.1449999999995</v>
      </c>
      <c r="I22" s="103">
        <f>H22</f>
        <v>4534.1449999999995</v>
      </c>
      <c r="J22" s="104"/>
      <c r="K22" s="101">
        <v>450</v>
      </c>
      <c r="L22" s="102">
        <f>H22-I22</f>
        <v>0</v>
      </c>
      <c r="M22" s="101">
        <v>5000</v>
      </c>
      <c r="N22" s="100"/>
      <c r="O22" s="99"/>
      <c r="P22" s="98" t="s">
        <v>291</v>
      </c>
    </row>
    <row r="23" spans="1:17" s="48" customFormat="1" ht="29.25" customHeight="1" x14ac:dyDescent="0.15">
      <c r="A23" s="104">
        <v>20170228</v>
      </c>
      <c r="B23" s="105" t="s">
        <v>84</v>
      </c>
      <c r="C23" s="116" t="s">
        <v>3</v>
      </c>
      <c r="D23" s="104"/>
      <c r="E23" s="98"/>
      <c r="F23" s="104"/>
      <c r="G23" s="104"/>
      <c r="H23" s="103"/>
      <c r="I23" s="103"/>
      <c r="J23" s="104"/>
      <c r="K23" s="101"/>
      <c r="L23" s="102"/>
      <c r="M23" s="101">
        <v>5000</v>
      </c>
      <c r="N23" s="100"/>
      <c r="O23" s="99"/>
      <c r="P23" s="120"/>
    </row>
    <row r="24" spans="1:17" s="48" customFormat="1" ht="29.25" customHeight="1" x14ac:dyDescent="0.15">
      <c r="A24" s="104">
        <v>20170228</v>
      </c>
      <c r="B24" s="105" t="s">
        <v>81</v>
      </c>
      <c r="C24" s="116" t="s">
        <v>44</v>
      </c>
      <c r="D24" s="104"/>
      <c r="E24" s="104" t="s">
        <v>327</v>
      </c>
      <c r="F24" s="23" t="s">
        <v>161</v>
      </c>
      <c r="G24" s="104" t="s">
        <v>1</v>
      </c>
      <c r="H24" s="103">
        <f>[20]副本!G49</f>
        <v>1236.1479999999997</v>
      </c>
      <c r="I24" s="103">
        <f>H24</f>
        <v>1236.1479999999997</v>
      </c>
      <c r="J24" s="104"/>
      <c r="K24" s="101">
        <v>1000</v>
      </c>
      <c r="L24" s="102">
        <f>H24-I24</f>
        <v>0</v>
      </c>
      <c r="M24" s="101">
        <v>5000</v>
      </c>
      <c r="N24" s="100"/>
      <c r="O24" s="99"/>
      <c r="P24" s="98" t="s">
        <v>326</v>
      </c>
    </row>
    <row r="25" spans="1:17" s="48" customFormat="1" ht="29.25" customHeight="1" x14ac:dyDescent="0.15">
      <c r="A25" s="104">
        <v>20170228</v>
      </c>
      <c r="B25" s="105" t="s">
        <v>81</v>
      </c>
      <c r="C25" s="116" t="s">
        <v>44</v>
      </c>
      <c r="D25" s="104"/>
      <c r="E25" s="104" t="s">
        <v>327</v>
      </c>
      <c r="F25" s="23" t="s">
        <v>153</v>
      </c>
      <c r="G25" s="104" t="s">
        <v>1</v>
      </c>
      <c r="H25" s="103">
        <f>[20]副本!G50</f>
        <v>981.86400000000003</v>
      </c>
      <c r="I25" s="103">
        <f>H25</f>
        <v>981.86400000000003</v>
      </c>
      <c r="J25" s="104"/>
      <c r="K25" s="101"/>
      <c r="L25" s="102">
        <f>H25-I25</f>
        <v>0</v>
      </c>
      <c r="M25" s="101">
        <v>5000</v>
      </c>
      <c r="N25" s="100"/>
      <c r="O25" s="99"/>
      <c r="P25" s="98" t="s">
        <v>326</v>
      </c>
    </row>
    <row r="26" spans="1:17" s="48" customFormat="1" ht="29.25" customHeight="1" x14ac:dyDescent="0.15">
      <c r="A26" s="104">
        <v>20170228</v>
      </c>
      <c r="B26" s="105" t="s">
        <v>80</v>
      </c>
      <c r="C26" s="116" t="s">
        <v>44</v>
      </c>
      <c r="D26" s="104"/>
      <c r="E26" s="104" t="s">
        <v>43</v>
      </c>
      <c r="F26" s="23" t="s">
        <v>157</v>
      </c>
      <c r="G26" s="104" t="s">
        <v>1</v>
      </c>
      <c r="H26" s="103">
        <f>[20]副本!G53</f>
        <v>1257.2440000000001</v>
      </c>
      <c r="I26" s="103">
        <f>H26</f>
        <v>1257.2440000000001</v>
      </c>
      <c r="J26" s="104"/>
      <c r="K26" s="101"/>
      <c r="L26" s="102">
        <f>H26-I26</f>
        <v>0</v>
      </c>
      <c r="M26" s="101">
        <v>4000</v>
      </c>
      <c r="N26" s="100"/>
      <c r="O26" s="99"/>
      <c r="P26" s="98"/>
    </row>
    <row r="27" spans="1:17" s="48" customFormat="1" ht="29.25" customHeight="1" x14ac:dyDescent="0.15">
      <c r="A27" s="104">
        <v>20170228</v>
      </c>
      <c r="B27" s="105" t="s">
        <v>79</v>
      </c>
      <c r="C27" s="116" t="s">
        <v>74</v>
      </c>
      <c r="D27" s="104" t="s">
        <v>5</v>
      </c>
      <c r="E27" s="104" t="s">
        <v>315</v>
      </c>
      <c r="F27" s="104" t="s">
        <v>271</v>
      </c>
      <c r="G27" s="104"/>
      <c r="H27" s="103">
        <f>[20]副本!G55</f>
        <v>4007.2739999999999</v>
      </c>
      <c r="I27" s="103">
        <f>H27-4007.274</f>
        <v>0</v>
      </c>
      <c r="J27" s="104"/>
      <c r="K27" s="101"/>
      <c r="L27" s="102">
        <f>H27-I27</f>
        <v>4007.2739999999999</v>
      </c>
      <c r="M27" s="101">
        <v>5000</v>
      </c>
      <c r="N27" s="100"/>
      <c r="O27" s="99"/>
      <c r="P27" s="98" t="s">
        <v>274</v>
      </c>
    </row>
    <row r="28" spans="1:17" s="48" customFormat="1" ht="29.25" customHeight="1" x14ac:dyDescent="0.15">
      <c r="A28" s="104">
        <v>20170228</v>
      </c>
      <c r="B28" s="105" t="s">
        <v>78</v>
      </c>
      <c r="C28" s="116" t="s">
        <v>74</v>
      </c>
      <c r="D28" s="104"/>
      <c r="E28" s="104"/>
      <c r="F28" s="104"/>
      <c r="G28" s="104"/>
      <c r="H28" s="103"/>
      <c r="I28" s="103"/>
      <c r="J28" s="104"/>
      <c r="K28" s="101"/>
      <c r="L28" s="102"/>
      <c r="M28" s="101">
        <v>2000</v>
      </c>
      <c r="N28" s="100"/>
      <c r="O28" s="99"/>
      <c r="P28" s="98"/>
    </row>
    <row r="29" spans="1:17" s="48" customFormat="1" ht="29.25" customHeight="1" x14ac:dyDescent="0.15">
      <c r="A29" s="104">
        <v>20170228</v>
      </c>
      <c r="B29" s="105" t="s">
        <v>77</v>
      </c>
      <c r="C29" s="116" t="s">
        <v>74</v>
      </c>
      <c r="D29" s="104"/>
      <c r="E29" s="104" t="s">
        <v>32</v>
      </c>
      <c r="F29" s="23" t="s">
        <v>153</v>
      </c>
      <c r="G29" s="104" t="s">
        <v>1</v>
      </c>
      <c r="H29" s="103">
        <f>[20]副本!G61</f>
        <v>1098.6790000000001</v>
      </c>
      <c r="I29" s="103">
        <f>H29-1098.679+1098.679</f>
        <v>1098.6790000000001</v>
      </c>
      <c r="J29" s="104"/>
      <c r="K29" s="101"/>
      <c r="L29" s="102">
        <f>H29-I29</f>
        <v>0</v>
      </c>
      <c r="M29" s="101">
        <v>1500</v>
      </c>
      <c r="N29" s="100"/>
      <c r="O29" s="99"/>
      <c r="P29" s="98" t="s">
        <v>325</v>
      </c>
    </row>
    <row r="30" spans="1:17" s="48" customFormat="1" ht="29.25" customHeight="1" x14ac:dyDescent="0.15">
      <c r="A30" s="104">
        <v>20170228</v>
      </c>
      <c r="B30" s="105" t="s">
        <v>76</v>
      </c>
      <c r="C30" s="116" t="s">
        <v>74</v>
      </c>
      <c r="D30" s="104"/>
      <c r="E30" s="104"/>
      <c r="F30" s="104"/>
      <c r="G30" s="104"/>
      <c r="H30" s="103"/>
      <c r="I30" s="103"/>
      <c r="J30" s="104"/>
      <c r="K30" s="101"/>
      <c r="L30" s="102"/>
      <c r="M30" s="101">
        <v>1500</v>
      </c>
      <c r="N30" s="100"/>
      <c r="O30" s="99"/>
      <c r="P30" s="98"/>
      <c r="Q30" s="49"/>
    </row>
    <row r="31" spans="1:17" s="48" customFormat="1" ht="29.25" customHeight="1" x14ac:dyDescent="0.15">
      <c r="A31" s="104">
        <v>20170228</v>
      </c>
      <c r="B31" s="105" t="s">
        <v>75</v>
      </c>
      <c r="C31" s="116" t="s">
        <v>74</v>
      </c>
      <c r="D31" s="104"/>
      <c r="E31" s="104" t="s">
        <v>32</v>
      </c>
      <c r="F31" s="23" t="s">
        <v>153</v>
      </c>
      <c r="G31" s="104" t="s">
        <v>1</v>
      </c>
      <c r="H31" s="103">
        <f>[20]副本!G65</f>
        <v>1096.2820000000002</v>
      </c>
      <c r="I31" s="103">
        <f>H31-1096.282+1096.282</f>
        <v>1096.2820000000002</v>
      </c>
      <c r="J31" s="104"/>
      <c r="K31" s="101"/>
      <c r="L31" s="102">
        <f>H31-I31</f>
        <v>0</v>
      </c>
      <c r="M31" s="101">
        <v>1500</v>
      </c>
      <c r="N31" s="100"/>
      <c r="O31" s="99"/>
      <c r="P31" s="98" t="s">
        <v>324</v>
      </c>
    </row>
    <row r="32" spans="1:17" s="48" customFormat="1" ht="29.25" customHeight="1" x14ac:dyDescent="0.15">
      <c r="A32" s="104">
        <v>20170228</v>
      </c>
      <c r="B32" s="105" t="s">
        <v>73</v>
      </c>
      <c r="C32" s="116" t="s">
        <v>44</v>
      </c>
      <c r="D32" s="104"/>
      <c r="E32" s="104"/>
      <c r="F32" s="104"/>
      <c r="G32" s="104"/>
      <c r="H32" s="103"/>
      <c r="I32" s="103"/>
      <c r="J32" s="104"/>
      <c r="K32" s="101"/>
      <c r="L32" s="102"/>
      <c r="M32" s="101">
        <v>1500</v>
      </c>
      <c r="N32" s="100"/>
      <c r="O32" s="99"/>
      <c r="P32" s="98"/>
    </row>
    <row r="33" spans="1:16" s="48" customFormat="1" ht="29.25" customHeight="1" x14ac:dyDescent="0.15">
      <c r="A33" s="104">
        <v>20170228</v>
      </c>
      <c r="B33" s="105" t="s">
        <v>72</v>
      </c>
      <c r="C33" s="116" t="s">
        <v>44</v>
      </c>
      <c r="D33" s="104"/>
      <c r="E33" s="104" t="s">
        <v>71</v>
      </c>
      <c r="F33" s="23" t="s">
        <v>154</v>
      </c>
      <c r="G33" s="104" t="s">
        <v>1</v>
      </c>
      <c r="H33" s="104">
        <f>[20]副本!G69</f>
        <v>753.33000000000027</v>
      </c>
      <c r="I33" s="103">
        <f>H33-1035.099+1035.099</f>
        <v>753.33000000000027</v>
      </c>
      <c r="J33" s="104"/>
      <c r="K33" s="101">
        <v>50</v>
      </c>
      <c r="L33" s="102">
        <f>H33-I33</f>
        <v>0</v>
      </c>
      <c r="M33" s="101">
        <v>2000</v>
      </c>
      <c r="N33" s="100"/>
      <c r="O33" s="99"/>
      <c r="P33" s="98" t="s">
        <v>323</v>
      </c>
    </row>
    <row r="34" spans="1:16" s="48" customFormat="1" ht="29.25" customHeight="1" x14ac:dyDescent="0.15">
      <c r="A34" s="104">
        <v>20170228</v>
      </c>
      <c r="B34" s="105" t="s">
        <v>69</v>
      </c>
      <c r="C34" s="116" t="s">
        <v>44</v>
      </c>
      <c r="D34" s="104" t="s">
        <v>5</v>
      </c>
      <c r="E34" s="104" t="s">
        <v>68</v>
      </c>
      <c r="F34" s="23" t="s">
        <v>162</v>
      </c>
      <c r="G34" s="104" t="s">
        <v>1</v>
      </c>
      <c r="H34" s="103">
        <f>[20]副本!G71</f>
        <v>18.10899999999981</v>
      </c>
      <c r="I34" s="103">
        <f>H34-1037.023+500+537.023</f>
        <v>18.108999999999924</v>
      </c>
      <c r="J34" s="104"/>
      <c r="K34" s="101"/>
      <c r="L34" s="102">
        <f>H34-I34</f>
        <v>-1.1368683772161603E-13</v>
      </c>
      <c r="M34" s="101">
        <v>3000</v>
      </c>
      <c r="N34" s="100"/>
      <c r="O34" s="99"/>
      <c r="P34" s="110" t="s">
        <v>297</v>
      </c>
    </row>
    <row r="35" spans="1:16" s="48" customFormat="1" ht="29.25" customHeight="1" x14ac:dyDescent="0.15">
      <c r="A35" s="104">
        <v>20170228</v>
      </c>
      <c r="B35" s="105" t="s">
        <v>69</v>
      </c>
      <c r="C35" s="116" t="s">
        <v>44</v>
      </c>
      <c r="D35" s="104" t="s">
        <v>5</v>
      </c>
      <c r="E35" s="104" t="s">
        <v>68</v>
      </c>
      <c r="F35" s="23" t="s">
        <v>298</v>
      </c>
      <c r="G35" s="104" t="s">
        <v>1</v>
      </c>
      <c r="H35" s="103">
        <f>[20]副本!G72</f>
        <v>375.35400000000004</v>
      </c>
      <c r="I35" s="103">
        <f>H35</f>
        <v>375.35400000000004</v>
      </c>
      <c r="J35" s="104"/>
      <c r="K35" s="101">
        <v>100</v>
      </c>
      <c r="L35" s="102">
        <f>H35-I35</f>
        <v>0</v>
      </c>
      <c r="M35" s="101">
        <v>3000</v>
      </c>
      <c r="N35" s="100"/>
      <c r="O35" s="99"/>
      <c r="P35" s="110" t="s">
        <v>297</v>
      </c>
    </row>
    <row r="36" spans="1:16" s="48" customFormat="1" ht="29.25" customHeight="1" x14ac:dyDescent="0.15">
      <c r="A36" s="104">
        <v>20170228</v>
      </c>
      <c r="B36" s="105" t="s">
        <v>66</v>
      </c>
      <c r="C36" s="116" t="s">
        <v>44</v>
      </c>
      <c r="D36" s="104" t="s">
        <v>5</v>
      </c>
      <c r="E36" s="104" t="s">
        <v>61</v>
      </c>
      <c r="F36" s="23" t="s">
        <v>159</v>
      </c>
      <c r="G36" s="104" t="s">
        <v>1</v>
      </c>
      <c r="H36" s="103">
        <f>[20]副本!G74</f>
        <v>755.74599999999919</v>
      </c>
      <c r="I36" s="103">
        <f>H36-3607.546+2050+1050+507.546-1553.792+1553.792</f>
        <v>755.74599999999941</v>
      </c>
      <c r="J36" s="104"/>
      <c r="K36" s="101"/>
      <c r="L36" s="102">
        <f>H36-I36</f>
        <v>0</v>
      </c>
      <c r="M36" s="101">
        <v>4000</v>
      </c>
      <c r="N36" s="100"/>
      <c r="O36" s="99"/>
      <c r="P36" s="98" t="s">
        <v>322</v>
      </c>
    </row>
    <row r="37" spans="1:16" s="48" customFormat="1" ht="29.25" customHeight="1" x14ac:dyDescent="0.15">
      <c r="A37" s="104">
        <v>20170228</v>
      </c>
      <c r="B37" s="105" t="s">
        <v>64</v>
      </c>
      <c r="C37" s="116" t="s">
        <v>3</v>
      </c>
      <c r="D37" s="104"/>
      <c r="E37" s="104"/>
      <c r="F37" s="104"/>
      <c r="G37" s="104"/>
      <c r="H37" s="103"/>
      <c r="I37" s="103"/>
      <c r="J37" s="104"/>
      <c r="K37" s="101"/>
      <c r="L37" s="102"/>
      <c r="M37" s="101">
        <v>5000</v>
      </c>
      <c r="N37" s="100"/>
      <c r="O37" s="99"/>
      <c r="P37" s="98"/>
    </row>
    <row r="38" spans="1:16" s="48" customFormat="1" ht="29.25" customHeight="1" x14ac:dyDescent="0.15">
      <c r="A38" s="104">
        <v>20170228</v>
      </c>
      <c r="B38" s="105" t="s">
        <v>63</v>
      </c>
      <c r="C38" s="116" t="s">
        <v>44</v>
      </c>
      <c r="D38" s="104" t="s">
        <v>5</v>
      </c>
      <c r="E38" s="104" t="s">
        <v>61</v>
      </c>
      <c r="F38" s="23" t="s">
        <v>159</v>
      </c>
      <c r="G38" s="104" t="s">
        <v>1</v>
      </c>
      <c r="H38" s="103">
        <f>[20]副本!G78</f>
        <v>3283.5430000000533</v>
      </c>
      <c r="I38" s="103">
        <f>H38-955.747+477.874+477.873-1042.865-2628.137+500+542.865+2102.57+525.567-499.112-3147.566+2100+525+525+496.678-2617.899+1574.891+523.692-522.622+522.622-2589.467+523.692-499.362+517.893-1051.409+499.362</f>
        <v>164.9360000000533</v>
      </c>
      <c r="J38" s="104"/>
      <c r="K38" s="101"/>
      <c r="L38" s="102">
        <f>H38-I38</f>
        <v>3118.607</v>
      </c>
      <c r="M38" s="101">
        <v>5000</v>
      </c>
      <c r="N38" s="100"/>
      <c r="O38" s="99"/>
      <c r="P38" s="98" t="s">
        <v>321</v>
      </c>
    </row>
    <row r="39" spans="1:16" s="48" customFormat="1" ht="29.25" customHeight="1" x14ac:dyDescent="0.15">
      <c r="A39" s="104">
        <v>20170228</v>
      </c>
      <c r="B39" s="105" t="s">
        <v>63</v>
      </c>
      <c r="C39" s="116" t="s">
        <v>44</v>
      </c>
      <c r="D39" s="104" t="s">
        <v>5</v>
      </c>
      <c r="E39" s="104" t="s">
        <v>61</v>
      </c>
      <c r="F39" s="23" t="s">
        <v>163</v>
      </c>
      <c r="G39" s="104" t="s">
        <v>1</v>
      </c>
      <c r="H39" s="103">
        <f>[20]副本!G79</f>
        <v>530.29100000000039</v>
      </c>
      <c r="I39" s="103">
        <f>H39</f>
        <v>530.29100000000039</v>
      </c>
      <c r="J39" s="104"/>
      <c r="K39" s="101"/>
      <c r="L39" s="102">
        <f>H39-I39</f>
        <v>0</v>
      </c>
      <c r="M39" s="101">
        <v>5000</v>
      </c>
      <c r="N39" s="100"/>
      <c r="O39" s="99"/>
      <c r="P39" s="98" t="s">
        <v>320</v>
      </c>
    </row>
    <row r="40" spans="1:16" s="48" customFormat="1" ht="29.25" customHeight="1" x14ac:dyDescent="0.15">
      <c r="A40" s="104">
        <v>20170228</v>
      </c>
      <c r="B40" s="105" t="s">
        <v>59</v>
      </c>
      <c r="C40" s="116" t="s">
        <v>19</v>
      </c>
      <c r="D40" s="104"/>
      <c r="E40" s="104" t="s">
        <v>32</v>
      </c>
      <c r="F40" s="23" t="s">
        <v>161</v>
      </c>
      <c r="G40" s="104" t="s">
        <v>1</v>
      </c>
      <c r="H40" s="103">
        <f>[20]副本!G81</f>
        <v>31.463999999997668</v>
      </c>
      <c r="I40" s="103">
        <f>H40-2564.978+2564.978</f>
        <v>31.463999999997668</v>
      </c>
      <c r="J40" s="104"/>
      <c r="K40" s="101"/>
      <c r="L40" s="102">
        <f>H40-I40</f>
        <v>0</v>
      </c>
      <c r="M40" s="101">
        <v>4000</v>
      </c>
      <c r="N40" s="100"/>
      <c r="O40" s="99"/>
      <c r="P40" s="98" t="s">
        <v>58</v>
      </c>
    </row>
    <row r="41" spans="1:16" s="48" customFormat="1" ht="29.25" customHeight="1" x14ac:dyDescent="0.15">
      <c r="A41" s="104">
        <v>20170228</v>
      </c>
      <c r="B41" s="105" t="s">
        <v>59</v>
      </c>
      <c r="C41" s="116" t="s">
        <v>19</v>
      </c>
      <c r="D41" s="104"/>
      <c r="E41" s="104" t="s">
        <v>32</v>
      </c>
      <c r="F41" s="23" t="s">
        <v>153</v>
      </c>
      <c r="G41" s="104" t="s">
        <v>1</v>
      </c>
      <c r="H41" s="103">
        <f>[20]副本!G84</f>
        <v>2564.9780000000001</v>
      </c>
      <c r="I41" s="103">
        <f>H41</f>
        <v>2564.9780000000001</v>
      </c>
      <c r="J41" s="104"/>
      <c r="K41" s="101"/>
      <c r="L41" s="102"/>
      <c r="M41" s="101">
        <v>4000</v>
      </c>
      <c r="N41" s="100"/>
      <c r="O41" s="99"/>
      <c r="P41" s="98" t="s">
        <v>319</v>
      </c>
    </row>
    <row r="42" spans="1:16" s="48" customFormat="1" ht="29.25" customHeight="1" x14ac:dyDescent="0.15">
      <c r="A42" s="104">
        <v>20170228</v>
      </c>
      <c r="B42" s="105" t="s">
        <v>56</v>
      </c>
      <c r="C42" s="116" t="s">
        <v>19</v>
      </c>
      <c r="D42" s="104"/>
      <c r="E42" s="104"/>
      <c r="F42" s="104"/>
      <c r="G42" s="104"/>
      <c r="H42" s="103"/>
      <c r="I42" s="103"/>
      <c r="J42" s="104"/>
      <c r="K42" s="101"/>
      <c r="L42" s="102"/>
      <c r="M42" s="101">
        <v>2000</v>
      </c>
      <c r="N42" s="100"/>
      <c r="O42" s="99"/>
      <c r="P42" s="98"/>
    </row>
    <row r="43" spans="1:16" s="48" customFormat="1" ht="29.25" customHeight="1" x14ac:dyDescent="0.15">
      <c r="A43" s="104">
        <v>20170228</v>
      </c>
      <c r="B43" s="105" t="s">
        <v>55</v>
      </c>
      <c r="C43" s="116" t="s">
        <v>19</v>
      </c>
      <c r="D43" s="104"/>
      <c r="E43" s="104" t="s">
        <v>32</v>
      </c>
      <c r="F43" s="23" t="s">
        <v>161</v>
      </c>
      <c r="G43" s="104" t="s">
        <v>1</v>
      </c>
      <c r="H43" s="103">
        <f>[20]副本!G88</f>
        <v>10.130999999999858</v>
      </c>
      <c r="I43" s="103">
        <f>H43</f>
        <v>10.130999999999858</v>
      </c>
      <c r="J43" s="104"/>
      <c r="K43" s="101"/>
      <c r="L43" s="102">
        <f>H43-I43</f>
        <v>0</v>
      </c>
      <c r="M43" s="101">
        <v>3000</v>
      </c>
      <c r="N43" s="100"/>
      <c r="O43" s="99"/>
      <c r="P43" s="98" t="s">
        <v>318</v>
      </c>
    </row>
    <row r="44" spans="1:16" s="48" customFormat="1" ht="29.25" customHeight="1" x14ac:dyDescent="0.15">
      <c r="A44" s="104">
        <v>20170228</v>
      </c>
      <c r="B44" s="105" t="s">
        <v>54</v>
      </c>
      <c r="C44" s="116" t="s">
        <v>19</v>
      </c>
      <c r="D44" s="104"/>
      <c r="E44" s="104" t="s">
        <v>32</v>
      </c>
      <c r="F44" s="23" t="s">
        <v>161</v>
      </c>
      <c r="G44" s="104" t="s">
        <v>1</v>
      </c>
      <c r="H44" s="103">
        <f>[20]副本!G90</f>
        <v>24.139999999999418</v>
      </c>
      <c r="I44" s="103">
        <f>H44</f>
        <v>24.139999999999418</v>
      </c>
      <c r="J44" s="104"/>
      <c r="K44" s="102"/>
      <c r="L44" s="102">
        <f>H44-I44</f>
        <v>0</v>
      </c>
      <c r="M44" s="101">
        <v>5000</v>
      </c>
      <c r="N44" s="109"/>
      <c r="O44" s="99"/>
      <c r="P44" s="98" t="s">
        <v>317</v>
      </c>
    </row>
    <row r="45" spans="1:16" s="48" customFormat="1" ht="29.25" customHeight="1" x14ac:dyDescent="0.15">
      <c r="A45" s="104">
        <v>20170228</v>
      </c>
      <c r="B45" s="105" t="s">
        <v>54</v>
      </c>
      <c r="C45" s="116" t="s">
        <v>19</v>
      </c>
      <c r="D45" s="104"/>
      <c r="E45" s="104" t="s">
        <v>32</v>
      </c>
      <c r="F45" s="23" t="s">
        <v>153</v>
      </c>
      <c r="G45" s="104" t="s">
        <v>1</v>
      </c>
      <c r="H45" s="103">
        <f>[20]副本!G92</f>
        <v>2318.136</v>
      </c>
      <c r="I45" s="103">
        <f>H45</f>
        <v>2318.136</v>
      </c>
      <c r="J45" s="104"/>
      <c r="K45" s="102"/>
      <c r="L45" s="102">
        <f>H45-I45</f>
        <v>0</v>
      </c>
      <c r="M45" s="101">
        <v>5000</v>
      </c>
      <c r="N45" s="109"/>
      <c r="O45" s="99"/>
      <c r="P45" s="98"/>
    </row>
    <row r="46" spans="1:16" s="48" customFormat="1" ht="29.25" customHeight="1" x14ac:dyDescent="0.15">
      <c r="A46" s="104">
        <v>20170228</v>
      </c>
      <c r="B46" s="105" t="s">
        <v>52</v>
      </c>
      <c r="C46" s="116" t="s">
        <v>44</v>
      </c>
      <c r="D46" s="104"/>
      <c r="E46" s="104"/>
      <c r="F46" s="104"/>
      <c r="G46" s="104"/>
      <c r="H46" s="103"/>
      <c r="I46" s="103"/>
      <c r="J46" s="104"/>
      <c r="K46" s="101"/>
      <c r="L46" s="102"/>
      <c r="M46" s="101">
        <v>5000</v>
      </c>
      <c r="N46" s="100"/>
      <c r="O46" s="99"/>
      <c r="P46" s="98"/>
    </row>
    <row r="47" spans="1:16" s="48" customFormat="1" ht="29.25" customHeight="1" x14ac:dyDescent="0.15">
      <c r="A47" s="104">
        <v>20170228</v>
      </c>
      <c r="B47" s="105" t="s">
        <v>51</v>
      </c>
      <c r="C47" s="116" t="s">
        <v>44</v>
      </c>
      <c r="D47" s="104"/>
      <c r="E47" s="104" t="s">
        <v>50</v>
      </c>
      <c r="F47" s="23" t="s">
        <v>152</v>
      </c>
      <c r="G47" s="104" t="s">
        <v>1</v>
      </c>
      <c r="H47" s="103">
        <f>[20]副本!G96</f>
        <v>1787.3680000000004</v>
      </c>
      <c r="I47" s="103">
        <f>H47-1021.25+1021.25</f>
        <v>1787.3680000000004</v>
      </c>
      <c r="J47" s="104"/>
      <c r="K47" s="101">
        <v>100</v>
      </c>
      <c r="L47" s="102">
        <f>H47-I47</f>
        <v>0</v>
      </c>
      <c r="M47" s="101">
        <v>5000</v>
      </c>
      <c r="N47" s="100"/>
      <c r="O47" s="99"/>
      <c r="P47" s="98" t="s">
        <v>316</v>
      </c>
    </row>
    <row r="48" spans="1:16" s="48" customFormat="1" ht="29.25" customHeight="1" x14ac:dyDescent="0.15">
      <c r="A48" s="104">
        <v>20170228</v>
      </c>
      <c r="B48" s="105" t="s">
        <v>51</v>
      </c>
      <c r="C48" s="116" t="s">
        <v>44</v>
      </c>
      <c r="D48" s="104"/>
      <c r="E48" s="104" t="s">
        <v>50</v>
      </c>
      <c r="F48" s="23" t="s">
        <v>148</v>
      </c>
      <c r="G48" s="104" t="s">
        <v>1</v>
      </c>
      <c r="H48" s="103">
        <f>[20]副本!G97</f>
        <v>1000</v>
      </c>
      <c r="I48" s="103">
        <f>H48</f>
        <v>1000</v>
      </c>
      <c r="J48" s="104"/>
      <c r="K48" s="101"/>
      <c r="L48" s="102"/>
      <c r="M48" s="101">
        <v>5000</v>
      </c>
      <c r="N48" s="100"/>
      <c r="O48" s="99"/>
      <c r="P48" s="98" t="s">
        <v>49</v>
      </c>
    </row>
    <row r="49" spans="1:17" s="48" customFormat="1" ht="29.25" customHeight="1" x14ac:dyDescent="0.15">
      <c r="A49" s="104">
        <v>20170228</v>
      </c>
      <c r="B49" s="105" t="s">
        <v>48</v>
      </c>
      <c r="C49" s="116" t="s">
        <v>44</v>
      </c>
      <c r="D49" s="104"/>
      <c r="E49" s="104" t="s">
        <v>43</v>
      </c>
      <c r="F49" s="104"/>
      <c r="G49" s="104"/>
      <c r="H49" s="103"/>
      <c r="I49" s="103"/>
      <c r="J49" s="104"/>
      <c r="K49" s="102"/>
      <c r="L49" s="102"/>
      <c r="M49" s="101">
        <v>2000</v>
      </c>
      <c r="N49" s="100"/>
      <c r="O49" s="99"/>
      <c r="P49" s="98"/>
    </row>
    <row r="50" spans="1:17" s="48" customFormat="1" ht="29.25" customHeight="1" x14ac:dyDescent="0.15">
      <c r="A50" s="104">
        <v>20170228</v>
      </c>
      <c r="B50" s="105" t="s">
        <v>47</v>
      </c>
      <c r="C50" s="116" t="s">
        <v>19</v>
      </c>
      <c r="D50" s="104" t="s">
        <v>5</v>
      </c>
      <c r="E50" s="104" t="s">
        <v>27</v>
      </c>
      <c r="F50" s="23" t="s">
        <v>165</v>
      </c>
      <c r="G50" s="104" t="s">
        <v>1</v>
      </c>
      <c r="H50" s="103">
        <f>[20]副本!G101</f>
        <v>1013.1140000000005</v>
      </c>
      <c r="I50" s="103">
        <v>0</v>
      </c>
      <c r="J50" s="104"/>
      <c r="K50" s="101"/>
      <c r="L50" s="102">
        <f>H50-I50</f>
        <v>1013.1140000000005</v>
      </c>
      <c r="M50" s="101">
        <v>10000</v>
      </c>
      <c r="N50" s="100"/>
      <c r="O50" s="99"/>
      <c r="P50" s="98"/>
    </row>
    <row r="51" spans="1:17" s="48" customFormat="1" ht="29.25" customHeight="1" x14ac:dyDescent="0.15">
      <c r="A51" s="104">
        <v>20170228</v>
      </c>
      <c r="B51" s="105" t="s">
        <v>46</v>
      </c>
      <c r="C51" s="116" t="s">
        <v>19</v>
      </c>
      <c r="D51" s="104" t="s">
        <v>5</v>
      </c>
      <c r="E51" s="104" t="s">
        <v>27</v>
      </c>
      <c r="F51" s="23" t="s">
        <v>165</v>
      </c>
      <c r="G51" s="104" t="s">
        <v>1</v>
      </c>
      <c r="H51" s="103">
        <f>[20]副本!G103</f>
        <v>4217.264000000001</v>
      </c>
      <c r="I51" s="103">
        <v>0</v>
      </c>
      <c r="J51" s="104"/>
      <c r="K51" s="101"/>
      <c r="L51" s="102">
        <v>0</v>
      </c>
      <c r="M51" s="101">
        <v>10000</v>
      </c>
      <c r="N51" s="100"/>
      <c r="O51" s="99"/>
      <c r="P51" s="98"/>
    </row>
    <row r="52" spans="1:17" s="48" customFormat="1" ht="29.25" customHeight="1" x14ac:dyDescent="0.15">
      <c r="A52" s="104">
        <v>20170228</v>
      </c>
      <c r="B52" s="105" t="s">
        <v>45</v>
      </c>
      <c r="C52" s="116" t="s">
        <v>44</v>
      </c>
      <c r="D52" s="104"/>
      <c r="E52" s="104" t="s">
        <v>43</v>
      </c>
      <c r="F52" s="23" t="s">
        <v>166</v>
      </c>
      <c r="G52" s="104" t="s">
        <v>1</v>
      </c>
      <c r="H52" s="103">
        <f>[20]副本!G105</f>
        <v>841.91500000000633</v>
      </c>
      <c r="I52" s="103">
        <f>H52</f>
        <v>841.91500000000633</v>
      </c>
      <c r="J52" s="104"/>
      <c r="K52" s="102"/>
      <c r="L52" s="102">
        <v>0</v>
      </c>
      <c r="M52" s="101">
        <v>5000</v>
      </c>
      <c r="N52" s="107" t="s">
        <v>42</v>
      </c>
      <c r="O52" s="106" t="s">
        <v>41</v>
      </c>
      <c r="P52" s="98" t="s">
        <v>146</v>
      </c>
    </row>
    <row r="53" spans="1:17" s="48" customFormat="1" ht="29.25" customHeight="1" x14ac:dyDescent="0.15">
      <c r="A53" s="104">
        <v>20170228</v>
      </c>
      <c r="B53" s="105" t="s">
        <v>39</v>
      </c>
      <c r="C53" s="116" t="s">
        <v>19</v>
      </c>
      <c r="D53" s="104"/>
      <c r="E53" s="104"/>
      <c r="F53" s="104"/>
      <c r="G53" s="104"/>
      <c r="H53" s="103"/>
      <c r="I53" s="103"/>
      <c r="J53" s="104"/>
      <c r="K53" s="101"/>
      <c r="L53" s="102"/>
      <c r="M53" s="101">
        <v>3000</v>
      </c>
      <c r="N53" s="100"/>
      <c r="O53" s="99"/>
      <c r="P53" s="98"/>
    </row>
    <row r="54" spans="1:17" s="48" customFormat="1" ht="29.25" customHeight="1" x14ac:dyDescent="0.15">
      <c r="A54" s="104">
        <v>20170228</v>
      </c>
      <c r="B54" s="105" t="s">
        <v>38</v>
      </c>
      <c r="C54" s="116" t="s">
        <v>19</v>
      </c>
      <c r="D54" s="104" t="s">
        <v>5</v>
      </c>
      <c r="E54" s="104" t="s">
        <v>27</v>
      </c>
      <c r="F54" s="23" t="s">
        <v>165</v>
      </c>
      <c r="G54" s="104" t="s">
        <v>22</v>
      </c>
      <c r="H54" s="103">
        <f>[20]副本!G109</f>
        <v>7956.9250000000029</v>
      </c>
      <c r="I54" s="103">
        <v>0</v>
      </c>
      <c r="J54" s="104"/>
      <c r="K54" s="101"/>
      <c r="L54" s="102">
        <f>H54-I54</f>
        <v>7956.9250000000029</v>
      </c>
      <c r="M54" s="101">
        <v>25000</v>
      </c>
      <c r="N54" s="100" t="s">
        <v>37</v>
      </c>
      <c r="O54" s="99" t="s">
        <v>36</v>
      </c>
      <c r="P54" s="98" t="s">
        <v>35</v>
      </c>
    </row>
    <row r="55" spans="1:17" s="48" customFormat="1" ht="29.25" customHeight="1" x14ac:dyDescent="0.15">
      <c r="A55" s="104">
        <v>20170228</v>
      </c>
      <c r="B55" s="105" t="s">
        <v>34</v>
      </c>
      <c r="C55" s="116" t="s">
        <v>19</v>
      </c>
      <c r="D55" s="104" t="s">
        <v>5</v>
      </c>
      <c r="E55" s="104" t="s">
        <v>27</v>
      </c>
      <c r="F55" s="23" t="s">
        <v>167</v>
      </c>
      <c r="G55" s="104" t="s">
        <v>22</v>
      </c>
      <c r="H55" s="103">
        <f>[20]副本!G111</f>
        <v>27967.621000000079</v>
      </c>
      <c r="I55" s="103">
        <v>0</v>
      </c>
      <c r="J55" s="104"/>
      <c r="K55" s="101"/>
      <c r="L55" s="102">
        <f>H55-I55</f>
        <v>27967.621000000079</v>
      </c>
      <c r="M55" s="101">
        <v>50000</v>
      </c>
      <c r="N55" s="100"/>
      <c r="O55" s="99"/>
      <c r="P55" s="98"/>
    </row>
    <row r="56" spans="1:17" s="48" customFormat="1" ht="29.25" customHeight="1" x14ac:dyDescent="0.15">
      <c r="A56" s="104">
        <v>20170228</v>
      </c>
      <c r="B56" s="105" t="s">
        <v>33</v>
      </c>
      <c r="C56" s="116" t="s">
        <v>19</v>
      </c>
      <c r="D56" s="104"/>
      <c r="E56" s="104"/>
      <c r="F56" s="104"/>
      <c r="G56" s="104"/>
      <c r="H56" s="103"/>
      <c r="I56" s="103"/>
      <c r="J56" s="104"/>
      <c r="K56" s="101"/>
      <c r="L56" s="102">
        <f>H56-I56</f>
        <v>0</v>
      </c>
      <c r="M56" s="101">
        <v>4000</v>
      </c>
      <c r="N56" s="100"/>
      <c r="O56" s="99"/>
      <c r="P56" s="98"/>
    </row>
    <row r="57" spans="1:17" s="48" customFormat="1" ht="29.25" customHeight="1" x14ac:dyDescent="0.15">
      <c r="A57" s="104">
        <v>20170228</v>
      </c>
      <c r="B57" s="105" t="s">
        <v>30</v>
      </c>
      <c r="C57" s="116" t="s">
        <v>3</v>
      </c>
      <c r="D57" s="104"/>
      <c r="E57" s="104"/>
      <c r="F57" s="104"/>
      <c r="G57" s="104"/>
      <c r="H57" s="103"/>
      <c r="I57" s="103"/>
      <c r="J57" s="104"/>
      <c r="K57" s="101"/>
      <c r="L57" s="102"/>
      <c r="M57" s="101">
        <v>37000</v>
      </c>
      <c r="N57" s="100"/>
      <c r="O57" s="99"/>
      <c r="P57" s="98"/>
    </row>
    <row r="58" spans="1:17" s="48" customFormat="1" ht="29.25" customHeight="1" x14ac:dyDescent="0.15">
      <c r="A58" s="104">
        <v>20170228</v>
      </c>
      <c r="B58" s="105" t="s">
        <v>29</v>
      </c>
      <c r="C58" s="116" t="s">
        <v>3</v>
      </c>
      <c r="D58" s="104"/>
      <c r="E58" s="104"/>
      <c r="F58" s="104"/>
      <c r="G58" s="104"/>
      <c r="H58" s="103"/>
      <c r="I58" s="104"/>
      <c r="J58" s="104"/>
      <c r="K58" s="101"/>
      <c r="L58" s="102"/>
      <c r="M58" s="101">
        <v>37000</v>
      </c>
      <c r="N58" s="100"/>
      <c r="O58" s="99"/>
      <c r="P58" s="98"/>
    </row>
    <row r="59" spans="1:17" s="48" customFormat="1" ht="29.25" customHeight="1" x14ac:dyDescent="0.15">
      <c r="A59" s="104">
        <v>20170228</v>
      </c>
      <c r="B59" s="105" t="s">
        <v>28</v>
      </c>
      <c r="C59" s="116" t="s">
        <v>19</v>
      </c>
      <c r="D59" s="104" t="s">
        <v>5</v>
      </c>
      <c r="E59" s="104" t="s">
        <v>27</v>
      </c>
      <c r="F59" s="23" t="s">
        <v>165</v>
      </c>
      <c r="G59" s="104" t="s">
        <v>22</v>
      </c>
      <c r="H59" s="103">
        <f>[20]副本!G121</f>
        <v>764.82299999999941</v>
      </c>
      <c r="I59" s="103">
        <v>0</v>
      </c>
      <c r="J59" s="104"/>
      <c r="K59" s="102"/>
      <c r="L59" s="102">
        <f>H59-I59</f>
        <v>764.82299999999941</v>
      </c>
      <c r="M59" s="101">
        <v>10000</v>
      </c>
      <c r="N59" s="100"/>
      <c r="O59" s="99"/>
      <c r="P59" s="98"/>
      <c r="Q59" s="49"/>
    </row>
    <row r="60" spans="1:17" s="48" customFormat="1" ht="29.25" customHeight="1" x14ac:dyDescent="0.15">
      <c r="A60" s="104">
        <v>20170228</v>
      </c>
      <c r="B60" s="105" t="s">
        <v>26</v>
      </c>
      <c r="C60" s="116" t="s">
        <v>3</v>
      </c>
      <c r="D60" s="104" t="s">
        <v>5</v>
      </c>
      <c r="E60" s="104" t="s">
        <v>315</v>
      </c>
      <c r="F60" s="23" t="s">
        <v>302</v>
      </c>
      <c r="G60" s="104" t="s">
        <v>22</v>
      </c>
      <c r="H60" s="103">
        <f>[20]副本!G123</f>
        <v>9981.8399999999983</v>
      </c>
      <c r="I60" s="103">
        <f>H60-9981.84</f>
        <v>0</v>
      </c>
      <c r="J60" s="104"/>
      <c r="K60" s="102">
        <v>200</v>
      </c>
      <c r="L60" s="102"/>
      <c r="M60" s="101">
        <v>15000</v>
      </c>
      <c r="N60" s="100"/>
      <c r="O60" s="99"/>
      <c r="P60" s="98"/>
      <c r="Q60" s="49"/>
    </row>
    <row r="61" spans="1:17" s="48" customFormat="1" ht="29.25" customHeight="1" x14ac:dyDescent="0.15">
      <c r="A61" s="104">
        <v>20170228</v>
      </c>
      <c r="B61" s="105" t="s">
        <v>23</v>
      </c>
      <c r="C61" s="105" t="s">
        <v>19</v>
      </c>
      <c r="D61" s="104" t="s">
        <v>5</v>
      </c>
      <c r="E61" s="104"/>
      <c r="F61" s="104"/>
      <c r="G61" s="104"/>
      <c r="H61" s="103"/>
      <c r="I61" s="103"/>
      <c r="J61" s="104"/>
      <c r="K61" s="101"/>
      <c r="L61" s="102"/>
      <c r="M61" s="101">
        <v>43000</v>
      </c>
      <c r="N61" s="100"/>
      <c r="O61" s="99"/>
      <c r="P61" s="98"/>
      <c r="Q61" s="49"/>
    </row>
    <row r="62" spans="1:17" s="48" customFormat="1" ht="29.25" customHeight="1" x14ac:dyDescent="0.15">
      <c r="A62" s="104">
        <v>20170228</v>
      </c>
      <c r="B62" s="105" t="s">
        <v>20</v>
      </c>
      <c r="C62" s="105" t="s">
        <v>19</v>
      </c>
      <c r="D62" s="104" t="s">
        <v>5</v>
      </c>
      <c r="E62" s="104" t="s">
        <v>2</v>
      </c>
      <c r="F62" s="23" t="s">
        <v>282</v>
      </c>
      <c r="G62" s="104" t="s">
        <v>314</v>
      </c>
      <c r="H62" s="103">
        <f>[20]副本!G129</f>
        <v>12365.038</v>
      </c>
      <c r="I62" s="103">
        <f>H62-12365.038</f>
        <v>0</v>
      </c>
      <c r="J62" s="104"/>
      <c r="K62" s="101">
        <v>300</v>
      </c>
      <c r="L62" s="102">
        <f>H62-I62</f>
        <v>12365.038</v>
      </c>
      <c r="M62" s="101">
        <v>43000</v>
      </c>
      <c r="N62" s="100"/>
      <c r="O62" s="99"/>
      <c r="P62" s="98" t="s">
        <v>274</v>
      </c>
      <c r="Q62" s="49"/>
    </row>
    <row r="63" spans="1:17" s="48" customFormat="1" ht="29.25" customHeight="1" x14ac:dyDescent="0.15">
      <c r="A63" s="104">
        <v>20170228</v>
      </c>
      <c r="B63" s="105" t="s">
        <v>20</v>
      </c>
      <c r="C63" s="105" t="s">
        <v>19</v>
      </c>
      <c r="D63" s="104" t="s">
        <v>5</v>
      </c>
      <c r="E63" s="104" t="s">
        <v>2</v>
      </c>
      <c r="F63" s="80" t="s">
        <v>283</v>
      </c>
      <c r="G63" s="104" t="s">
        <v>314</v>
      </c>
      <c r="H63" s="103">
        <f>[20]副本!G130</f>
        <v>19971.696</v>
      </c>
      <c r="I63" s="103">
        <f>H63-19971.696+10000</f>
        <v>10000</v>
      </c>
      <c r="J63" s="104"/>
      <c r="K63" s="101">
        <v>350</v>
      </c>
      <c r="L63" s="102">
        <f>H63-I63</f>
        <v>9971.6959999999999</v>
      </c>
      <c r="M63" s="101">
        <v>43000</v>
      </c>
      <c r="N63" s="100"/>
      <c r="O63" s="99"/>
      <c r="P63" s="98" t="s">
        <v>313</v>
      </c>
      <c r="Q63" s="49"/>
    </row>
    <row r="64" spans="1:17" s="48" customFormat="1" ht="29.25" customHeight="1" x14ac:dyDescent="0.15">
      <c r="A64" s="104">
        <v>20170228</v>
      </c>
      <c r="B64" s="105" t="s">
        <v>18</v>
      </c>
      <c r="C64" s="116" t="s">
        <v>3</v>
      </c>
      <c r="D64" s="104"/>
      <c r="E64" s="104" t="s">
        <v>300</v>
      </c>
      <c r="F64" s="23" t="s">
        <v>197</v>
      </c>
      <c r="G64" s="104" t="s">
        <v>1</v>
      </c>
      <c r="H64" s="103">
        <f>[20]副本!G132</f>
        <v>4001.4289999999955</v>
      </c>
      <c r="I64" s="103">
        <f>H64-8339.329+8339.329</f>
        <v>4001.4289999999955</v>
      </c>
      <c r="J64" s="104"/>
      <c r="K64" s="101">
        <v>200</v>
      </c>
      <c r="L64" s="102">
        <f>H64-I64</f>
        <v>0</v>
      </c>
      <c r="M64" s="101">
        <v>20000</v>
      </c>
      <c r="N64" s="100"/>
      <c r="O64" s="99"/>
      <c r="P64" s="98" t="s">
        <v>312</v>
      </c>
    </row>
    <row r="65" spans="1:16" s="48" customFormat="1" ht="29.25" customHeight="1" x14ac:dyDescent="0.15">
      <c r="A65" s="104">
        <v>20170228</v>
      </c>
      <c r="B65" s="105" t="s">
        <v>17</v>
      </c>
      <c r="C65" s="116" t="s">
        <v>3</v>
      </c>
      <c r="D65" s="104"/>
      <c r="E65" s="104" t="s">
        <v>9</v>
      </c>
      <c r="F65" s="23" t="s">
        <v>175</v>
      </c>
      <c r="G65" s="104" t="s">
        <v>1</v>
      </c>
      <c r="H65" s="103">
        <f>[20]副本!G134</f>
        <v>7537.3190000000031</v>
      </c>
      <c r="I65" s="103">
        <f>H65-4751.949+4751.949</f>
        <v>7537.3190000000031</v>
      </c>
      <c r="J65" s="104"/>
      <c r="K65" s="101"/>
      <c r="L65" s="102">
        <f>H65-I65</f>
        <v>0</v>
      </c>
      <c r="M65" s="101">
        <v>30000</v>
      </c>
      <c r="N65" s="100"/>
      <c r="O65" s="99"/>
      <c r="P65" s="98" t="s">
        <v>311</v>
      </c>
    </row>
    <row r="66" spans="1:16" s="48" customFormat="1" ht="29.25" customHeight="1" x14ac:dyDescent="0.15">
      <c r="A66" s="104">
        <v>20170228</v>
      </c>
      <c r="B66" s="105" t="s">
        <v>17</v>
      </c>
      <c r="C66" s="116" t="s">
        <v>3</v>
      </c>
      <c r="D66" s="104"/>
      <c r="E66" s="104" t="s">
        <v>9</v>
      </c>
      <c r="F66" s="23" t="s">
        <v>158</v>
      </c>
      <c r="G66" s="104" t="s">
        <v>1</v>
      </c>
      <c r="H66" s="103">
        <f>[20]副本!G135</f>
        <v>10477.050999999999</v>
      </c>
      <c r="I66" s="103">
        <f>H66</f>
        <v>10477.050999999999</v>
      </c>
      <c r="J66" s="104"/>
      <c r="K66" s="101"/>
      <c r="L66" s="102">
        <f>H66-I66</f>
        <v>0</v>
      </c>
      <c r="M66" s="101">
        <v>30000</v>
      </c>
      <c r="N66" s="100"/>
      <c r="O66" s="99"/>
      <c r="P66" s="130" t="s">
        <v>310</v>
      </c>
    </row>
    <row r="67" spans="1:16" s="48" customFormat="1" ht="29.25" customHeight="1" x14ac:dyDescent="0.15">
      <c r="A67" s="104">
        <v>20170228</v>
      </c>
      <c r="B67" s="105" t="s">
        <v>14</v>
      </c>
      <c r="C67" s="116" t="s">
        <v>3</v>
      </c>
      <c r="D67" s="104" t="s">
        <v>5</v>
      </c>
      <c r="E67" s="104" t="s">
        <v>2</v>
      </c>
      <c r="F67" s="23" t="s">
        <v>174</v>
      </c>
      <c r="G67" s="104" t="s">
        <v>1</v>
      </c>
      <c r="H67" s="103">
        <f>[20]副本!G137</f>
        <v>14976.093999999999</v>
      </c>
      <c r="I67" s="103">
        <f>H67-14976.094</f>
        <v>0</v>
      </c>
      <c r="J67" s="104"/>
      <c r="K67" s="101">
        <v>400</v>
      </c>
      <c r="L67" s="102">
        <f>H67-I67</f>
        <v>14976.093999999999</v>
      </c>
      <c r="M67" s="101">
        <v>20000</v>
      </c>
      <c r="N67" s="100" t="s">
        <v>13</v>
      </c>
      <c r="O67" s="99" t="s">
        <v>12</v>
      </c>
      <c r="P67" s="98" t="s">
        <v>11</v>
      </c>
    </row>
    <row r="68" spans="1:16" s="48" customFormat="1" ht="29.25" customHeight="1" x14ac:dyDescent="0.15">
      <c r="A68" s="104">
        <v>20170228</v>
      </c>
      <c r="B68" s="105" t="s">
        <v>10</v>
      </c>
      <c r="C68" s="116" t="s">
        <v>3</v>
      </c>
      <c r="D68" s="104"/>
      <c r="E68" s="104" t="s">
        <v>9</v>
      </c>
      <c r="F68" s="23" t="s">
        <v>158</v>
      </c>
      <c r="G68" s="104" t="s">
        <v>1</v>
      </c>
      <c r="H68" s="103">
        <f>[20]副本!G139</f>
        <v>11846.198999999971</v>
      </c>
      <c r="I68" s="103">
        <f>H68</f>
        <v>11846.198999999971</v>
      </c>
      <c r="J68" s="104"/>
      <c r="K68" s="101"/>
      <c r="L68" s="102">
        <v>0</v>
      </c>
      <c r="M68" s="101">
        <v>30000</v>
      </c>
      <c r="N68" s="100"/>
      <c r="O68" s="99"/>
      <c r="P68" s="98"/>
    </row>
    <row r="69" spans="1:16" s="48" customFormat="1" ht="29.25" customHeight="1" x14ac:dyDescent="0.15">
      <c r="A69" s="104">
        <v>20170228</v>
      </c>
      <c r="B69" s="105" t="s">
        <v>8</v>
      </c>
      <c r="C69" s="116" t="s">
        <v>3</v>
      </c>
      <c r="D69" s="104"/>
      <c r="E69" s="104" t="s">
        <v>2</v>
      </c>
      <c r="F69" s="98" t="s">
        <v>333</v>
      </c>
      <c r="G69" s="104" t="s">
        <v>1</v>
      </c>
      <c r="H69" s="103"/>
      <c r="I69" s="103"/>
      <c r="J69" s="104"/>
      <c r="K69" s="101"/>
      <c r="L69" s="102"/>
      <c r="M69" s="101">
        <v>20000</v>
      </c>
      <c r="N69" s="100"/>
      <c r="O69" s="99"/>
      <c r="P69" s="104"/>
    </row>
    <row r="70" spans="1:16" s="48" customFormat="1" ht="29.25" customHeight="1" x14ac:dyDescent="0.15">
      <c r="A70" s="104">
        <v>20170228</v>
      </c>
      <c r="B70" s="105" t="s">
        <v>7</v>
      </c>
      <c r="C70" s="116" t="s">
        <v>3</v>
      </c>
      <c r="D70" s="104" t="s">
        <v>5</v>
      </c>
      <c r="E70" s="104" t="s">
        <v>309</v>
      </c>
      <c r="F70" s="104" t="s">
        <v>306</v>
      </c>
      <c r="G70" s="104" t="s">
        <v>1</v>
      </c>
      <c r="H70" s="103">
        <f>[20]副本!G145</f>
        <v>7234.21</v>
      </c>
      <c r="I70" s="103">
        <f>H70-7234.21</f>
        <v>0</v>
      </c>
      <c r="J70" s="104"/>
      <c r="K70" s="101"/>
      <c r="L70" s="102">
        <f>H70-I70</f>
        <v>7234.21</v>
      </c>
      <c r="M70" s="101">
        <v>15000</v>
      </c>
      <c r="N70" s="100"/>
      <c r="O70" s="99"/>
      <c r="P70" s="98"/>
    </row>
    <row r="71" spans="1:16" s="48" customFormat="1" ht="29.25" customHeight="1" x14ac:dyDescent="0.15">
      <c r="A71" s="104">
        <v>20170228</v>
      </c>
      <c r="B71" s="105" t="s">
        <v>6</v>
      </c>
      <c r="C71" s="116" t="s">
        <v>3</v>
      </c>
      <c r="D71" s="104" t="s">
        <v>5</v>
      </c>
      <c r="E71" s="104" t="s">
        <v>2</v>
      </c>
      <c r="F71" s="23" t="s">
        <v>171</v>
      </c>
      <c r="G71" s="104" t="s">
        <v>1</v>
      </c>
      <c r="H71" s="103">
        <f>[20]副本!G147</f>
        <v>5463.1059999999998</v>
      </c>
      <c r="I71" s="103">
        <f>H71</f>
        <v>5463.1059999999998</v>
      </c>
      <c r="J71" s="104"/>
      <c r="K71" s="101">
        <v>700</v>
      </c>
      <c r="L71" s="102">
        <f>H71-I71</f>
        <v>0</v>
      </c>
      <c r="M71" s="101">
        <v>15000</v>
      </c>
      <c r="N71" s="100"/>
      <c r="O71" s="99"/>
      <c r="P71" s="98" t="s">
        <v>308</v>
      </c>
    </row>
    <row r="72" spans="1:16" s="48" customFormat="1" ht="29.25" customHeight="1" x14ac:dyDescent="0.15">
      <c r="A72" s="104">
        <v>20170228</v>
      </c>
      <c r="B72" s="105" t="s">
        <v>6</v>
      </c>
      <c r="C72" s="116" t="s">
        <v>3</v>
      </c>
      <c r="D72" s="104" t="s">
        <v>5</v>
      </c>
      <c r="E72" s="104" t="s">
        <v>2</v>
      </c>
      <c r="F72" s="23" t="s">
        <v>172</v>
      </c>
      <c r="G72" s="104" t="s">
        <v>1</v>
      </c>
      <c r="H72" s="103">
        <f>[20]副本!G148</f>
        <v>983.31999999999971</v>
      </c>
      <c r="I72" s="103">
        <f>H72</f>
        <v>983.31999999999971</v>
      </c>
      <c r="J72" s="104"/>
      <c r="K72" s="101"/>
      <c r="L72" s="102"/>
      <c r="M72" s="101">
        <v>15000</v>
      </c>
      <c r="N72" s="100"/>
      <c r="O72" s="99"/>
      <c r="P72" s="98" t="s">
        <v>308</v>
      </c>
    </row>
    <row r="73" spans="1:16" s="48" customFormat="1" ht="29.25" customHeight="1" x14ac:dyDescent="0.15">
      <c r="A73" s="104">
        <v>20170228</v>
      </c>
      <c r="B73" s="105" t="s">
        <v>4</v>
      </c>
      <c r="C73" s="116" t="s">
        <v>3</v>
      </c>
      <c r="D73" s="104"/>
      <c r="E73" s="104" t="s">
        <v>2</v>
      </c>
      <c r="F73" s="23" t="s">
        <v>170</v>
      </c>
      <c r="G73" s="104" t="s">
        <v>1</v>
      </c>
      <c r="H73" s="103">
        <f>[20]副本!G150</f>
        <v>4.0499999999974534</v>
      </c>
      <c r="I73" s="103">
        <f>H73</f>
        <v>4.0499999999974534</v>
      </c>
      <c r="J73" s="104"/>
      <c r="K73" s="101"/>
      <c r="L73" s="102">
        <f>H73-I73</f>
        <v>0</v>
      </c>
      <c r="M73" s="101">
        <v>15000</v>
      </c>
      <c r="N73" s="100"/>
      <c r="O73" s="99"/>
      <c r="P73" s="98" t="s">
        <v>307</v>
      </c>
    </row>
    <row r="79" spans="1:16" x14ac:dyDescent="0.15">
      <c r="L79" s="47"/>
    </row>
    <row r="231" spans="7:8" x14ac:dyDescent="0.15">
      <c r="G231" s="39"/>
      <c r="H231" s="39"/>
    </row>
  </sheetData>
  <autoFilter ref="B1:I73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8" activePane="bottomRight" state="frozen"/>
      <selection pane="topRight"/>
      <selection pane="bottomLeft"/>
      <selection pane="bottomRight" activeCell="E14" sqref="E14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5.6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2.25" customHeight="1" x14ac:dyDescent="0.15">
      <c r="A2" s="37">
        <v>20170204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/>
    </row>
    <row r="3" spans="1:17" s="48" customFormat="1" ht="32.25" customHeight="1" x14ac:dyDescent="0.15">
      <c r="A3" s="37">
        <v>20170204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[3]副本!G6</f>
        <v>620.15899999999999</v>
      </c>
      <c r="I3" s="60">
        <f>H3</f>
        <v>620.15899999999999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2.25" customHeight="1" x14ac:dyDescent="0.15">
      <c r="A4" s="37">
        <v>20170204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[3]副本!G8</f>
        <v>1710.5029999999958</v>
      </c>
      <c r="I4" s="60">
        <f>H4</f>
        <v>1710.5029999999958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2.25" customHeight="1" x14ac:dyDescent="0.15">
      <c r="A5" s="37">
        <v>20170204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 t="s">
        <v>124</v>
      </c>
      <c r="I5" s="60" t="s">
        <v>124</v>
      </c>
      <c r="J5" s="37"/>
      <c r="K5" s="62"/>
      <c r="L5" s="61">
        <v>0</v>
      </c>
      <c r="M5" s="62">
        <v>2000</v>
      </c>
      <c r="N5" s="63" t="s">
        <v>123</v>
      </c>
      <c r="O5" s="64" t="s">
        <v>89</v>
      </c>
      <c r="P5" s="59" t="s">
        <v>122</v>
      </c>
    </row>
    <row r="6" spans="1:17" s="48" customFormat="1" ht="32.25" customHeight="1" x14ac:dyDescent="0.15">
      <c r="A6" s="37">
        <v>20170204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>
        <f>[3]副本!G12</f>
        <v>0.63799999999991996</v>
      </c>
      <c r="I6" s="60">
        <f t="shared" ref="I6:I14" si="0">H6</f>
        <v>0.63799999999991996</v>
      </c>
      <c r="J6" s="37"/>
      <c r="K6" s="62"/>
      <c r="L6" s="61">
        <v>0</v>
      </c>
      <c r="M6" s="62">
        <v>3000</v>
      </c>
      <c r="N6" s="63" t="s">
        <v>120</v>
      </c>
      <c r="O6" s="64" t="s">
        <v>89</v>
      </c>
      <c r="P6" s="59" t="s">
        <v>119</v>
      </c>
      <c r="Q6" s="49"/>
    </row>
    <row r="7" spans="1:17" s="48" customFormat="1" ht="32.25" customHeight="1" x14ac:dyDescent="0.15">
      <c r="A7" s="37">
        <v>20170204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[3]副本!G14</f>
        <v>-2.2400000000016007</v>
      </c>
      <c r="I7" s="60">
        <f t="shared" si="0"/>
        <v>-2.2400000000016007</v>
      </c>
      <c r="J7" s="37"/>
      <c r="K7" s="62"/>
      <c r="L7" s="61">
        <v>0</v>
      </c>
      <c r="M7" s="62">
        <v>3000</v>
      </c>
      <c r="N7" s="63"/>
      <c r="O7" s="64"/>
      <c r="P7" s="59" t="s">
        <v>116</v>
      </c>
      <c r="Q7" s="49"/>
    </row>
    <row r="8" spans="1:17" s="48" customFormat="1" ht="32.25" customHeight="1" x14ac:dyDescent="0.15">
      <c r="A8" s="37">
        <v>20170204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[3]副本!G16</f>
        <v>2087.2890000000002</v>
      </c>
      <c r="I8" s="60">
        <f t="shared" si="0"/>
        <v>2087.2890000000002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2.25" customHeight="1" x14ac:dyDescent="0.15">
      <c r="A9" s="37">
        <v>20170204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[3]副本!G18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9" t="s">
        <v>109</v>
      </c>
    </row>
    <row r="10" spans="1:17" s="48" customFormat="1" ht="32.25" customHeight="1" x14ac:dyDescent="0.15">
      <c r="A10" s="37">
        <v>20170204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[3]副本!G20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32.25" customHeight="1" x14ac:dyDescent="0.15">
      <c r="A11" s="37">
        <v>20170204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/>
      <c r="H11" s="60">
        <f>[3]副本!G21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/>
      <c r="N11" s="63"/>
      <c r="O11" s="64"/>
      <c r="P11" s="59" t="s">
        <v>106</v>
      </c>
    </row>
    <row r="12" spans="1:17" s="48" customFormat="1" ht="32.25" customHeight="1" x14ac:dyDescent="0.15">
      <c r="A12" s="37">
        <v>20170204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/>
      <c r="H12" s="60">
        <f>[3]副本!G22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/>
      <c r="N12" s="63"/>
      <c r="O12" s="64"/>
      <c r="P12" s="59" t="s">
        <v>106</v>
      </c>
    </row>
    <row r="13" spans="1:17" s="48" customFormat="1" ht="32.25" customHeight="1" x14ac:dyDescent="0.15">
      <c r="A13" s="37">
        <v>20170204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[3]副本!G24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32.25" customHeight="1" x14ac:dyDescent="0.15">
      <c r="A14" s="37">
        <v>20170204</v>
      </c>
      <c r="B14" s="58" t="s">
        <v>104</v>
      </c>
      <c r="C14" s="65" t="s">
        <v>19</v>
      </c>
      <c r="D14" s="37"/>
      <c r="E14" s="37" t="s">
        <v>200</v>
      </c>
      <c r="F14" s="23" t="s">
        <v>150</v>
      </c>
      <c r="G14" s="37"/>
      <c r="H14" s="60">
        <f>[3]副本!G26</f>
        <v>904.43000000000006</v>
      </c>
      <c r="I14" s="60">
        <f t="shared" si="0"/>
        <v>904.43000000000006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32.25" customHeight="1" x14ac:dyDescent="0.15">
      <c r="A15" s="37">
        <v>20170204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2.25" customHeight="1" x14ac:dyDescent="0.15">
      <c r="A16" s="37">
        <v>20170204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[3]副本!G30</f>
        <v>1051.9169999999999</v>
      </c>
      <c r="I16" s="60">
        <f>H16</f>
        <v>1051.9169999999999</v>
      </c>
      <c r="J16" s="37"/>
      <c r="K16" s="62">
        <v>70</v>
      </c>
      <c r="L16" s="61">
        <v>0</v>
      </c>
      <c r="M16" s="62">
        <v>1500</v>
      </c>
      <c r="N16" s="63"/>
      <c r="O16" s="64"/>
      <c r="P16" s="59" t="s">
        <v>100</v>
      </c>
    </row>
    <row r="17" spans="1:17" s="48" customFormat="1" ht="32.25" customHeight="1" x14ac:dyDescent="0.15">
      <c r="A17" s="37">
        <v>20170204</v>
      </c>
      <c r="B17" s="58" t="s">
        <v>99</v>
      </c>
      <c r="C17" s="65" t="s">
        <v>93</v>
      </c>
      <c r="D17" s="37"/>
      <c r="E17" s="37" t="s">
        <v>9</v>
      </c>
      <c r="F17" s="23" t="s">
        <v>158</v>
      </c>
      <c r="G17" s="37" t="s">
        <v>1</v>
      </c>
      <c r="H17" s="60">
        <f>[3]副本!G32-H18</f>
        <v>12214.247000000018</v>
      </c>
      <c r="I17" s="60">
        <f>H17</f>
        <v>12214.247000000018</v>
      </c>
      <c r="J17" s="37"/>
      <c r="K17" s="62"/>
      <c r="L17" s="61">
        <f>H17-I17</f>
        <v>0</v>
      </c>
      <c r="M17" s="62">
        <v>21000</v>
      </c>
      <c r="N17" s="63" t="s">
        <v>90</v>
      </c>
      <c r="O17" s="64" t="s">
        <v>89</v>
      </c>
      <c r="P17" s="59" t="s">
        <v>98</v>
      </c>
    </row>
    <row r="18" spans="1:17" s="48" customFormat="1" ht="32.25" customHeight="1" x14ac:dyDescent="0.15">
      <c r="A18" s="37">
        <v>20170204</v>
      </c>
      <c r="B18" s="58" t="s">
        <v>99</v>
      </c>
      <c r="C18" s="65" t="s">
        <v>93</v>
      </c>
      <c r="D18" s="37"/>
      <c r="E18" s="37" t="s">
        <v>9</v>
      </c>
      <c r="F18" s="24" t="s">
        <v>176</v>
      </c>
      <c r="G18" s="37" t="s">
        <v>1</v>
      </c>
      <c r="H18" s="60">
        <f>[3]副本!G34</f>
        <v>2172.7529999999824</v>
      </c>
      <c r="I18" s="60">
        <f>H18</f>
        <v>2172.7529999999824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97</v>
      </c>
    </row>
    <row r="19" spans="1:17" s="48" customFormat="1" ht="32.25" customHeight="1" x14ac:dyDescent="0.15">
      <c r="A19" s="37">
        <v>20170204</v>
      </c>
      <c r="B19" s="58" t="s">
        <v>96</v>
      </c>
      <c r="C19" s="65" t="s">
        <v>44</v>
      </c>
      <c r="D19" s="37" t="s">
        <v>5</v>
      </c>
      <c r="E19" s="37" t="s">
        <v>61</v>
      </c>
      <c r="F19" s="23" t="s">
        <v>159</v>
      </c>
      <c r="G19" s="37" t="s">
        <v>1</v>
      </c>
      <c r="H19" s="60">
        <f>[3]副本!G36</f>
        <v>3496.5419999999999</v>
      </c>
      <c r="I19" s="60">
        <f>H19-3496.542</f>
        <v>0</v>
      </c>
      <c r="J19" s="37"/>
      <c r="K19" s="62"/>
      <c r="L19" s="61">
        <f>H19-I19</f>
        <v>3496.5419999999999</v>
      </c>
      <c r="M19" s="62">
        <v>5000</v>
      </c>
      <c r="N19" s="63"/>
      <c r="O19" s="64"/>
      <c r="P19" s="59"/>
    </row>
    <row r="20" spans="1:17" s="48" customFormat="1" ht="32.25" customHeight="1" x14ac:dyDescent="0.15">
      <c r="A20" s="37">
        <v>20170204</v>
      </c>
      <c r="B20" s="58" t="s">
        <v>95</v>
      </c>
      <c r="C20" s="65" t="s">
        <v>44</v>
      </c>
      <c r="D20" s="37"/>
      <c r="E20" s="37"/>
      <c r="F20" s="37"/>
      <c r="G20" s="37"/>
      <c r="H20" s="60"/>
      <c r="I20" s="60"/>
      <c r="J20" s="37"/>
      <c r="K20" s="62"/>
      <c r="L20" s="61"/>
      <c r="M20" s="62">
        <v>3000</v>
      </c>
      <c r="N20" s="63"/>
      <c r="O20" s="64"/>
      <c r="P20" s="59"/>
    </row>
    <row r="21" spans="1:17" s="48" customFormat="1" ht="32.25" customHeight="1" x14ac:dyDescent="0.15">
      <c r="A21" s="37">
        <v>20170204</v>
      </c>
      <c r="B21" s="58" t="s">
        <v>94</v>
      </c>
      <c r="C21" s="65" t="s">
        <v>93</v>
      </c>
      <c r="D21" s="37"/>
      <c r="E21" s="37" t="s">
        <v>9</v>
      </c>
      <c r="F21" s="23" t="s">
        <v>158</v>
      </c>
      <c r="G21" s="37" t="s">
        <v>1</v>
      </c>
      <c r="H21" s="60">
        <f>[3]副本!G40-'20170204'!H22</f>
        <v>5005.5454280000376</v>
      </c>
      <c r="I21" s="60">
        <f>H21</f>
        <v>5005.5454280000376</v>
      </c>
      <c r="J21" s="37"/>
      <c r="K21" s="62"/>
      <c r="L21" s="61">
        <f>H21-I21</f>
        <v>0</v>
      </c>
      <c r="M21" s="62">
        <v>21000</v>
      </c>
      <c r="N21" s="63" t="s">
        <v>92</v>
      </c>
      <c r="O21" s="64" t="s">
        <v>89</v>
      </c>
      <c r="P21" s="59" t="s">
        <v>91</v>
      </c>
    </row>
    <row r="22" spans="1:17" s="48" customFormat="1" ht="32.25" customHeight="1" x14ac:dyDescent="0.15">
      <c r="A22" s="37">
        <v>20170204</v>
      </c>
      <c r="B22" s="58" t="s">
        <v>94</v>
      </c>
      <c r="C22" s="65" t="s">
        <v>93</v>
      </c>
      <c r="D22" s="37"/>
      <c r="E22" s="37" t="s">
        <v>9</v>
      </c>
      <c r="F22" s="24" t="s">
        <v>175</v>
      </c>
      <c r="G22" s="37"/>
      <c r="H22" s="60">
        <f>[3]副本!G42</f>
        <v>8385.4545719999624</v>
      </c>
      <c r="I22" s="60">
        <f>H22</f>
        <v>8385.4545719999624</v>
      </c>
      <c r="J22" s="37"/>
      <c r="K22" s="71"/>
      <c r="L22" s="61">
        <f>H22-I22</f>
        <v>0</v>
      </c>
      <c r="M22" s="62">
        <v>21000</v>
      </c>
      <c r="N22" s="63" t="s">
        <v>90</v>
      </c>
      <c r="O22" s="64" t="s">
        <v>89</v>
      </c>
      <c r="P22" s="59" t="s">
        <v>88</v>
      </c>
    </row>
    <row r="23" spans="1:17" s="48" customFormat="1" ht="32.25" customHeight="1" x14ac:dyDescent="0.15">
      <c r="A23" s="37">
        <v>20170204</v>
      </c>
      <c r="B23" s="58" t="s">
        <v>87</v>
      </c>
      <c r="C23" s="65" t="s">
        <v>44</v>
      </c>
      <c r="D23" s="37"/>
      <c r="E23" s="37" t="s">
        <v>86</v>
      </c>
      <c r="F23" s="23" t="s">
        <v>160</v>
      </c>
      <c r="G23" s="37" t="s">
        <v>1</v>
      </c>
      <c r="H23" s="60">
        <f>[3]副本!G44</f>
        <v>6134.7419999999993</v>
      </c>
      <c r="I23" s="60">
        <f>H23</f>
        <v>6134.7419999999993</v>
      </c>
      <c r="J23" s="37"/>
      <c r="K23" s="62">
        <v>350</v>
      </c>
      <c r="L23" s="61">
        <f>H23-I23</f>
        <v>0</v>
      </c>
      <c r="M23" s="62">
        <v>5000</v>
      </c>
      <c r="N23" s="63"/>
      <c r="O23" s="64"/>
      <c r="P23" s="59" t="s">
        <v>85</v>
      </c>
    </row>
    <row r="24" spans="1:17" s="48" customFormat="1" ht="32.25" customHeight="1" x14ac:dyDescent="0.15">
      <c r="A24" s="37">
        <v>20170204</v>
      </c>
      <c r="B24" s="58" t="s">
        <v>84</v>
      </c>
      <c r="C24" s="65" t="s">
        <v>3</v>
      </c>
      <c r="D24" s="37"/>
      <c r="E24" s="59" t="s">
        <v>83</v>
      </c>
      <c r="F24" s="23" t="s">
        <v>161</v>
      </c>
      <c r="G24" s="37" t="s">
        <v>1</v>
      </c>
      <c r="H24" s="60">
        <f>[3]副本!G46</f>
        <v>1008.913</v>
      </c>
      <c r="I24" s="60">
        <f>H24</f>
        <v>1008.913</v>
      </c>
      <c r="J24" s="37"/>
      <c r="K24" s="62"/>
      <c r="L24" s="61">
        <f>H24-I24</f>
        <v>0</v>
      </c>
      <c r="M24" s="62">
        <v>5000</v>
      </c>
      <c r="N24" s="63"/>
      <c r="O24" s="64"/>
      <c r="P24" s="66" t="s">
        <v>82</v>
      </c>
    </row>
    <row r="25" spans="1:17" s="48" customFormat="1" ht="32.25" customHeight="1" x14ac:dyDescent="0.15">
      <c r="A25" s="37">
        <v>20170204</v>
      </c>
      <c r="B25" s="58" t="s">
        <v>81</v>
      </c>
      <c r="C25" s="65" t="s">
        <v>44</v>
      </c>
      <c r="D25" s="37"/>
      <c r="E25" s="37"/>
      <c r="F25" s="37"/>
      <c r="G25" s="37"/>
      <c r="H25" s="60"/>
      <c r="I25" s="60"/>
      <c r="J25" s="37"/>
      <c r="K25" s="62"/>
      <c r="L25" s="61"/>
      <c r="M25" s="62">
        <v>5000</v>
      </c>
      <c r="N25" s="63"/>
      <c r="O25" s="64"/>
      <c r="P25" s="59"/>
    </row>
    <row r="26" spans="1:17" s="48" customFormat="1" ht="32.25" customHeight="1" x14ac:dyDescent="0.15">
      <c r="A26" s="37">
        <v>20170204</v>
      </c>
      <c r="B26" s="58" t="s">
        <v>80</v>
      </c>
      <c r="C26" s="65" t="s">
        <v>44</v>
      </c>
      <c r="D26" s="37"/>
      <c r="E26" s="37"/>
      <c r="F26" s="37"/>
      <c r="G26" s="37"/>
      <c r="H26" s="60"/>
      <c r="I26" s="60"/>
      <c r="J26" s="37"/>
      <c r="K26" s="62"/>
      <c r="L26" s="61"/>
      <c r="M26" s="62">
        <v>4000</v>
      </c>
      <c r="N26" s="63"/>
      <c r="O26" s="64"/>
      <c r="P26" s="59"/>
    </row>
    <row r="27" spans="1:17" s="48" customFormat="1" ht="32.25" customHeight="1" x14ac:dyDescent="0.15">
      <c r="A27" s="37">
        <v>20170204</v>
      </c>
      <c r="B27" s="58" t="s">
        <v>79</v>
      </c>
      <c r="C27" s="65" t="s">
        <v>74</v>
      </c>
      <c r="D27" s="37"/>
      <c r="E27" s="37"/>
      <c r="F27" s="37"/>
      <c r="G27" s="37"/>
      <c r="H27" s="60"/>
      <c r="I27" s="60"/>
      <c r="J27" s="37"/>
      <c r="K27" s="62"/>
      <c r="L27" s="61"/>
      <c r="M27" s="62">
        <v>5000</v>
      </c>
      <c r="N27" s="63"/>
      <c r="O27" s="64"/>
      <c r="P27" s="59"/>
    </row>
    <row r="28" spans="1:17" s="48" customFormat="1" ht="32.25" customHeight="1" x14ac:dyDescent="0.15">
      <c r="A28" s="37">
        <v>20170204</v>
      </c>
      <c r="B28" s="58" t="s">
        <v>78</v>
      </c>
      <c r="C28" s="65" t="s">
        <v>74</v>
      </c>
      <c r="D28" s="37"/>
      <c r="E28" s="37" t="s">
        <v>32</v>
      </c>
      <c r="F28" s="23" t="s">
        <v>161</v>
      </c>
      <c r="G28" s="37" t="s">
        <v>1</v>
      </c>
      <c r="H28" s="60">
        <f>[3]副本!G55</f>
        <v>1496.749</v>
      </c>
      <c r="I28" s="60">
        <f>H28</f>
        <v>1496.749</v>
      </c>
      <c r="J28" s="37"/>
      <c r="K28" s="62">
        <v>1300</v>
      </c>
      <c r="L28" s="61">
        <f>H28-I28</f>
        <v>0</v>
      </c>
      <c r="M28" s="62">
        <v>2000</v>
      </c>
      <c r="N28" s="63"/>
      <c r="O28" s="64"/>
      <c r="P28" s="59" t="s">
        <v>31</v>
      </c>
    </row>
    <row r="29" spans="1:17" s="48" customFormat="1" ht="32.25" customHeight="1" x14ac:dyDescent="0.15">
      <c r="A29" s="37">
        <v>20170204</v>
      </c>
      <c r="B29" s="58" t="s">
        <v>77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[3]副本!G57</f>
        <v>1098.6790000000001</v>
      </c>
      <c r="I29" s="60">
        <f>H29-1098.679</f>
        <v>0</v>
      </c>
      <c r="J29" s="37"/>
      <c r="K29" s="62"/>
      <c r="L29" s="61">
        <f>H29-I29</f>
        <v>1098.6790000000001</v>
      </c>
      <c r="M29" s="62">
        <v>1500</v>
      </c>
      <c r="N29" s="63"/>
      <c r="O29" s="64"/>
      <c r="P29" s="59"/>
    </row>
    <row r="30" spans="1:17" s="48" customFormat="1" ht="32.25" customHeight="1" x14ac:dyDescent="0.15">
      <c r="A30" s="37">
        <v>20170204</v>
      </c>
      <c r="B30" s="58" t="s">
        <v>76</v>
      </c>
      <c r="C30" s="65" t="s">
        <v>74</v>
      </c>
      <c r="D30" s="37"/>
      <c r="E30" s="37" t="s">
        <v>32</v>
      </c>
      <c r="F30" s="23" t="s">
        <v>161</v>
      </c>
      <c r="G30" s="37" t="s">
        <v>1</v>
      </c>
      <c r="H30" s="60">
        <f>[3]副本!G59</f>
        <v>886.72700000000009</v>
      </c>
      <c r="I30" s="60">
        <f>H30</f>
        <v>886.72700000000009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31</v>
      </c>
      <c r="Q30" s="49"/>
    </row>
    <row r="31" spans="1:17" s="48" customFormat="1" ht="32.25" customHeight="1" x14ac:dyDescent="0.15">
      <c r="A31" s="37">
        <v>20170204</v>
      </c>
      <c r="B31" s="58" t="s">
        <v>75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[3]副本!G61</f>
        <v>1096.2820000000002</v>
      </c>
      <c r="I31" s="60">
        <f>H31-1096.282</f>
        <v>0</v>
      </c>
      <c r="J31" s="37"/>
      <c r="K31" s="62"/>
      <c r="L31" s="61">
        <f>H31-I31</f>
        <v>1096.2820000000002</v>
      </c>
      <c r="M31" s="62">
        <v>1500</v>
      </c>
      <c r="N31" s="63"/>
      <c r="O31" s="64"/>
      <c r="P31" s="59"/>
    </row>
    <row r="32" spans="1:17" s="48" customFormat="1" ht="32.25" customHeight="1" x14ac:dyDescent="0.15">
      <c r="A32" s="37">
        <v>20170204</v>
      </c>
      <c r="B32" s="58" t="s">
        <v>73</v>
      </c>
      <c r="C32" s="65" t="s">
        <v>44</v>
      </c>
      <c r="D32" s="37"/>
      <c r="E32" s="37"/>
      <c r="F32" s="37"/>
      <c r="G32" s="37"/>
      <c r="H32" s="60"/>
      <c r="I32" s="60"/>
      <c r="J32" s="37"/>
      <c r="K32" s="62"/>
      <c r="L32" s="61"/>
      <c r="M32" s="62">
        <v>1500</v>
      </c>
      <c r="N32" s="63"/>
      <c r="O32" s="64"/>
      <c r="P32" s="59"/>
    </row>
    <row r="33" spans="1:16" s="48" customFormat="1" ht="32.25" customHeight="1" x14ac:dyDescent="0.15">
      <c r="A33" s="37">
        <v>20170204</v>
      </c>
      <c r="B33" s="58" t="s">
        <v>72</v>
      </c>
      <c r="C33" s="65" t="s">
        <v>44</v>
      </c>
      <c r="D33" s="37"/>
      <c r="E33" s="37" t="s">
        <v>71</v>
      </c>
      <c r="F33" s="23" t="s">
        <v>154</v>
      </c>
      <c r="G33" s="37" t="s">
        <v>1</v>
      </c>
      <c r="H33" s="37">
        <f>[3]副本!G65</f>
        <v>408.81600000000014</v>
      </c>
      <c r="I33" s="60">
        <f>H33-1035.099+1035.099</f>
        <v>408.81600000000014</v>
      </c>
      <c r="J33" s="37"/>
      <c r="K33" s="62">
        <v>30</v>
      </c>
      <c r="L33" s="61">
        <f>H33-I33</f>
        <v>0</v>
      </c>
      <c r="M33" s="62">
        <v>2000</v>
      </c>
      <c r="N33" s="63"/>
      <c r="O33" s="64"/>
      <c r="P33" s="59" t="s">
        <v>70</v>
      </c>
    </row>
    <row r="34" spans="1:16" s="48" customFormat="1" ht="32.25" customHeight="1" x14ac:dyDescent="0.15">
      <c r="A34" s="37">
        <v>20170204</v>
      </c>
      <c r="B34" s="58" t="s">
        <v>69</v>
      </c>
      <c r="C34" s="65" t="s">
        <v>44</v>
      </c>
      <c r="D34" s="37" t="s">
        <v>5</v>
      </c>
      <c r="E34" s="37" t="s">
        <v>68</v>
      </c>
      <c r="F34" s="23" t="s">
        <v>162</v>
      </c>
      <c r="G34" s="37" t="s">
        <v>1</v>
      </c>
      <c r="H34" s="60">
        <f>[3]副本!G67</f>
        <v>640.54299999999989</v>
      </c>
      <c r="I34" s="60">
        <f>H34-1037.023+500+537.023</f>
        <v>640.54300000000001</v>
      </c>
      <c r="J34" s="37"/>
      <c r="K34" s="62">
        <v>100</v>
      </c>
      <c r="L34" s="61">
        <f>H34-I34</f>
        <v>0</v>
      </c>
      <c r="M34" s="62">
        <v>3000</v>
      </c>
      <c r="N34" s="63"/>
      <c r="O34" s="64"/>
      <c r="P34" s="67" t="s">
        <v>67</v>
      </c>
    </row>
    <row r="35" spans="1:16" s="48" customFormat="1" ht="32.25" customHeight="1" x14ac:dyDescent="0.15">
      <c r="A35" s="37">
        <v>20170204</v>
      </c>
      <c r="B35" s="58" t="s">
        <v>66</v>
      </c>
      <c r="C35" s="65" t="s">
        <v>44</v>
      </c>
      <c r="D35" s="37" t="s">
        <v>5</v>
      </c>
      <c r="E35" s="37" t="s">
        <v>61</v>
      </c>
      <c r="F35" s="23" t="s">
        <v>159</v>
      </c>
      <c r="G35" s="37" t="s">
        <v>1</v>
      </c>
      <c r="H35" s="60">
        <f>[3]副本!G69</f>
        <v>3147.802999999999</v>
      </c>
      <c r="I35" s="60">
        <f>H35-3607.546+2050+1050+507.546-1553.792+1553.792</f>
        <v>3147.802999999999</v>
      </c>
      <c r="J35" s="37"/>
      <c r="K35" s="62"/>
      <c r="L35" s="61">
        <f>H35-I35</f>
        <v>0</v>
      </c>
      <c r="M35" s="62">
        <v>4000</v>
      </c>
      <c r="N35" s="63"/>
      <c r="O35" s="64"/>
      <c r="P35" s="59" t="s">
        <v>65</v>
      </c>
    </row>
    <row r="36" spans="1:16" s="48" customFormat="1" ht="32.25" customHeight="1" x14ac:dyDescent="0.15">
      <c r="A36" s="37">
        <v>20170204</v>
      </c>
      <c r="B36" s="58" t="s">
        <v>64</v>
      </c>
      <c r="C36" s="65" t="s">
        <v>3</v>
      </c>
      <c r="D36" s="37"/>
      <c r="E36" s="37"/>
      <c r="F36" s="37"/>
      <c r="G36" s="37"/>
      <c r="H36" s="60"/>
      <c r="I36" s="60"/>
      <c r="J36" s="37"/>
      <c r="K36" s="62"/>
      <c r="L36" s="61"/>
      <c r="M36" s="62">
        <v>5000</v>
      </c>
      <c r="N36" s="63"/>
      <c r="O36" s="64"/>
      <c r="P36" s="59"/>
    </row>
    <row r="37" spans="1:16" s="48" customFormat="1" ht="32.25" customHeight="1" x14ac:dyDescent="0.15">
      <c r="A37" s="37">
        <v>20170204</v>
      </c>
      <c r="B37" s="58" t="s">
        <v>63</v>
      </c>
      <c r="C37" s="65" t="s">
        <v>44</v>
      </c>
      <c r="D37" s="37" t="s">
        <v>5</v>
      </c>
      <c r="E37" s="37" t="s">
        <v>61</v>
      </c>
      <c r="F37" s="23" t="s">
        <v>159</v>
      </c>
      <c r="G37" s="37" t="s">
        <v>1</v>
      </c>
      <c r="H37" s="60">
        <f>[3]副本!G73</f>
        <v>3607.9570000000522</v>
      </c>
      <c r="I37" s="60">
        <f>H37-955.747+477.874+477.873-1042.865-2628.137+500+542.865+2102.57+525.567-499.112-3147.566+2100+525+525+496.678-2617.899+1574.891+523.692-522.622+522.622-2589.467+523.692-499.362</f>
        <v>523.5040000000522</v>
      </c>
      <c r="J37" s="37"/>
      <c r="K37" s="62"/>
      <c r="L37" s="61">
        <f>H37-I37</f>
        <v>3084.453</v>
      </c>
      <c r="M37" s="62">
        <v>5000</v>
      </c>
      <c r="N37" s="63"/>
      <c r="O37" s="64"/>
      <c r="P37" s="59" t="s">
        <v>62</v>
      </c>
    </row>
    <row r="38" spans="1:16" s="48" customFormat="1" ht="32.25" customHeight="1" x14ac:dyDescent="0.15">
      <c r="A38" s="37">
        <v>20170204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163</v>
      </c>
      <c r="G38" s="37" t="s">
        <v>1</v>
      </c>
      <c r="H38" s="60">
        <f>[3]副本!G74</f>
        <v>934.32800000000032</v>
      </c>
      <c r="I38" s="60">
        <f>H38</f>
        <v>934.32800000000032</v>
      </c>
      <c r="J38" s="37"/>
      <c r="K38" s="62"/>
      <c r="L38" s="61">
        <f>H38-I38</f>
        <v>0</v>
      </c>
      <c r="M38" s="62">
        <v>5000</v>
      </c>
      <c r="N38" s="63"/>
      <c r="O38" s="64"/>
      <c r="P38" s="59" t="s">
        <v>60</v>
      </c>
    </row>
    <row r="39" spans="1:16" s="48" customFormat="1" ht="32.25" customHeight="1" x14ac:dyDescent="0.15">
      <c r="A39" s="37">
        <v>20170204</v>
      </c>
      <c r="B39" s="58" t="s">
        <v>59</v>
      </c>
      <c r="C39" s="65" t="s">
        <v>19</v>
      </c>
      <c r="D39" s="37"/>
      <c r="E39" s="37" t="s">
        <v>32</v>
      </c>
      <c r="F39" s="23" t="s">
        <v>161</v>
      </c>
      <c r="G39" s="37" t="s">
        <v>1</v>
      </c>
      <c r="H39" s="60">
        <f>[3]副本!G76</f>
        <v>2596.4419999999977</v>
      </c>
      <c r="I39" s="60">
        <f>H39-2564.978</f>
        <v>31.463999999997668</v>
      </c>
      <c r="J39" s="37"/>
      <c r="K39" s="62"/>
      <c r="L39" s="61">
        <f>H39-I39</f>
        <v>2564.9780000000001</v>
      </c>
      <c r="M39" s="62">
        <v>4000</v>
      </c>
      <c r="N39" s="63"/>
      <c r="O39" s="64"/>
      <c r="P39" s="59" t="s">
        <v>58</v>
      </c>
    </row>
    <row r="40" spans="1:16" s="48" customFormat="1" ht="32.25" customHeight="1" x14ac:dyDescent="0.15">
      <c r="A40" s="37">
        <v>20170204</v>
      </c>
      <c r="B40" s="58" t="s">
        <v>59</v>
      </c>
      <c r="C40" s="65" t="s">
        <v>19</v>
      </c>
      <c r="D40" s="37"/>
      <c r="E40" s="37" t="s">
        <v>32</v>
      </c>
      <c r="F40" s="23" t="s">
        <v>164</v>
      </c>
      <c r="G40" s="37" t="s">
        <v>1</v>
      </c>
      <c r="H40" s="60">
        <f>[3]副本!G77</f>
        <v>-0.23699999999985266</v>
      </c>
      <c r="I40" s="60">
        <f>H40</f>
        <v>-0.23699999999985266</v>
      </c>
      <c r="J40" s="37"/>
      <c r="K40" s="62"/>
      <c r="L40" s="61"/>
      <c r="M40" s="62">
        <v>4000</v>
      </c>
      <c r="N40" s="63"/>
      <c r="O40" s="64"/>
      <c r="P40" s="59" t="s">
        <v>57</v>
      </c>
    </row>
    <row r="41" spans="1:16" s="48" customFormat="1" ht="32.25" customHeight="1" x14ac:dyDescent="0.15">
      <c r="A41" s="37">
        <v>20170204</v>
      </c>
      <c r="B41" s="58" t="s">
        <v>56</v>
      </c>
      <c r="C41" s="65" t="s">
        <v>19</v>
      </c>
      <c r="D41" s="37"/>
      <c r="E41" s="37"/>
      <c r="F41" s="37"/>
      <c r="G41" s="37"/>
      <c r="H41" s="60"/>
      <c r="I41" s="60"/>
      <c r="J41" s="37"/>
      <c r="K41" s="62"/>
      <c r="L41" s="61"/>
      <c r="M41" s="62">
        <v>2000</v>
      </c>
      <c r="N41" s="63"/>
      <c r="O41" s="64"/>
      <c r="P41" s="59"/>
    </row>
    <row r="42" spans="1:16" s="48" customFormat="1" ht="32.25" customHeight="1" x14ac:dyDescent="0.15">
      <c r="A42" s="37">
        <v>20170204</v>
      </c>
      <c r="B42" s="58" t="s">
        <v>55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3000</v>
      </c>
      <c r="N42" s="63"/>
      <c r="O42" s="64"/>
      <c r="P42" s="59"/>
    </row>
    <row r="43" spans="1:16" s="48" customFormat="1" ht="32.25" customHeight="1" x14ac:dyDescent="0.15">
      <c r="A43" s="37">
        <v>20170204</v>
      </c>
      <c r="B43" s="58" t="s">
        <v>54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[3]副本!G84</f>
        <v>1118.4909999999995</v>
      </c>
      <c r="I43" s="60">
        <f>H43</f>
        <v>1118.4909999999995</v>
      </c>
      <c r="J43" s="37"/>
      <c r="K43" s="62"/>
      <c r="L43" s="61">
        <f>H43-I43</f>
        <v>0</v>
      </c>
      <c r="M43" s="62">
        <v>5000</v>
      </c>
      <c r="N43" s="68"/>
      <c r="O43" s="64"/>
      <c r="P43" s="59" t="s">
        <v>53</v>
      </c>
    </row>
    <row r="44" spans="1:16" s="48" customFormat="1" ht="32.25" customHeight="1" x14ac:dyDescent="0.15">
      <c r="A44" s="37">
        <v>20170204</v>
      </c>
      <c r="B44" s="58" t="s">
        <v>52</v>
      </c>
      <c r="C44" s="65" t="s">
        <v>44</v>
      </c>
      <c r="D44" s="37"/>
      <c r="E44" s="37"/>
      <c r="F44" s="37"/>
      <c r="G44" s="37"/>
      <c r="H44" s="60"/>
      <c r="I44" s="60"/>
      <c r="J44" s="37"/>
      <c r="K44" s="62"/>
      <c r="L44" s="61"/>
      <c r="M44" s="62">
        <v>5000</v>
      </c>
      <c r="N44" s="63"/>
      <c r="O44" s="64"/>
      <c r="P44" s="59"/>
    </row>
    <row r="45" spans="1:16" s="48" customFormat="1" ht="32.25" customHeight="1" x14ac:dyDescent="0.15">
      <c r="A45" s="37">
        <v>20170204</v>
      </c>
      <c r="B45" s="58" t="s">
        <v>51</v>
      </c>
      <c r="C45" s="65" t="s">
        <v>44</v>
      </c>
      <c r="D45" s="37"/>
      <c r="E45" s="37" t="s">
        <v>50</v>
      </c>
      <c r="F45" s="23" t="s">
        <v>152</v>
      </c>
      <c r="G45" s="37" t="s">
        <v>1</v>
      </c>
      <c r="H45" s="60">
        <f>[3]副本!G90</f>
        <v>2006.1080000000002</v>
      </c>
      <c r="I45" s="60">
        <f>H45-1021.25+1021.25</f>
        <v>2006.1080000000002</v>
      </c>
      <c r="J45" s="37"/>
      <c r="K45" s="62">
        <v>70</v>
      </c>
      <c r="L45" s="61">
        <f>H45-I45</f>
        <v>0</v>
      </c>
      <c r="M45" s="62">
        <v>5000</v>
      </c>
      <c r="N45" s="63"/>
      <c r="O45" s="64"/>
      <c r="P45" s="59" t="s">
        <v>180</v>
      </c>
    </row>
    <row r="46" spans="1:16" s="48" customFormat="1" ht="32.25" customHeight="1" x14ac:dyDescent="0.15">
      <c r="A46" s="37">
        <v>20170204</v>
      </c>
      <c r="B46" s="58" t="s">
        <v>51</v>
      </c>
      <c r="C46" s="65" t="s">
        <v>44</v>
      </c>
      <c r="D46" s="37"/>
      <c r="E46" s="37" t="s">
        <v>50</v>
      </c>
      <c r="F46" s="23" t="s">
        <v>148</v>
      </c>
      <c r="G46" s="37"/>
      <c r="H46" s="60">
        <f>[3]副本!G91</f>
        <v>1000</v>
      </c>
      <c r="I46" s="60">
        <f>H46</f>
        <v>1000</v>
      </c>
      <c r="J46" s="37"/>
      <c r="K46" s="62"/>
      <c r="L46" s="61"/>
      <c r="M46" s="62">
        <v>5000</v>
      </c>
      <c r="N46" s="63"/>
      <c r="O46" s="64"/>
      <c r="P46" s="59" t="s">
        <v>49</v>
      </c>
    </row>
    <row r="47" spans="1:16" s="48" customFormat="1" ht="32.25" customHeight="1" x14ac:dyDescent="0.15">
      <c r="A47" s="37">
        <v>20170204</v>
      </c>
      <c r="B47" s="58" t="s">
        <v>48</v>
      </c>
      <c r="C47" s="65" t="s">
        <v>44</v>
      </c>
      <c r="D47" s="37"/>
      <c r="E47" s="37" t="s">
        <v>43</v>
      </c>
      <c r="F47" s="23" t="s">
        <v>157</v>
      </c>
      <c r="G47" s="37" t="s">
        <v>1</v>
      </c>
      <c r="H47" s="60">
        <f>[3]副本!G93</f>
        <v>173.70399999999404</v>
      </c>
      <c r="I47" s="60">
        <f>H47</f>
        <v>173.70399999999404</v>
      </c>
      <c r="J47" s="37"/>
      <c r="K47" s="61"/>
      <c r="L47" s="61">
        <f>H47-I47</f>
        <v>0</v>
      </c>
      <c r="M47" s="62">
        <v>2000</v>
      </c>
      <c r="N47" s="63"/>
      <c r="O47" s="64"/>
      <c r="P47" s="59"/>
    </row>
    <row r="48" spans="1:16" s="48" customFormat="1" ht="32.25" customHeight="1" x14ac:dyDescent="0.15">
      <c r="A48" s="37">
        <v>20170204</v>
      </c>
      <c r="B48" s="58" t="s">
        <v>47</v>
      </c>
      <c r="C48" s="65" t="s">
        <v>19</v>
      </c>
      <c r="D48" s="37" t="s">
        <v>5</v>
      </c>
      <c r="E48" s="37" t="s">
        <v>27</v>
      </c>
      <c r="F48" s="23" t="s">
        <v>165</v>
      </c>
      <c r="G48" s="37" t="s">
        <v>1</v>
      </c>
      <c r="H48" s="60">
        <f>[3]副本!G95</f>
        <v>2409.6100000000006</v>
      </c>
      <c r="I48" s="60">
        <v>0</v>
      </c>
      <c r="J48" s="37"/>
      <c r="K48" s="62"/>
      <c r="L48" s="61">
        <f>H48-I48</f>
        <v>2409.6100000000006</v>
      </c>
      <c r="M48" s="62">
        <v>10000</v>
      </c>
      <c r="N48" s="63"/>
      <c r="O48" s="64"/>
      <c r="P48" s="59"/>
    </row>
    <row r="49" spans="1:17" s="48" customFormat="1" ht="32.25" customHeight="1" x14ac:dyDescent="0.15">
      <c r="A49" s="37">
        <v>20170204</v>
      </c>
      <c r="B49" s="58" t="s">
        <v>46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[3]副本!G97</f>
        <v>4217.264000000001</v>
      </c>
      <c r="I49" s="60">
        <v>0</v>
      </c>
      <c r="J49" s="37"/>
      <c r="K49" s="62"/>
      <c r="L49" s="61">
        <v>0</v>
      </c>
      <c r="M49" s="62">
        <v>10000</v>
      </c>
      <c r="N49" s="63"/>
      <c r="O49" s="64"/>
      <c r="P49" s="59"/>
    </row>
    <row r="50" spans="1:17" s="48" customFormat="1" ht="32.25" customHeight="1" x14ac:dyDescent="0.15">
      <c r="A50" s="37">
        <v>20170204</v>
      </c>
      <c r="B50" s="58" t="s">
        <v>45</v>
      </c>
      <c r="C50" s="65" t="s">
        <v>44</v>
      </c>
      <c r="D50" s="37"/>
      <c r="E50" s="37" t="s">
        <v>43</v>
      </c>
      <c r="F50" s="23" t="s">
        <v>166</v>
      </c>
      <c r="G50" s="37" t="s">
        <v>1</v>
      </c>
      <c r="H50" s="60">
        <f>[3]副本!G99</f>
        <v>2406.0950000000066</v>
      </c>
      <c r="I50" s="60">
        <f>H50</f>
        <v>2406.0950000000066</v>
      </c>
      <c r="J50" s="37"/>
      <c r="K50" s="61"/>
      <c r="L50" s="61">
        <v>0</v>
      </c>
      <c r="M50" s="62">
        <v>5000</v>
      </c>
      <c r="N50" s="69" t="s">
        <v>42</v>
      </c>
      <c r="O50" s="70" t="s">
        <v>41</v>
      </c>
      <c r="P50" s="59" t="s">
        <v>146</v>
      </c>
    </row>
    <row r="51" spans="1:17" s="48" customFormat="1" ht="32.25" customHeight="1" x14ac:dyDescent="0.15">
      <c r="A51" s="37">
        <v>20170204</v>
      </c>
      <c r="B51" s="58" t="s">
        <v>39</v>
      </c>
      <c r="C51" s="65" t="s">
        <v>19</v>
      </c>
      <c r="D51" s="37"/>
      <c r="E51" s="37"/>
      <c r="F51" s="37"/>
      <c r="G51" s="37"/>
      <c r="H51" s="60"/>
      <c r="I51" s="60"/>
      <c r="J51" s="37"/>
      <c r="K51" s="62"/>
      <c r="L51" s="61"/>
      <c r="M51" s="62">
        <v>3000</v>
      </c>
      <c r="N51" s="63"/>
      <c r="O51" s="64"/>
      <c r="P51" s="59"/>
    </row>
    <row r="52" spans="1:17" s="48" customFormat="1" ht="32.25" customHeight="1" x14ac:dyDescent="0.15">
      <c r="A52" s="37">
        <v>20170204</v>
      </c>
      <c r="B52" s="58" t="s">
        <v>38</v>
      </c>
      <c r="C52" s="65" t="s">
        <v>19</v>
      </c>
      <c r="D52" s="37" t="s">
        <v>5</v>
      </c>
      <c r="E52" s="37" t="s">
        <v>27</v>
      </c>
      <c r="F52" s="23" t="s">
        <v>165</v>
      </c>
      <c r="G52" s="37" t="s">
        <v>22</v>
      </c>
      <c r="H52" s="60">
        <f>[3]副本!G103</f>
        <v>17526.61</v>
      </c>
      <c r="I52" s="60">
        <v>0</v>
      </c>
      <c r="J52" s="37"/>
      <c r="K52" s="62"/>
      <c r="L52" s="61">
        <f>H52-I52</f>
        <v>17526.61</v>
      </c>
      <c r="M52" s="62">
        <v>25000</v>
      </c>
      <c r="N52" s="63" t="s">
        <v>37</v>
      </c>
      <c r="O52" s="64" t="s">
        <v>36</v>
      </c>
      <c r="P52" s="59" t="s">
        <v>35</v>
      </c>
    </row>
    <row r="53" spans="1:17" s="48" customFormat="1" ht="32.25" customHeight="1" x14ac:dyDescent="0.15">
      <c r="A53" s="37">
        <v>20170204</v>
      </c>
      <c r="B53" s="58" t="s">
        <v>34</v>
      </c>
      <c r="C53" s="65" t="s">
        <v>19</v>
      </c>
      <c r="D53" s="37" t="s">
        <v>5</v>
      </c>
      <c r="E53" s="37" t="s">
        <v>27</v>
      </c>
      <c r="F53" s="23" t="s">
        <v>167</v>
      </c>
      <c r="G53" s="37" t="s">
        <v>22</v>
      </c>
      <c r="H53" s="60">
        <f>[3]副本!G105</f>
        <v>32753.382000000081</v>
      </c>
      <c r="I53" s="60">
        <v>0</v>
      </c>
      <c r="J53" s="37"/>
      <c r="K53" s="62"/>
      <c r="L53" s="61">
        <f>H53-I53</f>
        <v>32753.382000000081</v>
      </c>
      <c r="M53" s="62">
        <v>50000</v>
      </c>
      <c r="N53" s="63"/>
      <c r="O53" s="64"/>
      <c r="P53" s="59"/>
    </row>
    <row r="54" spans="1:17" s="48" customFormat="1" ht="32.25" customHeight="1" x14ac:dyDescent="0.15">
      <c r="A54" s="37">
        <v>20170204</v>
      </c>
      <c r="B54" s="58" t="s">
        <v>33</v>
      </c>
      <c r="C54" s="65" t="s">
        <v>19</v>
      </c>
      <c r="D54" s="37"/>
      <c r="E54" s="37" t="s">
        <v>32</v>
      </c>
      <c r="F54" s="23" t="s">
        <v>161</v>
      </c>
      <c r="G54" s="37" t="s">
        <v>22</v>
      </c>
      <c r="H54" s="60">
        <f>[3]副本!G107</f>
        <v>1850.9310000000169</v>
      </c>
      <c r="I54" s="60">
        <f>H54</f>
        <v>1850.9310000000169</v>
      </c>
      <c r="J54" s="37"/>
      <c r="K54" s="62"/>
      <c r="L54" s="61">
        <f>H54-I54</f>
        <v>0</v>
      </c>
      <c r="M54" s="62">
        <v>4000</v>
      </c>
      <c r="N54" s="63"/>
      <c r="O54" s="64"/>
      <c r="P54" s="59" t="s">
        <v>31</v>
      </c>
    </row>
    <row r="55" spans="1:17" s="48" customFormat="1" ht="32.25" customHeight="1" x14ac:dyDescent="0.15">
      <c r="A55" s="37">
        <v>20170204</v>
      </c>
      <c r="B55" s="58" t="s">
        <v>30</v>
      </c>
      <c r="C55" s="65" t="s">
        <v>3</v>
      </c>
      <c r="D55" s="37"/>
      <c r="E55" s="37"/>
      <c r="F55" s="37"/>
      <c r="G55" s="37"/>
      <c r="H55" s="60"/>
      <c r="I55" s="60"/>
      <c r="J55" s="37"/>
      <c r="K55" s="62"/>
      <c r="L55" s="61"/>
      <c r="M55" s="62">
        <v>37000</v>
      </c>
      <c r="N55" s="63"/>
      <c r="O55" s="64"/>
      <c r="P55" s="59"/>
    </row>
    <row r="56" spans="1:17" s="48" customFormat="1" ht="32.25" customHeight="1" x14ac:dyDescent="0.15">
      <c r="A56" s="37">
        <v>20170204</v>
      </c>
      <c r="B56" s="58" t="s">
        <v>29</v>
      </c>
      <c r="C56" s="65" t="s">
        <v>3</v>
      </c>
      <c r="D56" s="37"/>
      <c r="E56" s="37"/>
      <c r="F56" s="37"/>
      <c r="G56" s="37"/>
      <c r="H56" s="60"/>
      <c r="I56" s="37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2.25" customHeight="1" x14ac:dyDescent="0.15">
      <c r="A57" s="37">
        <v>20170204</v>
      </c>
      <c r="B57" s="58" t="s">
        <v>28</v>
      </c>
      <c r="C57" s="65" t="s">
        <v>19</v>
      </c>
      <c r="D57" s="37" t="s">
        <v>5</v>
      </c>
      <c r="E57" s="37" t="s">
        <v>27</v>
      </c>
      <c r="F57" s="23" t="s">
        <v>168</v>
      </c>
      <c r="G57" s="37" t="s">
        <v>22</v>
      </c>
      <c r="H57" s="60">
        <f>[3]副本!G115</f>
        <v>1767.3689999999997</v>
      </c>
      <c r="I57" s="60">
        <v>0</v>
      </c>
      <c r="J57" s="37"/>
      <c r="K57" s="61"/>
      <c r="L57" s="61">
        <f>H57-I57</f>
        <v>1767.3689999999997</v>
      </c>
      <c r="M57" s="62">
        <v>10000</v>
      </c>
      <c r="N57" s="63"/>
      <c r="O57" s="64"/>
      <c r="P57" s="59"/>
      <c r="Q57" s="49"/>
    </row>
    <row r="58" spans="1:17" s="48" customFormat="1" ht="32.25" customHeight="1" x14ac:dyDescent="0.15">
      <c r="A58" s="37">
        <v>20170204</v>
      </c>
      <c r="B58" s="58" t="s">
        <v>26</v>
      </c>
      <c r="C58" s="65" t="s">
        <v>3</v>
      </c>
      <c r="D58" s="37" t="s">
        <v>5</v>
      </c>
      <c r="E58" s="37" t="s">
        <v>2</v>
      </c>
      <c r="F58" s="23" t="s">
        <v>169</v>
      </c>
      <c r="G58" s="37" t="s">
        <v>22</v>
      </c>
      <c r="H58" s="60">
        <f>[3]副本!G117</f>
        <v>3990.8999999999996</v>
      </c>
      <c r="I58" s="60">
        <v>0</v>
      </c>
      <c r="J58" s="37"/>
      <c r="K58" s="62">
        <v>150</v>
      </c>
      <c r="L58" s="61">
        <f>H58-I58</f>
        <v>3990.8999999999996</v>
      </c>
      <c r="M58" s="62">
        <v>15000</v>
      </c>
      <c r="N58" s="63"/>
      <c r="O58" s="64"/>
      <c r="P58" s="59" t="s">
        <v>25</v>
      </c>
      <c r="Q58" s="49"/>
    </row>
    <row r="59" spans="1:17" s="48" customFormat="1" ht="32.25" customHeight="1" x14ac:dyDescent="0.15">
      <c r="A59" s="37">
        <v>20170204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170</v>
      </c>
      <c r="G59" s="37" t="s">
        <v>22</v>
      </c>
      <c r="H59" s="60">
        <f>[3]副本!G118</f>
        <v>96.340000000000146</v>
      </c>
      <c r="I59" s="60">
        <f>H59</f>
        <v>96.340000000000146</v>
      </c>
      <c r="J59" s="37"/>
      <c r="K59" s="68"/>
      <c r="L59" s="61">
        <f>H59-I59</f>
        <v>0</v>
      </c>
      <c r="M59" s="62">
        <v>15000</v>
      </c>
      <c r="N59" s="63"/>
      <c r="O59" s="64"/>
      <c r="P59" s="59" t="s">
        <v>24</v>
      </c>
      <c r="Q59" s="49"/>
    </row>
    <row r="60" spans="1:17" s="48" customFormat="1" ht="32.25" customHeight="1" x14ac:dyDescent="0.15">
      <c r="A60" s="37">
        <v>20170204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[3]副本!G120</f>
        <v>9448.4309999999969</v>
      </c>
      <c r="I60" s="60">
        <f>H60</f>
        <v>9448.4309999999969</v>
      </c>
      <c r="J60" s="37"/>
      <c r="K60" s="62">
        <v>650</v>
      </c>
      <c r="L60" s="61"/>
      <c r="M60" s="62">
        <v>43000</v>
      </c>
      <c r="N60" s="63"/>
      <c r="O60" s="64"/>
      <c r="P60" s="59" t="s">
        <v>21</v>
      </c>
      <c r="Q60" s="49"/>
    </row>
    <row r="61" spans="1:17" s="48" customFormat="1" ht="32.25" customHeight="1" x14ac:dyDescent="0.15">
      <c r="A61" s="37">
        <v>20170204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[3]副本!G121</f>
        <v>21.100000000000364</v>
      </c>
      <c r="I61" s="60">
        <f>H61</f>
        <v>21.100000000000364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32.25" customHeight="1" x14ac:dyDescent="0.15">
      <c r="A62" s="37">
        <v>20170204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/>
      <c r="N62" s="63"/>
      <c r="O62" s="64"/>
      <c r="P62" s="59"/>
      <c r="Q62" s="49"/>
    </row>
    <row r="63" spans="1:17" s="48" customFormat="1" ht="32.25" customHeight="1" x14ac:dyDescent="0.15">
      <c r="A63" s="37">
        <v>20170204</v>
      </c>
      <c r="B63" s="58" t="s">
        <v>18</v>
      </c>
      <c r="C63" s="65" t="s">
        <v>3</v>
      </c>
      <c r="D63" s="37"/>
      <c r="E63" s="37" t="s">
        <v>147</v>
      </c>
      <c r="F63" s="23" t="s">
        <v>173</v>
      </c>
      <c r="G63" s="37" t="s">
        <v>1</v>
      </c>
      <c r="H63" s="60">
        <f>[3]副本!G125</f>
        <v>8339.3289999999961</v>
      </c>
      <c r="I63" s="60">
        <f>H63-8339.329</f>
        <v>0</v>
      </c>
      <c r="J63" s="37"/>
      <c r="K63" s="62"/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32.25" customHeight="1" x14ac:dyDescent="0.15">
      <c r="A64" s="37">
        <v>20170204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[3]副本!G127</f>
        <v>512.93299999998999</v>
      </c>
      <c r="I64" s="60">
        <f>H64-4751.949+4751.949</f>
        <v>512.93299999998999</v>
      </c>
      <c r="J64" s="37"/>
      <c r="K64" s="62"/>
      <c r="L64" s="61">
        <f>H64-I64</f>
        <v>0</v>
      </c>
      <c r="M64" s="62">
        <v>30000</v>
      </c>
      <c r="N64" s="63"/>
      <c r="O64" s="64"/>
      <c r="P64" s="59" t="s">
        <v>179</v>
      </c>
    </row>
    <row r="65" spans="1:16" s="48" customFormat="1" ht="32.25" customHeight="1" x14ac:dyDescent="0.15">
      <c r="A65" s="37">
        <v>20170204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[3]副本!G128</f>
        <v>9946.3690000000006</v>
      </c>
      <c r="I65" s="60">
        <f>H65</f>
        <v>9946.3690000000006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32.25" customHeight="1" x14ac:dyDescent="0.15">
      <c r="A66" s="37">
        <v>20170204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[3]副本!G130</f>
        <v>14976.093999999999</v>
      </c>
      <c r="I66" s="60">
        <f>H66-14976.094</f>
        <v>0</v>
      </c>
      <c r="J66" s="37"/>
      <c r="K66" s="62">
        <v>350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32.25" customHeight="1" x14ac:dyDescent="0.15">
      <c r="A67" s="37">
        <v>20170204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[3]副本!G132</f>
        <v>20204.884999999973</v>
      </c>
      <c r="I67" s="60">
        <f>H67</f>
        <v>20204.884999999973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32.25" customHeight="1" x14ac:dyDescent="0.15">
      <c r="A68" s="37">
        <v>20170204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32.25" customHeight="1" x14ac:dyDescent="0.15">
      <c r="A69" s="37">
        <v>20170204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32.25" customHeight="1" x14ac:dyDescent="0.15">
      <c r="A70" s="37">
        <v>20170204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[3]副本!G139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32.25" customHeight="1" x14ac:dyDescent="0.15">
      <c r="A71" s="37">
        <v>20170204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[3]副本!G141</f>
        <v>6169.5099999999984</v>
      </c>
      <c r="I71" s="60">
        <f>H71</f>
        <v>6169.5099999999984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0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2" activePane="bottomRight" state="frozen"/>
      <selection pane="topRight"/>
      <selection pane="bottomLeft"/>
      <selection pane="bottomRight" activeCell="E14" sqref="E14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3.1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9" customHeight="1" x14ac:dyDescent="0.15">
      <c r="A2" s="37">
        <v>20170206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/>
    </row>
    <row r="3" spans="1:17" s="48" customFormat="1" ht="39" customHeight="1" x14ac:dyDescent="0.15">
      <c r="A3" s="37">
        <v>20170206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[4]副本!G6</f>
        <v>596.45900000000006</v>
      </c>
      <c r="I3" s="60">
        <f>H3</f>
        <v>596.45900000000006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9" customHeight="1" x14ac:dyDescent="0.15">
      <c r="A4" s="37">
        <v>20170206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[4]副本!G8</f>
        <v>1710.5029999999958</v>
      </c>
      <c r="I4" s="60">
        <f>H4</f>
        <v>1710.5029999999958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9" customHeight="1" x14ac:dyDescent="0.15">
      <c r="A5" s="37">
        <v>20170206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 t="s">
        <v>124</v>
      </c>
      <c r="I5" s="60" t="s">
        <v>124</v>
      </c>
      <c r="J5" s="37"/>
      <c r="K5" s="62"/>
      <c r="L5" s="61"/>
      <c r="M5" s="62">
        <v>2000</v>
      </c>
      <c r="N5" s="63" t="s">
        <v>123</v>
      </c>
      <c r="O5" s="64" t="s">
        <v>89</v>
      </c>
      <c r="P5" s="59"/>
    </row>
    <row r="6" spans="1:17" s="48" customFormat="1" ht="39" customHeight="1" x14ac:dyDescent="0.15">
      <c r="A6" s="37">
        <v>20170206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/>
      <c r="I6" s="60"/>
      <c r="J6" s="37"/>
      <c r="K6" s="62"/>
      <c r="L6" s="61"/>
      <c r="M6" s="62">
        <v>3000</v>
      </c>
      <c r="N6" s="63" t="s">
        <v>120</v>
      </c>
      <c r="O6" s="64" t="s">
        <v>89</v>
      </c>
      <c r="P6" s="59"/>
      <c r="Q6" s="49"/>
    </row>
    <row r="7" spans="1:17" s="48" customFormat="1" ht="39" customHeight="1" x14ac:dyDescent="0.15">
      <c r="A7" s="37">
        <v>20170206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/>
      <c r="I7" s="60"/>
      <c r="J7" s="37"/>
      <c r="K7" s="62"/>
      <c r="L7" s="61"/>
      <c r="M7" s="62">
        <v>3000</v>
      </c>
      <c r="N7" s="63"/>
      <c r="O7" s="64"/>
      <c r="P7" s="59"/>
      <c r="Q7" s="49"/>
    </row>
    <row r="8" spans="1:17" s="48" customFormat="1" ht="39" customHeight="1" x14ac:dyDescent="0.15">
      <c r="A8" s="37">
        <v>20170206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[4]副本!G16</f>
        <v>2087.2890000000002</v>
      </c>
      <c r="I8" s="60">
        <f t="shared" ref="I8:I14" si="0">H8</f>
        <v>2087.2890000000002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9" customHeight="1" x14ac:dyDescent="0.15">
      <c r="A9" s="37">
        <v>20170206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[4]副本!G18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9" t="s">
        <v>109</v>
      </c>
    </row>
    <row r="10" spans="1:17" s="48" customFormat="1" ht="39" customHeight="1" x14ac:dyDescent="0.15">
      <c r="A10" s="37">
        <v>20170206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[4]副本!G20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39" customHeight="1" x14ac:dyDescent="0.15">
      <c r="A11" s="37">
        <v>20170206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[4]副本!G21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>
        <v>1500</v>
      </c>
      <c r="N11" s="63"/>
      <c r="O11" s="64"/>
      <c r="P11" s="59" t="s">
        <v>106</v>
      </c>
    </row>
    <row r="12" spans="1:17" s="48" customFormat="1" ht="39" customHeight="1" x14ac:dyDescent="0.15">
      <c r="A12" s="37">
        <v>20170206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[4]副本!G22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>
        <v>1500</v>
      </c>
      <c r="N12" s="63"/>
      <c r="O12" s="64"/>
      <c r="P12" s="59" t="s">
        <v>106</v>
      </c>
    </row>
    <row r="13" spans="1:17" s="48" customFormat="1" ht="39" customHeight="1" x14ac:dyDescent="0.15">
      <c r="A13" s="37">
        <v>20170206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[4]副本!G24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39" customHeight="1" x14ac:dyDescent="0.15">
      <c r="A14" s="37">
        <v>20170206</v>
      </c>
      <c r="B14" s="58" t="s">
        <v>104</v>
      </c>
      <c r="C14" s="65" t="s">
        <v>19</v>
      </c>
      <c r="D14" s="37"/>
      <c r="E14" s="37" t="s">
        <v>200</v>
      </c>
      <c r="F14" s="23" t="s">
        <v>150</v>
      </c>
      <c r="G14" s="37"/>
      <c r="H14" s="60">
        <f>[4]副本!G26</f>
        <v>742.53000000000009</v>
      </c>
      <c r="I14" s="60">
        <f t="shared" si="0"/>
        <v>742.53000000000009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39" customHeight="1" x14ac:dyDescent="0.15">
      <c r="A15" s="37">
        <v>20170206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9" customHeight="1" x14ac:dyDescent="0.15">
      <c r="A16" s="37">
        <v>20170206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[4]副本!G30</f>
        <v>1051.9169999999999</v>
      </c>
      <c r="I16" s="60">
        <f>H16</f>
        <v>1051.9169999999999</v>
      </c>
      <c r="J16" s="37"/>
      <c r="K16" s="62">
        <v>70</v>
      </c>
      <c r="L16" s="61">
        <v>0</v>
      </c>
      <c r="M16" s="62">
        <v>1500</v>
      </c>
      <c r="N16" s="63"/>
      <c r="O16" s="64"/>
      <c r="P16" s="59" t="s">
        <v>100</v>
      </c>
    </row>
    <row r="17" spans="1:17" s="48" customFormat="1" ht="39" customHeight="1" x14ac:dyDescent="0.15">
      <c r="A17" s="37">
        <v>20170206</v>
      </c>
      <c r="B17" s="58" t="s">
        <v>99</v>
      </c>
      <c r="C17" s="65" t="s">
        <v>93</v>
      </c>
      <c r="D17" s="37"/>
      <c r="E17" s="37" t="s">
        <v>9</v>
      </c>
      <c r="F17" s="23" t="s">
        <v>158</v>
      </c>
      <c r="G17" s="37" t="s">
        <v>1</v>
      </c>
      <c r="H17" s="60">
        <f>[4]副本!G32-H18</f>
        <v>14131.247000000018</v>
      </c>
      <c r="I17" s="60">
        <f>H17</f>
        <v>14131.247000000018</v>
      </c>
      <c r="J17" s="37"/>
      <c r="K17" s="62"/>
      <c r="L17" s="61">
        <f>H17-I17</f>
        <v>0</v>
      </c>
      <c r="M17" s="62">
        <v>21000</v>
      </c>
      <c r="N17" s="63" t="s">
        <v>90</v>
      </c>
      <c r="O17" s="64" t="s">
        <v>89</v>
      </c>
      <c r="P17" s="59" t="s">
        <v>98</v>
      </c>
    </row>
    <row r="18" spans="1:17" s="48" customFormat="1" ht="39" customHeight="1" x14ac:dyDescent="0.15">
      <c r="A18" s="37">
        <v>20170206</v>
      </c>
      <c r="B18" s="58" t="s">
        <v>99</v>
      </c>
      <c r="C18" s="65" t="s">
        <v>93</v>
      </c>
      <c r="D18" s="37"/>
      <c r="E18" s="37" t="s">
        <v>9</v>
      </c>
      <c r="F18" s="24" t="s">
        <v>176</v>
      </c>
      <c r="G18" s="37" t="s">
        <v>1</v>
      </c>
      <c r="H18" s="60">
        <f>[4]副本!G34</f>
        <v>2172.7529999999824</v>
      </c>
      <c r="I18" s="60">
        <f>H18</f>
        <v>2172.7529999999824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97</v>
      </c>
    </row>
    <row r="19" spans="1:17" s="48" customFormat="1" ht="39" customHeight="1" x14ac:dyDescent="0.15">
      <c r="A19" s="37">
        <v>20170206</v>
      </c>
      <c r="B19" s="58" t="s">
        <v>96</v>
      </c>
      <c r="C19" s="65" t="s">
        <v>44</v>
      </c>
      <c r="D19" s="37" t="s">
        <v>5</v>
      </c>
      <c r="E19" s="37" t="s">
        <v>61</v>
      </c>
      <c r="F19" s="23" t="s">
        <v>159</v>
      </c>
      <c r="G19" s="37" t="s">
        <v>1</v>
      </c>
      <c r="H19" s="60">
        <f>[4]副本!G36</f>
        <v>3496.5419999999999</v>
      </c>
      <c r="I19" s="60">
        <f>H19-3496.542+1000</f>
        <v>1000</v>
      </c>
      <c r="J19" s="37"/>
      <c r="K19" s="62"/>
      <c r="L19" s="61">
        <f>H19-I19</f>
        <v>2496.5419999999999</v>
      </c>
      <c r="M19" s="62">
        <v>5000</v>
      </c>
      <c r="N19" s="63"/>
      <c r="O19" s="64"/>
      <c r="P19" s="59" t="s">
        <v>183</v>
      </c>
    </row>
    <row r="20" spans="1:17" s="48" customFormat="1" ht="39" customHeight="1" x14ac:dyDescent="0.15">
      <c r="A20" s="37">
        <v>20170206</v>
      </c>
      <c r="B20" s="58" t="s">
        <v>95</v>
      </c>
      <c r="C20" s="65" t="s">
        <v>44</v>
      </c>
      <c r="D20" s="37"/>
      <c r="E20" s="37"/>
      <c r="F20" s="37"/>
      <c r="G20" s="37"/>
      <c r="H20" s="60"/>
      <c r="I20" s="60"/>
      <c r="J20" s="37"/>
      <c r="K20" s="62"/>
      <c r="L20" s="61"/>
      <c r="M20" s="62">
        <v>3000</v>
      </c>
      <c r="N20" s="63"/>
      <c r="O20" s="64"/>
      <c r="P20" s="59"/>
    </row>
    <row r="21" spans="1:17" s="48" customFormat="1" ht="39" customHeight="1" x14ac:dyDescent="0.15">
      <c r="A21" s="37">
        <v>20170206</v>
      </c>
      <c r="B21" s="58" t="s">
        <v>94</v>
      </c>
      <c r="C21" s="65" t="s">
        <v>93</v>
      </c>
      <c r="D21" s="37"/>
      <c r="E21" s="37" t="s">
        <v>9</v>
      </c>
      <c r="F21" s="23" t="s">
        <v>158</v>
      </c>
      <c r="G21" s="37" t="s">
        <v>1</v>
      </c>
      <c r="H21" s="60">
        <f>[4]副本!G40-'20170206'!H22</f>
        <v>1824.4994280000356</v>
      </c>
      <c r="I21" s="60">
        <f>H21</f>
        <v>1824.4994280000356</v>
      </c>
      <c r="J21" s="37"/>
      <c r="K21" s="62"/>
      <c r="L21" s="61">
        <f>H21-I21</f>
        <v>0</v>
      </c>
      <c r="M21" s="62">
        <v>21000</v>
      </c>
      <c r="N21" s="63" t="s">
        <v>92</v>
      </c>
      <c r="O21" s="64" t="s">
        <v>89</v>
      </c>
      <c r="P21" s="59" t="s">
        <v>91</v>
      </c>
    </row>
    <row r="22" spans="1:17" s="48" customFormat="1" ht="39" customHeight="1" x14ac:dyDescent="0.15">
      <c r="A22" s="37">
        <v>20170206</v>
      </c>
      <c r="B22" s="58" t="s">
        <v>94</v>
      </c>
      <c r="C22" s="65" t="s">
        <v>93</v>
      </c>
      <c r="D22" s="37"/>
      <c r="E22" s="37" t="s">
        <v>9</v>
      </c>
      <c r="F22" s="24" t="s">
        <v>175</v>
      </c>
      <c r="G22" s="37" t="s">
        <v>1</v>
      </c>
      <c r="H22" s="60">
        <f>[4]副本!G42</f>
        <v>8472.5005719999644</v>
      </c>
      <c r="I22" s="60">
        <f>H22</f>
        <v>8472.5005719999644</v>
      </c>
      <c r="J22" s="37"/>
      <c r="K22" s="71"/>
      <c r="L22" s="61">
        <f>H22-I22</f>
        <v>0</v>
      </c>
      <c r="M22" s="62">
        <v>21000</v>
      </c>
      <c r="N22" s="63" t="s">
        <v>90</v>
      </c>
      <c r="O22" s="64" t="s">
        <v>89</v>
      </c>
      <c r="P22" s="59" t="s">
        <v>88</v>
      </c>
    </row>
    <row r="23" spans="1:17" s="48" customFormat="1" ht="39" customHeight="1" x14ac:dyDescent="0.15">
      <c r="A23" s="37">
        <v>20170206</v>
      </c>
      <c r="B23" s="58" t="s">
        <v>87</v>
      </c>
      <c r="C23" s="65" t="s">
        <v>44</v>
      </c>
      <c r="D23" s="37"/>
      <c r="E23" s="37" t="s">
        <v>86</v>
      </c>
      <c r="F23" s="23" t="s">
        <v>160</v>
      </c>
      <c r="G23" s="37" t="s">
        <v>1</v>
      </c>
      <c r="H23" s="60">
        <f>[4]副本!G44</f>
        <v>6134.7419999999993</v>
      </c>
      <c r="I23" s="60">
        <f>H23</f>
        <v>6134.7419999999993</v>
      </c>
      <c r="J23" s="37"/>
      <c r="K23" s="62">
        <v>350</v>
      </c>
      <c r="L23" s="61">
        <f>H23-I23</f>
        <v>0</v>
      </c>
      <c r="M23" s="62">
        <v>5000</v>
      </c>
      <c r="N23" s="63"/>
      <c r="O23" s="64"/>
      <c r="P23" s="59" t="s">
        <v>85</v>
      </c>
    </row>
    <row r="24" spans="1:17" s="48" customFormat="1" ht="39" customHeight="1" x14ac:dyDescent="0.15">
      <c r="A24" s="37">
        <v>20170206</v>
      </c>
      <c r="B24" s="58" t="s">
        <v>84</v>
      </c>
      <c r="C24" s="65" t="s">
        <v>3</v>
      </c>
      <c r="D24" s="37"/>
      <c r="E24" s="59" t="s">
        <v>83</v>
      </c>
      <c r="F24" s="23" t="s">
        <v>161</v>
      </c>
      <c r="G24" s="37" t="s">
        <v>1</v>
      </c>
      <c r="H24" s="60">
        <f>[4]副本!G46</f>
        <v>961.45299999999997</v>
      </c>
      <c r="I24" s="60">
        <f>H24</f>
        <v>961.45299999999997</v>
      </c>
      <c r="J24" s="37"/>
      <c r="K24" s="62"/>
      <c r="L24" s="61">
        <f>H24-I24</f>
        <v>0</v>
      </c>
      <c r="M24" s="62">
        <v>5000</v>
      </c>
      <c r="N24" s="63"/>
      <c r="O24" s="64"/>
      <c r="P24" s="66" t="s">
        <v>82</v>
      </c>
    </row>
    <row r="25" spans="1:17" s="48" customFormat="1" ht="39" customHeight="1" x14ac:dyDescent="0.15">
      <c r="A25" s="37">
        <v>20170206</v>
      </c>
      <c r="B25" s="58" t="s">
        <v>81</v>
      </c>
      <c r="C25" s="65" t="s">
        <v>44</v>
      </c>
      <c r="D25" s="37"/>
      <c r="E25" s="37"/>
      <c r="F25" s="37"/>
      <c r="G25" s="37"/>
      <c r="H25" s="60"/>
      <c r="I25" s="60"/>
      <c r="J25" s="37"/>
      <c r="K25" s="62"/>
      <c r="L25" s="61"/>
      <c r="M25" s="62">
        <v>5000</v>
      </c>
      <c r="N25" s="63"/>
      <c r="O25" s="64"/>
      <c r="P25" s="59"/>
    </row>
    <row r="26" spans="1:17" s="48" customFormat="1" ht="39" customHeight="1" x14ac:dyDescent="0.15">
      <c r="A26" s="37">
        <v>20170206</v>
      </c>
      <c r="B26" s="58" t="s">
        <v>80</v>
      </c>
      <c r="C26" s="65" t="s">
        <v>44</v>
      </c>
      <c r="D26" s="37"/>
      <c r="E26" s="37"/>
      <c r="F26" s="37"/>
      <c r="G26" s="37"/>
      <c r="H26" s="60"/>
      <c r="I26" s="60"/>
      <c r="J26" s="37"/>
      <c r="K26" s="62"/>
      <c r="L26" s="61"/>
      <c r="M26" s="62">
        <v>4000</v>
      </c>
      <c r="N26" s="63"/>
      <c r="O26" s="64"/>
      <c r="P26" s="59"/>
    </row>
    <row r="27" spans="1:17" s="48" customFormat="1" ht="39" customHeight="1" x14ac:dyDescent="0.15">
      <c r="A27" s="37">
        <v>20170206</v>
      </c>
      <c r="B27" s="58" t="s">
        <v>79</v>
      </c>
      <c r="C27" s="65" t="s">
        <v>74</v>
      </c>
      <c r="D27" s="37"/>
      <c r="E27" s="37"/>
      <c r="F27" s="37"/>
      <c r="G27" s="37"/>
      <c r="H27" s="60"/>
      <c r="I27" s="60"/>
      <c r="J27" s="37"/>
      <c r="K27" s="62"/>
      <c r="L27" s="61"/>
      <c r="M27" s="62">
        <v>5000</v>
      </c>
      <c r="N27" s="63"/>
      <c r="O27" s="64"/>
      <c r="P27" s="59"/>
    </row>
    <row r="28" spans="1:17" s="48" customFormat="1" ht="39" customHeight="1" x14ac:dyDescent="0.15">
      <c r="A28" s="37">
        <v>20170206</v>
      </c>
      <c r="B28" s="58" t="s">
        <v>78</v>
      </c>
      <c r="C28" s="65" t="s">
        <v>74</v>
      </c>
      <c r="D28" s="37"/>
      <c r="E28" s="37" t="s">
        <v>32</v>
      </c>
      <c r="F28" s="23" t="s">
        <v>161</v>
      </c>
      <c r="G28" s="37" t="s">
        <v>1</v>
      </c>
      <c r="H28" s="60">
        <f>[4]副本!G55</f>
        <v>1496.749</v>
      </c>
      <c r="I28" s="60">
        <f>H28</f>
        <v>1496.749</v>
      </c>
      <c r="J28" s="37"/>
      <c r="K28" s="62">
        <v>1300</v>
      </c>
      <c r="L28" s="61">
        <f>H28-I28</f>
        <v>0</v>
      </c>
      <c r="M28" s="62">
        <v>2000</v>
      </c>
      <c r="N28" s="63"/>
      <c r="O28" s="64"/>
      <c r="P28" s="59" t="s">
        <v>31</v>
      </c>
    </row>
    <row r="29" spans="1:17" s="48" customFormat="1" ht="39" customHeight="1" x14ac:dyDescent="0.15">
      <c r="A29" s="37">
        <v>20170206</v>
      </c>
      <c r="B29" s="58" t="s">
        <v>77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[4]副本!G57</f>
        <v>1098.6790000000001</v>
      </c>
      <c r="I29" s="60">
        <f>H29-1098.679</f>
        <v>0</v>
      </c>
      <c r="J29" s="37"/>
      <c r="K29" s="62"/>
      <c r="L29" s="61">
        <f>H29-I29</f>
        <v>1098.6790000000001</v>
      </c>
      <c r="M29" s="62">
        <v>1500</v>
      </c>
      <c r="N29" s="63"/>
      <c r="O29" s="64"/>
      <c r="P29" s="59"/>
    </row>
    <row r="30" spans="1:17" s="48" customFormat="1" ht="39" customHeight="1" x14ac:dyDescent="0.15">
      <c r="A30" s="37">
        <v>20170206</v>
      </c>
      <c r="B30" s="58" t="s">
        <v>76</v>
      </c>
      <c r="C30" s="65" t="s">
        <v>74</v>
      </c>
      <c r="D30" s="37"/>
      <c r="E30" s="37" t="s">
        <v>32</v>
      </c>
      <c r="F30" s="23" t="s">
        <v>161</v>
      </c>
      <c r="G30" s="37" t="s">
        <v>1</v>
      </c>
      <c r="H30" s="60">
        <f>[4]副本!G59</f>
        <v>886.72700000000009</v>
      </c>
      <c r="I30" s="60">
        <f>H30</f>
        <v>886.72700000000009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31</v>
      </c>
      <c r="Q30" s="49"/>
    </row>
    <row r="31" spans="1:17" s="48" customFormat="1" ht="39" customHeight="1" x14ac:dyDescent="0.15">
      <c r="A31" s="37">
        <v>20170206</v>
      </c>
      <c r="B31" s="58" t="s">
        <v>75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[4]副本!G61</f>
        <v>1096.2820000000002</v>
      </c>
      <c r="I31" s="60">
        <f>H31-1096.282</f>
        <v>0</v>
      </c>
      <c r="J31" s="37"/>
      <c r="K31" s="62"/>
      <c r="L31" s="61">
        <f>H31-I31</f>
        <v>1096.2820000000002</v>
      </c>
      <c r="M31" s="62">
        <v>1500</v>
      </c>
      <c r="N31" s="63"/>
      <c r="O31" s="64"/>
      <c r="P31" s="59"/>
    </row>
    <row r="32" spans="1:17" s="48" customFormat="1" ht="39" customHeight="1" x14ac:dyDescent="0.15">
      <c r="A32" s="37">
        <v>20170206</v>
      </c>
      <c r="B32" s="58" t="s">
        <v>73</v>
      </c>
      <c r="C32" s="65" t="s">
        <v>44</v>
      </c>
      <c r="D32" s="37"/>
      <c r="E32" s="37"/>
      <c r="F32" s="37"/>
      <c r="G32" s="37"/>
      <c r="H32" s="60"/>
      <c r="I32" s="60"/>
      <c r="J32" s="37"/>
      <c r="K32" s="62"/>
      <c r="L32" s="61"/>
      <c r="M32" s="62">
        <v>1500</v>
      </c>
      <c r="N32" s="63"/>
      <c r="O32" s="64"/>
      <c r="P32" s="59"/>
    </row>
    <row r="33" spans="1:16" s="48" customFormat="1" ht="39" customHeight="1" x14ac:dyDescent="0.15">
      <c r="A33" s="37">
        <v>20170206</v>
      </c>
      <c r="B33" s="58" t="s">
        <v>72</v>
      </c>
      <c r="C33" s="65" t="s">
        <v>44</v>
      </c>
      <c r="D33" s="37"/>
      <c r="E33" s="37" t="s">
        <v>71</v>
      </c>
      <c r="F33" s="23" t="s">
        <v>154</v>
      </c>
      <c r="G33" s="37" t="s">
        <v>1</v>
      </c>
      <c r="H33" s="37">
        <f>[4]副本!G65</f>
        <v>408.81600000000014</v>
      </c>
      <c r="I33" s="60">
        <f>H33-1035.099+1035.099</f>
        <v>408.81600000000014</v>
      </c>
      <c r="J33" s="37"/>
      <c r="K33" s="62">
        <v>30</v>
      </c>
      <c r="L33" s="61">
        <f>H33-I33</f>
        <v>0</v>
      </c>
      <c r="M33" s="62">
        <v>2000</v>
      </c>
      <c r="N33" s="63"/>
      <c r="O33" s="64"/>
      <c r="P33" s="59" t="s">
        <v>70</v>
      </c>
    </row>
    <row r="34" spans="1:16" s="48" customFormat="1" ht="39" customHeight="1" x14ac:dyDescent="0.15">
      <c r="A34" s="37">
        <v>20170206</v>
      </c>
      <c r="B34" s="58" t="s">
        <v>69</v>
      </c>
      <c r="C34" s="65" t="s">
        <v>44</v>
      </c>
      <c r="D34" s="37" t="s">
        <v>5</v>
      </c>
      <c r="E34" s="37" t="s">
        <v>68</v>
      </c>
      <c r="F34" s="23" t="s">
        <v>162</v>
      </c>
      <c r="G34" s="37" t="s">
        <v>1</v>
      </c>
      <c r="H34" s="60">
        <f>[4]副本!G67</f>
        <v>640.54299999999989</v>
      </c>
      <c r="I34" s="60">
        <f>H34-1037.023+500+537.023</f>
        <v>640.54300000000001</v>
      </c>
      <c r="J34" s="37"/>
      <c r="K34" s="62">
        <v>100</v>
      </c>
      <c r="L34" s="61">
        <f>H34-I34</f>
        <v>0</v>
      </c>
      <c r="M34" s="62">
        <v>3000</v>
      </c>
      <c r="N34" s="63"/>
      <c r="O34" s="64"/>
      <c r="P34" s="67" t="s">
        <v>67</v>
      </c>
    </row>
    <row r="35" spans="1:16" s="48" customFormat="1" ht="39" customHeight="1" x14ac:dyDescent="0.15">
      <c r="A35" s="37">
        <v>20170206</v>
      </c>
      <c r="B35" s="58" t="s">
        <v>66</v>
      </c>
      <c r="C35" s="65" t="s">
        <v>44</v>
      </c>
      <c r="D35" s="37" t="s">
        <v>5</v>
      </c>
      <c r="E35" s="37" t="s">
        <v>61</v>
      </c>
      <c r="F35" s="23" t="s">
        <v>159</v>
      </c>
      <c r="G35" s="37" t="s">
        <v>1</v>
      </c>
      <c r="H35" s="60">
        <f>[4]副本!G69</f>
        <v>3147.802999999999</v>
      </c>
      <c r="I35" s="60">
        <f>H35-3607.546+2050+1050+507.546-1553.792+1553.792</f>
        <v>3147.802999999999</v>
      </c>
      <c r="J35" s="37"/>
      <c r="K35" s="62"/>
      <c r="L35" s="61">
        <f>H35-I35</f>
        <v>0</v>
      </c>
      <c r="M35" s="62">
        <v>4000</v>
      </c>
      <c r="N35" s="63"/>
      <c r="O35" s="64"/>
      <c r="P35" s="59" t="s">
        <v>65</v>
      </c>
    </row>
    <row r="36" spans="1:16" s="48" customFormat="1" ht="39" customHeight="1" x14ac:dyDescent="0.15">
      <c r="A36" s="37">
        <v>20170206</v>
      </c>
      <c r="B36" s="58" t="s">
        <v>64</v>
      </c>
      <c r="C36" s="65" t="s">
        <v>3</v>
      </c>
      <c r="D36" s="37"/>
      <c r="E36" s="37"/>
      <c r="F36" s="37"/>
      <c r="G36" s="37"/>
      <c r="H36" s="60"/>
      <c r="I36" s="60"/>
      <c r="J36" s="37"/>
      <c r="K36" s="62"/>
      <c r="L36" s="61"/>
      <c r="M36" s="62">
        <v>5000</v>
      </c>
      <c r="N36" s="63"/>
      <c r="O36" s="64"/>
      <c r="P36" s="59"/>
    </row>
    <row r="37" spans="1:16" s="48" customFormat="1" ht="39" customHeight="1" x14ac:dyDescent="0.15">
      <c r="A37" s="37">
        <v>20170206</v>
      </c>
      <c r="B37" s="58" t="s">
        <v>63</v>
      </c>
      <c r="C37" s="65" t="s">
        <v>44</v>
      </c>
      <c r="D37" s="37" t="s">
        <v>5</v>
      </c>
      <c r="E37" s="37" t="s">
        <v>61</v>
      </c>
      <c r="F37" s="23" t="s">
        <v>159</v>
      </c>
      <c r="G37" s="37" t="s">
        <v>1</v>
      </c>
      <c r="H37" s="60">
        <f>[4]副本!G73</f>
        <v>3552.8970000000522</v>
      </c>
      <c r="I37" s="60">
        <f>H37-955.747+477.874+477.873-1042.865-2628.137+500+542.865+2102.57+525.567-499.112-3147.566+2100+525+525+496.678-2617.899+1574.891+523.692-522.622+522.622-2589.467+523.692-499.362</f>
        <v>468.44400000005186</v>
      </c>
      <c r="J37" s="37"/>
      <c r="K37" s="62"/>
      <c r="L37" s="61">
        <f>H37-I37</f>
        <v>3084.4530000000004</v>
      </c>
      <c r="M37" s="62">
        <v>5000</v>
      </c>
      <c r="N37" s="63"/>
      <c r="O37" s="64"/>
      <c r="P37" s="59" t="s">
        <v>182</v>
      </c>
    </row>
    <row r="38" spans="1:16" s="48" customFormat="1" ht="39" customHeight="1" x14ac:dyDescent="0.15">
      <c r="A38" s="37">
        <v>20170206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163</v>
      </c>
      <c r="G38" s="37" t="s">
        <v>1</v>
      </c>
      <c r="H38" s="60">
        <f>[4]副本!G74</f>
        <v>934.32800000000032</v>
      </c>
      <c r="I38" s="60">
        <f>H38</f>
        <v>934.32800000000032</v>
      </c>
      <c r="J38" s="37"/>
      <c r="K38" s="62"/>
      <c r="L38" s="61">
        <f>H38-I38</f>
        <v>0</v>
      </c>
      <c r="M38" s="62">
        <v>5000</v>
      </c>
      <c r="N38" s="63"/>
      <c r="O38" s="64"/>
      <c r="P38" s="59" t="s">
        <v>60</v>
      </c>
    </row>
    <row r="39" spans="1:16" s="48" customFormat="1" ht="39" customHeight="1" x14ac:dyDescent="0.15">
      <c r="A39" s="37">
        <v>20170206</v>
      </c>
      <c r="B39" s="58" t="s">
        <v>59</v>
      </c>
      <c r="C39" s="65" t="s">
        <v>19</v>
      </c>
      <c r="D39" s="37"/>
      <c r="E39" s="37" t="s">
        <v>32</v>
      </c>
      <c r="F39" s="23" t="s">
        <v>161</v>
      </c>
      <c r="G39" s="37" t="s">
        <v>1</v>
      </c>
      <c r="H39" s="60">
        <f>[4]副本!G76</f>
        <v>2596.4419999999977</v>
      </c>
      <c r="I39" s="60">
        <f>H39-2564.978</f>
        <v>31.463999999997668</v>
      </c>
      <c r="J39" s="37"/>
      <c r="K39" s="62"/>
      <c r="L39" s="61">
        <f>H39-I39</f>
        <v>2564.9780000000001</v>
      </c>
      <c r="M39" s="62">
        <v>4000</v>
      </c>
      <c r="N39" s="63"/>
      <c r="O39" s="64"/>
      <c r="P39" s="59" t="s">
        <v>58</v>
      </c>
    </row>
    <row r="40" spans="1:16" s="48" customFormat="1" ht="39" customHeight="1" x14ac:dyDescent="0.15">
      <c r="A40" s="37">
        <v>20170206</v>
      </c>
      <c r="B40" s="58" t="s">
        <v>59</v>
      </c>
      <c r="C40" s="65" t="s">
        <v>19</v>
      </c>
      <c r="D40" s="37"/>
      <c r="E40" s="37" t="s">
        <v>32</v>
      </c>
      <c r="F40" s="23" t="s">
        <v>164</v>
      </c>
      <c r="G40" s="37" t="s">
        <v>1</v>
      </c>
      <c r="H40" s="60">
        <f>[4]副本!G77</f>
        <v>-0.23699999999985266</v>
      </c>
      <c r="I40" s="60">
        <f>H40</f>
        <v>-0.23699999999985266</v>
      </c>
      <c r="J40" s="37"/>
      <c r="K40" s="62"/>
      <c r="L40" s="61"/>
      <c r="M40" s="62">
        <v>4000</v>
      </c>
      <c r="N40" s="63"/>
      <c r="O40" s="64"/>
      <c r="P40" s="59" t="s">
        <v>57</v>
      </c>
    </row>
    <row r="41" spans="1:16" s="48" customFormat="1" ht="39" customHeight="1" x14ac:dyDescent="0.15">
      <c r="A41" s="37">
        <v>20170206</v>
      </c>
      <c r="B41" s="58" t="s">
        <v>56</v>
      </c>
      <c r="C41" s="65" t="s">
        <v>19</v>
      </c>
      <c r="D41" s="37"/>
      <c r="E41" s="37"/>
      <c r="F41" s="37"/>
      <c r="G41" s="37"/>
      <c r="H41" s="60"/>
      <c r="I41" s="60"/>
      <c r="J41" s="37"/>
      <c r="K41" s="62"/>
      <c r="L41" s="61"/>
      <c r="M41" s="62">
        <v>2000</v>
      </c>
      <c r="N41" s="63"/>
      <c r="O41" s="64"/>
      <c r="P41" s="59"/>
    </row>
    <row r="42" spans="1:16" s="48" customFormat="1" ht="39" customHeight="1" x14ac:dyDescent="0.15">
      <c r="A42" s="37">
        <v>20170206</v>
      </c>
      <c r="B42" s="58" t="s">
        <v>55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3000</v>
      </c>
      <c r="N42" s="63"/>
      <c r="O42" s="64"/>
      <c r="P42" s="59"/>
    </row>
    <row r="43" spans="1:16" s="48" customFormat="1" ht="39" customHeight="1" x14ac:dyDescent="0.15">
      <c r="A43" s="37">
        <v>20170206</v>
      </c>
      <c r="B43" s="58" t="s">
        <v>54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[4]副本!G84</f>
        <v>1118.4909999999995</v>
      </c>
      <c r="I43" s="60">
        <f>H43</f>
        <v>1118.4909999999995</v>
      </c>
      <c r="J43" s="37"/>
      <c r="K43" s="62"/>
      <c r="L43" s="61">
        <f>H43-I43</f>
        <v>0</v>
      </c>
      <c r="M43" s="62">
        <v>5000</v>
      </c>
      <c r="N43" s="68"/>
      <c r="O43" s="64"/>
      <c r="P43" s="59" t="s">
        <v>53</v>
      </c>
    </row>
    <row r="44" spans="1:16" s="48" customFormat="1" ht="39" customHeight="1" x14ac:dyDescent="0.15">
      <c r="A44" s="37">
        <v>20170206</v>
      </c>
      <c r="B44" s="58" t="s">
        <v>52</v>
      </c>
      <c r="C44" s="65" t="s">
        <v>44</v>
      </c>
      <c r="D44" s="37"/>
      <c r="E44" s="37"/>
      <c r="F44" s="37"/>
      <c r="G44" s="37"/>
      <c r="H44" s="60"/>
      <c r="I44" s="60"/>
      <c r="J44" s="37"/>
      <c r="K44" s="62"/>
      <c r="L44" s="61"/>
      <c r="M44" s="62">
        <v>5000</v>
      </c>
      <c r="N44" s="63"/>
      <c r="O44" s="64"/>
      <c r="P44" s="59"/>
    </row>
    <row r="45" spans="1:16" s="48" customFormat="1" ht="39" customHeight="1" x14ac:dyDescent="0.15">
      <c r="A45" s="37">
        <v>20170206</v>
      </c>
      <c r="B45" s="58" t="s">
        <v>51</v>
      </c>
      <c r="C45" s="65" t="s">
        <v>44</v>
      </c>
      <c r="D45" s="37"/>
      <c r="E45" s="37" t="s">
        <v>50</v>
      </c>
      <c r="F45" s="23" t="s">
        <v>152</v>
      </c>
      <c r="G45" s="37" t="s">
        <v>1</v>
      </c>
      <c r="H45" s="60">
        <f>[4]副本!G90</f>
        <v>2006.1080000000002</v>
      </c>
      <c r="I45" s="60">
        <f>H45-1021.25+1021.25</f>
        <v>2006.1080000000002</v>
      </c>
      <c r="J45" s="37"/>
      <c r="K45" s="62">
        <v>70</v>
      </c>
      <c r="L45" s="61">
        <f>H45-I45</f>
        <v>0</v>
      </c>
      <c r="M45" s="62">
        <v>5000</v>
      </c>
      <c r="N45" s="63"/>
      <c r="O45" s="64"/>
      <c r="P45" s="59" t="s">
        <v>180</v>
      </c>
    </row>
    <row r="46" spans="1:16" s="48" customFormat="1" ht="39" customHeight="1" x14ac:dyDescent="0.15">
      <c r="A46" s="37">
        <v>20170206</v>
      </c>
      <c r="B46" s="58" t="s">
        <v>51</v>
      </c>
      <c r="C46" s="65" t="s">
        <v>44</v>
      </c>
      <c r="D46" s="37"/>
      <c r="E46" s="37" t="s">
        <v>50</v>
      </c>
      <c r="F46" s="23" t="s">
        <v>148</v>
      </c>
      <c r="G46" s="37"/>
      <c r="H46" s="60">
        <f>[4]副本!G91</f>
        <v>1000</v>
      </c>
      <c r="I46" s="60">
        <f>H46</f>
        <v>1000</v>
      </c>
      <c r="J46" s="37"/>
      <c r="K46" s="62"/>
      <c r="L46" s="61"/>
      <c r="M46" s="62">
        <v>5000</v>
      </c>
      <c r="N46" s="63"/>
      <c r="O46" s="64"/>
      <c r="P46" s="59" t="s">
        <v>49</v>
      </c>
    </row>
    <row r="47" spans="1:16" s="48" customFormat="1" ht="39" customHeight="1" x14ac:dyDescent="0.15">
      <c r="A47" s="37">
        <v>20170206</v>
      </c>
      <c r="B47" s="58" t="s">
        <v>48</v>
      </c>
      <c r="C47" s="65" t="s">
        <v>44</v>
      </c>
      <c r="D47" s="37"/>
      <c r="E47" s="37" t="s">
        <v>43</v>
      </c>
      <c r="F47" s="23" t="s">
        <v>157</v>
      </c>
      <c r="G47" s="37" t="s">
        <v>1</v>
      </c>
      <c r="H47" s="60">
        <f>[4]副本!G93</f>
        <v>173.70399999999404</v>
      </c>
      <c r="I47" s="60">
        <f>H47</f>
        <v>173.70399999999404</v>
      </c>
      <c r="J47" s="37"/>
      <c r="K47" s="61"/>
      <c r="L47" s="61">
        <f>H47-I47</f>
        <v>0</v>
      </c>
      <c r="M47" s="62">
        <v>2000</v>
      </c>
      <c r="N47" s="63"/>
      <c r="O47" s="64"/>
      <c r="P47" s="59"/>
    </row>
    <row r="48" spans="1:16" s="48" customFormat="1" ht="39" customHeight="1" x14ac:dyDescent="0.15">
      <c r="A48" s="37">
        <v>20170206</v>
      </c>
      <c r="B48" s="58" t="s">
        <v>47</v>
      </c>
      <c r="C48" s="65" t="s">
        <v>19</v>
      </c>
      <c r="D48" s="37" t="s">
        <v>5</v>
      </c>
      <c r="E48" s="37" t="s">
        <v>27</v>
      </c>
      <c r="F48" s="23" t="s">
        <v>165</v>
      </c>
      <c r="G48" s="37" t="s">
        <v>1</v>
      </c>
      <c r="H48" s="60">
        <f>[4]副本!G95</f>
        <v>2409.6100000000006</v>
      </c>
      <c r="I48" s="60">
        <v>0</v>
      </c>
      <c r="J48" s="37"/>
      <c r="K48" s="62"/>
      <c r="L48" s="61">
        <f>H48-I48</f>
        <v>2409.6100000000006</v>
      </c>
      <c r="M48" s="62">
        <v>10000</v>
      </c>
      <c r="N48" s="63"/>
      <c r="O48" s="64"/>
      <c r="P48" s="59"/>
    </row>
    <row r="49" spans="1:17" s="48" customFormat="1" ht="39" customHeight="1" x14ac:dyDescent="0.15">
      <c r="A49" s="37">
        <v>20170206</v>
      </c>
      <c r="B49" s="58" t="s">
        <v>46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[4]副本!G97</f>
        <v>4217.264000000001</v>
      </c>
      <c r="I49" s="60">
        <v>0</v>
      </c>
      <c r="J49" s="37"/>
      <c r="K49" s="62"/>
      <c r="L49" s="61">
        <v>0</v>
      </c>
      <c r="M49" s="62">
        <v>10000</v>
      </c>
      <c r="N49" s="63"/>
      <c r="O49" s="64"/>
      <c r="P49" s="59"/>
    </row>
    <row r="50" spans="1:17" s="48" customFormat="1" ht="39" customHeight="1" x14ac:dyDescent="0.15">
      <c r="A50" s="37">
        <v>20170206</v>
      </c>
      <c r="B50" s="58" t="s">
        <v>45</v>
      </c>
      <c r="C50" s="65" t="s">
        <v>44</v>
      </c>
      <c r="D50" s="37"/>
      <c r="E50" s="37" t="s">
        <v>43</v>
      </c>
      <c r="F50" s="23" t="s">
        <v>166</v>
      </c>
      <c r="G50" s="37" t="s">
        <v>1</v>
      </c>
      <c r="H50" s="60">
        <f>[4]副本!G99</f>
        <v>1820.7750000000069</v>
      </c>
      <c r="I50" s="60">
        <f>H50</f>
        <v>1820.7750000000069</v>
      </c>
      <c r="J50" s="37"/>
      <c r="K50" s="61"/>
      <c r="L50" s="61">
        <v>0</v>
      </c>
      <c r="M50" s="62">
        <v>5000</v>
      </c>
      <c r="N50" s="69" t="s">
        <v>42</v>
      </c>
      <c r="O50" s="70" t="s">
        <v>41</v>
      </c>
      <c r="P50" s="59" t="s">
        <v>146</v>
      </c>
    </row>
    <row r="51" spans="1:17" s="48" customFormat="1" ht="39" customHeight="1" x14ac:dyDescent="0.15">
      <c r="A51" s="37">
        <v>20170206</v>
      </c>
      <c r="B51" s="58" t="s">
        <v>39</v>
      </c>
      <c r="C51" s="65" t="s">
        <v>19</v>
      </c>
      <c r="D51" s="37"/>
      <c r="E51" s="37"/>
      <c r="F51" s="37"/>
      <c r="G51" s="37"/>
      <c r="H51" s="60"/>
      <c r="I51" s="60"/>
      <c r="J51" s="37"/>
      <c r="K51" s="62"/>
      <c r="L51" s="61"/>
      <c r="M51" s="62">
        <v>3000</v>
      </c>
      <c r="N51" s="63"/>
      <c r="O51" s="64"/>
      <c r="P51" s="59"/>
    </row>
    <row r="52" spans="1:17" s="48" customFormat="1" ht="39" customHeight="1" x14ac:dyDescent="0.15">
      <c r="A52" s="37">
        <v>20170206</v>
      </c>
      <c r="B52" s="58" t="s">
        <v>38</v>
      </c>
      <c r="C52" s="65" t="s">
        <v>19</v>
      </c>
      <c r="D52" s="37" t="s">
        <v>5</v>
      </c>
      <c r="E52" s="37" t="s">
        <v>27</v>
      </c>
      <c r="F52" s="23" t="s">
        <v>165</v>
      </c>
      <c r="G52" s="37" t="s">
        <v>22</v>
      </c>
      <c r="H52" s="60">
        <f>[4]副本!G103</f>
        <v>17526.61</v>
      </c>
      <c r="I52" s="60">
        <v>0</v>
      </c>
      <c r="J52" s="37"/>
      <c r="K52" s="62"/>
      <c r="L52" s="61">
        <f>H52-I52</f>
        <v>17526.61</v>
      </c>
      <c r="M52" s="62">
        <v>25000</v>
      </c>
      <c r="N52" s="63" t="s">
        <v>37</v>
      </c>
      <c r="O52" s="64" t="s">
        <v>36</v>
      </c>
      <c r="P52" s="59" t="s">
        <v>35</v>
      </c>
    </row>
    <row r="53" spans="1:17" s="48" customFormat="1" ht="39" customHeight="1" x14ac:dyDescent="0.15">
      <c r="A53" s="37">
        <v>20170206</v>
      </c>
      <c r="B53" s="58" t="s">
        <v>34</v>
      </c>
      <c r="C53" s="65" t="s">
        <v>19</v>
      </c>
      <c r="D53" s="37" t="s">
        <v>5</v>
      </c>
      <c r="E53" s="37" t="s">
        <v>27</v>
      </c>
      <c r="F53" s="23" t="s">
        <v>167</v>
      </c>
      <c r="G53" s="37" t="s">
        <v>22</v>
      </c>
      <c r="H53" s="60">
        <f>[4]副本!G105</f>
        <v>32753.382000000081</v>
      </c>
      <c r="I53" s="60">
        <v>0</v>
      </c>
      <c r="J53" s="37"/>
      <c r="K53" s="62"/>
      <c r="L53" s="61">
        <f>H53-I53</f>
        <v>32753.382000000081</v>
      </c>
      <c r="M53" s="62">
        <v>50000</v>
      </c>
      <c r="N53" s="63"/>
      <c r="O53" s="64"/>
      <c r="P53" s="59"/>
    </row>
    <row r="54" spans="1:17" s="48" customFormat="1" ht="39" customHeight="1" x14ac:dyDescent="0.15">
      <c r="A54" s="37">
        <v>20170206</v>
      </c>
      <c r="B54" s="58" t="s">
        <v>33</v>
      </c>
      <c r="C54" s="65" t="s">
        <v>19</v>
      </c>
      <c r="D54" s="37"/>
      <c r="E54" s="37" t="s">
        <v>32</v>
      </c>
      <c r="F54" s="23" t="s">
        <v>161</v>
      </c>
      <c r="G54" s="37" t="s">
        <v>22</v>
      </c>
      <c r="H54" s="60">
        <f>[4]副本!G107</f>
        <v>1760.9310000000169</v>
      </c>
      <c r="I54" s="60">
        <f>H54</f>
        <v>1760.9310000000169</v>
      </c>
      <c r="J54" s="37"/>
      <c r="K54" s="62"/>
      <c r="L54" s="61">
        <f>H54-I54</f>
        <v>0</v>
      </c>
      <c r="M54" s="62">
        <v>4000</v>
      </c>
      <c r="N54" s="63"/>
      <c r="O54" s="64"/>
      <c r="P54" s="59" t="s">
        <v>31</v>
      </c>
    </row>
    <row r="55" spans="1:17" s="48" customFormat="1" ht="39" customHeight="1" x14ac:dyDescent="0.15">
      <c r="A55" s="37">
        <v>20170206</v>
      </c>
      <c r="B55" s="58" t="s">
        <v>30</v>
      </c>
      <c r="C55" s="65" t="s">
        <v>3</v>
      </c>
      <c r="D55" s="37"/>
      <c r="E55" s="37"/>
      <c r="F55" s="37"/>
      <c r="G55" s="37"/>
      <c r="H55" s="60"/>
      <c r="I55" s="60"/>
      <c r="J55" s="37"/>
      <c r="K55" s="62"/>
      <c r="L55" s="61"/>
      <c r="M55" s="62">
        <v>37000</v>
      </c>
      <c r="N55" s="63"/>
      <c r="O55" s="64"/>
      <c r="P55" s="59"/>
    </row>
    <row r="56" spans="1:17" s="48" customFormat="1" ht="39" customHeight="1" x14ac:dyDescent="0.15">
      <c r="A56" s="37">
        <v>20170206</v>
      </c>
      <c r="B56" s="58" t="s">
        <v>29</v>
      </c>
      <c r="C56" s="65" t="s">
        <v>3</v>
      </c>
      <c r="D56" s="37"/>
      <c r="E56" s="37"/>
      <c r="F56" s="37"/>
      <c r="G56" s="37"/>
      <c r="H56" s="60"/>
      <c r="I56" s="37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9" customHeight="1" x14ac:dyDescent="0.15">
      <c r="A57" s="37">
        <v>20170206</v>
      </c>
      <c r="B57" s="58" t="s">
        <v>28</v>
      </c>
      <c r="C57" s="65" t="s">
        <v>19</v>
      </c>
      <c r="D57" s="37" t="s">
        <v>5</v>
      </c>
      <c r="E57" s="37" t="s">
        <v>27</v>
      </c>
      <c r="F57" s="23" t="s">
        <v>168</v>
      </c>
      <c r="G57" s="37" t="s">
        <v>22</v>
      </c>
      <c r="H57" s="60">
        <f>[4]副本!G115</f>
        <v>1767.3689999999997</v>
      </c>
      <c r="I57" s="60">
        <v>0</v>
      </c>
      <c r="J57" s="37"/>
      <c r="K57" s="61"/>
      <c r="L57" s="61">
        <f>H57-I57</f>
        <v>1767.3689999999997</v>
      </c>
      <c r="M57" s="62">
        <v>10000</v>
      </c>
      <c r="N57" s="63"/>
      <c r="O57" s="64"/>
      <c r="P57" s="59"/>
      <c r="Q57" s="49"/>
    </row>
    <row r="58" spans="1:17" s="48" customFormat="1" ht="39" customHeight="1" x14ac:dyDescent="0.15">
      <c r="A58" s="37">
        <v>20170206</v>
      </c>
      <c r="B58" s="58" t="s">
        <v>26</v>
      </c>
      <c r="C58" s="65" t="s">
        <v>3</v>
      </c>
      <c r="D58" s="37" t="s">
        <v>5</v>
      </c>
      <c r="E58" s="37" t="s">
        <v>2</v>
      </c>
      <c r="F58" s="23" t="s">
        <v>169</v>
      </c>
      <c r="G58" s="37" t="s">
        <v>22</v>
      </c>
      <c r="H58" s="60">
        <f>[4]副本!G117</f>
        <v>2990.8999999999996</v>
      </c>
      <c r="I58" s="60">
        <f>H58</f>
        <v>2990.8999999999996</v>
      </c>
      <c r="J58" s="37"/>
      <c r="K58" s="62">
        <v>150</v>
      </c>
      <c r="L58" s="61">
        <f>H58-I58</f>
        <v>0</v>
      </c>
      <c r="M58" s="62">
        <v>15000</v>
      </c>
      <c r="N58" s="63"/>
      <c r="O58" s="64"/>
      <c r="P58" s="59" t="s">
        <v>181</v>
      </c>
      <c r="Q58" s="49"/>
    </row>
    <row r="59" spans="1:17" s="48" customFormat="1" ht="39" customHeight="1" x14ac:dyDescent="0.15">
      <c r="A59" s="37">
        <v>20170206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170</v>
      </c>
      <c r="G59" s="37" t="s">
        <v>22</v>
      </c>
      <c r="H59" s="60">
        <f>[4]副本!G118</f>
        <v>96.739999999999782</v>
      </c>
      <c r="I59" s="60">
        <f>H59</f>
        <v>96.739999999999782</v>
      </c>
      <c r="J59" s="37"/>
      <c r="K59" s="68"/>
      <c r="L59" s="61">
        <f>H59-I59</f>
        <v>0</v>
      </c>
      <c r="M59" s="62">
        <v>15000</v>
      </c>
      <c r="N59" s="63"/>
      <c r="O59" s="64"/>
      <c r="P59" s="59" t="s">
        <v>24</v>
      </c>
      <c r="Q59" s="49"/>
    </row>
    <row r="60" spans="1:17" s="48" customFormat="1" ht="39" customHeight="1" x14ac:dyDescent="0.15">
      <c r="A60" s="37">
        <v>20170206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[4]副本!G120</f>
        <v>9137.5909999999967</v>
      </c>
      <c r="I60" s="60">
        <f>H60</f>
        <v>9137.5909999999967</v>
      </c>
      <c r="J60" s="37"/>
      <c r="K60" s="62">
        <v>650</v>
      </c>
      <c r="L60" s="61"/>
      <c r="M60" s="62">
        <v>43000</v>
      </c>
      <c r="N60" s="63"/>
      <c r="O60" s="64"/>
      <c r="P60" s="59" t="s">
        <v>21</v>
      </c>
      <c r="Q60" s="49"/>
    </row>
    <row r="61" spans="1:17" s="48" customFormat="1" ht="39" customHeight="1" x14ac:dyDescent="0.15">
      <c r="A61" s="37">
        <v>20170206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[4]副本!G121</f>
        <v>21.100000000000364</v>
      </c>
      <c r="I61" s="60">
        <f>H61</f>
        <v>21.100000000000364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39" customHeight="1" x14ac:dyDescent="0.15">
      <c r="A62" s="37">
        <v>20170206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/>
      <c r="N62" s="63"/>
      <c r="O62" s="64"/>
      <c r="P62" s="59"/>
      <c r="Q62" s="49"/>
    </row>
    <row r="63" spans="1:17" s="48" customFormat="1" ht="39" customHeight="1" x14ac:dyDescent="0.15">
      <c r="A63" s="37">
        <v>20170206</v>
      </c>
      <c r="B63" s="58" t="s">
        <v>18</v>
      </c>
      <c r="C63" s="65" t="s">
        <v>3</v>
      </c>
      <c r="D63" s="37"/>
      <c r="E63" s="37" t="s">
        <v>147</v>
      </c>
      <c r="F63" s="23" t="s">
        <v>173</v>
      </c>
      <c r="G63" s="37" t="s">
        <v>1</v>
      </c>
      <c r="H63" s="60">
        <f>[4]副本!G125</f>
        <v>8339.3289999999961</v>
      </c>
      <c r="I63" s="60">
        <f>H63-8339.329</f>
        <v>0</v>
      </c>
      <c r="J63" s="37"/>
      <c r="K63" s="62"/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39" customHeight="1" x14ac:dyDescent="0.15">
      <c r="A64" s="37">
        <v>20170206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[4]副本!G127</f>
        <v>4880.6440000000002</v>
      </c>
      <c r="I64" s="60">
        <f>H64-4751.949+4751.949-4880.644</f>
        <v>0</v>
      </c>
      <c r="J64" s="37"/>
      <c r="K64" s="62"/>
      <c r="L64" s="61">
        <f>H64-I64</f>
        <v>4880.6440000000002</v>
      </c>
      <c r="M64" s="62">
        <v>30000</v>
      </c>
      <c r="N64" s="63"/>
      <c r="O64" s="64"/>
      <c r="P64" s="59" t="s">
        <v>179</v>
      </c>
    </row>
    <row r="65" spans="1:16" s="48" customFormat="1" ht="39" customHeight="1" x14ac:dyDescent="0.15">
      <c r="A65" s="37">
        <v>20170206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[4]副本!G128</f>
        <v>9859.3230000000003</v>
      </c>
      <c r="I65" s="60">
        <f>H65</f>
        <v>9859.3230000000003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39" customHeight="1" x14ac:dyDescent="0.15">
      <c r="A66" s="37">
        <v>20170206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[4]副本!G130</f>
        <v>14976.093999999999</v>
      </c>
      <c r="I66" s="60">
        <f>H66-14976.094</f>
        <v>0</v>
      </c>
      <c r="J66" s="37"/>
      <c r="K66" s="62">
        <v>350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39" customHeight="1" x14ac:dyDescent="0.15">
      <c r="A67" s="37">
        <v>20170206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[4]副本!G132</f>
        <v>20204.884999999973</v>
      </c>
      <c r="I67" s="60">
        <f>H67</f>
        <v>20204.884999999973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39" customHeight="1" x14ac:dyDescent="0.15">
      <c r="A68" s="37">
        <v>20170206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39" customHeight="1" x14ac:dyDescent="0.15">
      <c r="A69" s="37">
        <v>20170206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39" customHeight="1" x14ac:dyDescent="0.15">
      <c r="A70" s="37">
        <v>20170206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[4]副本!G139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39" customHeight="1" x14ac:dyDescent="0.15">
      <c r="A71" s="37">
        <v>20170206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[4]副本!G141</f>
        <v>5546.9099999999989</v>
      </c>
      <c r="I71" s="60">
        <f>H71</f>
        <v>5546.9099999999989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0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5" activePane="bottomRight" state="frozen"/>
      <selection pane="topRight"/>
      <selection pane="bottomLeft"/>
      <selection pane="bottomRight" activeCell="E14" sqref="E14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7.1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0" customHeight="1" x14ac:dyDescent="0.15">
      <c r="A2" s="37">
        <v>20170207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/>
    </row>
    <row r="3" spans="1:17" s="48" customFormat="1" ht="30" customHeight="1" x14ac:dyDescent="0.15">
      <c r="A3" s="37">
        <v>20170207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[5]副本!G6</f>
        <v>572.65899999999999</v>
      </c>
      <c r="I3" s="60">
        <f>H3</f>
        <v>572.65899999999999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0" customHeight="1" x14ac:dyDescent="0.15">
      <c r="A4" s="37">
        <v>20170207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[5]副本!G8</f>
        <v>1710.5029999999958</v>
      </c>
      <c r="I4" s="60">
        <f>H4</f>
        <v>1710.5029999999958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0" customHeight="1" x14ac:dyDescent="0.15">
      <c r="A5" s="37">
        <v>20170207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>
        <f>[5]副本!G10</f>
        <v>2003.7640000000292</v>
      </c>
      <c r="I5" s="60">
        <f>H5</f>
        <v>2003.7640000000292</v>
      </c>
      <c r="J5" s="37"/>
      <c r="K5" s="62"/>
      <c r="L5" s="61">
        <f>H5-I5</f>
        <v>0</v>
      </c>
      <c r="M5" s="62">
        <v>2000</v>
      </c>
      <c r="N5" s="63" t="s">
        <v>123</v>
      </c>
      <c r="O5" s="64" t="s">
        <v>89</v>
      </c>
      <c r="P5" s="59" t="s">
        <v>191</v>
      </c>
    </row>
    <row r="6" spans="1:17" s="48" customFormat="1" ht="30" customHeight="1" x14ac:dyDescent="0.15">
      <c r="A6" s="37">
        <v>20170207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/>
      <c r="I6" s="60"/>
      <c r="J6" s="37"/>
      <c r="K6" s="62"/>
      <c r="L6" s="61"/>
      <c r="M6" s="62">
        <v>3000</v>
      </c>
      <c r="N6" s="63" t="s">
        <v>120</v>
      </c>
      <c r="O6" s="64" t="s">
        <v>89</v>
      </c>
      <c r="P6" s="59"/>
      <c r="Q6" s="49"/>
    </row>
    <row r="7" spans="1:17" s="48" customFormat="1" ht="30" customHeight="1" x14ac:dyDescent="0.15">
      <c r="A7" s="37">
        <v>20170207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[5]副本!G14</f>
        <v>2739.3949999999986</v>
      </c>
      <c r="I7" s="60">
        <f t="shared" ref="I7:I14" si="0">H7</f>
        <v>2739.3949999999986</v>
      </c>
      <c r="J7" s="37"/>
      <c r="K7" s="62"/>
      <c r="L7" s="61">
        <f>H7-I7</f>
        <v>0</v>
      </c>
      <c r="M7" s="62">
        <v>3000</v>
      </c>
      <c r="N7" s="63"/>
      <c r="O7" s="64"/>
      <c r="P7" s="59" t="s">
        <v>190</v>
      </c>
      <c r="Q7" s="49"/>
    </row>
    <row r="8" spans="1:17" s="48" customFormat="1" ht="30" customHeight="1" x14ac:dyDescent="0.15">
      <c r="A8" s="37">
        <v>20170207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[5]副本!G16</f>
        <v>2087.2890000000002</v>
      </c>
      <c r="I8" s="60">
        <f t="shared" si="0"/>
        <v>2087.2890000000002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0" customHeight="1" x14ac:dyDescent="0.15">
      <c r="A9" s="37">
        <v>20170207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[5]副本!G18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2" t="s">
        <v>109</v>
      </c>
    </row>
    <row r="10" spans="1:17" s="48" customFormat="1" ht="30" customHeight="1" x14ac:dyDescent="0.15">
      <c r="A10" s="37">
        <v>20170207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[5]副本!G20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30" customHeight="1" x14ac:dyDescent="0.15">
      <c r="A11" s="37">
        <v>20170207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[5]副本!G21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>
        <v>1500</v>
      </c>
      <c r="N11" s="63"/>
      <c r="O11" s="64"/>
      <c r="P11" s="59" t="s">
        <v>106</v>
      </c>
    </row>
    <row r="12" spans="1:17" s="48" customFormat="1" ht="30" customHeight="1" x14ac:dyDescent="0.15">
      <c r="A12" s="37">
        <v>20170207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[5]副本!G22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>
        <v>1500</v>
      </c>
      <c r="N12" s="63"/>
      <c r="O12" s="64"/>
      <c r="P12" s="59" t="s">
        <v>106</v>
      </c>
    </row>
    <row r="13" spans="1:17" s="48" customFormat="1" ht="30" customHeight="1" x14ac:dyDescent="0.15">
      <c r="A13" s="37">
        <v>20170207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[5]副本!G24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30" customHeight="1" x14ac:dyDescent="0.15">
      <c r="A14" s="37">
        <v>20170207</v>
      </c>
      <c r="B14" s="58" t="s">
        <v>104</v>
      </c>
      <c r="C14" s="65" t="s">
        <v>19</v>
      </c>
      <c r="D14" s="37"/>
      <c r="E14" s="37" t="s">
        <v>198</v>
      </c>
      <c r="F14" s="23" t="s">
        <v>150</v>
      </c>
      <c r="G14" s="37"/>
      <c r="H14" s="60">
        <f>[5]副本!G26</f>
        <v>713.67000000000007</v>
      </c>
      <c r="I14" s="60">
        <f t="shared" si="0"/>
        <v>713.67000000000007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30" customHeight="1" x14ac:dyDescent="0.15">
      <c r="A15" s="37">
        <v>20170207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0" customHeight="1" x14ac:dyDescent="0.15">
      <c r="A16" s="37">
        <v>20170207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[5]副本!G30</f>
        <v>1021.977</v>
      </c>
      <c r="I16" s="60">
        <f>H16</f>
        <v>1021.977</v>
      </c>
      <c r="J16" s="37"/>
      <c r="K16" s="62"/>
      <c r="L16" s="61">
        <v>0</v>
      </c>
      <c r="M16" s="62">
        <v>1500</v>
      </c>
      <c r="N16" s="63"/>
      <c r="O16" s="64"/>
      <c r="P16" s="59" t="s">
        <v>100</v>
      </c>
    </row>
    <row r="17" spans="1:17" s="48" customFormat="1" ht="30" customHeight="1" x14ac:dyDescent="0.15">
      <c r="A17" s="37">
        <v>20170207</v>
      </c>
      <c r="B17" s="58" t="s">
        <v>99</v>
      </c>
      <c r="C17" s="65" t="s">
        <v>93</v>
      </c>
      <c r="D17" s="37"/>
      <c r="E17" s="37" t="s">
        <v>9</v>
      </c>
      <c r="F17" s="23" t="s">
        <v>158</v>
      </c>
      <c r="G17" s="37" t="s">
        <v>1</v>
      </c>
      <c r="H17" s="60">
        <f>[5]副本!G32-H18</f>
        <v>11169.247000000018</v>
      </c>
      <c r="I17" s="60">
        <f>H17</f>
        <v>11169.247000000018</v>
      </c>
      <c r="J17" s="37"/>
      <c r="K17" s="62"/>
      <c r="L17" s="61">
        <f>H17-I17</f>
        <v>0</v>
      </c>
      <c r="M17" s="62">
        <v>21000</v>
      </c>
      <c r="N17" s="63" t="s">
        <v>90</v>
      </c>
      <c r="O17" s="64" t="s">
        <v>89</v>
      </c>
      <c r="P17" s="59" t="s">
        <v>98</v>
      </c>
    </row>
    <row r="18" spans="1:17" s="48" customFormat="1" ht="30" customHeight="1" x14ac:dyDescent="0.15">
      <c r="A18" s="37">
        <v>20170207</v>
      </c>
      <c r="B18" s="58" t="s">
        <v>99</v>
      </c>
      <c r="C18" s="65" t="s">
        <v>93</v>
      </c>
      <c r="D18" s="37"/>
      <c r="E18" s="37" t="s">
        <v>9</v>
      </c>
      <c r="F18" s="24" t="s">
        <v>176</v>
      </c>
      <c r="G18" s="37" t="s">
        <v>1</v>
      </c>
      <c r="H18" s="60">
        <f>[5]副本!G34</f>
        <v>2172.7529999999824</v>
      </c>
      <c r="I18" s="60">
        <f>H18</f>
        <v>2172.7529999999824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97</v>
      </c>
    </row>
    <row r="19" spans="1:17" s="48" customFormat="1" ht="30" customHeight="1" x14ac:dyDescent="0.15">
      <c r="A19" s="37">
        <v>20170207</v>
      </c>
      <c r="B19" s="58" t="s">
        <v>96</v>
      </c>
      <c r="C19" s="65" t="s">
        <v>44</v>
      </c>
      <c r="D19" s="37" t="s">
        <v>5</v>
      </c>
      <c r="E19" s="37" t="s">
        <v>61</v>
      </c>
      <c r="F19" s="23" t="s">
        <v>159</v>
      </c>
      <c r="G19" s="37" t="s">
        <v>1</v>
      </c>
      <c r="H19" s="60">
        <f>[5]副本!G36</f>
        <v>3496.5419999999999</v>
      </c>
      <c r="I19" s="60">
        <f>H19-3496.542+1000</f>
        <v>1000</v>
      </c>
      <c r="J19" s="37"/>
      <c r="K19" s="62"/>
      <c r="L19" s="61">
        <f>H19-I19</f>
        <v>2496.5419999999999</v>
      </c>
      <c r="M19" s="62">
        <v>5000</v>
      </c>
      <c r="N19" s="63"/>
      <c r="O19" s="64"/>
      <c r="P19" s="59" t="s">
        <v>189</v>
      </c>
    </row>
    <row r="20" spans="1:17" s="48" customFormat="1" ht="30" customHeight="1" x14ac:dyDescent="0.15">
      <c r="A20" s="37">
        <v>20170207</v>
      </c>
      <c r="B20" s="58" t="s">
        <v>95</v>
      </c>
      <c r="C20" s="65" t="s">
        <v>44</v>
      </c>
      <c r="D20" s="37"/>
      <c r="E20" s="37"/>
      <c r="F20" s="37"/>
      <c r="G20" s="37"/>
      <c r="H20" s="60"/>
      <c r="I20" s="60"/>
      <c r="J20" s="37"/>
      <c r="K20" s="62"/>
      <c r="L20" s="61"/>
      <c r="M20" s="62">
        <v>3000</v>
      </c>
      <c r="N20" s="63"/>
      <c r="O20" s="64"/>
      <c r="P20" s="59"/>
    </row>
    <row r="21" spans="1:17" s="48" customFormat="1" ht="30" customHeight="1" x14ac:dyDescent="0.15">
      <c r="A21" s="37">
        <v>20170207</v>
      </c>
      <c r="B21" s="58" t="s">
        <v>94</v>
      </c>
      <c r="C21" s="65" t="s">
        <v>93</v>
      </c>
      <c r="D21" s="37"/>
      <c r="E21" s="37" t="s">
        <v>9</v>
      </c>
      <c r="F21" s="23" t="s">
        <v>158</v>
      </c>
      <c r="G21" s="37" t="s">
        <v>1</v>
      </c>
      <c r="H21" s="60">
        <f>[5]副本!G40-'20170207'!H22</f>
        <v>5457.5454280000376</v>
      </c>
      <c r="I21" s="60">
        <f>H21</f>
        <v>5457.5454280000376</v>
      </c>
      <c r="J21" s="37"/>
      <c r="K21" s="62"/>
      <c r="L21" s="61">
        <f>H21-I21</f>
        <v>0</v>
      </c>
      <c r="M21" s="62">
        <v>21000</v>
      </c>
      <c r="N21" s="63" t="s">
        <v>92</v>
      </c>
      <c r="O21" s="64" t="s">
        <v>89</v>
      </c>
      <c r="P21" s="59" t="s">
        <v>91</v>
      </c>
    </row>
    <row r="22" spans="1:17" s="48" customFormat="1" ht="30" customHeight="1" x14ac:dyDescent="0.15">
      <c r="A22" s="37">
        <v>20170207</v>
      </c>
      <c r="B22" s="58" t="s">
        <v>94</v>
      </c>
      <c r="C22" s="65" t="s">
        <v>93</v>
      </c>
      <c r="D22" s="37"/>
      <c r="E22" s="37" t="s">
        <v>9</v>
      </c>
      <c r="F22" s="24" t="s">
        <v>175</v>
      </c>
      <c r="G22" s="37" t="s">
        <v>1</v>
      </c>
      <c r="H22" s="60">
        <f>[5]副本!G42</f>
        <v>8385.4545719999624</v>
      </c>
      <c r="I22" s="60">
        <f>H22</f>
        <v>8385.4545719999624</v>
      </c>
      <c r="J22" s="37"/>
      <c r="K22" s="71"/>
      <c r="L22" s="61">
        <f>H22-I22</f>
        <v>0</v>
      </c>
      <c r="M22" s="62">
        <v>21000</v>
      </c>
      <c r="N22" s="63" t="s">
        <v>90</v>
      </c>
      <c r="O22" s="64" t="s">
        <v>89</v>
      </c>
      <c r="P22" s="59" t="s">
        <v>88</v>
      </c>
    </row>
    <row r="23" spans="1:17" s="48" customFormat="1" ht="30" customHeight="1" x14ac:dyDescent="0.15">
      <c r="A23" s="37">
        <v>20170207</v>
      </c>
      <c r="B23" s="58" t="s">
        <v>87</v>
      </c>
      <c r="C23" s="65" t="s">
        <v>44</v>
      </c>
      <c r="D23" s="37"/>
      <c r="E23" s="37" t="s">
        <v>86</v>
      </c>
      <c r="F23" s="23" t="s">
        <v>160</v>
      </c>
      <c r="G23" s="37" t="s">
        <v>1</v>
      </c>
      <c r="H23" s="60">
        <f>[5]副本!G44</f>
        <v>6134.7419999999993</v>
      </c>
      <c r="I23" s="60">
        <f>H23</f>
        <v>6134.7419999999993</v>
      </c>
      <c r="J23" s="37"/>
      <c r="K23" s="62">
        <v>350</v>
      </c>
      <c r="L23" s="61">
        <f>H23-I23</f>
        <v>0</v>
      </c>
      <c r="M23" s="62">
        <v>5000</v>
      </c>
      <c r="N23" s="63"/>
      <c r="O23" s="64"/>
      <c r="P23" s="59" t="s">
        <v>85</v>
      </c>
    </row>
    <row r="24" spans="1:17" s="48" customFormat="1" ht="30" customHeight="1" x14ac:dyDescent="0.15">
      <c r="A24" s="37">
        <v>20170207</v>
      </c>
      <c r="B24" s="58" t="s">
        <v>84</v>
      </c>
      <c r="C24" s="65" t="s">
        <v>3</v>
      </c>
      <c r="D24" s="37"/>
      <c r="E24" s="59" t="s">
        <v>83</v>
      </c>
      <c r="F24" s="23" t="s">
        <v>161</v>
      </c>
      <c r="G24" s="37" t="s">
        <v>1</v>
      </c>
      <c r="H24" s="60">
        <f>[5]副本!G46</f>
        <v>943.39300000000003</v>
      </c>
      <c r="I24" s="60">
        <f>H24</f>
        <v>943.39300000000003</v>
      </c>
      <c r="J24" s="37"/>
      <c r="K24" s="62"/>
      <c r="L24" s="61">
        <f>H24-I24</f>
        <v>0</v>
      </c>
      <c r="M24" s="62">
        <v>5000</v>
      </c>
      <c r="N24" s="63"/>
      <c r="O24" s="64"/>
      <c r="P24" s="66" t="s">
        <v>82</v>
      </c>
    </row>
    <row r="25" spans="1:17" s="48" customFormat="1" ht="30" customHeight="1" x14ac:dyDescent="0.15">
      <c r="A25" s="37">
        <v>20170207</v>
      </c>
      <c r="B25" s="58" t="s">
        <v>81</v>
      </c>
      <c r="C25" s="65" t="s">
        <v>44</v>
      </c>
      <c r="D25" s="37"/>
      <c r="E25" s="37"/>
      <c r="F25" s="37"/>
      <c r="G25" s="37"/>
      <c r="H25" s="60"/>
      <c r="I25" s="60"/>
      <c r="J25" s="37"/>
      <c r="K25" s="62"/>
      <c r="L25" s="61"/>
      <c r="M25" s="62">
        <v>5000</v>
      </c>
      <c r="N25" s="63"/>
      <c r="O25" s="64"/>
      <c r="P25" s="59"/>
    </row>
    <row r="26" spans="1:17" s="48" customFormat="1" ht="30" customHeight="1" x14ac:dyDescent="0.15">
      <c r="A26" s="37">
        <v>20170207</v>
      </c>
      <c r="B26" s="58" t="s">
        <v>80</v>
      </c>
      <c r="C26" s="65" t="s">
        <v>44</v>
      </c>
      <c r="D26" s="37"/>
      <c r="E26" s="37" t="s">
        <v>43</v>
      </c>
      <c r="F26" s="23" t="s">
        <v>157</v>
      </c>
      <c r="G26" s="37" t="s">
        <v>1</v>
      </c>
      <c r="H26" s="60">
        <f>[5]副本!G51</f>
        <v>2144.2040000000002</v>
      </c>
      <c r="I26" s="60">
        <f>H26</f>
        <v>2144.2040000000002</v>
      </c>
      <c r="J26" s="37"/>
      <c r="K26" s="62"/>
      <c r="L26" s="61">
        <f>H26-I26</f>
        <v>0</v>
      </c>
      <c r="M26" s="62">
        <v>4000</v>
      </c>
      <c r="N26" s="63"/>
      <c r="O26" s="64"/>
      <c r="P26" s="59"/>
    </row>
    <row r="27" spans="1:17" s="48" customFormat="1" ht="30" customHeight="1" x14ac:dyDescent="0.15">
      <c r="A27" s="37">
        <v>20170207</v>
      </c>
      <c r="B27" s="58" t="s">
        <v>79</v>
      </c>
      <c r="C27" s="65" t="s">
        <v>74</v>
      </c>
      <c r="D27" s="37"/>
      <c r="E27" s="37"/>
      <c r="F27" s="37"/>
      <c r="G27" s="37"/>
      <c r="H27" s="60"/>
      <c r="I27" s="60"/>
      <c r="J27" s="37"/>
      <c r="K27" s="62"/>
      <c r="L27" s="61"/>
      <c r="M27" s="62">
        <v>5000</v>
      </c>
      <c r="N27" s="63"/>
      <c r="O27" s="64"/>
      <c r="P27" s="59"/>
    </row>
    <row r="28" spans="1:17" s="48" customFormat="1" ht="30" customHeight="1" x14ac:dyDescent="0.15">
      <c r="A28" s="37">
        <v>20170207</v>
      </c>
      <c r="B28" s="58" t="s">
        <v>78</v>
      </c>
      <c r="C28" s="65" t="s">
        <v>74</v>
      </c>
      <c r="D28" s="37"/>
      <c r="E28" s="37" t="s">
        <v>32</v>
      </c>
      <c r="F28" s="23" t="s">
        <v>161</v>
      </c>
      <c r="G28" s="37" t="s">
        <v>1</v>
      </c>
      <c r="H28" s="60">
        <f>[5]副本!G56</f>
        <v>1496.749</v>
      </c>
      <c r="I28" s="60">
        <f>H28</f>
        <v>1496.749</v>
      </c>
      <c r="J28" s="37"/>
      <c r="K28" s="62">
        <v>1300</v>
      </c>
      <c r="L28" s="61">
        <f>H28-I28</f>
        <v>0</v>
      </c>
      <c r="M28" s="62">
        <v>2000</v>
      </c>
      <c r="N28" s="63"/>
      <c r="O28" s="64"/>
      <c r="P28" s="59" t="s">
        <v>31</v>
      </c>
    </row>
    <row r="29" spans="1:17" s="48" customFormat="1" ht="30" customHeight="1" x14ac:dyDescent="0.15">
      <c r="A29" s="37">
        <v>20170207</v>
      </c>
      <c r="B29" s="58" t="s">
        <v>77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[5]副本!G58</f>
        <v>1098.6790000000001</v>
      </c>
      <c r="I29" s="60">
        <f>H29-1098.679</f>
        <v>0</v>
      </c>
      <c r="J29" s="37"/>
      <c r="K29" s="62"/>
      <c r="L29" s="61">
        <f>H29-I29</f>
        <v>1098.6790000000001</v>
      </c>
      <c r="M29" s="62">
        <v>1500</v>
      </c>
      <c r="N29" s="63"/>
      <c r="O29" s="64"/>
      <c r="P29" s="59"/>
    </row>
    <row r="30" spans="1:17" s="48" customFormat="1" ht="30" customHeight="1" x14ac:dyDescent="0.15">
      <c r="A30" s="37">
        <v>20170207</v>
      </c>
      <c r="B30" s="58" t="s">
        <v>76</v>
      </c>
      <c r="C30" s="65" t="s">
        <v>74</v>
      </c>
      <c r="D30" s="37"/>
      <c r="E30" s="37" t="s">
        <v>32</v>
      </c>
      <c r="F30" s="23" t="s">
        <v>161</v>
      </c>
      <c r="G30" s="37" t="s">
        <v>1</v>
      </c>
      <c r="H30" s="60">
        <f>[5]副本!G60</f>
        <v>886.72700000000009</v>
      </c>
      <c r="I30" s="60">
        <f>H30</f>
        <v>886.72700000000009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31</v>
      </c>
      <c r="Q30" s="49"/>
    </row>
    <row r="31" spans="1:17" s="48" customFormat="1" ht="30" customHeight="1" x14ac:dyDescent="0.15">
      <c r="A31" s="37">
        <v>20170207</v>
      </c>
      <c r="B31" s="58" t="s">
        <v>75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[5]副本!G62</f>
        <v>1096.2820000000002</v>
      </c>
      <c r="I31" s="60">
        <f>H31-1096.282</f>
        <v>0</v>
      </c>
      <c r="J31" s="37"/>
      <c r="K31" s="62"/>
      <c r="L31" s="61">
        <f>H31-I31</f>
        <v>1096.2820000000002</v>
      </c>
      <c r="M31" s="62">
        <v>1500</v>
      </c>
      <c r="N31" s="63"/>
      <c r="O31" s="64"/>
      <c r="P31" s="59"/>
    </row>
    <row r="32" spans="1:17" s="48" customFormat="1" ht="30" customHeight="1" x14ac:dyDescent="0.15">
      <c r="A32" s="37">
        <v>20170207</v>
      </c>
      <c r="B32" s="58" t="s">
        <v>73</v>
      </c>
      <c r="C32" s="65" t="s">
        <v>44</v>
      </c>
      <c r="D32" s="37"/>
      <c r="E32" s="37"/>
      <c r="F32" s="37"/>
      <c r="G32" s="37"/>
      <c r="H32" s="60"/>
      <c r="I32" s="60"/>
      <c r="J32" s="37"/>
      <c r="K32" s="62"/>
      <c r="L32" s="61"/>
      <c r="M32" s="62">
        <v>1500</v>
      </c>
      <c r="N32" s="63"/>
      <c r="O32" s="64"/>
      <c r="P32" s="59"/>
    </row>
    <row r="33" spans="1:16" s="48" customFormat="1" ht="30" customHeight="1" x14ac:dyDescent="0.15">
      <c r="A33" s="37">
        <v>20170207</v>
      </c>
      <c r="B33" s="58" t="s">
        <v>72</v>
      </c>
      <c r="C33" s="65" t="s">
        <v>44</v>
      </c>
      <c r="D33" s="37"/>
      <c r="E33" s="37" t="s">
        <v>71</v>
      </c>
      <c r="F33" s="23" t="s">
        <v>154</v>
      </c>
      <c r="G33" s="37" t="s">
        <v>1</v>
      </c>
      <c r="H33" s="37">
        <f>[5]副本!G66</f>
        <v>931.53000000000031</v>
      </c>
      <c r="I33" s="60">
        <f>H33-1035.099+1035.099-522.714</f>
        <v>408.81600000000026</v>
      </c>
      <c r="J33" s="37"/>
      <c r="K33" s="62">
        <v>30</v>
      </c>
      <c r="L33" s="61">
        <f>H33-I33</f>
        <v>522.71400000000006</v>
      </c>
      <c r="M33" s="62">
        <v>2000</v>
      </c>
      <c r="N33" s="63"/>
      <c r="O33" s="64"/>
      <c r="P33" s="59" t="s">
        <v>188</v>
      </c>
    </row>
    <row r="34" spans="1:16" s="48" customFormat="1" ht="30" customHeight="1" x14ac:dyDescent="0.15">
      <c r="A34" s="37">
        <v>20170207</v>
      </c>
      <c r="B34" s="58" t="s">
        <v>69</v>
      </c>
      <c r="C34" s="65" t="s">
        <v>44</v>
      </c>
      <c r="D34" s="37" t="s">
        <v>5</v>
      </c>
      <c r="E34" s="37" t="s">
        <v>68</v>
      </c>
      <c r="F34" s="23" t="s">
        <v>162</v>
      </c>
      <c r="G34" s="37" t="s">
        <v>1</v>
      </c>
      <c r="H34" s="60">
        <f>[5]副本!G68</f>
        <v>640.54299999999989</v>
      </c>
      <c r="I34" s="60">
        <f>H34-1037.023+500+537.023</f>
        <v>640.54300000000001</v>
      </c>
      <c r="J34" s="37"/>
      <c r="K34" s="62">
        <v>100</v>
      </c>
      <c r="L34" s="61">
        <f>H34-I34</f>
        <v>0</v>
      </c>
      <c r="M34" s="62">
        <v>3000</v>
      </c>
      <c r="N34" s="63"/>
      <c r="O34" s="64"/>
      <c r="P34" s="67" t="s">
        <v>67</v>
      </c>
    </row>
    <row r="35" spans="1:16" s="48" customFormat="1" ht="30" customHeight="1" x14ac:dyDescent="0.15">
      <c r="A35" s="37">
        <v>20170207</v>
      </c>
      <c r="B35" s="58" t="s">
        <v>66</v>
      </c>
      <c r="C35" s="65" t="s">
        <v>44</v>
      </c>
      <c r="D35" s="37" t="s">
        <v>5</v>
      </c>
      <c r="E35" s="37" t="s">
        <v>61</v>
      </c>
      <c r="F35" s="23" t="s">
        <v>159</v>
      </c>
      <c r="G35" s="37" t="s">
        <v>1</v>
      </c>
      <c r="H35" s="60">
        <f>[5]副本!G70</f>
        <v>3147.802999999999</v>
      </c>
      <c r="I35" s="60">
        <f>H35-3607.546+2050+1050+507.546-1553.792+1553.792</f>
        <v>3147.802999999999</v>
      </c>
      <c r="J35" s="37"/>
      <c r="K35" s="62"/>
      <c r="L35" s="61">
        <f>H35-I35</f>
        <v>0</v>
      </c>
      <c r="M35" s="62">
        <v>4000</v>
      </c>
      <c r="N35" s="63"/>
      <c r="O35" s="64"/>
      <c r="P35" s="59" t="s">
        <v>65</v>
      </c>
    </row>
    <row r="36" spans="1:16" s="48" customFormat="1" ht="30" customHeight="1" x14ac:dyDescent="0.15">
      <c r="A36" s="37">
        <v>20170207</v>
      </c>
      <c r="B36" s="58" t="s">
        <v>64</v>
      </c>
      <c r="C36" s="65" t="s">
        <v>3</v>
      </c>
      <c r="D36" s="37"/>
      <c r="E36" s="37"/>
      <c r="F36" s="37"/>
      <c r="G36" s="37"/>
      <c r="H36" s="60"/>
      <c r="I36" s="60"/>
      <c r="J36" s="37"/>
      <c r="K36" s="62"/>
      <c r="L36" s="61"/>
      <c r="M36" s="62">
        <v>5000</v>
      </c>
      <c r="N36" s="63"/>
      <c r="O36" s="64"/>
      <c r="P36" s="59"/>
    </row>
    <row r="37" spans="1:16" s="48" customFormat="1" ht="30" customHeight="1" x14ac:dyDescent="0.15">
      <c r="A37" s="37">
        <v>20170207</v>
      </c>
      <c r="B37" s="58" t="s">
        <v>63</v>
      </c>
      <c r="C37" s="65" t="s">
        <v>44</v>
      </c>
      <c r="D37" s="37" t="s">
        <v>5</v>
      </c>
      <c r="E37" s="37" t="s">
        <v>61</v>
      </c>
      <c r="F37" s="23" t="s">
        <v>159</v>
      </c>
      <c r="G37" s="37" t="s">
        <v>1</v>
      </c>
      <c r="H37" s="60">
        <f>[5]副本!G74</f>
        <v>3497.8970000000522</v>
      </c>
      <c r="I37" s="60">
        <f>H37-955.747+477.874+477.873-1042.865-2628.137+500+542.865+2102.57+525.567-499.112-3147.566+2100+525+525+496.678-2617.899+1574.891+523.692-522.622+522.622-2589.467+523.692-499.362</f>
        <v>413.44400000005186</v>
      </c>
      <c r="J37" s="37"/>
      <c r="K37" s="62"/>
      <c r="L37" s="61">
        <f>H37-I37</f>
        <v>3084.4530000000004</v>
      </c>
      <c r="M37" s="62">
        <v>5000</v>
      </c>
      <c r="N37" s="63"/>
      <c r="O37" s="64"/>
      <c r="P37" s="59" t="s">
        <v>187</v>
      </c>
    </row>
    <row r="38" spans="1:16" s="48" customFormat="1" ht="30" customHeight="1" x14ac:dyDescent="0.15">
      <c r="A38" s="37">
        <v>20170207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163</v>
      </c>
      <c r="G38" s="37" t="s">
        <v>1</v>
      </c>
      <c r="H38" s="60">
        <f>[5]副本!G75</f>
        <v>905.50800000000027</v>
      </c>
      <c r="I38" s="60">
        <f>H38</f>
        <v>905.50800000000027</v>
      </c>
      <c r="J38" s="37"/>
      <c r="K38" s="62"/>
      <c r="L38" s="61">
        <f>H38-I38</f>
        <v>0</v>
      </c>
      <c r="M38" s="62">
        <v>5000</v>
      </c>
      <c r="N38" s="63"/>
      <c r="O38" s="64"/>
      <c r="P38" s="59" t="s">
        <v>60</v>
      </c>
    </row>
    <row r="39" spans="1:16" s="48" customFormat="1" ht="30" customHeight="1" x14ac:dyDescent="0.15">
      <c r="A39" s="37">
        <v>20170207</v>
      </c>
      <c r="B39" s="58" t="s">
        <v>59</v>
      </c>
      <c r="C39" s="65" t="s">
        <v>19</v>
      </c>
      <c r="D39" s="37"/>
      <c r="E39" s="37" t="s">
        <v>32</v>
      </c>
      <c r="F39" s="23" t="s">
        <v>161</v>
      </c>
      <c r="G39" s="37" t="s">
        <v>1</v>
      </c>
      <c r="H39" s="60">
        <f>[5]副本!G77</f>
        <v>2596.4419999999977</v>
      </c>
      <c r="I39" s="60">
        <f>H39-2564.978</f>
        <v>31.463999999997668</v>
      </c>
      <c r="J39" s="37"/>
      <c r="K39" s="62"/>
      <c r="L39" s="61">
        <f>H39-I39</f>
        <v>2564.9780000000001</v>
      </c>
      <c r="M39" s="62">
        <v>4000</v>
      </c>
      <c r="N39" s="63"/>
      <c r="O39" s="64"/>
      <c r="P39" s="52" t="s">
        <v>58</v>
      </c>
    </row>
    <row r="40" spans="1:16" s="48" customFormat="1" ht="30" customHeight="1" x14ac:dyDescent="0.15">
      <c r="A40" s="37">
        <v>20170207</v>
      </c>
      <c r="B40" s="58" t="s">
        <v>59</v>
      </c>
      <c r="C40" s="65" t="s">
        <v>19</v>
      </c>
      <c r="D40" s="37"/>
      <c r="E40" s="37" t="s">
        <v>32</v>
      </c>
      <c r="F40" s="23" t="s">
        <v>164</v>
      </c>
      <c r="G40" s="37" t="s">
        <v>1</v>
      </c>
      <c r="H40" s="60">
        <f>[5]副本!G78</f>
        <v>-0.23699999999985266</v>
      </c>
      <c r="I40" s="60">
        <f>H40</f>
        <v>-0.23699999999985266</v>
      </c>
      <c r="J40" s="37"/>
      <c r="K40" s="62"/>
      <c r="L40" s="61"/>
      <c r="M40" s="62">
        <v>4000</v>
      </c>
      <c r="N40" s="63"/>
      <c r="O40" s="64"/>
      <c r="P40" s="52" t="s">
        <v>57</v>
      </c>
    </row>
    <row r="41" spans="1:16" s="48" customFormat="1" ht="30" customHeight="1" x14ac:dyDescent="0.15">
      <c r="A41" s="37">
        <v>20170207</v>
      </c>
      <c r="B41" s="58" t="s">
        <v>56</v>
      </c>
      <c r="C41" s="65" t="s">
        <v>19</v>
      </c>
      <c r="D41" s="37"/>
      <c r="E41" s="37"/>
      <c r="F41" s="37"/>
      <c r="G41" s="37"/>
      <c r="H41" s="60"/>
      <c r="I41" s="60"/>
      <c r="J41" s="37"/>
      <c r="K41" s="62"/>
      <c r="L41" s="61"/>
      <c r="M41" s="62">
        <v>2000</v>
      </c>
      <c r="N41" s="63"/>
      <c r="O41" s="64"/>
      <c r="P41" s="59"/>
    </row>
    <row r="42" spans="1:16" s="48" customFormat="1" ht="30" customHeight="1" x14ac:dyDescent="0.15">
      <c r="A42" s="37">
        <v>20170207</v>
      </c>
      <c r="B42" s="58" t="s">
        <v>55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3000</v>
      </c>
      <c r="N42" s="63"/>
      <c r="O42" s="64"/>
      <c r="P42" s="59"/>
    </row>
    <row r="43" spans="1:16" s="48" customFormat="1" ht="30" customHeight="1" x14ac:dyDescent="0.15">
      <c r="A43" s="37">
        <v>20170207</v>
      </c>
      <c r="B43" s="58" t="s">
        <v>54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[5]副本!G85</f>
        <v>1056.8909999999996</v>
      </c>
      <c r="I43" s="60">
        <f>H43</f>
        <v>1056.8909999999996</v>
      </c>
      <c r="J43" s="37"/>
      <c r="K43" s="62"/>
      <c r="L43" s="61">
        <f>H43-I43</f>
        <v>0</v>
      </c>
      <c r="M43" s="62">
        <v>5000</v>
      </c>
      <c r="N43" s="68"/>
      <c r="O43" s="64"/>
      <c r="P43" s="52" t="s">
        <v>53</v>
      </c>
    </row>
    <row r="44" spans="1:16" s="48" customFormat="1" ht="30" customHeight="1" x14ac:dyDescent="0.15">
      <c r="A44" s="37">
        <v>20170207</v>
      </c>
      <c r="B44" s="58" t="s">
        <v>52</v>
      </c>
      <c r="C44" s="65" t="s">
        <v>44</v>
      </c>
      <c r="D44" s="37"/>
      <c r="E44" s="37"/>
      <c r="F44" s="37"/>
      <c r="G44" s="37"/>
      <c r="H44" s="60"/>
      <c r="I44" s="60"/>
      <c r="J44" s="37"/>
      <c r="K44" s="62"/>
      <c r="L44" s="61"/>
      <c r="M44" s="62">
        <v>5000</v>
      </c>
      <c r="N44" s="63"/>
      <c r="O44" s="64"/>
      <c r="P44" s="59"/>
    </row>
    <row r="45" spans="1:16" s="48" customFormat="1" ht="30" customHeight="1" x14ac:dyDescent="0.15">
      <c r="A45" s="37">
        <v>20170207</v>
      </c>
      <c r="B45" s="58" t="s">
        <v>51</v>
      </c>
      <c r="C45" s="65" t="s">
        <v>44</v>
      </c>
      <c r="D45" s="37"/>
      <c r="E45" s="37" t="s">
        <v>50</v>
      </c>
      <c r="F45" s="23" t="s">
        <v>152</v>
      </c>
      <c r="G45" s="37" t="s">
        <v>1</v>
      </c>
      <c r="H45" s="60">
        <f>[5]副本!G91</f>
        <v>2006.1080000000002</v>
      </c>
      <c r="I45" s="60">
        <f>H45-1021.25+1021.25</f>
        <v>2006.1080000000002</v>
      </c>
      <c r="J45" s="37"/>
      <c r="K45" s="62">
        <v>70</v>
      </c>
      <c r="L45" s="61">
        <f>H45-I45</f>
        <v>0</v>
      </c>
      <c r="M45" s="62">
        <v>5000</v>
      </c>
      <c r="N45" s="63"/>
      <c r="O45" s="64"/>
      <c r="P45" s="52" t="s">
        <v>186</v>
      </c>
    </row>
    <row r="46" spans="1:16" s="48" customFormat="1" ht="30" customHeight="1" x14ac:dyDescent="0.15">
      <c r="A46" s="37">
        <v>20170207</v>
      </c>
      <c r="B46" s="58" t="s">
        <v>51</v>
      </c>
      <c r="C46" s="65" t="s">
        <v>44</v>
      </c>
      <c r="D46" s="37"/>
      <c r="E46" s="37" t="s">
        <v>50</v>
      </c>
      <c r="F46" s="23" t="s">
        <v>148</v>
      </c>
      <c r="G46" s="37"/>
      <c r="H46" s="60">
        <f>[5]副本!G92</f>
        <v>1000</v>
      </c>
      <c r="I46" s="60">
        <f>H46</f>
        <v>1000</v>
      </c>
      <c r="J46" s="37"/>
      <c r="K46" s="62"/>
      <c r="L46" s="61"/>
      <c r="M46" s="62">
        <v>5000</v>
      </c>
      <c r="N46" s="63"/>
      <c r="O46" s="64"/>
      <c r="P46" s="52" t="s">
        <v>49</v>
      </c>
    </row>
    <row r="47" spans="1:16" s="48" customFormat="1" ht="30" customHeight="1" x14ac:dyDescent="0.15">
      <c r="A47" s="37">
        <v>20170207</v>
      </c>
      <c r="B47" s="58" t="s">
        <v>48</v>
      </c>
      <c r="C47" s="65" t="s">
        <v>44</v>
      </c>
      <c r="D47" s="37"/>
      <c r="E47" s="37" t="s">
        <v>43</v>
      </c>
      <c r="F47" s="23" t="s">
        <v>157</v>
      </c>
      <c r="G47" s="37" t="s">
        <v>1</v>
      </c>
      <c r="H47" s="60">
        <f>[5]副本!G94</f>
        <v>173.70399999999404</v>
      </c>
      <c r="I47" s="60">
        <f>H47</f>
        <v>173.70399999999404</v>
      </c>
      <c r="J47" s="37"/>
      <c r="K47" s="61"/>
      <c r="L47" s="61">
        <f>H47-I47</f>
        <v>0</v>
      </c>
      <c r="M47" s="62">
        <v>2000</v>
      </c>
      <c r="N47" s="63"/>
      <c r="O47" s="64"/>
      <c r="P47" s="59"/>
    </row>
    <row r="48" spans="1:16" s="48" customFormat="1" ht="30" customHeight="1" x14ac:dyDescent="0.15">
      <c r="A48" s="37">
        <v>20170207</v>
      </c>
      <c r="B48" s="58" t="s">
        <v>47</v>
      </c>
      <c r="C48" s="65" t="s">
        <v>19</v>
      </c>
      <c r="D48" s="37" t="s">
        <v>5</v>
      </c>
      <c r="E48" s="37" t="s">
        <v>27</v>
      </c>
      <c r="F48" s="23" t="s">
        <v>165</v>
      </c>
      <c r="G48" s="37" t="s">
        <v>1</v>
      </c>
      <c r="H48" s="60">
        <f>[5]副本!G96</f>
        <v>2409.6100000000006</v>
      </c>
      <c r="I48" s="60">
        <v>0</v>
      </c>
      <c r="J48" s="37"/>
      <c r="K48" s="62"/>
      <c r="L48" s="61">
        <f>H48-I48</f>
        <v>2409.6100000000006</v>
      </c>
      <c r="M48" s="62">
        <v>10000</v>
      </c>
      <c r="N48" s="63"/>
      <c r="O48" s="64"/>
      <c r="P48" s="59"/>
    </row>
    <row r="49" spans="1:17" s="48" customFormat="1" ht="30" customHeight="1" x14ac:dyDescent="0.15">
      <c r="A49" s="37">
        <v>20170207</v>
      </c>
      <c r="B49" s="58" t="s">
        <v>46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[5]副本!G98</f>
        <v>4217.264000000001</v>
      </c>
      <c r="I49" s="60">
        <v>0</v>
      </c>
      <c r="J49" s="37"/>
      <c r="K49" s="62"/>
      <c r="L49" s="61">
        <v>0</v>
      </c>
      <c r="M49" s="62">
        <v>10000</v>
      </c>
      <c r="N49" s="63"/>
      <c r="O49" s="64"/>
      <c r="P49" s="59"/>
    </row>
    <row r="50" spans="1:17" s="48" customFormat="1" ht="30" customHeight="1" x14ac:dyDescent="0.15">
      <c r="A50" s="37">
        <v>20170207</v>
      </c>
      <c r="B50" s="58" t="s">
        <v>45</v>
      </c>
      <c r="C50" s="65" t="s">
        <v>44</v>
      </c>
      <c r="D50" s="37"/>
      <c r="E50" s="37" t="s">
        <v>43</v>
      </c>
      <c r="F50" s="23" t="s">
        <v>166</v>
      </c>
      <c r="G50" s="37" t="s">
        <v>1</v>
      </c>
      <c r="H50" s="60">
        <f>[5]副本!G100</f>
        <v>1582.4550000000072</v>
      </c>
      <c r="I50" s="60">
        <f>H50</f>
        <v>1582.4550000000072</v>
      </c>
      <c r="J50" s="37"/>
      <c r="K50" s="61"/>
      <c r="L50" s="61">
        <v>0</v>
      </c>
      <c r="M50" s="62">
        <v>5000</v>
      </c>
      <c r="N50" s="69" t="s">
        <v>42</v>
      </c>
      <c r="O50" s="70" t="s">
        <v>41</v>
      </c>
      <c r="P50" s="59" t="s">
        <v>40</v>
      </c>
    </row>
    <row r="51" spans="1:17" s="48" customFormat="1" ht="30" customHeight="1" x14ac:dyDescent="0.15">
      <c r="A51" s="37">
        <v>20170207</v>
      </c>
      <c r="B51" s="58" t="s">
        <v>39</v>
      </c>
      <c r="C51" s="65" t="s">
        <v>19</v>
      </c>
      <c r="D51" s="37"/>
      <c r="E51" s="37"/>
      <c r="F51" s="37"/>
      <c r="G51" s="37"/>
      <c r="H51" s="60"/>
      <c r="I51" s="60"/>
      <c r="J51" s="37"/>
      <c r="K51" s="62"/>
      <c r="L51" s="61"/>
      <c r="M51" s="62">
        <v>3000</v>
      </c>
      <c r="N51" s="63"/>
      <c r="O51" s="64"/>
      <c r="P51" s="59"/>
    </row>
    <row r="52" spans="1:17" s="48" customFormat="1" ht="30" customHeight="1" x14ac:dyDescent="0.15">
      <c r="A52" s="37">
        <v>20170207</v>
      </c>
      <c r="B52" s="58" t="s">
        <v>38</v>
      </c>
      <c r="C52" s="65" t="s">
        <v>19</v>
      </c>
      <c r="D52" s="37" t="s">
        <v>5</v>
      </c>
      <c r="E52" s="37" t="s">
        <v>27</v>
      </c>
      <c r="F52" s="23" t="s">
        <v>165</v>
      </c>
      <c r="G52" s="37" t="s">
        <v>22</v>
      </c>
      <c r="H52" s="60">
        <f>[5]副本!G104</f>
        <v>15130.712</v>
      </c>
      <c r="I52" s="60">
        <v>0</v>
      </c>
      <c r="J52" s="37"/>
      <c r="K52" s="62"/>
      <c r="L52" s="61">
        <f>H52-I52</f>
        <v>15130.712</v>
      </c>
      <c r="M52" s="62">
        <v>25000</v>
      </c>
      <c r="N52" s="63" t="s">
        <v>37</v>
      </c>
      <c r="O52" s="64" t="s">
        <v>36</v>
      </c>
      <c r="P52" s="59" t="s">
        <v>35</v>
      </c>
    </row>
    <row r="53" spans="1:17" s="48" customFormat="1" ht="30" customHeight="1" x14ac:dyDescent="0.15">
      <c r="A53" s="37">
        <v>20170207</v>
      </c>
      <c r="B53" s="58" t="s">
        <v>34</v>
      </c>
      <c r="C53" s="65" t="s">
        <v>19</v>
      </c>
      <c r="D53" s="37" t="s">
        <v>5</v>
      </c>
      <c r="E53" s="37" t="s">
        <v>27</v>
      </c>
      <c r="F53" s="23" t="s">
        <v>167</v>
      </c>
      <c r="G53" s="37" t="s">
        <v>22</v>
      </c>
      <c r="H53" s="60">
        <f>[5]副本!G106</f>
        <v>32753.382000000081</v>
      </c>
      <c r="I53" s="60">
        <v>0</v>
      </c>
      <c r="J53" s="37"/>
      <c r="K53" s="62"/>
      <c r="L53" s="61">
        <f>H53-I53</f>
        <v>32753.382000000081</v>
      </c>
      <c r="M53" s="62">
        <v>50000</v>
      </c>
      <c r="N53" s="63"/>
      <c r="O53" s="64"/>
      <c r="P53" s="59"/>
    </row>
    <row r="54" spans="1:17" s="48" customFormat="1" ht="30" customHeight="1" x14ac:dyDescent="0.15">
      <c r="A54" s="37">
        <v>20170207</v>
      </c>
      <c r="B54" s="58" t="s">
        <v>33</v>
      </c>
      <c r="C54" s="65" t="s">
        <v>19</v>
      </c>
      <c r="D54" s="37"/>
      <c r="E54" s="37" t="s">
        <v>32</v>
      </c>
      <c r="F54" s="23" t="s">
        <v>161</v>
      </c>
      <c r="G54" s="37" t="s">
        <v>22</v>
      </c>
      <c r="H54" s="60">
        <f>[5]副本!G108</f>
        <v>1760.9310000000169</v>
      </c>
      <c r="I54" s="60">
        <f>H54</f>
        <v>1760.9310000000169</v>
      </c>
      <c r="J54" s="37"/>
      <c r="K54" s="62"/>
      <c r="L54" s="61">
        <f>H54-I54</f>
        <v>0</v>
      </c>
      <c r="M54" s="62">
        <v>4000</v>
      </c>
      <c r="N54" s="63"/>
      <c r="O54" s="64"/>
      <c r="P54" s="59" t="s">
        <v>31</v>
      </c>
    </row>
    <row r="55" spans="1:17" s="48" customFormat="1" ht="30" customHeight="1" x14ac:dyDescent="0.15">
      <c r="A55" s="37">
        <v>20170207</v>
      </c>
      <c r="B55" s="58" t="s">
        <v>30</v>
      </c>
      <c r="C55" s="65" t="s">
        <v>3</v>
      </c>
      <c r="D55" s="37"/>
      <c r="E55" s="37"/>
      <c r="F55" s="37"/>
      <c r="G55" s="37"/>
      <c r="H55" s="60"/>
      <c r="I55" s="60"/>
      <c r="J55" s="37"/>
      <c r="K55" s="62"/>
      <c r="L55" s="61"/>
      <c r="M55" s="62">
        <v>37000</v>
      </c>
      <c r="N55" s="63"/>
      <c r="O55" s="64"/>
      <c r="P55" s="59"/>
    </row>
    <row r="56" spans="1:17" s="48" customFormat="1" ht="30" customHeight="1" x14ac:dyDescent="0.15">
      <c r="A56" s="37">
        <v>20170207</v>
      </c>
      <c r="B56" s="58" t="s">
        <v>29</v>
      </c>
      <c r="C56" s="65" t="s">
        <v>3</v>
      </c>
      <c r="D56" s="37"/>
      <c r="E56" s="37"/>
      <c r="F56" s="37"/>
      <c r="G56" s="37"/>
      <c r="H56" s="60"/>
      <c r="I56" s="37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0" customHeight="1" x14ac:dyDescent="0.15">
      <c r="A57" s="37">
        <v>20170207</v>
      </c>
      <c r="B57" s="58" t="s">
        <v>28</v>
      </c>
      <c r="C57" s="65" t="s">
        <v>19</v>
      </c>
      <c r="D57" s="37" t="s">
        <v>5</v>
      </c>
      <c r="E57" s="37" t="s">
        <v>27</v>
      </c>
      <c r="F57" s="23" t="s">
        <v>168</v>
      </c>
      <c r="G57" s="37" t="s">
        <v>22</v>
      </c>
      <c r="H57" s="60">
        <f>[5]副本!G116</f>
        <v>1767.3689999999997</v>
      </c>
      <c r="I57" s="60">
        <v>0</v>
      </c>
      <c r="J57" s="37"/>
      <c r="K57" s="61"/>
      <c r="L57" s="61">
        <f>H57-I57</f>
        <v>1767.3689999999997</v>
      </c>
      <c r="M57" s="62">
        <v>10000</v>
      </c>
      <c r="N57" s="63"/>
      <c r="O57" s="64"/>
      <c r="P57" s="59"/>
      <c r="Q57" s="49"/>
    </row>
    <row r="58" spans="1:17" s="48" customFormat="1" ht="30" customHeight="1" x14ac:dyDescent="0.15">
      <c r="A58" s="37">
        <v>20170207</v>
      </c>
      <c r="B58" s="58" t="s">
        <v>26</v>
      </c>
      <c r="C58" s="65" t="s">
        <v>3</v>
      </c>
      <c r="D58" s="37" t="s">
        <v>5</v>
      </c>
      <c r="E58" s="37" t="s">
        <v>2</v>
      </c>
      <c r="F58" s="23" t="s">
        <v>169</v>
      </c>
      <c r="G58" s="37" t="s">
        <v>22</v>
      </c>
      <c r="H58" s="60">
        <f>[5]副本!G118</f>
        <v>0</v>
      </c>
      <c r="I58" s="60">
        <f>H58</f>
        <v>0</v>
      </c>
      <c r="J58" s="37"/>
      <c r="K58" s="62"/>
      <c r="L58" s="61">
        <f>H58-I58</f>
        <v>0</v>
      </c>
      <c r="M58" s="62">
        <v>15000</v>
      </c>
      <c r="N58" s="63"/>
      <c r="O58" s="64"/>
      <c r="P58" s="59"/>
      <c r="Q58" s="49"/>
    </row>
    <row r="59" spans="1:17" s="48" customFormat="1" ht="30" customHeight="1" x14ac:dyDescent="0.15">
      <c r="A59" s="37">
        <v>20170207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170</v>
      </c>
      <c r="G59" s="37" t="s">
        <v>22</v>
      </c>
      <c r="H59" s="60">
        <f>[5]副本!G119</f>
        <v>2358.2199999999993</v>
      </c>
      <c r="I59" s="60">
        <f>H59</f>
        <v>2358.2199999999993</v>
      </c>
      <c r="J59" s="37"/>
      <c r="K59" s="68">
        <v>150</v>
      </c>
      <c r="L59" s="61">
        <f>H59-I59</f>
        <v>0</v>
      </c>
      <c r="M59" s="62">
        <v>15000</v>
      </c>
      <c r="N59" s="63"/>
      <c r="O59" s="64"/>
      <c r="P59" s="59" t="s">
        <v>185</v>
      </c>
      <c r="Q59" s="49"/>
    </row>
    <row r="60" spans="1:17" s="48" customFormat="1" ht="30" customHeight="1" x14ac:dyDescent="0.15">
      <c r="A60" s="37">
        <v>20170207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[5]副本!G121</f>
        <v>7783.9109999999964</v>
      </c>
      <c r="I60" s="60">
        <f>H60</f>
        <v>7783.9109999999964</v>
      </c>
      <c r="J60" s="37"/>
      <c r="K60" s="62">
        <v>650</v>
      </c>
      <c r="L60" s="61"/>
      <c r="M60" s="62">
        <v>43000</v>
      </c>
      <c r="N60" s="63"/>
      <c r="O60" s="64"/>
      <c r="P60" s="59" t="s">
        <v>21</v>
      </c>
      <c r="Q60" s="49"/>
    </row>
    <row r="61" spans="1:17" s="48" customFormat="1" ht="30" customHeight="1" x14ac:dyDescent="0.15">
      <c r="A61" s="37">
        <v>20170207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[5]副本!G122</f>
        <v>628.34000000000015</v>
      </c>
      <c r="I61" s="60">
        <f>H61</f>
        <v>628.34000000000015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30" customHeight="1" x14ac:dyDescent="0.15">
      <c r="A62" s="37">
        <v>20170207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>
        <v>43000</v>
      </c>
      <c r="N62" s="63"/>
      <c r="O62" s="64"/>
      <c r="P62" s="59"/>
      <c r="Q62" s="49"/>
    </row>
    <row r="63" spans="1:17" s="48" customFormat="1" ht="30" customHeight="1" x14ac:dyDescent="0.15">
      <c r="A63" s="37">
        <v>20170207</v>
      </c>
      <c r="B63" s="58" t="s">
        <v>18</v>
      </c>
      <c r="C63" s="65" t="s">
        <v>3</v>
      </c>
      <c r="D63" s="37"/>
      <c r="E63" s="37" t="s">
        <v>147</v>
      </c>
      <c r="F63" s="23" t="s">
        <v>173</v>
      </c>
      <c r="G63" s="37" t="s">
        <v>1</v>
      </c>
      <c r="H63" s="60">
        <f>[5]副本!G126</f>
        <v>8339.3289999999961</v>
      </c>
      <c r="I63" s="60">
        <f>H63-8339.329</f>
        <v>0</v>
      </c>
      <c r="J63" s="37"/>
      <c r="K63" s="62"/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30" customHeight="1" x14ac:dyDescent="0.15">
      <c r="A64" s="37">
        <v>20170207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[5]副本!G128</f>
        <v>4085.7229999999981</v>
      </c>
      <c r="I64" s="60">
        <f>H64-4751.949+4751.949</f>
        <v>4085.7229999999981</v>
      </c>
      <c r="J64" s="37"/>
      <c r="K64" s="62"/>
      <c r="L64" s="61">
        <f>H64-I64</f>
        <v>0</v>
      </c>
      <c r="M64" s="62">
        <v>30000</v>
      </c>
      <c r="N64" s="63"/>
      <c r="O64" s="64"/>
      <c r="P64" s="59" t="s">
        <v>184</v>
      </c>
    </row>
    <row r="65" spans="1:16" s="48" customFormat="1" ht="30" customHeight="1" x14ac:dyDescent="0.15">
      <c r="A65" s="37">
        <v>20170207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[5]副本!G129</f>
        <v>9946.3690000000006</v>
      </c>
      <c r="I65" s="60">
        <f>H65</f>
        <v>9946.3690000000006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30" customHeight="1" x14ac:dyDescent="0.15">
      <c r="A66" s="37">
        <v>20170207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[5]副本!G131</f>
        <v>14976.093999999999</v>
      </c>
      <c r="I66" s="60">
        <f>H66-14976.094</f>
        <v>0</v>
      </c>
      <c r="J66" s="37"/>
      <c r="K66" s="62">
        <v>350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30" customHeight="1" x14ac:dyDescent="0.15">
      <c r="A67" s="37">
        <v>20170207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[5]副本!G133</f>
        <v>20204.884999999973</v>
      </c>
      <c r="I67" s="60">
        <f>H67</f>
        <v>20204.884999999973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30" customHeight="1" x14ac:dyDescent="0.15">
      <c r="A68" s="37">
        <v>20170207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30" customHeight="1" x14ac:dyDescent="0.15">
      <c r="A69" s="37">
        <v>20170207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30" customHeight="1" x14ac:dyDescent="0.15">
      <c r="A70" s="37">
        <v>20170207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[5]副本!G140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30" customHeight="1" x14ac:dyDescent="0.15">
      <c r="A71" s="37">
        <v>20170207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[5]副本!G142</f>
        <v>5459.4099999999989</v>
      </c>
      <c r="I71" s="60">
        <f>H71</f>
        <v>5459.4099999999989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0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3" activePane="bottomRight" state="frozen"/>
      <selection pane="topRight"/>
      <selection pane="bottomLeft"/>
      <selection pane="bottomRight" activeCell="F70" sqref="F70:F71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8.8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3" customHeight="1" x14ac:dyDescent="0.15">
      <c r="A2" s="37">
        <v>20170208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/>
    </row>
    <row r="3" spans="1:17" s="48" customFormat="1" ht="33" customHeight="1" x14ac:dyDescent="0.15">
      <c r="A3" s="37">
        <v>20170208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[6]副本!G6</f>
        <v>572.65899999999999</v>
      </c>
      <c r="I3" s="60">
        <f>H3</f>
        <v>572.65899999999999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3" customHeight="1" x14ac:dyDescent="0.15">
      <c r="A4" s="37">
        <v>20170208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[6]副本!G8</f>
        <v>1710.5029999999958</v>
      </c>
      <c r="I4" s="60">
        <f>H4</f>
        <v>1710.5029999999958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3" customHeight="1" x14ac:dyDescent="0.15">
      <c r="A5" s="37">
        <v>20170208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>
        <f>[6]副本!G10</f>
        <v>2003.7640000000292</v>
      </c>
      <c r="I5" s="60">
        <f>H5</f>
        <v>2003.7640000000292</v>
      </c>
      <c r="J5" s="37"/>
      <c r="K5" s="62"/>
      <c r="L5" s="61">
        <f>H5-I5</f>
        <v>0</v>
      </c>
      <c r="M5" s="62">
        <v>2000</v>
      </c>
      <c r="N5" s="63" t="s">
        <v>123</v>
      </c>
      <c r="O5" s="64" t="s">
        <v>89</v>
      </c>
      <c r="P5" s="59" t="s">
        <v>196</v>
      </c>
    </row>
    <row r="6" spans="1:17" s="48" customFormat="1" ht="33" customHeight="1" x14ac:dyDescent="0.15">
      <c r="A6" s="37">
        <v>20170208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/>
      <c r="I6" s="60"/>
      <c r="J6" s="37"/>
      <c r="K6" s="62"/>
      <c r="L6" s="61"/>
      <c r="M6" s="62">
        <v>3000</v>
      </c>
      <c r="N6" s="63" t="s">
        <v>120</v>
      </c>
      <c r="O6" s="64" t="s">
        <v>89</v>
      </c>
      <c r="P6" s="59"/>
      <c r="Q6" s="49"/>
    </row>
    <row r="7" spans="1:17" s="48" customFormat="1" ht="33" customHeight="1" x14ac:dyDescent="0.15">
      <c r="A7" s="37">
        <v>20170208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[6]副本!G14</f>
        <v>2257.1149999999989</v>
      </c>
      <c r="I7" s="60">
        <f t="shared" ref="I7:I14" si="0">H7</f>
        <v>2257.1149999999989</v>
      </c>
      <c r="J7" s="37"/>
      <c r="K7" s="62"/>
      <c r="L7" s="61">
        <f>H7-I7</f>
        <v>0</v>
      </c>
      <c r="M7" s="62">
        <v>3000</v>
      </c>
      <c r="N7" s="63"/>
      <c r="O7" s="64"/>
      <c r="P7" s="59" t="s">
        <v>195</v>
      </c>
      <c r="Q7" s="49"/>
    </row>
    <row r="8" spans="1:17" s="48" customFormat="1" ht="33" customHeight="1" x14ac:dyDescent="0.15">
      <c r="A8" s="37">
        <v>20170208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[6]副本!G16</f>
        <v>2087.2890000000002</v>
      </c>
      <c r="I8" s="60">
        <f t="shared" si="0"/>
        <v>2087.2890000000002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3" customHeight="1" x14ac:dyDescent="0.15">
      <c r="A9" s="37">
        <v>20170208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[6]副本!G18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9" t="s">
        <v>109</v>
      </c>
    </row>
    <row r="10" spans="1:17" s="48" customFormat="1" ht="33" customHeight="1" x14ac:dyDescent="0.15">
      <c r="A10" s="37">
        <v>20170208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[6]副本!G20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33" customHeight="1" x14ac:dyDescent="0.15">
      <c r="A11" s="37">
        <v>20170208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[6]副本!G21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>
        <v>1500</v>
      </c>
      <c r="N11" s="63"/>
      <c r="O11" s="64"/>
      <c r="P11" s="59" t="s">
        <v>106</v>
      </c>
    </row>
    <row r="12" spans="1:17" s="48" customFormat="1" ht="33" customHeight="1" x14ac:dyDescent="0.15">
      <c r="A12" s="37">
        <v>20170208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[6]副本!G22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>
        <v>1500</v>
      </c>
      <c r="N12" s="63"/>
      <c r="O12" s="64"/>
      <c r="P12" s="59" t="s">
        <v>106</v>
      </c>
    </row>
    <row r="13" spans="1:17" s="48" customFormat="1" ht="33" customHeight="1" x14ac:dyDescent="0.15">
      <c r="A13" s="37">
        <v>20170208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[6]副本!G24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33" customHeight="1" x14ac:dyDescent="0.15">
      <c r="A14" s="37">
        <v>20170208</v>
      </c>
      <c r="B14" s="58" t="s">
        <v>104</v>
      </c>
      <c r="C14" s="65" t="s">
        <v>19</v>
      </c>
      <c r="D14" s="37"/>
      <c r="E14" s="37" t="s">
        <v>198</v>
      </c>
      <c r="F14" s="23" t="s">
        <v>150</v>
      </c>
      <c r="G14" s="37"/>
      <c r="H14" s="60">
        <f>[6]副本!G26</f>
        <v>518.47</v>
      </c>
      <c r="I14" s="60">
        <f t="shared" si="0"/>
        <v>518.47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33" customHeight="1" x14ac:dyDescent="0.15">
      <c r="A15" s="37">
        <v>20170208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3" customHeight="1" x14ac:dyDescent="0.15">
      <c r="A16" s="37">
        <v>20170208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[6]副本!G30</f>
        <v>992.077</v>
      </c>
      <c r="I16" s="60">
        <f>H16</f>
        <v>992.077</v>
      </c>
      <c r="J16" s="37"/>
      <c r="K16" s="62"/>
      <c r="L16" s="61">
        <v>0</v>
      </c>
      <c r="M16" s="62">
        <v>1500</v>
      </c>
      <c r="N16" s="63"/>
      <c r="O16" s="64"/>
      <c r="P16" s="59" t="s">
        <v>100</v>
      </c>
    </row>
    <row r="17" spans="1:17" s="48" customFormat="1" ht="33" customHeight="1" x14ac:dyDescent="0.15">
      <c r="A17" s="37">
        <v>20170208</v>
      </c>
      <c r="B17" s="58" t="s">
        <v>99</v>
      </c>
      <c r="C17" s="65" t="s">
        <v>93</v>
      </c>
      <c r="D17" s="37"/>
      <c r="E17" s="37" t="s">
        <v>9</v>
      </c>
      <c r="F17" s="23" t="s">
        <v>158</v>
      </c>
      <c r="G17" s="37" t="s">
        <v>1</v>
      </c>
      <c r="H17" s="60">
        <f>[6]副本!G32-H18</f>
        <v>9349.2470000000176</v>
      </c>
      <c r="I17" s="60">
        <f>H17</f>
        <v>9349.2470000000176</v>
      </c>
      <c r="J17" s="37"/>
      <c r="K17" s="62"/>
      <c r="L17" s="61">
        <f>H17-I17</f>
        <v>0</v>
      </c>
      <c r="M17" s="62">
        <v>21000</v>
      </c>
      <c r="N17" s="63" t="s">
        <v>90</v>
      </c>
      <c r="O17" s="64" t="s">
        <v>89</v>
      </c>
      <c r="P17" s="59" t="s">
        <v>98</v>
      </c>
    </row>
    <row r="18" spans="1:17" s="48" customFormat="1" ht="33" customHeight="1" x14ac:dyDescent="0.15">
      <c r="A18" s="37">
        <v>20170208</v>
      </c>
      <c r="B18" s="58" t="s">
        <v>99</v>
      </c>
      <c r="C18" s="65" t="s">
        <v>93</v>
      </c>
      <c r="D18" s="37"/>
      <c r="E18" s="37" t="s">
        <v>9</v>
      </c>
      <c r="F18" s="24" t="s">
        <v>176</v>
      </c>
      <c r="G18" s="37" t="s">
        <v>1</v>
      </c>
      <c r="H18" s="60">
        <f>[6]副本!G34</f>
        <v>2172.7529999999824</v>
      </c>
      <c r="I18" s="60">
        <f>H18</f>
        <v>2172.7529999999824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97</v>
      </c>
    </row>
    <row r="19" spans="1:17" s="48" customFormat="1" ht="33" customHeight="1" x14ac:dyDescent="0.15">
      <c r="A19" s="37">
        <v>20170208</v>
      </c>
      <c r="B19" s="58" t="s">
        <v>96</v>
      </c>
      <c r="C19" s="65" t="s">
        <v>44</v>
      </c>
      <c r="D19" s="37" t="s">
        <v>5</v>
      </c>
      <c r="E19" s="37" t="s">
        <v>61</v>
      </c>
      <c r="F19" s="23" t="s">
        <v>159</v>
      </c>
      <c r="G19" s="37" t="s">
        <v>1</v>
      </c>
      <c r="H19" s="60">
        <f>[6]副本!G36</f>
        <v>3496.5419999999999</v>
      </c>
      <c r="I19" s="60">
        <f>H19-3496.542+1000+2496.542</f>
        <v>3496.5419999999999</v>
      </c>
      <c r="J19" s="37"/>
      <c r="K19" s="62"/>
      <c r="L19" s="61">
        <f>H19-I19</f>
        <v>0</v>
      </c>
      <c r="M19" s="62">
        <v>5000</v>
      </c>
      <c r="N19" s="63"/>
      <c r="O19" s="64"/>
      <c r="P19" s="59" t="s">
        <v>194</v>
      </c>
    </row>
    <row r="20" spans="1:17" s="48" customFormat="1" ht="33" customHeight="1" x14ac:dyDescent="0.15">
      <c r="A20" s="37">
        <v>20170208</v>
      </c>
      <c r="B20" s="58" t="s">
        <v>95</v>
      </c>
      <c r="C20" s="65" t="s">
        <v>44</v>
      </c>
      <c r="D20" s="37"/>
      <c r="E20" s="37"/>
      <c r="F20" s="37"/>
      <c r="G20" s="37"/>
      <c r="H20" s="60"/>
      <c r="I20" s="60"/>
      <c r="J20" s="37"/>
      <c r="K20" s="62"/>
      <c r="L20" s="61"/>
      <c r="M20" s="62">
        <v>3000</v>
      </c>
      <c r="N20" s="63"/>
      <c r="O20" s="64"/>
      <c r="P20" s="59"/>
    </row>
    <row r="21" spans="1:17" s="48" customFormat="1" ht="33" customHeight="1" x14ac:dyDescent="0.15">
      <c r="A21" s="37">
        <v>20170208</v>
      </c>
      <c r="B21" s="58" t="s">
        <v>94</v>
      </c>
      <c r="C21" s="65" t="s">
        <v>93</v>
      </c>
      <c r="D21" s="37"/>
      <c r="E21" s="37" t="s">
        <v>9</v>
      </c>
      <c r="F21" s="23" t="s">
        <v>158</v>
      </c>
      <c r="G21" s="37" t="s">
        <v>1</v>
      </c>
      <c r="H21" s="60">
        <f>[6]副本!G40-'20170208'!H22</f>
        <v>5884.5454280000376</v>
      </c>
      <c r="I21" s="60">
        <f>H21</f>
        <v>5884.5454280000376</v>
      </c>
      <c r="J21" s="37"/>
      <c r="K21" s="62"/>
      <c r="L21" s="61">
        <f>H21-I21</f>
        <v>0</v>
      </c>
      <c r="M21" s="62">
        <v>21000</v>
      </c>
      <c r="N21" s="63" t="s">
        <v>92</v>
      </c>
      <c r="O21" s="64" t="s">
        <v>89</v>
      </c>
      <c r="P21" s="59" t="s">
        <v>91</v>
      </c>
    </row>
    <row r="22" spans="1:17" s="48" customFormat="1" ht="33" customHeight="1" x14ac:dyDescent="0.15">
      <c r="A22" s="37">
        <v>20170208</v>
      </c>
      <c r="B22" s="58" t="s">
        <v>94</v>
      </c>
      <c r="C22" s="65" t="s">
        <v>93</v>
      </c>
      <c r="D22" s="37"/>
      <c r="E22" s="37" t="s">
        <v>9</v>
      </c>
      <c r="F22" s="24" t="s">
        <v>175</v>
      </c>
      <c r="G22" s="37" t="s">
        <v>1</v>
      </c>
      <c r="H22" s="60">
        <f>[6]副本!G42</f>
        <v>8385.4545719999624</v>
      </c>
      <c r="I22" s="60">
        <f>H22</f>
        <v>8385.4545719999624</v>
      </c>
      <c r="J22" s="37"/>
      <c r="K22" s="71"/>
      <c r="L22" s="61">
        <f>H22-I22</f>
        <v>0</v>
      </c>
      <c r="M22" s="62">
        <v>21000</v>
      </c>
      <c r="N22" s="63" t="s">
        <v>90</v>
      </c>
      <c r="O22" s="64" t="s">
        <v>89</v>
      </c>
      <c r="P22" s="59" t="s">
        <v>88</v>
      </c>
    </row>
    <row r="23" spans="1:17" s="48" customFormat="1" ht="33" customHeight="1" x14ac:dyDescent="0.15">
      <c r="A23" s="37">
        <v>20170208</v>
      </c>
      <c r="B23" s="58" t="s">
        <v>87</v>
      </c>
      <c r="C23" s="65" t="s">
        <v>44</v>
      </c>
      <c r="D23" s="37"/>
      <c r="E23" s="37" t="s">
        <v>86</v>
      </c>
      <c r="F23" s="23" t="s">
        <v>160</v>
      </c>
      <c r="G23" s="37" t="s">
        <v>1</v>
      </c>
      <c r="H23" s="60">
        <f>[6]副本!G44</f>
        <v>6134.7419999999993</v>
      </c>
      <c r="I23" s="60">
        <f>H23</f>
        <v>6134.7419999999993</v>
      </c>
      <c r="J23" s="37"/>
      <c r="K23" s="62">
        <v>350</v>
      </c>
      <c r="L23" s="61">
        <f>H23-I23</f>
        <v>0</v>
      </c>
      <c r="M23" s="62">
        <v>5000</v>
      </c>
      <c r="N23" s="63"/>
      <c r="O23" s="64"/>
      <c r="P23" s="59" t="s">
        <v>85</v>
      </c>
    </row>
    <row r="24" spans="1:17" s="48" customFormat="1" ht="33" customHeight="1" x14ac:dyDescent="0.15">
      <c r="A24" s="37">
        <v>20170208</v>
      </c>
      <c r="B24" s="58" t="s">
        <v>84</v>
      </c>
      <c r="C24" s="65" t="s">
        <v>3</v>
      </c>
      <c r="D24" s="37"/>
      <c r="E24" s="59" t="s">
        <v>83</v>
      </c>
      <c r="F24" s="23" t="s">
        <v>161</v>
      </c>
      <c r="G24" s="37" t="s">
        <v>1</v>
      </c>
      <c r="H24" s="60">
        <f>[6]副本!G46</f>
        <v>918.37300000000005</v>
      </c>
      <c r="I24" s="60">
        <f>H24</f>
        <v>918.37300000000005</v>
      </c>
      <c r="J24" s="37"/>
      <c r="K24" s="62"/>
      <c r="L24" s="61">
        <f>H24-I24</f>
        <v>0</v>
      </c>
      <c r="M24" s="62">
        <v>5000</v>
      </c>
      <c r="N24" s="63"/>
      <c r="O24" s="64"/>
      <c r="P24" s="66" t="s">
        <v>82</v>
      </c>
    </row>
    <row r="25" spans="1:17" s="48" customFormat="1" ht="33" customHeight="1" x14ac:dyDescent="0.15">
      <c r="A25" s="37">
        <v>20170208</v>
      </c>
      <c r="B25" s="58" t="s">
        <v>81</v>
      </c>
      <c r="C25" s="65" t="s">
        <v>44</v>
      </c>
      <c r="D25" s="37"/>
      <c r="E25" s="37"/>
      <c r="F25" s="37"/>
      <c r="G25" s="37"/>
      <c r="H25" s="60"/>
      <c r="I25" s="60"/>
      <c r="J25" s="37"/>
      <c r="K25" s="62"/>
      <c r="L25" s="61"/>
      <c r="M25" s="62">
        <v>5000</v>
      </c>
      <c r="N25" s="63"/>
      <c r="O25" s="64"/>
      <c r="P25" s="59"/>
    </row>
    <row r="26" spans="1:17" s="48" customFormat="1" ht="33" customHeight="1" x14ac:dyDescent="0.15">
      <c r="A26" s="37">
        <v>20170208</v>
      </c>
      <c r="B26" s="58" t="s">
        <v>80</v>
      </c>
      <c r="C26" s="65" t="s">
        <v>44</v>
      </c>
      <c r="D26" s="37"/>
      <c r="E26" s="37" t="s">
        <v>43</v>
      </c>
      <c r="F26" s="23" t="s">
        <v>157</v>
      </c>
      <c r="G26" s="37" t="s">
        <v>1</v>
      </c>
      <c r="H26" s="60">
        <f>[6]副本!G51</f>
        <v>2144.2040000000002</v>
      </c>
      <c r="I26" s="60">
        <f>H26</f>
        <v>2144.2040000000002</v>
      </c>
      <c r="J26" s="37"/>
      <c r="K26" s="62"/>
      <c r="L26" s="61">
        <f>H26-I26</f>
        <v>0</v>
      </c>
      <c r="M26" s="62">
        <v>4000</v>
      </c>
      <c r="N26" s="63"/>
      <c r="O26" s="64"/>
      <c r="P26" s="59"/>
    </row>
    <row r="27" spans="1:17" s="48" customFormat="1" ht="33" customHeight="1" x14ac:dyDescent="0.15">
      <c r="A27" s="37">
        <v>20170208</v>
      </c>
      <c r="B27" s="58" t="s">
        <v>79</v>
      </c>
      <c r="C27" s="65" t="s">
        <v>74</v>
      </c>
      <c r="D27" s="37"/>
      <c r="E27" s="37"/>
      <c r="F27" s="37"/>
      <c r="G27" s="37"/>
      <c r="H27" s="60"/>
      <c r="I27" s="60"/>
      <c r="J27" s="37"/>
      <c r="K27" s="62"/>
      <c r="L27" s="61"/>
      <c r="M27" s="62">
        <v>5000</v>
      </c>
      <c r="N27" s="63"/>
      <c r="O27" s="64"/>
      <c r="P27" s="59"/>
    </row>
    <row r="28" spans="1:17" s="48" customFormat="1" ht="33" customHeight="1" x14ac:dyDescent="0.15">
      <c r="A28" s="37">
        <v>20170208</v>
      </c>
      <c r="B28" s="58" t="s">
        <v>78</v>
      </c>
      <c r="C28" s="65" t="s">
        <v>74</v>
      </c>
      <c r="D28" s="37"/>
      <c r="E28" s="37" t="s">
        <v>32</v>
      </c>
      <c r="F28" s="23" t="s">
        <v>161</v>
      </c>
      <c r="G28" s="37" t="s">
        <v>1</v>
      </c>
      <c r="H28" s="60">
        <f>[6]副本!G56</f>
        <v>1496.749</v>
      </c>
      <c r="I28" s="60">
        <f>H28</f>
        <v>1496.749</v>
      </c>
      <c r="J28" s="37"/>
      <c r="K28" s="62">
        <v>1300</v>
      </c>
      <c r="L28" s="61">
        <f>H28-I28</f>
        <v>0</v>
      </c>
      <c r="M28" s="62">
        <v>2000</v>
      </c>
      <c r="N28" s="63"/>
      <c r="O28" s="64"/>
      <c r="P28" s="59" t="s">
        <v>31</v>
      </c>
    </row>
    <row r="29" spans="1:17" s="48" customFormat="1" ht="33" customHeight="1" x14ac:dyDescent="0.15">
      <c r="A29" s="37">
        <v>20170208</v>
      </c>
      <c r="B29" s="58" t="s">
        <v>77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[6]副本!G58</f>
        <v>1098.6790000000001</v>
      </c>
      <c r="I29" s="60">
        <f>H29-1098.679</f>
        <v>0</v>
      </c>
      <c r="J29" s="37"/>
      <c r="K29" s="62"/>
      <c r="L29" s="61">
        <f>H29-I29</f>
        <v>1098.6790000000001</v>
      </c>
      <c r="M29" s="62">
        <v>1500</v>
      </c>
      <c r="N29" s="63"/>
      <c r="O29" s="64"/>
      <c r="P29" s="59"/>
    </row>
    <row r="30" spans="1:17" s="48" customFormat="1" ht="33" customHeight="1" x14ac:dyDescent="0.15">
      <c r="A30" s="37">
        <v>20170208</v>
      </c>
      <c r="B30" s="58" t="s">
        <v>76</v>
      </c>
      <c r="C30" s="65" t="s">
        <v>74</v>
      </c>
      <c r="D30" s="37"/>
      <c r="E30" s="37" t="s">
        <v>32</v>
      </c>
      <c r="F30" s="23" t="s">
        <v>161</v>
      </c>
      <c r="G30" s="37" t="s">
        <v>1</v>
      </c>
      <c r="H30" s="60">
        <f>[6]副本!G60</f>
        <v>763.92700000000013</v>
      </c>
      <c r="I30" s="60">
        <f>H30</f>
        <v>763.92700000000013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31</v>
      </c>
      <c r="Q30" s="49"/>
    </row>
    <row r="31" spans="1:17" s="48" customFormat="1" ht="33" customHeight="1" x14ac:dyDescent="0.15">
      <c r="A31" s="37">
        <v>20170208</v>
      </c>
      <c r="B31" s="58" t="s">
        <v>75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[6]副本!G62</f>
        <v>1096.2820000000002</v>
      </c>
      <c r="I31" s="60">
        <f>H31-1096.282</f>
        <v>0</v>
      </c>
      <c r="J31" s="37"/>
      <c r="K31" s="62"/>
      <c r="L31" s="61">
        <f>H31-I31</f>
        <v>1096.2820000000002</v>
      </c>
      <c r="M31" s="62">
        <v>1500</v>
      </c>
      <c r="N31" s="63"/>
      <c r="O31" s="64"/>
      <c r="P31" s="59"/>
    </row>
    <row r="32" spans="1:17" s="48" customFormat="1" ht="33" customHeight="1" x14ac:dyDescent="0.15">
      <c r="A32" s="37">
        <v>20170208</v>
      </c>
      <c r="B32" s="58" t="s">
        <v>73</v>
      </c>
      <c r="C32" s="65" t="s">
        <v>44</v>
      </c>
      <c r="D32" s="37"/>
      <c r="E32" s="37"/>
      <c r="F32" s="37"/>
      <c r="G32" s="37"/>
      <c r="H32" s="60"/>
      <c r="I32" s="60"/>
      <c r="J32" s="37"/>
      <c r="K32" s="62"/>
      <c r="L32" s="61"/>
      <c r="M32" s="62">
        <v>1500</v>
      </c>
      <c r="N32" s="63"/>
      <c r="O32" s="64"/>
      <c r="P32" s="59"/>
    </row>
    <row r="33" spans="1:16" s="48" customFormat="1" ht="33" customHeight="1" x14ac:dyDescent="0.15">
      <c r="A33" s="37">
        <v>20170208</v>
      </c>
      <c r="B33" s="58" t="s">
        <v>72</v>
      </c>
      <c r="C33" s="65" t="s">
        <v>44</v>
      </c>
      <c r="D33" s="37"/>
      <c r="E33" s="37" t="s">
        <v>71</v>
      </c>
      <c r="F33" s="23" t="s">
        <v>154</v>
      </c>
      <c r="G33" s="37" t="s">
        <v>1</v>
      </c>
      <c r="H33" s="37">
        <f>[6]副本!G66</f>
        <v>931.53000000000031</v>
      </c>
      <c r="I33" s="60">
        <f>H33-1035.099+1035.099-522.714</f>
        <v>408.81600000000026</v>
      </c>
      <c r="J33" s="37"/>
      <c r="K33" s="62">
        <v>30</v>
      </c>
      <c r="L33" s="61">
        <f>H33-I33</f>
        <v>522.71400000000006</v>
      </c>
      <c r="M33" s="62">
        <v>2000</v>
      </c>
      <c r="N33" s="63"/>
      <c r="O33" s="64"/>
      <c r="P33" s="59" t="s">
        <v>188</v>
      </c>
    </row>
    <row r="34" spans="1:16" s="48" customFormat="1" ht="33" customHeight="1" x14ac:dyDescent="0.15">
      <c r="A34" s="37">
        <v>20170208</v>
      </c>
      <c r="B34" s="58" t="s">
        <v>69</v>
      </c>
      <c r="C34" s="65" t="s">
        <v>44</v>
      </c>
      <c r="D34" s="37" t="s">
        <v>5</v>
      </c>
      <c r="E34" s="37" t="s">
        <v>68</v>
      </c>
      <c r="F34" s="23" t="s">
        <v>162</v>
      </c>
      <c r="G34" s="37" t="s">
        <v>1</v>
      </c>
      <c r="H34" s="60">
        <f>[6]副本!G68</f>
        <v>640.54299999999989</v>
      </c>
      <c r="I34" s="60">
        <f>H34-1037.023+500+537.023</f>
        <v>640.54300000000001</v>
      </c>
      <c r="J34" s="37"/>
      <c r="K34" s="62">
        <v>100</v>
      </c>
      <c r="L34" s="61">
        <f>H34-I34</f>
        <v>0</v>
      </c>
      <c r="M34" s="62">
        <v>3000</v>
      </c>
      <c r="N34" s="63"/>
      <c r="O34" s="64"/>
      <c r="P34" s="67" t="s">
        <v>67</v>
      </c>
    </row>
    <row r="35" spans="1:16" s="48" customFormat="1" ht="33" customHeight="1" x14ac:dyDescent="0.15">
      <c r="A35" s="37">
        <v>20170208</v>
      </c>
      <c r="B35" s="58" t="s">
        <v>66</v>
      </c>
      <c r="C35" s="65" t="s">
        <v>44</v>
      </c>
      <c r="D35" s="37" t="s">
        <v>5</v>
      </c>
      <c r="E35" s="37" t="s">
        <v>61</v>
      </c>
      <c r="F35" s="23" t="s">
        <v>159</v>
      </c>
      <c r="G35" s="37" t="s">
        <v>1</v>
      </c>
      <c r="H35" s="60">
        <f>[6]副本!G70</f>
        <v>2002.9199999999992</v>
      </c>
      <c r="I35" s="60">
        <f>H35-3607.546+2050+1050+507.546-1553.792+1553.792</f>
        <v>2002.9199999999994</v>
      </c>
      <c r="J35" s="37"/>
      <c r="K35" s="62"/>
      <c r="L35" s="61">
        <f>H35-I35</f>
        <v>0</v>
      </c>
      <c r="M35" s="62">
        <v>4000</v>
      </c>
      <c r="N35" s="63"/>
      <c r="O35" s="64"/>
      <c r="P35" s="59" t="s">
        <v>65</v>
      </c>
    </row>
    <row r="36" spans="1:16" s="48" customFormat="1" ht="33" customHeight="1" x14ac:dyDescent="0.15">
      <c r="A36" s="37">
        <v>20170208</v>
      </c>
      <c r="B36" s="58" t="s">
        <v>64</v>
      </c>
      <c r="C36" s="65" t="s">
        <v>3</v>
      </c>
      <c r="D36" s="37"/>
      <c r="E36" s="37"/>
      <c r="F36" s="37"/>
      <c r="G36" s="37"/>
      <c r="H36" s="60"/>
      <c r="I36" s="60"/>
      <c r="J36" s="37"/>
      <c r="K36" s="62"/>
      <c r="L36" s="61"/>
      <c r="M36" s="62">
        <v>5000</v>
      </c>
      <c r="N36" s="63"/>
      <c r="O36" s="64"/>
      <c r="P36" s="59"/>
    </row>
    <row r="37" spans="1:16" s="48" customFormat="1" ht="33" customHeight="1" x14ac:dyDescent="0.15">
      <c r="A37" s="37">
        <v>20170208</v>
      </c>
      <c r="B37" s="58" t="s">
        <v>63</v>
      </c>
      <c r="C37" s="65" t="s">
        <v>44</v>
      </c>
      <c r="D37" s="37" t="s">
        <v>5</v>
      </c>
      <c r="E37" s="37" t="s">
        <v>61</v>
      </c>
      <c r="F37" s="23" t="s">
        <v>159</v>
      </c>
      <c r="G37" s="37" t="s">
        <v>1</v>
      </c>
      <c r="H37" s="60">
        <f>[6]副本!G74</f>
        <v>3442.6570000000524</v>
      </c>
      <c r="I37" s="60">
        <f>H37-955.747+477.874+477.873-1042.865-2628.137+500+542.865+2102.57+525.567-499.112-3147.566+2100+525+525+496.678-2617.899+1574.891+523.692-522.622+522.622-2589.467+523.692-499.362</f>
        <v>358.20400000005208</v>
      </c>
      <c r="J37" s="37"/>
      <c r="K37" s="62"/>
      <c r="L37" s="61">
        <f>H37-I37</f>
        <v>3084.4530000000004</v>
      </c>
      <c r="M37" s="62">
        <v>5000</v>
      </c>
      <c r="N37" s="63"/>
      <c r="O37" s="64"/>
      <c r="P37" s="59" t="s">
        <v>187</v>
      </c>
    </row>
    <row r="38" spans="1:16" s="48" customFormat="1" ht="33" customHeight="1" x14ac:dyDescent="0.15">
      <c r="A38" s="37">
        <v>20170208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163</v>
      </c>
      <c r="G38" s="37" t="s">
        <v>1</v>
      </c>
      <c r="H38" s="60">
        <f>[6]副本!G75</f>
        <v>848.3480000000003</v>
      </c>
      <c r="I38" s="60">
        <f>H38</f>
        <v>848.3480000000003</v>
      </c>
      <c r="J38" s="37"/>
      <c r="K38" s="62"/>
      <c r="L38" s="61">
        <f>H38-I38</f>
        <v>0</v>
      </c>
      <c r="M38" s="62">
        <v>5000</v>
      </c>
      <c r="N38" s="63"/>
      <c r="O38" s="64"/>
      <c r="P38" s="59" t="s">
        <v>60</v>
      </c>
    </row>
    <row r="39" spans="1:16" s="48" customFormat="1" ht="33" customHeight="1" x14ac:dyDescent="0.15">
      <c r="A39" s="37">
        <v>20170208</v>
      </c>
      <c r="B39" s="58" t="s">
        <v>59</v>
      </c>
      <c r="C39" s="65" t="s">
        <v>19</v>
      </c>
      <c r="D39" s="37"/>
      <c r="E39" s="37" t="s">
        <v>32</v>
      </c>
      <c r="F39" s="23" t="s">
        <v>161</v>
      </c>
      <c r="G39" s="37" t="s">
        <v>1</v>
      </c>
      <c r="H39" s="60">
        <f>[6]副本!G77</f>
        <v>2596.4419999999977</v>
      </c>
      <c r="I39" s="60">
        <f>H39-2564.978</f>
        <v>31.463999999997668</v>
      </c>
      <c r="J39" s="37"/>
      <c r="K39" s="62"/>
      <c r="L39" s="61">
        <f>H39-I39</f>
        <v>2564.9780000000001</v>
      </c>
      <c r="M39" s="62">
        <v>4000</v>
      </c>
      <c r="N39" s="63"/>
      <c r="O39" s="64"/>
      <c r="P39" s="59" t="s">
        <v>58</v>
      </c>
    </row>
    <row r="40" spans="1:16" s="48" customFormat="1" ht="33" customHeight="1" x14ac:dyDescent="0.15">
      <c r="A40" s="37">
        <v>20170208</v>
      </c>
      <c r="B40" s="58" t="s">
        <v>59</v>
      </c>
      <c r="C40" s="65" t="s">
        <v>19</v>
      </c>
      <c r="D40" s="37"/>
      <c r="E40" s="37" t="s">
        <v>32</v>
      </c>
      <c r="F40" s="23" t="s">
        <v>164</v>
      </c>
      <c r="G40" s="37" t="s">
        <v>1</v>
      </c>
      <c r="H40" s="60">
        <f>[6]副本!G78</f>
        <v>-0.23699999999985266</v>
      </c>
      <c r="I40" s="60">
        <f>H40</f>
        <v>-0.23699999999985266</v>
      </c>
      <c r="J40" s="37"/>
      <c r="K40" s="62"/>
      <c r="L40" s="61"/>
      <c r="M40" s="62">
        <v>4000</v>
      </c>
      <c r="N40" s="63"/>
      <c r="O40" s="64"/>
      <c r="P40" s="59" t="s">
        <v>57</v>
      </c>
    </row>
    <row r="41" spans="1:16" s="48" customFormat="1" ht="33" customHeight="1" x14ac:dyDescent="0.15">
      <c r="A41" s="37">
        <v>20170208</v>
      </c>
      <c r="B41" s="58" t="s">
        <v>56</v>
      </c>
      <c r="C41" s="65" t="s">
        <v>19</v>
      </c>
      <c r="D41" s="37"/>
      <c r="E41" s="37"/>
      <c r="F41" s="37"/>
      <c r="G41" s="37"/>
      <c r="H41" s="60"/>
      <c r="I41" s="60"/>
      <c r="J41" s="37"/>
      <c r="K41" s="62"/>
      <c r="L41" s="61"/>
      <c r="M41" s="62">
        <v>2000</v>
      </c>
      <c r="N41" s="63"/>
      <c r="O41" s="64"/>
      <c r="P41" s="59"/>
    </row>
    <row r="42" spans="1:16" s="48" customFormat="1" ht="33" customHeight="1" x14ac:dyDescent="0.15">
      <c r="A42" s="37">
        <v>20170208</v>
      </c>
      <c r="B42" s="58" t="s">
        <v>55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3000</v>
      </c>
      <c r="N42" s="63"/>
      <c r="O42" s="64"/>
      <c r="P42" s="59"/>
    </row>
    <row r="43" spans="1:16" s="48" customFormat="1" ht="33" customHeight="1" x14ac:dyDescent="0.15">
      <c r="A43" s="37">
        <v>20170208</v>
      </c>
      <c r="B43" s="58" t="s">
        <v>54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[6]副本!G85</f>
        <v>965.09099999999944</v>
      </c>
      <c r="I43" s="60">
        <f>H43</f>
        <v>965.09099999999944</v>
      </c>
      <c r="J43" s="37"/>
      <c r="K43" s="62"/>
      <c r="L43" s="61">
        <f>H43-I43</f>
        <v>0</v>
      </c>
      <c r="M43" s="62">
        <v>5000</v>
      </c>
      <c r="N43" s="68"/>
      <c r="O43" s="64"/>
      <c r="P43" s="59" t="s">
        <v>53</v>
      </c>
    </row>
    <row r="44" spans="1:16" s="48" customFormat="1" ht="33" customHeight="1" x14ac:dyDescent="0.15">
      <c r="A44" s="37">
        <v>20170208</v>
      </c>
      <c r="B44" s="58" t="s">
        <v>52</v>
      </c>
      <c r="C44" s="65" t="s">
        <v>44</v>
      </c>
      <c r="D44" s="37"/>
      <c r="E44" s="37"/>
      <c r="F44" s="37"/>
      <c r="G44" s="37"/>
      <c r="H44" s="60"/>
      <c r="I44" s="60"/>
      <c r="J44" s="37"/>
      <c r="K44" s="62"/>
      <c r="L44" s="61"/>
      <c r="M44" s="62">
        <v>5000</v>
      </c>
      <c r="N44" s="63"/>
      <c r="O44" s="64"/>
      <c r="P44" s="59"/>
    </row>
    <row r="45" spans="1:16" s="48" customFormat="1" ht="33" customHeight="1" x14ac:dyDescent="0.15">
      <c r="A45" s="37">
        <v>20170208</v>
      </c>
      <c r="B45" s="58" t="s">
        <v>51</v>
      </c>
      <c r="C45" s="65" t="s">
        <v>44</v>
      </c>
      <c r="D45" s="37"/>
      <c r="E45" s="37" t="s">
        <v>50</v>
      </c>
      <c r="F45" s="23" t="s">
        <v>152</v>
      </c>
      <c r="G45" s="37" t="s">
        <v>1</v>
      </c>
      <c r="H45" s="60">
        <f>[6]副本!G91</f>
        <v>2006.1080000000002</v>
      </c>
      <c r="I45" s="60">
        <f>H45-1021.25+1021.25</f>
        <v>2006.1080000000002</v>
      </c>
      <c r="J45" s="37"/>
      <c r="K45" s="62">
        <v>70</v>
      </c>
      <c r="L45" s="61">
        <f>H45-I45</f>
        <v>0</v>
      </c>
      <c r="M45" s="62">
        <v>5000</v>
      </c>
      <c r="N45" s="63"/>
      <c r="O45" s="64"/>
      <c r="P45" s="59" t="s">
        <v>186</v>
      </c>
    </row>
    <row r="46" spans="1:16" s="48" customFormat="1" ht="33" customHeight="1" x14ac:dyDescent="0.15">
      <c r="A46" s="37">
        <v>20170208</v>
      </c>
      <c r="B46" s="58" t="s">
        <v>51</v>
      </c>
      <c r="C46" s="65" t="s">
        <v>44</v>
      </c>
      <c r="D46" s="37"/>
      <c r="E46" s="37" t="s">
        <v>50</v>
      </c>
      <c r="F46" s="23" t="s">
        <v>148</v>
      </c>
      <c r="G46" s="37" t="s">
        <v>1</v>
      </c>
      <c r="H46" s="60">
        <f>[6]副本!G92</f>
        <v>1000</v>
      </c>
      <c r="I46" s="60">
        <f>H46</f>
        <v>1000</v>
      </c>
      <c r="J46" s="37"/>
      <c r="K46" s="62"/>
      <c r="L46" s="61"/>
      <c r="M46" s="62">
        <v>5000</v>
      </c>
      <c r="N46" s="63"/>
      <c r="O46" s="64"/>
      <c r="P46" s="59" t="s">
        <v>49</v>
      </c>
    </row>
    <row r="47" spans="1:16" s="48" customFormat="1" ht="33" customHeight="1" x14ac:dyDescent="0.15">
      <c r="A47" s="37">
        <v>20170208</v>
      </c>
      <c r="B47" s="58" t="s">
        <v>48</v>
      </c>
      <c r="C47" s="65" t="s">
        <v>44</v>
      </c>
      <c r="D47" s="37"/>
      <c r="E47" s="37" t="s">
        <v>43</v>
      </c>
      <c r="F47" s="23" t="s">
        <v>157</v>
      </c>
      <c r="G47" s="37" t="s">
        <v>1</v>
      </c>
      <c r="H47" s="60">
        <f>[6]副本!G94</f>
        <v>173.70399999999404</v>
      </c>
      <c r="I47" s="60">
        <f>H47</f>
        <v>173.70399999999404</v>
      </c>
      <c r="J47" s="37"/>
      <c r="K47" s="61"/>
      <c r="L47" s="61">
        <f>H47-I47</f>
        <v>0</v>
      </c>
      <c r="M47" s="62">
        <v>2000</v>
      </c>
      <c r="N47" s="63"/>
      <c r="O47" s="64"/>
      <c r="P47" s="59"/>
    </row>
    <row r="48" spans="1:16" s="48" customFormat="1" ht="33" customHeight="1" x14ac:dyDescent="0.15">
      <c r="A48" s="37">
        <v>20170208</v>
      </c>
      <c r="B48" s="58" t="s">
        <v>47</v>
      </c>
      <c r="C48" s="65" t="s">
        <v>19</v>
      </c>
      <c r="D48" s="37" t="s">
        <v>5</v>
      </c>
      <c r="E48" s="37" t="s">
        <v>27</v>
      </c>
      <c r="F48" s="23" t="s">
        <v>165</v>
      </c>
      <c r="G48" s="37" t="s">
        <v>1</v>
      </c>
      <c r="H48" s="60">
        <f>[6]副本!G96</f>
        <v>2409.6100000000006</v>
      </c>
      <c r="I48" s="60">
        <v>0</v>
      </c>
      <c r="J48" s="37"/>
      <c r="K48" s="62"/>
      <c r="L48" s="61">
        <f>H48-I48</f>
        <v>2409.6100000000006</v>
      </c>
      <c r="M48" s="62">
        <v>10000</v>
      </c>
      <c r="N48" s="63"/>
      <c r="O48" s="64"/>
      <c r="P48" s="59"/>
    </row>
    <row r="49" spans="1:17" s="48" customFormat="1" ht="33" customHeight="1" x14ac:dyDescent="0.15">
      <c r="A49" s="37">
        <v>20170208</v>
      </c>
      <c r="B49" s="58" t="s">
        <v>46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[6]副本!G98</f>
        <v>4217.264000000001</v>
      </c>
      <c r="I49" s="60">
        <v>0</v>
      </c>
      <c r="J49" s="37"/>
      <c r="K49" s="62"/>
      <c r="L49" s="61">
        <v>0</v>
      </c>
      <c r="M49" s="62">
        <v>10000</v>
      </c>
      <c r="N49" s="63"/>
      <c r="O49" s="64"/>
      <c r="P49" s="59"/>
    </row>
    <row r="50" spans="1:17" s="48" customFormat="1" ht="33" customHeight="1" x14ac:dyDescent="0.15">
      <c r="A50" s="37">
        <v>20170208</v>
      </c>
      <c r="B50" s="58" t="s">
        <v>45</v>
      </c>
      <c r="C50" s="65" t="s">
        <v>44</v>
      </c>
      <c r="D50" s="37"/>
      <c r="E50" s="37" t="s">
        <v>43</v>
      </c>
      <c r="F50" s="23" t="s">
        <v>166</v>
      </c>
      <c r="G50" s="37" t="s">
        <v>1</v>
      </c>
      <c r="H50" s="60">
        <f>[6]副本!G100</f>
        <v>1258.1350000000075</v>
      </c>
      <c r="I50" s="60">
        <f>H50</f>
        <v>1258.1350000000075</v>
      </c>
      <c r="J50" s="37"/>
      <c r="K50" s="61"/>
      <c r="L50" s="61">
        <v>0</v>
      </c>
      <c r="M50" s="62">
        <v>5000</v>
      </c>
      <c r="N50" s="69" t="s">
        <v>42</v>
      </c>
      <c r="O50" s="70" t="s">
        <v>41</v>
      </c>
      <c r="P50" s="59" t="s">
        <v>146</v>
      </c>
    </row>
    <row r="51" spans="1:17" s="48" customFormat="1" ht="33" customHeight="1" x14ac:dyDescent="0.15">
      <c r="A51" s="37">
        <v>20170208</v>
      </c>
      <c r="B51" s="58" t="s">
        <v>39</v>
      </c>
      <c r="C51" s="65" t="s">
        <v>19</v>
      </c>
      <c r="D51" s="37"/>
      <c r="E51" s="37"/>
      <c r="F51" s="37"/>
      <c r="G51" s="37"/>
      <c r="H51" s="60"/>
      <c r="I51" s="60"/>
      <c r="J51" s="37"/>
      <c r="K51" s="62"/>
      <c r="L51" s="61"/>
      <c r="M51" s="62">
        <v>3000</v>
      </c>
      <c r="N51" s="63"/>
      <c r="O51" s="64"/>
      <c r="P51" s="59"/>
    </row>
    <row r="52" spans="1:17" s="48" customFormat="1" ht="33" customHeight="1" x14ac:dyDescent="0.15">
      <c r="A52" s="37">
        <v>20170208</v>
      </c>
      <c r="B52" s="58" t="s">
        <v>38</v>
      </c>
      <c r="C52" s="65" t="s">
        <v>19</v>
      </c>
      <c r="D52" s="37" t="s">
        <v>5</v>
      </c>
      <c r="E52" s="37" t="s">
        <v>27</v>
      </c>
      <c r="F52" s="23" t="s">
        <v>165</v>
      </c>
      <c r="G52" s="37" t="s">
        <v>22</v>
      </c>
      <c r="H52" s="60">
        <f>[6]副本!G104</f>
        <v>15130.712</v>
      </c>
      <c r="I52" s="60">
        <v>0</v>
      </c>
      <c r="J52" s="37"/>
      <c r="K52" s="62"/>
      <c r="L52" s="61">
        <f>H52-I52</f>
        <v>15130.712</v>
      </c>
      <c r="M52" s="62">
        <v>25000</v>
      </c>
      <c r="N52" s="63" t="s">
        <v>37</v>
      </c>
      <c r="O52" s="64" t="s">
        <v>36</v>
      </c>
      <c r="P52" s="59" t="s">
        <v>35</v>
      </c>
    </row>
    <row r="53" spans="1:17" s="48" customFormat="1" ht="33" customHeight="1" x14ac:dyDescent="0.15">
      <c r="A53" s="37">
        <v>20170208</v>
      </c>
      <c r="B53" s="58" t="s">
        <v>34</v>
      </c>
      <c r="C53" s="65" t="s">
        <v>19</v>
      </c>
      <c r="D53" s="37" t="s">
        <v>5</v>
      </c>
      <c r="E53" s="37" t="s">
        <v>27</v>
      </c>
      <c r="F53" s="23" t="s">
        <v>167</v>
      </c>
      <c r="G53" s="37" t="s">
        <v>22</v>
      </c>
      <c r="H53" s="60">
        <f>[6]副本!G106</f>
        <v>32753.382000000081</v>
      </c>
      <c r="I53" s="60">
        <v>0</v>
      </c>
      <c r="J53" s="37"/>
      <c r="K53" s="62"/>
      <c r="L53" s="61">
        <f>H53-I53</f>
        <v>32753.382000000081</v>
      </c>
      <c r="M53" s="62">
        <v>50000</v>
      </c>
      <c r="N53" s="63"/>
      <c r="O53" s="64"/>
      <c r="P53" s="59"/>
    </row>
    <row r="54" spans="1:17" s="48" customFormat="1" ht="33" customHeight="1" x14ac:dyDescent="0.15">
      <c r="A54" s="37">
        <v>20170208</v>
      </c>
      <c r="B54" s="58" t="s">
        <v>33</v>
      </c>
      <c r="C54" s="65" t="s">
        <v>19</v>
      </c>
      <c r="D54" s="37"/>
      <c r="E54" s="37" t="s">
        <v>32</v>
      </c>
      <c r="F54" s="23" t="s">
        <v>161</v>
      </c>
      <c r="G54" s="37" t="s">
        <v>22</v>
      </c>
      <c r="H54" s="60">
        <f>[6]副本!G108</f>
        <v>1760.9310000000169</v>
      </c>
      <c r="I54" s="60">
        <f>H54</f>
        <v>1760.9310000000169</v>
      </c>
      <c r="J54" s="37"/>
      <c r="K54" s="62"/>
      <c r="L54" s="61">
        <f>H54-I54</f>
        <v>0</v>
      </c>
      <c r="M54" s="62">
        <v>4000</v>
      </c>
      <c r="N54" s="63"/>
      <c r="O54" s="64"/>
      <c r="P54" s="59" t="s">
        <v>31</v>
      </c>
    </row>
    <row r="55" spans="1:17" s="48" customFormat="1" ht="33" customHeight="1" x14ac:dyDescent="0.15">
      <c r="A55" s="37">
        <v>20170208</v>
      </c>
      <c r="B55" s="58" t="s">
        <v>30</v>
      </c>
      <c r="C55" s="65" t="s">
        <v>3</v>
      </c>
      <c r="D55" s="37"/>
      <c r="E55" s="37"/>
      <c r="F55" s="37"/>
      <c r="G55" s="37"/>
      <c r="H55" s="60"/>
      <c r="I55" s="60"/>
      <c r="J55" s="37"/>
      <c r="K55" s="62"/>
      <c r="L55" s="61"/>
      <c r="M55" s="62">
        <v>37000</v>
      </c>
      <c r="N55" s="63"/>
      <c r="O55" s="64"/>
      <c r="P55" s="59"/>
    </row>
    <row r="56" spans="1:17" s="48" customFormat="1" ht="33" customHeight="1" x14ac:dyDescent="0.15">
      <c r="A56" s="37">
        <v>20170208</v>
      </c>
      <c r="B56" s="58" t="s">
        <v>29</v>
      </c>
      <c r="C56" s="65" t="s">
        <v>3</v>
      </c>
      <c r="D56" s="37"/>
      <c r="E56" s="37"/>
      <c r="F56" s="37"/>
      <c r="G56" s="37"/>
      <c r="H56" s="60"/>
      <c r="I56" s="37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3" customHeight="1" x14ac:dyDescent="0.15">
      <c r="A57" s="37">
        <v>20170208</v>
      </c>
      <c r="B57" s="58" t="s">
        <v>28</v>
      </c>
      <c r="C57" s="65" t="s">
        <v>19</v>
      </c>
      <c r="D57" s="37" t="s">
        <v>5</v>
      </c>
      <c r="E57" s="37" t="s">
        <v>27</v>
      </c>
      <c r="F57" s="23" t="s">
        <v>168</v>
      </c>
      <c r="G57" s="37" t="s">
        <v>22</v>
      </c>
      <c r="H57" s="60">
        <f>[6]副本!G116</f>
        <v>1767.3689999999997</v>
      </c>
      <c r="I57" s="60">
        <v>0</v>
      </c>
      <c r="J57" s="37"/>
      <c r="K57" s="61"/>
      <c r="L57" s="61">
        <f>H57-I57</f>
        <v>1767.3689999999997</v>
      </c>
      <c r="M57" s="62">
        <v>10000</v>
      </c>
      <c r="N57" s="63"/>
      <c r="O57" s="64"/>
      <c r="P57" s="59"/>
      <c r="Q57" s="49"/>
    </row>
    <row r="58" spans="1:17" s="48" customFormat="1" ht="33" customHeight="1" x14ac:dyDescent="0.15">
      <c r="A58" s="37">
        <v>20170208</v>
      </c>
      <c r="B58" s="58" t="s">
        <v>26</v>
      </c>
      <c r="C58" s="65" t="s">
        <v>3</v>
      </c>
      <c r="D58" s="37" t="s">
        <v>5</v>
      </c>
      <c r="E58" s="37" t="s">
        <v>2</v>
      </c>
      <c r="F58" s="23" t="s">
        <v>169</v>
      </c>
      <c r="G58" s="37" t="s">
        <v>22</v>
      </c>
      <c r="H58" s="60">
        <f>[6]副本!G118</f>
        <v>0</v>
      </c>
      <c r="I58" s="60">
        <f>H58</f>
        <v>0</v>
      </c>
      <c r="J58" s="37"/>
      <c r="K58" s="62"/>
      <c r="L58" s="61">
        <f>H58-I58</f>
        <v>0</v>
      </c>
      <c r="M58" s="62">
        <v>15000</v>
      </c>
      <c r="N58" s="63"/>
      <c r="O58" s="64"/>
      <c r="P58" s="59"/>
      <c r="Q58" s="49"/>
    </row>
    <row r="59" spans="1:17" s="48" customFormat="1" ht="33" customHeight="1" x14ac:dyDescent="0.15">
      <c r="A59" s="37">
        <v>20170208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170</v>
      </c>
      <c r="G59" s="37" t="s">
        <v>22</v>
      </c>
      <c r="H59" s="60">
        <f>[6]副本!G119</f>
        <v>765.55999999999949</v>
      </c>
      <c r="I59" s="60">
        <f>H59</f>
        <v>765.55999999999949</v>
      </c>
      <c r="J59" s="37"/>
      <c r="K59" s="62">
        <v>150</v>
      </c>
      <c r="L59" s="61">
        <f>H59-I59</f>
        <v>0</v>
      </c>
      <c r="M59" s="62">
        <v>15000</v>
      </c>
      <c r="N59" s="63"/>
      <c r="O59" s="64"/>
      <c r="P59" s="59" t="s">
        <v>185</v>
      </c>
      <c r="Q59" s="49"/>
    </row>
    <row r="60" spans="1:17" s="48" customFormat="1" ht="33" customHeight="1" x14ac:dyDescent="0.15">
      <c r="A60" s="37">
        <v>20170208</v>
      </c>
      <c r="B60" s="58" t="s">
        <v>23</v>
      </c>
      <c r="C60" s="58" t="s">
        <v>19</v>
      </c>
      <c r="D60" s="37" t="s">
        <v>5</v>
      </c>
      <c r="E60" s="37" t="s">
        <v>2</v>
      </c>
      <c r="F60" s="23" t="s">
        <v>171</v>
      </c>
      <c r="G60" s="37" t="s">
        <v>22</v>
      </c>
      <c r="H60" s="60">
        <f>[6]副本!G121</f>
        <v>7555.650999999998</v>
      </c>
      <c r="I60" s="60">
        <f>H60</f>
        <v>7555.650999999998</v>
      </c>
      <c r="J60" s="37"/>
      <c r="K60" s="62">
        <v>650</v>
      </c>
      <c r="L60" s="61"/>
      <c r="M60" s="62">
        <v>43000</v>
      </c>
      <c r="N60" s="63"/>
      <c r="O60" s="64"/>
      <c r="P60" s="59" t="s">
        <v>193</v>
      </c>
      <c r="Q60" s="49"/>
    </row>
    <row r="61" spans="1:17" s="48" customFormat="1" ht="33" customHeight="1" x14ac:dyDescent="0.15">
      <c r="A61" s="37">
        <v>20170208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172</v>
      </c>
      <c r="G61" s="37" t="s">
        <v>22</v>
      </c>
      <c r="H61" s="60">
        <f>[6]副本!G122</f>
        <v>386.69999999999982</v>
      </c>
      <c r="I61" s="60">
        <f>H61</f>
        <v>386.69999999999982</v>
      </c>
      <c r="J61" s="37"/>
      <c r="K61" s="37"/>
      <c r="L61" s="61"/>
      <c r="M61" s="62">
        <v>43000</v>
      </c>
      <c r="N61" s="63"/>
      <c r="O61" s="64"/>
      <c r="P61" s="59" t="s">
        <v>21</v>
      </c>
      <c r="Q61" s="49"/>
    </row>
    <row r="62" spans="1:17" s="48" customFormat="1" ht="33" customHeight="1" x14ac:dyDescent="0.15">
      <c r="A62" s="37">
        <v>20170208</v>
      </c>
      <c r="B62" s="58" t="s">
        <v>20</v>
      </c>
      <c r="C62" s="58" t="s">
        <v>19</v>
      </c>
      <c r="D62" s="37" t="s">
        <v>5</v>
      </c>
      <c r="E62" s="37"/>
      <c r="F62" s="37"/>
      <c r="G62" s="37"/>
      <c r="H62" s="60"/>
      <c r="I62" s="60"/>
      <c r="J62" s="37"/>
      <c r="K62" s="62"/>
      <c r="L62" s="61"/>
      <c r="M62" s="62">
        <v>43000</v>
      </c>
      <c r="N62" s="63"/>
      <c r="O62" s="64"/>
      <c r="P62" s="59"/>
      <c r="Q62" s="49"/>
    </row>
    <row r="63" spans="1:17" s="48" customFormat="1" ht="33" customHeight="1" x14ac:dyDescent="0.15">
      <c r="A63" s="37">
        <v>20170208</v>
      </c>
      <c r="B63" s="58" t="s">
        <v>18</v>
      </c>
      <c r="C63" s="65" t="s">
        <v>3</v>
      </c>
      <c r="D63" s="37"/>
      <c r="E63" s="37" t="s">
        <v>199</v>
      </c>
      <c r="F63" s="23" t="s">
        <v>197</v>
      </c>
      <c r="G63" s="37" t="s">
        <v>1</v>
      </c>
      <c r="H63" s="60">
        <f>[6]副本!G126</f>
        <v>8339.3289999999961</v>
      </c>
      <c r="I63" s="60">
        <f>H63-8339.329</f>
        <v>0</v>
      </c>
      <c r="J63" s="37"/>
      <c r="K63" s="62"/>
      <c r="L63" s="61">
        <f>H63-I63</f>
        <v>8339.3289999999961</v>
      </c>
      <c r="M63" s="62">
        <v>20000</v>
      </c>
      <c r="N63" s="63"/>
      <c r="O63" s="64"/>
      <c r="P63" s="59"/>
    </row>
    <row r="64" spans="1:17" s="48" customFormat="1" ht="33" customHeight="1" x14ac:dyDescent="0.15">
      <c r="A64" s="37">
        <v>20170208</v>
      </c>
      <c r="B64" s="58" t="s">
        <v>17</v>
      </c>
      <c r="C64" s="65" t="s">
        <v>3</v>
      </c>
      <c r="D64" s="37"/>
      <c r="E64" s="37" t="s">
        <v>9</v>
      </c>
      <c r="F64" s="23" t="s">
        <v>175</v>
      </c>
      <c r="G64" s="37" t="s">
        <v>1</v>
      </c>
      <c r="H64" s="60">
        <f>[6]副本!G128</f>
        <v>13987.876000000004</v>
      </c>
      <c r="I64" s="60">
        <f>H64-4751.949+4751.949</f>
        <v>13987.876000000004</v>
      </c>
      <c r="J64" s="37"/>
      <c r="K64" s="62"/>
      <c r="L64" s="61">
        <f>H64-I64</f>
        <v>0</v>
      </c>
      <c r="M64" s="62">
        <v>30000</v>
      </c>
      <c r="N64" s="63"/>
      <c r="O64" s="64"/>
      <c r="P64" s="59" t="s">
        <v>184</v>
      </c>
    </row>
    <row r="65" spans="1:16" s="48" customFormat="1" ht="33" customHeight="1" x14ac:dyDescent="0.15">
      <c r="A65" s="37">
        <v>20170208</v>
      </c>
      <c r="B65" s="58" t="s">
        <v>17</v>
      </c>
      <c r="C65" s="65" t="s">
        <v>3</v>
      </c>
      <c r="D65" s="37"/>
      <c r="E65" s="37" t="s">
        <v>9</v>
      </c>
      <c r="F65" s="23" t="s">
        <v>158</v>
      </c>
      <c r="G65" s="37" t="s">
        <v>1</v>
      </c>
      <c r="H65" s="60">
        <f>[6]副本!G129</f>
        <v>9946.3690000000006</v>
      </c>
      <c r="I65" s="60">
        <f>H65</f>
        <v>9946.3690000000006</v>
      </c>
      <c r="J65" s="37"/>
      <c r="K65" s="62"/>
      <c r="L65" s="61">
        <f>H65-I65</f>
        <v>0</v>
      </c>
      <c r="M65" s="62">
        <v>30000</v>
      </c>
      <c r="N65" s="63"/>
      <c r="O65" s="64"/>
      <c r="P65" s="66" t="s">
        <v>15</v>
      </c>
    </row>
    <row r="66" spans="1:16" s="48" customFormat="1" ht="33" customHeight="1" x14ac:dyDescent="0.15">
      <c r="A66" s="37">
        <v>20170208</v>
      </c>
      <c r="B66" s="58" t="s">
        <v>14</v>
      </c>
      <c r="C66" s="65" t="s">
        <v>3</v>
      </c>
      <c r="D66" s="37" t="s">
        <v>5</v>
      </c>
      <c r="E66" s="37" t="s">
        <v>2</v>
      </c>
      <c r="F66" s="23" t="s">
        <v>174</v>
      </c>
      <c r="G66" s="37" t="s">
        <v>1</v>
      </c>
      <c r="H66" s="60">
        <f>[6]副本!G131</f>
        <v>14976.093999999999</v>
      </c>
      <c r="I66" s="60">
        <f>H66-14976.094</f>
        <v>0</v>
      </c>
      <c r="J66" s="37"/>
      <c r="K66" s="62">
        <v>350</v>
      </c>
      <c r="L66" s="61">
        <f>H66-I66</f>
        <v>14976.093999999999</v>
      </c>
      <c r="M66" s="62">
        <v>20000</v>
      </c>
      <c r="N66" s="63" t="s">
        <v>13</v>
      </c>
      <c r="O66" s="64" t="s">
        <v>12</v>
      </c>
      <c r="P66" s="59" t="s">
        <v>11</v>
      </c>
    </row>
    <row r="67" spans="1:16" s="48" customFormat="1" ht="33" customHeight="1" x14ac:dyDescent="0.15">
      <c r="A67" s="37">
        <v>20170208</v>
      </c>
      <c r="B67" s="58" t="s">
        <v>10</v>
      </c>
      <c r="C67" s="65" t="s">
        <v>3</v>
      </c>
      <c r="D67" s="37"/>
      <c r="E67" s="37" t="s">
        <v>9</v>
      </c>
      <c r="F67" s="23" t="s">
        <v>158</v>
      </c>
      <c r="G67" s="37" t="s">
        <v>1</v>
      </c>
      <c r="H67" s="60">
        <f>[6]副本!G133</f>
        <v>20204.884999999973</v>
      </c>
      <c r="I67" s="60">
        <f>H67</f>
        <v>20204.884999999973</v>
      </c>
      <c r="J67" s="37"/>
      <c r="K67" s="62"/>
      <c r="L67" s="61">
        <v>0</v>
      </c>
      <c r="M67" s="62">
        <v>30000</v>
      </c>
      <c r="N67" s="63"/>
      <c r="O67" s="64"/>
      <c r="P67" s="59"/>
    </row>
    <row r="68" spans="1:16" s="48" customFormat="1" ht="33" customHeight="1" x14ac:dyDescent="0.15">
      <c r="A68" s="37">
        <v>20170208</v>
      </c>
      <c r="B68" s="58" t="s">
        <v>8</v>
      </c>
      <c r="C68" s="65" t="s">
        <v>3</v>
      </c>
      <c r="D68" s="37"/>
      <c r="E68" s="37"/>
      <c r="F68" s="59"/>
      <c r="G68" s="37"/>
      <c r="H68" s="60"/>
      <c r="I68" s="60"/>
      <c r="J68" s="37"/>
      <c r="K68" s="62"/>
      <c r="L68" s="61"/>
      <c r="M68" s="62">
        <v>20000</v>
      </c>
      <c r="N68" s="63"/>
      <c r="O68" s="64"/>
      <c r="P68" s="37"/>
    </row>
    <row r="69" spans="1:16" s="48" customFormat="1" ht="33" customHeight="1" x14ac:dyDescent="0.15">
      <c r="A69" s="37">
        <v>20170208</v>
      </c>
      <c r="B69" s="58" t="s">
        <v>7</v>
      </c>
      <c r="C69" s="65" t="s">
        <v>3</v>
      </c>
      <c r="D69" s="37"/>
      <c r="E69" s="37"/>
      <c r="F69" s="37"/>
      <c r="G69" s="37"/>
      <c r="H69" s="60"/>
      <c r="I69" s="60"/>
      <c r="J69" s="37"/>
      <c r="K69" s="62"/>
      <c r="L69" s="61"/>
      <c r="M69" s="62">
        <v>15000</v>
      </c>
      <c r="N69" s="63"/>
      <c r="O69" s="64"/>
      <c r="P69" s="59"/>
    </row>
    <row r="70" spans="1:16" s="48" customFormat="1" ht="33" customHeight="1" x14ac:dyDescent="0.15">
      <c r="A70" s="37">
        <v>20170208</v>
      </c>
      <c r="B70" s="58" t="s">
        <v>6</v>
      </c>
      <c r="C70" s="65" t="s">
        <v>3</v>
      </c>
      <c r="D70" s="37" t="s">
        <v>5</v>
      </c>
      <c r="E70" s="37" t="s">
        <v>2</v>
      </c>
      <c r="F70" s="23" t="s">
        <v>171</v>
      </c>
      <c r="G70" s="37" t="s">
        <v>1</v>
      </c>
      <c r="H70" s="60">
        <f>[6]副本!G140</f>
        <v>12005.106</v>
      </c>
      <c r="I70" s="60">
        <f>H70-12005.106</f>
        <v>0</v>
      </c>
      <c r="J70" s="37"/>
      <c r="K70" s="62"/>
      <c r="L70" s="61">
        <f>H70-I70</f>
        <v>12005.106</v>
      </c>
      <c r="M70" s="62">
        <v>15000</v>
      </c>
      <c r="N70" s="63"/>
      <c r="O70" s="64"/>
      <c r="P70" s="59"/>
    </row>
    <row r="71" spans="1:16" s="48" customFormat="1" ht="33" customHeight="1" x14ac:dyDescent="0.15">
      <c r="A71" s="37">
        <v>20170208</v>
      </c>
      <c r="B71" s="58" t="s">
        <v>4</v>
      </c>
      <c r="C71" s="65" t="s">
        <v>3</v>
      </c>
      <c r="D71" s="37"/>
      <c r="E71" s="37" t="s">
        <v>2</v>
      </c>
      <c r="F71" s="23" t="s">
        <v>170</v>
      </c>
      <c r="G71" s="37" t="s">
        <v>1</v>
      </c>
      <c r="H71" s="60">
        <f>[6]副本!G142</f>
        <v>5329.3099999999986</v>
      </c>
      <c r="I71" s="60">
        <f>H71</f>
        <v>5329.3099999999986</v>
      </c>
      <c r="J71" s="37"/>
      <c r="K71" s="62"/>
      <c r="L71" s="61">
        <f>H71-I71</f>
        <v>0</v>
      </c>
      <c r="M71" s="62">
        <v>15000</v>
      </c>
      <c r="N71" s="63"/>
      <c r="O71" s="64"/>
      <c r="P71" s="59" t="s">
        <v>192</v>
      </c>
    </row>
    <row r="77" spans="1:16" x14ac:dyDescent="0.15">
      <c r="L77" s="47"/>
    </row>
    <row r="229" spans="7:8" x14ac:dyDescent="0.15">
      <c r="G229" s="39"/>
      <c r="H229" s="39"/>
    </row>
  </sheetData>
  <autoFilter ref="B1:I71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68" activePane="bottomRight" state="frozen"/>
      <selection pane="topRight"/>
      <selection pane="bottomLeft"/>
      <selection pane="bottomRight"/>
    </sheetView>
  </sheetViews>
  <sheetFormatPr defaultColWidth="8.875" defaultRowHeight="11.25" x14ac:dyDescent="0.15"/>
  <cols>
    <col min="1" max="1" width="8.875" style="1"/>
    <col min="2" max="2" width="5.875" style="3" customWidth="1"/>
    <col min="3" max="3" width="8.25" style="10" customWidth="1"/>
    <col min="4" max="4" width="4.625" style="9" customWidth="1"/>
    <col min="5" max="5" width="9.375" style="3" customWidth="1"/>
    <col min="6" max="6" width="25.25" style="3" customWidth="1"/>
    <col min="7" max="7" width="5.25" style="9" customWidth="1"/>
    <col min="8" max="8" width="10.125" style="8" customWidth="1"/>
    <col min="9" max="9" width="9.625" style="8" customWidth="1"/>
    <col min="10" max="10" width="8.25" style="2" hidden="1" customWidth="1"/>
    <col min="11" max="11" width="7" style="7" customWidth="1"/>
    <col min="12" max="12" width="8.375" style="6" customWidth="1"/>
    <col min="13" max="13" width="6" style="5" bestFit="1" customWidth="1"/>
    <col min="14" max="14" width="8.75" style="4" customWidth="1"/>
    <col min="15" max="15" width="8.25" style="4" customWidth="1"/>
    <col min="16" max="16" width="28.5" style="3" customWidth="1"/>
    <col min="17" max="17" width="8.875" style="2"/>
    <col min="18" max="16384" width="8.875" style="1"/>
  </cols>
  <sheetData>
    <row r="1" spans="1:17" s="12" customFormat="1" ht="22.5" x14ac:dyDescent="0.15">
      <c r="A1" s="15" t="s">
        <v>145</v>
      </c>
      <c r="B1" s="14" t="s">
        <v>144</v>
      </c>
      <c r="C1" s="15" t="s">
        <v>143</v>
      </c>
      <c r="D1" s="15" t="s">
        <v>142</v>
      </c>
      <c r="E1" s="15" t="s">
        <v>141</v>
      </c>
      <c r="F1" s="15" t="s">
        <v>177</v>
      </c>
      <c r="G1" s="16" t="s">
        <v>139</v>
      </c>
      <c r="H1" s="17" t="s">
        <v>138</v>
      </c>
      <c r="I1" s="18" t="s">
        <v>137</v>
      </c>
      <c r="J1" s="15"/>
      <c r="K1" s="19" t="s">
        <v>136</v>
      </c>
      <c r="L1" s="20" t="s">
        <v>135</v>
      </c>
      <c r="M1" s="19" t="s">
        <v>134</v>
      </c>
      <c r="N1" s="21" t="s">
        <v>133</v>
      </c>
      <c r="O1" s="21" t="s">
        <v>132</v>
      </c>
      <c r="P1" s="15" t="s">
        <v>131</v>
      </c>
    </row>
    <row r="2" spans="1:17" s="12" customFormat="1" ht="33.75" customHeight="1" x14ac:dyDescent="0.15">
      <c r="A2" s="23">
        <v>20170209</v>
      </c>
      <c r="B2" s="22" t="s">
        <v>130</v>
      </c>
      <c r="C2" s="35" t="s">
        <v>44</v>
      </c>
      <c r="D2" s="22"/>
      <c r="E2" s="23" t="s">
        <v>117</v>
      </c>
      <c r="F2" s="37" t="s">
        <v>178</v>
      </c>
      <c r="G2" s="24" t="s">
        <v>1</v>
      </c>
      <c r="H2" s="25">
        <f>[7]副本!G3</f>
        <v>0</v>
      </c>
      <c r="I2" s="25">
        <f t="shared" ref="I2:I14" si="0">H2</f>
        <v>0</v>
      </c>
      <c r="J2" s="23"/>
      <c r="K2" s="27"/>
      <c r="L2" s="26">
        <v>0</v>
      </c>
      <c r="M2" s="27">
        <v>2000</v>
      </c>
      <c r="N2" s="28" t="s">
        <v>120</v>
      </c>
      <c r="O2" s="29" t="s">
        <v>89</v>
      </c>
      <c r="P2" s="24" t="s">
        <v>206</v>
      </c>
    </row>
    <row r="3" spans="1:17" s="12" customFormat="1" ht="33.75" customHeight="1" x14ac:dyDescent="0.15">
      <c r="A3" s="23">
        <v>20170209</v>
      </c>
      <c r="B3" s="22" t="s">
        <v>129</v>
      </c>
      <c r="C3" s="35" t="s">
        <v>44</v>
      </c>
      <c r="D3" s="22"/>
      <c r="E3" s="23" t="s">
        <v>86</v>
      </c>
      <c r="F3" s="23" t="s">
        <v>156</v>
      </c>
      <c r="G3" s="24" t="s">
        <v>1</v>
      </c>
      <c r="H3" s="25">
        <f>[7]副本!G6</f>
        <v>548.93899999999996</v>
      </c>
      <c r="I3" s="25">
        <f t="shared" si="0"/>
        <v>548.93899999999996</v>
      </c>
      <c r="J3" s="23"/>
      <c r="K3" s="27"/>
      <c r="L3" s="26">
        <f>H3-I3</f>
        <v>0</v>
      </c>
      <c r="M3" s="27">
        <v>1500</v>
      </c>
      <c r="N3" s="28"/>
      <c r="O3" s="29"/>
      <c r="P3" s="24"/>
    </row>
    <row r="4" spans="1:17" s="12" customFormat="1" ht="33.75" customHeight="1" x14ac:dyDescent="0.15">
      <c r="A4" s="23">
        <v>20170209</v>
      </c>
      <c r="B4" s="22" t="s">
        <v>128</v>
      </c>
      <c r="C4" s="35" t="s">
        <v>44</v>
      </c>
      <c r="D4" s="22"/>
      <c r="E4" s="23" t="s">
        <v>43</v>
      </c>
      <c r="F4" s="37" t="s">
        <v>157</v>
      </c>
      <c r="G4" s="24" t="s">
        <v>1</v>
      </c>
      <c r="H4" s="25">
        <f>[7]副本!G8</f>
        <v>1710.5029999999958</v>
      </c>
      <c r="I4" s="25">
        <f t="shared" si="0"/>
        <v>1710.5029999999958</v>
      </c>
      <c r="J4" s="23"/>
      <c r="K4" s="26"/>
      <c r="L4" s="26">
        <v>0</v>
      </c>
      <c r="M4" s="27">
        <v>2000</v>
      </c>
      <c r="N4" s="28" t="s">
        <v>127</v>
      </c>
      <c r="O4" s="29" t="s">
        <v>126</v>
      </c>
      <c r="P4" s="24" t="s">
        <v>122</v>
      </c>
    </row>
    <row r="5" spans="1:17" s="12" customFormat="1" ht="33.75" customHeight="1" x14ac:dyDescent="0.15">
      <c r="A5" s="23">
        <v>20170209</v>
      </c>
      <c r="B5" s="22" t="s">
        <v>125</v>
      </c>
      <c r="C5" s="35" t="s">
        <v>44</v>
      </c>
      <c r="D5" s="23"/>
      <c r="E5" s="23" t="s">
        <v>117</v>
      </c>
      <c r="F5" s="37" t="s">
        <v>148</v>
      </c>
      <c r="G5" s="24" t="s">
        <v>1</v>
      </c>
      <c r="H5" s="25">
        <f>[7]副本!G10</f>
        <v>2003.7640000000292</v>
      </c>
      <c r="I5" s="25">
        <f t="shared" si="0"/>
        <v>2003.7640000000292</v>
      </c>
      <c r="J5" s="23"/>
      <c r="K5" s="27"/>
      <c r="L5" s="26">
        <f>H5-I5</f>
        <v>0</v>
      </c>
      <c r="M5" s="27">
        <v>2000</v>
      </c>
      <c r="N5" s="28" t="s">
        <v>123</v>
      </c>
      <c r="O5" s="29" t="s">
        <v>89</v>
      </c>
      <c r="P5" s="24" t="s">
        <v>191</v>
      </c>
    </row>
    <row r="6" spans="1:17" s="12" customFormat="1" ht="33.75" customHeight="1" x14ac:dyDescent="0.15">
      <c r="A6" s="23">
        <v>20170209</v>
      </c>
      <c r="B6" s="22" t="s">
        <v>121</v>
      </c>
      <c r="C6" s="35" t="s">
        <v>44</v>
      </c>
      <c r="D6" s="23"/>
      <c r="E6" s="23" t="s">
        <v>117</v>
      </c>
      <c r="F6" s="37" t="s">
        <v>149</v>
      </c>
      <c r="G6" s="24" t="s">
        <v>1</v>
      </c>
      <c r="H6" s="25">
        <f>[7]副本!G12</f>
        <v>2039.8959999999997</v>
      </c>
      <c r="I6" s="25">
        <f t="shared" si="0"/>
        <v>2039.8959999999997</v>
      </c>
      <c r="J6" s="23"/>
      <c r="K6" s="27"/>
      <c r="L6" s="26"/>
      <c r="M6" s="27">
        <v>3000</v>
      </c>
      <c r="N6" s="28" t="s">
        <v>120</v>
      </c>
      <c r="O6" s="29" t="s">
        <v>89</v>
      </c>
      <c r="P6" s="24" t="s">
        <v>206</v>
      </c>
      <c r="Q6" s="13"/>
    </row>
    <row r="7" spans="1:17" s="12" customFormat="1" ht="33.75" customHeight="1" x14ac:dyDescent="0.15">
      <c r="A7" s="23">
        <v>20170209</v>
      </c>
      <c r="B7" s="22" t="s">
        <v>118</v>
      </c>
      <c r="C7" s="35" t="s">
        <v>44</v>
      </c>
      <c r="D7" s="23"/>
      <c r="E7" s="23" t="s">
        <v>117</v>
      </c>
      <c r="F7" s="37" t="s">
        <v>148</v>
      </c>
      <c r="G7" s="23" t="s">
        <v>1</v>
      </c>
      <c r="H7" s="25">
        <f>[7]副本!G14</f>
        <v>1713.0549999999985</v>
      </c>
      <c r="I7" s="25">
        <f t="shared" si="0"/>
        <v>1713.0549999999985</v>
      </c>
      <c r="J7" s="23"/>
      <c r="K7" s="27"/>
      <c r="L7" s="26">
        <f>H7-I7</f>
        <v>0</v>
      </c>
      <c r="M7" s="27">
        <v>3000</v>
      </c>
      <c r="N7" s="28"/>
      <c r="O7" s="29"/>
      <c r="P7" s="24" t="s">
        <v>190</v>
      </c>
      <c r="Q7" s="13"/>
    </row>
    <row r="8" spans="1:17" s="12" customFormat="1" ht="33.75" customHeight="1" x14ac:dyDescent="0.15">
      <c r="A8" s="23">
        <v>20170209</v>
      </c>
      <c r="B8" s="22" t="s">
        <v>115</v>
      </c>
      <c r="C8" s="35" t="s">
        <v>44</v>
      </c>
      <c r="D8" s="23"/>
      <c r="E8" s="23" t="s">
        <v>114</v>
      </c>
      <c r="F8" s="23" t="s">
        <v>150</v>
      </c>
      <c r="G8" s="23" t="s">
        <v>1</v>
      </c>
      <c r="H8" s="25">
        <f>[7]副本!G16</f>
        <v>2087.2890000000002</v>
      </c>
      <c r="I8" s="25">
        <f t="shared" si="0"/>
        <v>2087.2890000000002</v>
      </c>
      <c r="J8" s="23"/>
      <c r="K8" s="27"/>
      <c r="L8" s="26">
        <v>0</v>
      </c>
      <c r="M8" s="27">
        <v>3000</v>
      </c>
      <c r="N8" s="28"/>
      <c r="O8" s="29"/>
      <c r="P8" s="24" t="s">
        <v>103</v>
      </c>
    </row>
    <row r="9" spans="1:17" s="12" customFormat="1" ht="33.75" customHeight="1" x14ac:dyDescent="0.15">
      <c r="A9" s="23">
        <v>20170209</v>
      </c>
      <c r="B9" s="22" t="s">
        <v>113</v>
      </c>
      <c r="C9" s="35" t="s">
        <v>3</v>
      </c>
      <c r="D9" s="23"/>
      <c r="E9" s="23" t="s">
        <v>112</v>
      </c>
      <c r="F9" s="23" t="s">
        <v>151</v>
      </c>
      <c r="G9" s="23" t="s">
        <v>1</v>
      </c>
      <c r="H9" s="23">
        <f>[7]副本!G18</f>
        <v>1322.4749999999999</v>
      </c>
      <c r="I9" s="25">
        <f t="shared" si="0"/>
        <v>1322.4749999999999</v>
      </c>
      <c r="J9" s="23"/>
      <c r="K9" s="27">
        <v>100</v>
      </c>
      <c r="L9" s="26">
        <f t="shared" ref="L9:L14" si="1">H9-I9</f>
        <v>0</v>
      </c>
      <c r="M9" s="27">
        <v>5000</v>
      </c>
      <c r="N9" s="28" t="s">
        <v>111</v>
      </c>
      <c r="O9" s="29" t="s">
        <v>110</v>
      </c>
      <c r="P9" s="16" t="s">
        <v>109</v>
      </c>
    </row>
    <row r="10" spans="1:17" s="12" customFormat="1" ht="33.75" customHeight="1" x14ac:dyDescent="0.15">
      <c r="A10" s="23">
        <v>20170209</v>
      </c>
      <c r="B10" s="22" t="s">
        <v>108</v>
      </c>
      <c r="C10" s="23" t="s">
        <v>44</v>
      </c>
      <c r="D10" s="23"/>
      <c r="E10" s="23" t="s">
        <v>71</v>
      </c>
      <c r="F10" s="23" t="s">
        <v>152</v>
      </c>
      <c r="G10" s="23" t="s">
        <v>1</v>
      </c>
      <c r="H10" s="25">
        <f>[7]副本!G20</f>
        <v>1.5219999999999345</v>
      </c>
      <c r="I10" s="25">
        <f t="shared" si="0"/>
        <v>1.5219999999999345</v>
      </c>
      <c r="J10" s="23"/>
      <c r="K10" s="27"/>
      <c r="L10" s="26">
        <f t="shared" si="1"/>
        <v>0</v>
      </c>
      <c r="M10" s="27">
        <v>1500</v>
      </c>
      <c r="N10" s="28"/>
      <c r="O10" s="29"/>
      <c r="P10" s="24" t="s">
        <v>107</v>
      </c>
    </row>
    <row r="11" spans="1:17" s="12" customFormat="1" ht="33.75" customHeight="1" x14ac:dyDescent="0.15">
      <c r="A11" s="23">
        <v>20170209</v>
      </c>
      <c r="B11" s="22" t="s">
        <v>108</v>
      </c>
      <c r="C11" s="23" t="s">
        <v>44</v>
      </c>
      <c r="D11" s="23"/>
      <c r="E11" s="23" t="s">
        <v>71</v>
      </c>
      <c r="F11" s="23" t="s">
        <v>153</v>
      </c>
      <c r="G11" s="23" t="s">
        <v>1</v>
      </c>
      <c r="H11" s="25">
        <f>[7]副本!G21</f>
        <v>3.999999999996362E-2</v>
      </c>
      <c r="I11" s="25">
        <f t="shared" si="0"/>
        <v>3.999999999996362E-2</v>
      </c>
      <c r="J11" s="23"/>
      <c r="K11" s="27"/>
      <c r="L11" s="26">
        <f t="shared" si="1"/>
        <v>0</v>
      </c>
      <c r="M11" s="27">
        <v>1500</v>
      </c>
      <c r="N11" s="28"/>
      <c r="O11" s="29"/>
      <c r="P11" s="24" t="s">
        <v>106</v>
      </c>
    </row>
    <row r="12" spans="1:17" s="12" customFormat="1" ht="33.75" customHeight="1" x14ac:dyDescent="0.15">
      <c r="A12" s="23">
        <v>20170209</v>
      </c>
      <c r="B12" s="22" t="s">
        <v>108</v>
      </c>
      <c r="C12" s="23" t="s">
        <v>44</v>
      </c>
      <c r="D12" s="23"/>
      <c r="E12" s="23" t="s">
        <v>71</v>
      </c>
      <c r="F12" s="23" t="s">
        <v>154</v>
      </c>
      <c r="G12" s="23" t="s">
        <v>1</v>
      </c>
      <c r="H12" s="25">
        <f>[7]副本!G22</f>
        <v>1000</v>
      </c>
      <c r="I12" s="25">
        <f t="shared" si="0"/>
        <v>1000</v>
      </c>
      <c r="J12" s="23"/>
      <c r="K12" s="27"/>
      <c r="L12" s="26">
        <f t="shared" si="1"/>
        <v>0</v>
      </c>
      <c r="M12" s="27">
        <v>1500</v>
      </c>
      <c r="N12" s="28"/>
      <c r="O12" s="29"/>
      <c r="P12" s="24" t="s">
        <v>106</v>
      </c>
    </row>
    <row r="13" spans="1:17" s="12" customFormat="1" ht="33.75" customHeight="1" x14ac:dyDescent="0.15">
      <c r="A13" s="23">
        <v>20170209</v>
      </c>
      <c r="B13" s="22" t="s">
        <v>105</v>
      </c>
      <c r="C13" s="23" t="s">
        <v>44</v>
      </c>
      <c r="D13" s="23"/>
      <c r="E13" s="23" t="s">
        <v>86</v>
      </c>
      <c r="F13" s="23" t="s">
        <v>155</v>
      </c>
      <c r="G13" s="23" t="s">
        <v>1</v>
      </c>
      <c r="H13" s="25">
        <f>[7]副本!G24</f>
        <v>1502.1479999999999</v>
      </c>
      <c r="I13" s="25">
        <f t="shared" si="0"/>
        <v>1502.1479999999999</v>
      </c>
      <c r="J13" s="23"/>
      <c r="K13" s="27"/>
      <c r="L13" s="26">
        <f t="shared" si="1"/>
        <v>0</v>
      </c>
      <c r="M13" s="27">
        <v>1500</v>
      </c>
      <c r="N13" s="28"/>
      <c r="O13" s="29"/>
      <c r="P13" s="24"/>
    </row>
    <row r="14" spans="1:17" s="12" customFormat="1" ht="33.75" customHeight="1" x14ac:dyDescent="0.15">
      <c r="A14" s="23">
        <v>20170209</v>
      </c>
      <c r="B14" s="22" t="s">
        <v>104</v>
      </c>
      <c r="C14" s="35" t="s">
        <v>19</v>
      </c>
      <c r="D14" s="23"/>
      <c r="E14" s="23" t="s">
        <v>114</v>
      </c>
      <c r="F14" s="23" t="s">
        <v>150</v>
      </c>
      <c r="G14" s="23"/>
      <c r="H14" s="25">
        <f>[7]副本!G26</f>
        <v>404.01</v>
      </c>
      <c r="I14" s="25">
        <f t="shared" si="0"/>
        <v>404.01</v>
      </c>
      <c r="J14" s="23"/>
      <c r="K14" s="27"/>
      <c r="L14" s="26">
        <f t="shared" si="1"/>
        <v>0</v>
      </c>
      <c r="M14" s="27">
        <v>1500</v>
      </c>
      <c r="N14" s="28"/>
      <c r="O14" s="29"/>
      <c r="P14" s="24" t="s">
        <v>103</v>
      </c>
      <c r="Q14" s="13"/>
    </row>
    <row r="15" spans="1:17" s="12" customFormat="1" ht="33.75" customHeight="1" x14ac:dyDescent="0.15">
      <c r="A15" s="23">
        <v>20170209</v>
      </c>
      <c r="B15" s="22" t="s">
        <v>102</v>
      </c>
      <c r="C15" s="35" t="s">
        <v>19</v>
      </c>
      <c r="D15" s="23"/>
      <c r="E15" s="23"/>
      <c r="F15" s="23"/>
      <c r="G15" s="23"/>
      <c r="H15" s="25"/>
      <c r="I15" s="25"/>
      <c r="J15" s="23"/>
      <c r="K15" s="26"/>
      <c r="L15" s="26"/>
      <c r="M15" s="27">
        <v>1500</v>
      </c>
      <c r="N15" s="28"/>
      <c r="O15" s="29"/>
      <c r="P15" s="24"/>
    </row>
    <row r="16" spans="1:17" s="12" customFormat="1" ht="33.75" customHeight="1" x14ac:dyDescent="0.15">
      <c r="A16" s="23">
        <v>20170209</v>
      </c>
      <c r="B16" s="22" t="s">
        <v>101</v>
      </c>
      <c r="C16" s="35" t="s">
        <v>44</v>
      </c>
      <c r="D16" s="23"/>
      <c r="E16" s="23" t="s">
        <v>71</v>
      </c>
      <c r="F16" s="23" t="s">
        <v>152</v>
      </c>
      <c r="G16" s="23" t="s">
        <v>1</v>
      </c>
      <c r="H16" s="25">
        <f>[7]副本!G30</f>
        <v>792.077</v>
      </c>
      <c r="I16" s="25">
        <f>H16</f>
        <v>792.077</v>
      </c>
      <c r="J16" s="23"/>
      <c r="K16" s="27"/>
      <c r="L16" s="26">
        <v>0</v>
      </c>
      <c r="M16" s="27">
        <v>1500</v>
      </c>
      <c r="N16" s="28"/>
      <c r="O16" s="29"/>
      <c r="P16" s="24" t="s">
        <v>205</v>
      </c>
    </row>
    <row r="17" spans="1:17" s="12" customFormat="1" ht="33.75" customHeight="1" x14ac:dyDescent="0.15">
      <c r="A17" s="23">
        <v>20170209</v>
      </c>
      <c r="B17" s="22" t="s">
        <v>101</v>
      </c>
      <c r="C17" s="35" t="s">
        <v>44</v>
      </c>
      <c r="D17" s="23"/>
      <c r="E17" s="23" t="s">
        <v>71</v>
      </c>
      <c r="F17" s="23" t="s">
        <v>153</v>
      </c>
      <c r="G17" s="23" t="s">
        <v>1</v>
      </c>
      <c r="H17" s="25">
        <f>[7]副本!G31</f>
        <v>200</v>
      </c>
      <c r="I17" s="25">
        <f>H17</f>
        <v>200</v>
      </c>
      <c r="J17" s="23"/>
      <c r="K17" s="27"/>
      <c r="L17" s="26"/>
      <c r="M17" s="27">
        <v>1500</v>
      </c>
      <c r="N17" s="28"/>
      <c r="O17" s="29"/>
      <c r="P17" s="72" t="s">
        <v>204</v>
      </c>
    </row>
    <row r="18" spans="1:17" s="12" customFormat="1" ht="33.75" customHeight="1" x14ac:dyDescent="0.15">
      <c r="A18" s="23">
        <v>20170209</v>
      </c>
      <c r="B18" s="22" t="s">
        <v>99</v>
      </c>
      <c r="C18" s="35" t="s">
        <v>93</v>
      </c>
      <c r="D18" s="23"/>
      <c r="E18" s="23" t="s">
        <v>9</v>
      </c>
      <c r="F18" s="23" t="s">
        <v>158</v>
      </c>
      <c r="G18" s="23" t="s">
        <v>1</v>
      </c>
      <c r="H18" s="25">
        <f>[7]副本!G33-H19</f>
        <v>9357.2470000000176</v>
      </c>
      <c r="I18" s="25">
        <f>H18</f>
        <v>9357.2470000000176</v>
      </c>
      <c r="J18" s="23"/>
      <c r="K18" s="27"/>
      <c r="L18" s="26">
        <f>H18-I18</f>
        <v>0</v>
      </c>
      <c r="M18" s="27">
        <v>21000</v>
      </c>
      <c r="N18" s="28" t="s">
        <v>90</v>
      </c>
      <c r="O18" s="29" t="s">
        <v>89</v>
      </c>
      <c r="P18" s="24" t="s">
        <v>98</v>
      </c>
    </row>
    <row r="19" spans="1:17" s="12" customFormat="1" ht="33.75" customHeight="1" x14ac:dyDescent="0.15">
      <c r="A19" s="23">
        <v>20170209</v>
      </c>
      <c r="B19" s="22" t="s">
        <v>99</v>
      </c>
      <c r="C19" s="35" t="s">
        <v>93</v>
      </c>
      <c r="D19" s="23"/>
      <c r="E19" s="23" t="s">
        <v>9</v>
      </c>
      <c r="F19" s="24" t="s">
        <v>175</v>
      </c>
      <c r="G19" s="23" t="s">
        <v>1</v>
      </c>
      <c r="H19" s="25">
        <f>[7]副本!G35</f>
        <v>2172.7529999999824</v>
      </c>
      <c r="I19" s="25">
        <f>H19</f>
        <v>2172.7529999999824</v>
      </c>
      <c r="J19" s="23"/>
      <c r="K19" s="27"/>
      <c r="L19" s="26">
        <f>H19-I19</f>
        <v>0</v>
      </c>
      <c r="M19" s="27">
        <v>21000</v>
      </c>
      <c r="N19" s="28" t="s">
        <v>90</v>
      </c>
      <c r="O19" s="29" t="s">
        <v>89</v>
      </c>
      <c r="P19" s="24" t="s">
        <v>97</v>
      </c>
    </row>
    <row r="20" spans="1:17" s="12" customFormat="1" ht="33.75" customHeight="1" x14ac:dyDescent="0.15">
      <c r="A20" s="23">
        <v>20170209</v>
      </c>
      <c r="B20" s="22" t="s">
        <v>96</v>
      </c>
      <c r="C20" s="35" t="s">
        <v>44</v>
      </c>
      <c r="D20" s="23" t="s">
        <v>5</v>
      </c>
      <c r="E20" s="23" t="s">
        <v>61</v>
      </c>
      <c r="F20" s="23" t="s">
        <v>159</v>
      </c>
      <c r="G20" s="23" t="s">
        <v>1</v>
      </c>
      <c r="H20" s="25">
        <f>[7]副本!G37</f>
        <v>3496.5419999999999</v>
      </c>
      <c r="I20" s="25">
        <f>H20-3496.542+1000+2496.542</f>
        <v>3496.5419999999999</v>
      </c>
      <c r="J20" s="23"/>
      <c r="K20" s="27"/>
      <c r="L20" s="26">
        <f>H20-I20</f>
        <v>0</v>
      </c>
      <c r="M20" s="27">
        <v>5000</v>
      </c>
      <c r="N20" s="28"/>
      <c r="O20" s="29"/>
      <c r="P20" s="24" t="s">
        <v>194</v>
      </c>
    </row>
    <row r="21" spans="1:17" s="12" customFormat="1" ht="33.75" customHeight="1" x14ac:dyDescent="0.15">
      <c r="A21" s="23">
        <v>20170209</v>
      </c>
      <c r="B21" s="22" t="s">
        <v>95</v>
      </c>
      <c r="C21" s="35" t="s">
        <v>44</v>
      </c>
      <c r="D21" s="23"/>
      <c r="E21" s="23"/>
      <c r="F21" s="23"/>
      <c r="G21" s="23"/>
      <c r="H21" s="25"/>
      <c r="I21" s="25"/>
      <c r="J21" s="23"/>
      <c r="K21" s="27"/>
      <c r="L21" s="26"/>
      <c r="M21" s="27">
        <v>3000</v>
      </c>
      <c r="N21" s="28"/>
      <c r="O21" s="29"/>
      <c r="P21" s="24"/>
    </row>
    <row r="22" spans="1:17" s="12" customFormat="1" ht="33.75" customHeight="1" x14ac:dyDescent="0.15">
      <c r="A22" s="23">
        <v>20170209</v>
      </c>
      <c r="B22" s="22" t="s">
        <v>94</v>
      </c>
      <c r="C22" s="35" t="s">
        <v>93</v>
      </c>
      <c r="D22" s="23"/>
      <c r="E22" s="23" t="s">
        <v>9</v>
      </c>
      <c r="F22" s="23" t="s">
        <v>158</v>
      </c>
      <c r="G22" s="23" t="s">
        <v>1</v>
      </c>
      <c r="H22" s="25">
        <f>[7]副本!G41-'20170209'!H23</f>
        <v>9601.5454280000376</v>
      </c>
      <c r="I22" s="25">
        <f>H22</f>
        <v>9601.5454280000376</v>
      </c>
      <c r="J22" s="23"/>
      <c r="K22" s="27"/>
      <c r="L22" s="26">
        <f t="shared" ref="L22:L27" si="2">H22-I22</f>
        <v>0</v>
      </c>
      <c r="M22" s="27">
        <v>21000</v>
      </c>
      <c r="N22" s="28" t="s">
        <v>92</v>
      </c>
      <c r="O22" s="29" t="s">
        <v>89</v>
      </c>
      <c r="P22" s="24" t="s">
        <v>91</v>
      </c>
    </row>
    <row r="23" spans="1:17" s="12" customFormat="1" ht="33.75" customHeight="1" x14ac:dyDescent="0.15">
      <c r="A23" s="23">
        <v>20170209</v>
      </c>
      <c r="B23" s="22" t="s">
        <v>94</v>
      </c>
      <c r="C23" s="35" t="s">
        <v>93</v>
      </c>
      <c r="D23" s="23"/>
      <c r="E23" s="23" t="s">
        <v>9</v>
      </c>
      <c r="F23" s="24" t="s">
        <v>175</v>
      </c>
      <c r="G23" s="23" t="s">
        <v>1</v>
      </c>
      <c r="H23" s="25">
        <f>[7]副本!G43</f>
        <v>7210.4545719999624</v>
      </c>
      <c r="I23" s="25">
        <f>H23</f>
        <v>7210.4545719999624</v>
      </c>
      <c r="J23" s="23"/>
      <c r="K23" s="36"/>
      <c r="L23" s="26">
        <f t="shared" si="2"/>
        <v>0</v>
      </c>
      <c r="M23" s="27">
        <v>21000</v>
      </c>
      <c r="N23" s="28" t="s">
        <v>90</v>
      </c>
      <c r="O23" s="29" t="s">
        <v>89</v>
      </c>
      <c r="P23" s="24" t="s">
        <v>88</v>
      </c>
    </row>
    <row r="24" spans="1:17" s="12" customFormat="1" ht="33.75" customHeight="1" x14ac:dyDescent="0.15">
      <c r="A24" s="23">
        <v>20170209</v>
      </c>
      <c r="B24" s="22" t="s">
        <v>87</v>
      </c>
      <c r="C24" s="35" t="s">
        <v>44</v>
      </c>
      <c r="D24" s="23"/>
      <c r="E24" s="23" t="s">
        <v>86</v>
      </c>
      <c r="F24" s="23" t="s">
        <v>160</v>
      </c>
      <c r="G24" s="23" t="s">
        <v>1</v>
      </c>
      <c r="H24" s="25">
        <f>[7]副本!G45</f>
        <v>6134.7419999999993</v>
      </c>
      <c r="I24" s="25">
        <f>H24</f>
        <v>6134.7419999999993</v>
      </c>
      <c r="J24" s="23"/>
      <c r="K24" s="27">
        <v>350</v>
      </c>
      <c r="L24" s="26">
        <f t="shared" si="2"/>
        <v>0</v>
      </c>
      <c r="M24" s="27">
        <v>5000</v>
      </c>
      <c r="N24" s="28"/>
      <c r="O24" s="29"/>
      <c r="P24" s="24" t="s">
        <v>85</v>
      </c>
    </row>
    <row r="25" spans="1:17" s="12" customFormat="1" ht="33.75" customHeight="1" x14ac:dyDescent="0.15">
      <c r="A25" s="23">
        <v>20170209</v>
      </c>
      <c r="B25" s="22" t="s">
        <v>84</v>
      </c>
      <c r="C25" s="35" t="s">
        <v>3</v>
      </c>
      <c r="D25" s="23"/>
      <c r="E25" s="24" t="s">
        <v>83</v>
      </c>
      <c r="F25" s="23" t="s">
        <v>161</v>
      </c>
      <c r="G25" s="23" t="s">
        <v>1</v>
      </c>
      <c r="H25" s="25">
        <f>[7]副本!G47</f>
        <v>806.69299999999998</v>
      </c>
      <c r="I25" s="25">
        <f>H25</f>
        <v>806.69299999999998</v>
      </c>
      <c r="J25" s="23"/>
      <c r="K25" s="27"/>
      <c r="L25" s="26">
        <f t="shared" si="2"/>
        <v>0</v>
      </c>
      <c r="M25" s="27">
        <v>5000</v>
      </c>
      <c r="N25" s="28"/>
      <c r="O25" s="29"/>
      <c r="P25" s="30" t="s">
        <v>82</v>
      </c>
    </row>
    <row r="26" spans="1:17" s="12" customFormat="1" ht="33.75" customHeight="1" x14ac:dyDescent="0.15">
      <c r="A26" s="23">
        <v>20170209</v>
      </c>
      <c r="B26" s="22" t="s">
        <v>81</v>
      </c>
      <c r="C26" s="35" t="s">
        <v>44</v>
      </c>
      <c r="D26" s="23"/>
      <c r="E26" s="23" t="s">
        <v>203</v>
      </c>
      <c r="F26" s="23" t="s">
        <v>161</v>
      </c>
      <c r="G26" s="23" t="s">
        <v>1</v>
      </c>
      <c r="H26" s="25">
        <f>[7]副本!G49</f>
        <v>3992.8519999999999</v>
      </c>
      <c r="I26" s="25">
        <f>H26-3992.852</f>
        <v>0</v>
      </c>
      <c r="J26" s="23"/>
      <c r="K26" s="27"/>
      <c r="L26" s="26">
        <f t="shared" si="2"/>
        <v>3992.8519999999999</v>
      </c>
      <c r="M26" s="27">
        <v>5000</v>
      </c>
      <c r="N26" s="28"/>
      <c r="O26" s="29"/>
      <c r="P26" s="24"/>
    </row>
    <row r="27" spans="1:17" s="12" customFormat="1" ht="33.75" customHeight="1" x14ac:dyDescent="0.15">
      <c r="A27" s="23">
        <v>20170209</v>
      </c>
      <c r="B27" s="22" t="s">
        <v>80</v>
      </c>
      <c r="C27" s="35" t="s">
        <v>44</v>
      </c>
      <c r="D27" s="23"/>
      <c r="E27" s="23" t="s">
        <v>43</v>
      </c>
      <c r="F27" s="23" t="s">
        <v>157</v>
      </c>
      <c r="G27" s="23" t="s">
        <v>1</v>
      </c>
      <c r="H27" s="25">
        <f>[7]副本!G52</f>
        <v>2144.2040000000002</v>
      </c>
      <c r="I27" s="25">
        <f>H27</f>
        <v>2144.2040000000002</v>
      </c>
      <c r="J27" s="23"/>
      <c r="K27" s="27"/>
      <c r="L27" s="26">
        <f t="shared" si="2"/>
        <v>0</v>
      </c>
      <c r="M27" s="27">
        <v>4000</v>
      </c>
      <c r="N27" s="28"/>
      <c r="O27" s="29"/>
      <c r="P27" s="24"/>
    </row>
    <row r="28" spans="1:17" s="12" customFormat="1" ht="33.75" customHeight="1" x14ac:dyDescent="0.15">
      <c r="A28" s="23">
        <v>20170209</v>
      </c>
      <c r="B28" s="22" t="s">
        <v>79</v>
      </c>
      <c r="C28" s="35" t="s">
        <v>74</v>
      </c>
      <c r="D28" s="23"/>
      <c r="E28" s="23"/>
      <c r="F28" s="23"/>
      <c r="G28" s="23"/>
      <c r="H28" s="25"/>
      <c r="I28" s="25"/>
      <c r="J28" s="23"/>
      <c r="K28" s="27"/>
      <c r="L28" s="26"/>
      <c r="M28" s="27">
        <v>5000</v>
      </c>
      <c r="N28" s="28"/>
      <c r="O28" s="29"/>
      <c r="P28" s="24"/>
    </row>
    <row r="29" spans="1:17" s="12" customFormat="1" ht="33.75" customHeight="1" x14ac:dyDescent="0.15">
      <c r="A29" s="23">
        <v>20170209</v>
      </c>
      <c r="B29" s="22" t="s">
        <v>78</v>
      </c>
      <c r="C29" s="35" t="s">
        <v>74</v>
      </c>
      <c r="D29" s="23"/>
      <c r="E29" s="23" t="s">
        <v>32</v>
      </c>
      <c r="F29" s="23" t="s">
        <v>161</v>
      </c>
      <c r="G29" s="23" t="s">
        <v>1</v>
      </c>
      <c r="H29" s="25">
        <f>[7]副本!G57</f>
        <v>1496.749</v>
      </c>
      <c r="I29" s="25">
        <f>H29</f>
        <v>1496.749</v>
      </c>
      <c r="J29" s="23"/>
      <c r="K29" s="27">
        <v>1300</v>
      </c>
      <c r="L29" s="26">
        <f>H29-I29</f>
        <v>0</v>
      </c>
      <c r="M29" s="27">
        <v>2000</v>
      </c>
      <c r="N29" s="28"/>
      <c r="O29" s="29"/>
      <c r="P29" s="24" t="s">
        <v>31</v>
      </c>
    </row>
    <row r="30" spans="1:17" s="12" customFormat="1" ht="33.75" customHeight="1" x14ac:dyDescent="0.15">
      <c r="A30" s="23">
        <v>20170209</v>
      </c>
      <c r="B30" s="22" t="s">
        <v>77</v>
      </c>
      <c r="C30" s="35" t="s">
        <v>74</v>
      </c>
      <c r="D30" s="23"/>
      <c r="E30" s="23" t="s">
        <v>32</v>
      </c>
      <c r="F30" s="23" t="s">
        <v>161</v>
      </c>
      <c r="G30" s="23" t="s">
        <v>1</v>
      </c>
      <c r="H30" s="25">
        <f>[7]副本!G59</f>
        <v>1098.6790000000001</v>
      </c>
      <c r="I30" s="25">
        <f>H30-1098.679+1098.679</f>
        <v>1098.6790000000001</v>
      </c>
      <c r="J30" s="23"/>
      <c r="K30" s="27"/>
      <c r="L30" s="26">
        <f>H30-I30</f>
        <v>0</v>
      </c>
      <c r="M30" s="27">
        <v>1500</v>
      </c>
      <c r="N30" s="28"/>
      <c r="O30" s="29"/>
      <c r="P30" s="24"/>
    </row>
    <row r="31" spans="1:17" s="12" customFormat="1" ht="33.75" customHeight="1" x14ac:dyDescent="0.15">
      <c r="A31" s="23">
        <v>20170209</v>
      </c>
      <c r="B31" s="22" t="s">
        <v>76</v>
      </c>
      <c r="C31" s="35" t="s">
        <v>74</v>
      </c>
      <c r="D31" s="23"/>
      <c r="E31" s="23" t="s">
        <v>32</v>
      </c>
      <c r="F31" s="23" t="s">
        <v>161</v>
      </c>
      <c r="G31" s="23" t="s">
        <v>1</v>
      </c>
      <c r="H31" s="25">
        <f>[7]副本!G61</f>
        <v>237.40700000000015</v>
      </c>
      <c r="I31" s="25">
        <f>H31</f>
        <v>237.40700000000015</v>
      </c>
      <c r="J31" s="23"/>
      <c r="K31" s="27"/>
      <c r="L31" s="26">
        <f>H31-I31</f>
        <v>0</v>
      </c>
      <c r="M31" s="27">
        <v>1500</v>
      </c>
      <c r="N31" s="28"/>
      <c r="O31" s="29"/>
      <c r="P31" s="24" t="s">
        <v>31</v>
      </c>
      <c r="Q31" s="13"/>
    </row>
    <row r="32" spans="1:17" s="12" customFormat="1" ht="33.75" customHeight="1" x14ac:dyDescent="0.15">
      <c r="A32" s="23">
        <v>20170209</v>
      </c>
      <c r="B32" s="22" t="s">
        <v>75</v>
      </c>
      <c r="C32" s="35" t="s">
        <v>74</v>
      </c>
      <c r="D32" s="23"/>
      <c r="E32" s="23" t="s">
        <v>32</v>
      </c>
      <c r="F32" s="23" t="s">
        <v>161</v>
      </c>
      <c r="G32" s="23" t="s">
        <v>1</v>
      </c>
      <c r="H32" s="25">
        <f>[7]副本!G63</f>
        <v>1096.2820000000002</v>
      </c>
      <c r="I32" s="25">
        <f>H32-1096.282+1096.282</f>
        <v>1096.2820000000002</v>
      </c>
      <c r="J32" s="23"/>
      <c r="K32" s="27"/>
      <c r="L32" s="26">
        <f>H32-I32</f>
        <v>0</v>
      </c>
      <c r="M32" s="27">
        <v>1500</v>
      </c>
      <c r="N32" s="28"/>
      <c r="O32" s="29"/>
      <c r="P32" s="24"/>
    </row>
    <row r="33" spans="1:16" s="12" customFormat="1" ht="33.75" customHeight="1" x14ac:dyDescent="0.15">
      <c r="A33" s="23">
        <v>20170209</v>
      </c>
      <c r="B33" s="22" t="s">
        <v>73</v>
      </c>
      <c r="C33" s="35" t="s">
        <v>44</v>
      </c>
      <c r="D33" s="23"/>
      <c r="E33" s="23"/>
      <c r="F33" s="23"/>
      <c r="G33" s="23"/>
      <c r="H33" s="25"/>
      <c r="I33" s="25"/>
      <c r="J33" s="23"/>
      <c r="K33" s="27"/>
      <c r="L33" s="26"/>
      <c r="M33" s="27">
        <v>1500</v>
      </c>
      <c r="N33" s="28"/>
      <c r="O33" s="29"/>
      <c r="P33" s="24"/>
    </row>
    <row r="34" spans="1:16" s="12" customFormat="1" ht="33.75" customHeight="1" x14ac:dyDescent="0.15">
      <c r="A34" s="23">
        <v>20170209</v>
      </c>
      <c r="B34" s="22" t="s">
        <v>72</v>
      </c>
      <c r="C34" s="35" t="s">
        <v>44</v>
      </c>
      <c r="D34" s="23"/>
      <c r="E34" s="23" t="s">
        <v>71</v>
      </c>
      <c r="F34" s="23" t="s">
        <v>154</v>
      </c>
      <c r="G34" s="23" t="s">
        <v>1</v>
      </c>
      <c r="H34" s="23">
        <f>[7]副本!G67</f>
        <v>931.53000000000031</v>
      </c>
      <c r="I34" s="25">
        <f>H34-1035.099+1035.099-522.714</f>
        <v>408.81600000000026</v>
      </c>
      <c r="J34" s="23"/>
      <c r="K34" s="27">
        <v>30</v>
      </c>
      <c r="L34" s="26">
        <f>H34-I34</f>
        <v>522.71400000000006</v>
      </c>
      <c r="M34" s="27">
        <v>2000</v>
      </c>
      <c r="N34" s="28"/>
      <c r="O34" s="29"/>
      <c r="P34" s="24" t="s">
        <v>188</v>
      </c>
    </row>
    <row r="35" spans="1:16" s="12" customFormat="1" ht="33.75" customHeight="1" x14ac:dyDescent="0.15">
      <c r="A35" s="23">
        <v>20170209</v>
      </c>
      <c r="B35" s="22" t="s">
        <v>69</v>
      </c>
      <c r="C35" s="35" t="s">
        <v>44</v>
      </c>
      <c r="D35" s="23" t="s">
        <v>5</v>
      </c>
      <c r="E35" s="23" t="s">
        <v>68</v>
      </c>
      <c r="F35" s="23" t="s">
        <v>162</v>
      </c>
      <c r="G35" s="23" t="s">
        <v>1</v>
      </c>
      <c r="H35" s="25">
        <f>[7]副本!G69</f>
        <v>640.54299999999989</v>
      </c>
      <c r="I35" s="25">
        <f>H35-1037.023+500+537.023</f>
        <v>640.54300000000001</v>
      </c>
      <c r="J35" s="23"/>
      <c r="K35" s="27">
        <v>100</v>
      </c>
      <c r="L35" s="26">
        <f>H35-I35</f>
        <v>0</v>
      </c>
      <c r="M35" s="27">
        <v>3000</v>
      </c>
      <c r="N35" s="28"/>
      <c r="O35" s="29"/>
      <c r="P35" s="31" t="s">
        <v>67</v>
      </c>
    </row>
    <row r="36" spans="1:16" s="12" customFormat="1" ht="33.75" customHeight="1" x14ac:dyDescent="0.15">
      <c r="A36" s="23">
        <v>20170209</v>
      </c>
      <c r="B36" s="22" t="s">
        <v>66</v>
      </c>
      <c r="C36" s="35" t="s">
        <v>44</v>
      </c>
      <c r="D36" s="23" t="s">
        <v>5</v>
      </c>
      <c r="E36" s="23" t="s">
        <v>61</v>
      </c>
      <c r="F36" s="23" t="s">
        <v>159</v>
      </c>
      <c r="G36" s="23" t="s">
        <v>1</v>
      </c>
      <c r="H36" s="25">
        <f>[7]副本!G71</f>
        <v>2002.9199999999992</v>
      </c>
      <c r="I36" s="25">
        <f>H36-3607.546+2050+1050+507.546-1553.792+1553.792</f>
        <v>2002.9199999999994</v>
      </c>
      <c r="J36" s="23"/>
      <c r="K36" s="27"/>
      <c r="L36" s="26">
        <f>H36-I36</f>
        <v>0</v>
      </c>
      <c r="M36" s="27">
        <v>4000</v>
      </c>
      <c r="N36" s="28"/>
      <c r="O36" s="29"/>
      <c r="P36" s="24" t="s">
        <v>65</v>
      </c>
    </row>
    <row r="37" spans="1:16" s="12" customFormat="1" ht="33.75" customHeight="1" x14ac:dyDescent="0.15">
      <c r="A37" s="23">
        <v>20170209</v>
      </c>
      <c r="B37" s="22" t="s">
        <v>64</v>
      </c>
      <c r="C37" s="35" t="s">
        <v>3</v>
      </c>
      <c r="D37" s="23"/>
      <c r="E37" s="23"/>
      <c r="F37" s="23"/>
      <c r="G37" s="23"/>
      <c r="H37" s="25"/>
      <c r="I37" s="25"/>
      <c r="J37" s="23"/>
      <c r="K37" s="27"/>
      <c r="L37" s="26"/>
      <c r="M37" s="27">
        <v>5000</v>
      </c>
      <c r="N37" s="28"/>
      <c r="O37" s="29"/>
      <c r="P37" s="24"/>
    </row>
    <row r="38" spans="1:16" s="12" customFormat="1" ht="33.75" customHeight="1" x14ac:dyDescent="0.15">
      <c r="A38" s="23">
        <v>20170209</v>
      </c>
      <c r="B38" s="22" t="s">
        <v>63</v>
      </c>
      <c r="C38" s="35" t="s">
        <v>44</v>
      </c>
      <c r="D38" s="23" t="s">
        <v>5</v>
      </c>
      <c r="E38" s="23" t="s">
        <v>61</v>
      </c>
      <c r="F38" s="23" t="s">
        <v>159</v>
      </c>
      <c r="G38" s="23" t="s">
        <v>1</v>
      </c>
      <c r="H38" s="25">
        <f>[7]副本!G75</f>
        <v>3414.8370000000523</v>
      </c>
      <c r="I38" s="25">
        <f>H38-955.747+477.874+477.873-1042.865-2628.137+500+542.865+2102.57+525.567-499.112-3147.566+2100+525+525+496.678-2617.899+1574.891+523.692-522.622+522.622-2589.467+523.692-499.362</f>
        <v>330.38400000005237</v>
      </c>
      <c r="J38" s="23"/>
      <c r="K38" s="27"/>
      <c r="L38" s="26">
        <f>H38-I38</f>
        <v>3084.453</v>
      </c>
      <c r="M38" s="27">
        <v>5000</v>
      </c>
      <c r="N38" s="28"/>
      <c r="O38" s="29"/>
      <c r="P38" s="24" t="s">
        <v>182</v>
      </c>
    </row>
    <row r="39" spans="1:16" s="12" customFormat="1" ht="33.75" customHeight="1" x14ac:dyDescent="0.15">
      <c r="A39" s="23">
        <v>20170209</v>
      </c>
      <c r="B39" s="22" t="s">
        <v>63</v>
      </c>
      <c r="C39" s="35" t="s">
        <v>44</v>
      </c>
      <c r="D39" s="23" t="s">
        <v>5</v>
      </c>
      <c r="E39" s="23" t="s">
        <v>61</v>
      </c>
      <c r="F39" s="23" t="s">
        <v>163</v>
      </c>
      <c r="G39" s="23" t="s">
        <v>1</v>
      </c>
      <c r="H39" s="25">
        <f>[7]副本!G76</f>
        <v>790.72800000000029</v>
      </c>
      <c r="I39" s="25">
        <f>H39</f>
        <v>790.72800000000029</v>
      </c>
      <c r="J39" s="23"/>
      <c r="K39" s="27"/>
      <c r="L39" s="26">
        <f>H39-I39</f>
        <v>0</v>
      </c>
      <c r="M39" s="27">
        <v>5000</v>
      </c>
      <c r="N39" s="28"/>
      <c r="O39" s="29"/>
      <c r="P39" s="24" t="s">
        <v>60</v>
      </c>
    </row>
    <row r="40" spans="1:16" s="12" customFormat="1" ht="33.75" customHeight="1" x14ac:dyDescent="0.15">
      <c r="A40" s="23">
        <v>20170209</v>
      </c>
      <c r="B40" s="22" t="s">
        <v>59</v>
      </c>
      <c r="C40" s="35" t="s">
        <v>19</v>
      </c>
      <c r="D40" s="23"/>
      <c r="E40" s="23" t="s">
        <v>32</v>
      </c>
      <c r="F40" s="23" t="s">
        <v>161</v>
      </c>
      <c r="G40" s="23" t="s">
        <v>1</v>
      </c>
      <c r="H40" s="25">
        <f>[7]副本!G78</f>
        <v>2596.4419999999977</v>
      </c>
      <c r="I40" s="25">
        <f>H40-2564.978+2564.978</f>
        <v>2596.4419999999977</v>
      </c>
      <c r="J40" s="23"/>
      <c r="K40" s="27"/>
      <c r="L40" s="26">
        <f>H40-I40</f>
        <v>0</v>
      </c>
      <c r="M40" s="27">
        <v>4000</v>
      </c>
      <c r="N40" s="28"/>
      <c r="O40" s="29"/>
      <c r="P40" s="16" t="s">
        <v>58</v>
      </c>
    </row>
    <row r="41" spans="1:16" s="12" customFormat="1" ht="33.75" customHeight="1" x14ac:dyDescent="0.15">
      <c r="A41" s="23">
        <v>20170209</v>
      </c>
      <c r="B41" s="22" t="s">
        <v>59</v>
      </c>
      <c r="C41" s="35" t="s">
        <v>19</v>
      </c>
      <c r="D41" s="23"/>
      <c r="E41" s="23" t="s">
        <v>32</v>
      </c>
      <c r="F41" s="23" t="s">
        <v>164</v>
      </c>
      <c r="G41" s="23" t="s">
        <v>1</v>
      </c>
      <c r="H41" s="25">
        <f>[7]副本!G79</f>
        <v>-0.23699999999985266</v>
      </c>
      <c r="I41" s="25">
        <f>H41</f>
        <v>-0.23699999999985266</v>
      </c>
      <c r="J41" s="23"/>
      <c r="K41" s="27"/>
      <c r="L41" s="26"/>
      <c r="M41" s="27">
        <v>4000</v>
      </c>
      <c r="N41" s="28"/>
      <c r="O41" s="29"/>
      <c r="P41" s="16" t="s">
        <v>57</v>
      </c>
    </row>
    <row r="42" spans="1:16" s="12" customFormat="1" ht="33.75" customHeight="1" x14ac:dyDescent="0.15">
      <c r="A42" s="23">
        <v>20170209</v>
      </c>
      <c r="B42" s="22" t="s">
        <v>56</v>
      </c>
      <c r="C42" s="35" t="s">
        <v>19</v>
      </c>
      <c r="D42" s="23"/>
      <c r="E42" s="23"/>
      <c r="F42" s="23"/>
      <c r="G42" s="23"/>
      <c r="H42" s="25"/>
      <c r="I42" s="25"/>
      <c r="J42" s="23"/>
      <c r="K42" s="27"/>
      <c r="L42" s="26"/>
      <c r="M42" s="27">
        <v>2000</v>
      </c>
      <c r="N42" s="28"/>
      <c r="O42" s="29"/>
      <c r="P42" s="24"/>
    </row>
    <row r="43" spans="1:16" s="12" customFormat="1" ht="33.75" customHeight="1" x14ac:dyDescent="0.15">
      <c r="A43" s="23">
        <v>20170209</v>
      </c>
      <c r="B43" s="22" t="s">
        <v>55</v>
      </c>
      <c r="C43" s="35" t="s">
        <v>19</v>
      </c>
      <c r="D43" s="23"/>
      <c r="E43" s="23" t="s">
        <v>32</v>
      </c>
      <c r="F43" s="23" t="s">
        <v>161</v>
      </c>
      <c r="G43" s="23" t="s">
        <v>1</v>
      </c>
      <c r="H43" s="25">
        <f>[7]副本!G84</f>
        <v>2522.3710000000001</v>
      </c>
      <c r="I43" s="25">
        <f>H43-2522.371</f>
        <v>0</v>
      </c>
      <c r="J43" s="23"/>
      <c r="K43" s="27"/>
      <c r="L43" s="26">
        <f>H43-I43</f>
        <v>2522.3710000000001</v>
      </c>
      <c r="M43" s="27">
        <v>3000</v>
      </c>
      <c r="N43" s="28"/>
      <c r="O43" s="29"/>
      <c r="P43" s="24"/>
    </row>
    <row r="44" spans="1:16" s="12" customFormat="1" ht="33.75" customHeight="1" x14ac:dyDescent="0.15">
      <c r="A44" s="23">
        <v>20170209</v>
      </c>
      <c r="B44" s="22" t="s">
        <v>54</v>
      </c>
      <c r="C44" s="35" t="s">
        <v>19</v>
      </c>
      <c r="D44" s="23"/>
      <c r="E44" s="23" t="s">
        <v>32</v>
      </c>
      <c r="F44" s="23" t="s">
        <v>161</v>
      </c>
      <c r="G44" s="23" t="s">
        <v>1</v>
      </c>
      <c r="H44" s="25">
        <f>[7]副本!G86</f>
        <v>3759.3360000000002</v>
      </c>
      <c r="I44" s="25">
        <f>H44-2794.245</f>
        <v>965.09100000000035</v>
      </c>
      <c r="J44" s="23"/>
      <c r="K44" s="27"/>
      <c r="L44" s="26">
        <f>H44-I44</f>
        <v>2794.2449999999999</v>
      </c>
      <c r="M44" s="27">
        <v>5000</v>
      </c>
      <c r="N44" s="32"/>
      <c r="O44" s="29"/>
      <c r="P44" s="16" t="s">
        <v>53</v>
      </c>
    </row>
    <row r="45" spans="1:16" s="12" customFormat="1" ht="33.75" customHeight="1" x14ac:dyDescent="0.15">
      <c r="A45" s="23">
        <v>20170209</v>
      </c>
      <c r="B45" s="22" t="s">
        <v>52</v>
      </c>
      <c r="C45" s="35" t="s">
        <v>44</v>
      </c>
      <c r="D45" s="23"/>
      <c r="E45" s="23"/>
      <c r="F45" s="23"/>
      <c r="G45" s="23"/>
      <c r="H45" s="25"/>
      <c r="I45" s="25"/>
      <c r="J45" s="23"/>
      <c r="K45" s="27"/>
      <c r="L45" s="26"/>
      <c r="M45" s="27">
        <v>5000</v>
      </c>
      <c r="N45" s="28"/>
      <c r="O45" s="29"/>
      <c r="P45" s="24"/>
    </row>
    <row r="46" spans="1:16" s="12" customFormat="1" ht="33.75" customHeight="1" x14ac:dyDescent="0.15">
      <c r="A46" s="23">
        <v>20170209</v>
      </c>
      <c r="B46" s="22" t="s">
        <v>51</v>
      </c>
      <c r="C46" s="35" t="s">
        <v>44</v>
      </c>
      <c r="D46" s="23"/>
      <c r="E46" s="23" t="s">
        <v>50</v>
      </c>
      <c r="F46" s="23" t="s">
        <v>152</v>
      </c>
      <c r="G46" s="23" t="s">
        <v>1</v>
      </c>
      <c r="H46" s="25">
        <f>[7]副本!G92</f>
        <v>2006.1080000000002</v>
      </c>
      <c r="I46" s="25">
        <f>H46-1021.25+1021.25</f>
        <v>2006.1080000000002</v>
      </c>
      <c r="J46" s="23"/>
      <c r="K46" s="27">
        <v>70</v>
      </c>
      <c r="L46" s="26">
        <f>H46-I46</f>
        <v>0</v>
      </c>
      <c r="M46" s="27">
        <v>5000</v>
      </c>
      <c r="N46" s="28"/>
      <c r="O46" s="29"/>
      <c r="P46" s="16" t="s">
        <v>180</v>
      </c>
    </row>
    <row r="47" spans="1:16" s="12" customFormat="1" ht="33.75" customHeight="1" x14ac:dyDescent="0.15">
      <c r="A47" s="23">
        <v>20170209</v>
      </c>
      <c r="B47" s="22" t="s">
        <v>51</v>
      </c>
      <c r="C47" s="35" t="s">
        <v>44</v>
      </c>
      <c r="D47" s="23"/>
      <c r="E47" s="23" t="s">
        <v>50</v>
      </c>
      <c r="F47" s="23" t="s">
        <v>148</v>
      </c>
      <c r="G47" s="23" t="s">
        <v>1</v>
      </c>
      <c r="H47" s="25">
        <f>[7]副本!G93</f>
        <v>1000</v>
      </c>
      <c r="I47" s="25">
        <f>H47</f>
        <v>1000</v>
      </c>
      <c r="J47" s="23"/>
      <c r="K47" s="27"/>
      <c r="L47" s="26"/>
      <c r="M47" s="27">
        <v>5000</v>
      </c>
      <c r="N47" s="28"/>
      <c r="O47" s="29"/>
      <c r="P47" s="16" t="s">
        <v>49</v>
      </c>
    </row>
    <row r="48" spans="1:16" s="12" customFormat="1" ht="33.75" customHeight="1" x14ac:dyDescent="0.15">
      <c r="A48" s="23">
        <v>20170209</v>
      </c>
      <c r="B48" s="22" t="s">
        <v>48</v>
      </c>
      <c r="C48" s="35" t="s">
        <v>44</v>
      </c>
      <c r="D48" s="23"/>
      <c r="E48" s="23" t="s">
        <v>43</v>
      </c>
      <c r="F48" s="23" t="s">
        <v>157</v>
      </c>
      <c r="G48" s="23" t="s">
        <v>1</v>
      </c>
      <c r="H48" s="25">
        <f>[7]副本!G95</f>
        <v>173.70399999999404</v>
      </c>
      <c r="I48" s="25">
        <f>H48</f>
        <v>173.70399999999404</v>
      </c>
      <c r="J48" s="23"/>
      <c r="K48" s="26"/>
      <c r="L48" s="26">
        <f>H48-I48</f>
        <v>0</v>
      </c>
      <c r="M48" s="27">
        <v>2000</v>
      </c>
      <c r="N48" s="28"/>
      <c r="O48" s="29"/>
      <c r="P48" s="24"/>
    </row>
    <row r="49" spans="1:17" s="12" customFormat="1" ht="33.75" customHeight="1" x14ac:dyDescent="0.15">
      <c r="A49" s="23">
        <v>20170209</v>
      </c>
      <c r="B49" s="22" t="s">
        <v>47</v>
      </c>
      <c r="C49" s="35" t="s">
        <v>19</v>
      </c>
      <c r="D49" s="23" t="s">
        <v>5</v>
      </c>
      <c r="E49" s="23" t="s">
        <v>27</v>
      </c>
      <c r="F49" s="23" t="s">
        <v>165</v>
      </c>
      <c r="G49" s="23" t="s">
        <v>1</v>
      </c>
      <c r="H49" s="25">
        <f>[7]副本!G97</f>
        <v>2409.6100000000006</v>
      </c>
      <c r="I49" s="25">
        <v>0</v>
      </c>
      <c r="J49" s="23"/>
      <c r="K49" s="27"/>
      <c r="L49" s="26">
        <f>H49-I49</f>
        <v>2409.6100000000006</v>
      </c>
      <c r="M49" s="27">
        <v>10000</v>
      </c>
      <c r="N49" s="28"/>
      <c r="O49" s="29"/>
      <c r="P49" s="24"/>
    </row>
    <row r="50" spans="1:17" s="12" customFormat="1" ht="33.75" customHeight="1" x14ac:dyDescent="0.15">
      <c r="A50" s="23">
        <v>20170209</v>
      </c>
      <c r="B50" s="22" t="s">
        <v>46</v>
      </c>
      <c r="C50" s="35" t="s">
        <v>19</v>
      </c>
      <c r="D50" s="23" t="s">
        <v>5</v>
      </c>
      <c r="E50" s="23" t="s">
        <v>27</v>
      </c>
      <c r="F50" s="23" t="s">
        <v>165</v>
      </c>
      <c r="G50" s="23" t="s">
        <v>1</v>
      </c>
      <c r="H50" s="25">
        <f>[7]副本!G99</f>
        <v>4217.264000000001</v>
      </c>
      <c r="I50" s="25">
        <v>0</v>
      </c>
      <c r="J50" s="23"/>
      <c r="K50" s="27"/>
      <c r="L50" s="26">
        <v>0</v>
      </c>
      <c r="M50" s="27">
        <v>10000</v>
      </c>
      <c r="N50" s="28"/>
      <c r="O50" s="29"/>
      <c r="P50" s="24"/>
    </row>
    <row r="51" spans="1:17" s="12" customFormat="1" ht="33.75" customHeight="1" x14ac:dyDescent="0.15">
      <c r="A51" s="23">
        <v>20170209</v>
      </c>
      <c r="B51" s="22" t="s">
        <v>45</v>
      </c>
      <c r="C51" s="35" t="s">
        <v>44</v>
      </c>
      <c r="D51" s="23"/>
      <c r="E51" s="23" t="s">
        <v>43</v>
      </c>
      <c r="F51" s="23" t="s">
        <v>166</v>
      </c>
      <c r="G51" s="23" t="s">
        <v>1</v>
      </c>
      <c r="H51" s="25">
        <f>[7]副本!G101</f>
        <v>982.15500000000793</v>
      </c>
      <c r="I51" s="25">
        <f>H51</f>
        <v>982.15500000000793</v>
      </c>
      <c r="J51" s="23"/>
      <c r="K51" s="26"/>
      <c r="L51" s="26">
        <v>0</v>
      </c>
      <c r="M51" s="27">
        <v>5000</v>
      </c>
      <c r="N51" s="33" t="s">
        <v>42</v>
      </c>
      <c r="O51" s="34" t="s">
        <v>41</v>
      </c>
      <c r="P51" s="24" t="s">
        <v>40</v>
      </c>
    </row>
    <row r="52" spans="1:17" s="12" customFormat="1" ht="33.75" customHeight="1" x14ac:dyDescent="0.15">
      <c r="A52" s="23">
        <v>20170209</v>
      </c>
      <c r="B52" s="22" t="s">
        <v>39</v>
      </c>
      <c r="C52" s="35" t="s">
        <v>19</v>
      </c>
      <c r="D52" s="23"/>
      <c r="E52" s="23"/>
      <c r="F52" s="23"/>
      <c r="G52" s="23"/>
      <c r="H52" s="25"/>
      <c r="I52" s="25"/>
      <c r="J52" s="23"/>
      <c r="K52" s="27"/>
      <c r="L52" s="26"/>
      <c r="M52" s="27">
        <v>3000</v>
      </c>
      <c r="N52" s="28"/>
      <c r="O52" s="29"/>
      <c r="P52" s="24"/>
    </row>
    <row r="53" spans="1:17" s="12" customFormat="1" ht="33.75" customHeight="1" x14ac:dyDescent="0.15">
      <c r="A53" s="23">
        <v>20170209</v>
      </c>
      <c r="B53" s="22" t="s">
        <v>38</v>
      </c>
      <c r="C53" s="35" t="s">
        <v>19</v>
      </c>
      <c r="D53" s="23" t="s">
        <v>5</v>
      </c>
      <c r="E53" s="23" t="s">
        <v>27</v>
      </c>
      <c r="F53" s="23" t="s">
        <v>165</v>
      </c>
      <c r="G53" s="23" t="s">
        <v>22</v>
      </c>
      <c r="H53" s="25">
        <f>[7]副本!G105</f>
        <v>15130.712</v>
      </c>
      <c r="I53" s="25">
        <v>0</v>
      </c>
      <c r="J53" s="23"/>
      <c r="K53" s="27"/>
      <c r="L53" s="26">
        <f>H53-I53</f>
        <v>15130.712</v>
      </c>
      <c r="M53" s="27">
        <v>25000</v>
      </c>
      <c r="N53" s="28" t="s">
        <v>37</v>
      </c>
      <c r="O53" s="29" t="s">
        <v>36</v>
      </c>
      <c r="P53" s="24" t="s">
        <v>35</v>
      </c>
    </row>
    <row r="54" spans="1:17" s="12" customFormat="1" ht="33.75" customHeight="1" x14ac:dyDescent="0.15">
      <c r="A54" s="23">
        <v>20170209</v>
      </c>
      <c r="B54" s="22" t="s">
        <v>34</v>
      </c>
      <c r="C54" s="35" t="s">
        <v>19</v>
      </c>
      <c r="D54" s="23" t="s">
        <v>5</v>
      </c>
      <c r="E54" s="23" t="s">
        <v>27</v>
      </c>
      <c r="F54" s="23" t="s">
        <v>167</v>
      </c>
      <c r="G54" s="23" t="s">
        <v>22</v>
      </c>
      <c r="H54" s="25">
        <f>[7]副本!G107</f>
        <v>32753.382000000081</v>
      </c>
      <c r="I54" s="25">
        <v>0</v>
      </c>
      <c r="J54" s="23"/>
      <c r="K54" s="27"/>
      <c r="L54" s="26">
        <f>H54-I54</f>
        <v>32753.382000000081</v>
      </c>
      <c r="M54" s="27">
        <v>50000</v>
      </c>
      <c r="N54" s="28"/>
      <c r="O54" s="29"/>
      <c r="P54" s="24"/>
    </row>
    <row r="55" spans="1:17" s="12" customFormat="1" ht="33.75" customHeight="1" x14ac:dyDescent="0.15">
      <c r="A55" s="23">
        <v>20170209</v>
      </c>
      <c r="B55" s="22" t="s">
        <v>33</v>
      </c>
      <c r="C55" s="35" t="s">
        <v>19</v>
      </c>
      <c r="D55" s="23"/>
      <c r="E55" s="23" t="s">
        <v>32</v>
      </c>
      <c r="F55" s="23" t="s">
        <v>161</v>
      </c>
      <c r="G55" s="23" t="s">
        <v>22</v>
      </c>
      <c r="H55" s="25">
        <f>[7]副本!G109</f>
        <v>2945.4590000000171</v>
      </c>
      <c r="I55" s="25">
        <f>H55-1184.528</f>
        <v>1760.9310000000171</v>
      </c>
      <c r="J55" s="23"/>
      <c r="K55" s="27"/>
      <c r="L55" s="26">
        <f>H55-I55</f>
        <v>1184.528</v>
      </c>
      <c r="M55" s="27">
        <v>4000</v>
      </c>
      <c r="N55" s="28"/>
      <c r="O55" s="29"/>
      <c r="P55" s="24" t="s">
        <v>31</v>
      </c>
    </row>
    <row r="56" spans="1:17" s="12" customFormat="1" ht="33.75" customHeight="1" x14ac:dyDescent="0.15">
      <c r="A56" s="23">
        <v>20170209</v>
      </c>
      <c r="B56" s="22" t="s">
        <v>30</v>
      </c>
      <c r="C56" s="35" t="s">
        <v>3</v>
      </c>
      <c r="D56" s="23"/>
      <c r="E56" s="23"/>
      <c r="F56" s="23"/>
      <c r="G56" s="23"/>
      <c r="H56" s="25"/>
      <c r="I56" s="25"/>
      <c r="J56" s="23"/>
      <c r="K56" s="27"/>
      <c r="L56" s="26"/>
      <c r="M56" s="27">
        <v>37000</v>
      </c>
      <c r="N56" s="28"/>
      <c r="O56" s="29"/>
      <c r="P56" s="24"/>
    </row>
    <row r="57" spans="1:17" s="12" customFormat="1" ht="33.75" customHeight="1" x14ac:dyDescent="0.15">
      <c r="A57" s="23">
        <v>20170209</v>
      </c>
      <c r="B57" s="22" t="s">
        <v>29</v>
      </c>
      <c r="C57" s="35" t="s">
        <v>3</v>
      </c>
      <c r="D57" s="23"/>
      <c r="E57" s="23"/>
      <c r="F57" s="23"/>
      <c r="G57" s="23"/>
      <c r="H57" s="25"/>
      <c r="I57" s="23"/>
      <c r="J57" s="23"/>
      <c r="K57" s="27"/>
      <c r="L57" s="26"/>
      <c r="M57" s="27">
        <v>37000</v>
      </c>
      <c r="N57" s="28"/>
      <c r="O57" s="29"/>
      <c r="P57" s="24"/>
    </row>
    <row r="58" spans="1:17" s="12" customFormat="1" ht="33.75" customHeight="1" x14ac:dyDescent="0.15">
      <c r="A58" s="23">
        <v>20170209</v>
      </c>
      <c r="B58" s="22" t="s">
        <v>28</v>
      </c>
      <c r="C58" s="35" t="s">
        <v>19</v>
      </c>
      <c r="D58" s="23" t="s">
        <v>5</v>
      </c>
      <c r="E58" s="23" t="s">
        <v>27</v>
      </c>
      <c r="F58" s="23" t="s">
        <v>168</v>
      </c>
      <c r="G58" s="23" t="s">
        <v>22</v>
      </c>
      <c r="H58" s="25">
        <f>[7]副本!G117</f>
        <v>1767.3689999999997</v>
      </c>
      <c r="I58" s="25">
        <v>0</v>
      </c>
      <c r="J58" s="23"/>
      <c r="K58" s="26"/>
      <c r="L58" s="26">
        <f>H58-I58</f>
        <v>1767.3689999999997</v>
      </c>
      <c r="M58" s="27">
        <v>10000</v>
      </c>
      <c r="N58" s="28"/>
      <c r="O58" s="29"/>
      <c r="P58" s="24"/>
      <c r="Q58" s="13"/>
    </row>
    <row r="59" spans="1:17" s="12" customFormat="1" ht="33.75" customHeight="1" x14ac:dyDescent="0.15">
      <c r="A59" s="23">
        <v>20170209</v>
      </c>
      <c r="B59" s="22" t="s">
        <v>26</v>
      </c>
      <c r="C59" s="35" t="s">
        <v>3</v>
      </c>
      <c r="D59" s="23" t="s">
        <v>5</v>
      </c>
      <c r="E59" s="23" t="s">
        <v>2</v>
      </c>
      <c r="F59" s="23" t="s">
        <v>169</v>
      </c>
      <c r="G59" s="23" t="s">
        <v>22</v>
      </c>
      <c r="H59" s="25">
        <f>[7]副本!G119</f>
        <v>0</v>
      </c>
      <c r="I59" s="25">
        <f>H59</f>
        <v>0</v>
      </c>
      <c r="J59" s="23"/>
      <c r="K59" s="26"/>
      <c r="L59" s="26">
        <f>H59-I59</f>
        <v>0</v>
      </c>
      <c r="M59" s="27">
        <v>15000</v>
      </c>
      <c r="N59" s="28"/>
      <c r="O59" s="29"/>
      <c r="P59" s="24"/>
      <c r="Q59" s="13"/>
    </row>
    <row r="60" spans="1:17" s="12" customFormat="1" ht="33.75" customHeight="1" x14ac:dyDescent="0.15">
      <c r="A60" s="23">
        <v>20170209</v>
      </c>
      <c r="B60" s="22" t="s">
        <v>26</v>
      </c>
      <c r="C60" s="35" t="s">
        <v>3</v>
      </c>
      <c r="D60" s="23" t="s">
        <v>5</v>
      </c>
      <c r="E60" s="23" t="s">
        <v>2</v>
      </c>
      <c r="F60" s="23" t="s">
        <v>170</v>
      </c>
      <c r="G60" s="23" t="s">
        <v>22</v>
      </c>
      <c r="H60" s="25">
        <f>[7]副本!G120</f>
        <v>163.71999999999935</v>
      </c>
      <c r="I60" s="25">
        <f>H60</f>
        <v>163.71999999999935</v>
      </c>
      <c r="J60" s="23"/>
      <c r="K60" s="27">
        <v>150</v>
      </c>
      <c r="L60" s="26">
        <f>H60-I60</f>
        <v>0</v>
      </c>
      <c r="M60" s="27">
        <v>15000</v>
      </c>
      <c r="N60" s="28"/>
      <c r="O60" s="29"/>
      <c r="P60" s="24" t="s">
        <v>185</v>
      </c>
      <c r="Q60" s="13"/>
    </row>
    <row r="61" spans="1:17" s="12" customFormat="1" ht="33.75" customHeight="1" x14ac:dyDescent="0.15">
      <c r="A61" s="23">
        <v>20170209</v>
      </c>
      <c r="B61" s="22" t="s">
        <v>23</v>
      </c>
      <c r="C61" s="22" t="s">
        <v>19</v>
      </c>
      <c r="D61" s="23" t="s">
        <v>5</v>
      </c>
      <c r="E61" s="23" t="s">
        <v>2</v>
      </c>
      <c r="F61" s="23" t="s">
        <v>171</v>
      </c>
      <c r="G61" s="23" t="s">
        <v>22</v>
      </c>
      <c r="H61" s="25">
        <f>[7]副本!G122</f>
        <v>6403.4309999999969</v>
      </c>
      <c r="I61" s="25">
        <f>H61</f>
        <v>6403.4309999999969</v>
      </c>
      <c r="J61" s="23"/>
      <c r="K61" s="27">
        <v>650</v>
      </c>
      <c r="L61" s="26"/>
      <c r="M61" s="27">
        <v>43000</v>
      </c>
      <c r="N61" s="28"/>
      <c r="O61" s="29"/>
      <c r="P61" s="24" t="s">
        <v>193</v>
      </c>
      <c r="Q61" s="13"/>
    </row>
    <row r="62" spans="1:17" s="12" customFormat="1" ht="33.75" customHeight="1" x14ac:dyDescent="0.15">
      <c r="A62" s="23">
        <v>20170209</v>
      </c>
      <c r="B62" s="22" t="s">
        <v>23</v>
      </c>
      <c r="C62" s="22" t="s">
        <v>19</v>
      </c>
      <c r="D62" s="23" t="s">
        <v>5</v>
      </c>
      <c r="E62" s="23" t="s">
        <v>2</v>
      </c>
      <c r="F62" s="23" t="s">
        <v>172</v>
      </c>
      <c r="G62" s="23" t="s">
        <v>22</v>
      </c>
      <c r="H62" s="25">
        <f>[7]副本!G123</f>
        <v>1032.3400000000001</v>
      </c>
      <c r="I62" s="25">
        <f>H62</f>
        <v>1032.3400000000001</v>
      </c>
      <c r="J62" s="23"/>
      <c r="K62" s="23"/>
      <c r="L62" s="26"/>
      <c r="M62" s="27">
        <v>43000</v>
      </c>
      <c r="N62" s="28"/>
      <c r="O62" s="29"/>
      <c r="P62" s="24" t="s">
        <v>21</v>
      </c>
      <c r="Q62" s="13"/>
    </row>
    <row r="63" spans="1:17" s="12" customFormat="1" ht="33.75" customHeight="1" x14ac:dyDescent="0.15">
      <c r="A63" s="23">
        <v>20170209</v>
      </c>
      <c r="B63" s="22" t="s">
        <v>20</v>
      </c>
      <c r="C63" s="22" t="s">
        <v>19</v>
      </c>
      <c r="D63" s="23" t="s">
        <v>5</v>
      </c>
      <c r="E63" s="23"/>
      <c r="F63" s="23"/>
      <c r="G63" s="23"/>
      <c r="H63" s="25"/>
      <c r="I63" s="25"/>
      <c r="J63" s="23"/>
      <c r="K63" s="27"/>
      <c r="L63" s="26"/>
      <c r="M63" s="27"/>
      <c r="N63" s="28"/>
      <c r="O63" s="29"/>
      <c r="P63" s="24"/>
      <c r="Q63" s="13"/>
    </row>
    <row r="64" spans="1:17" s="12" customFormat="1" ht="33.75" customHeight="1" x14ac:dyDescent="0.15">
      <c r="A64" s="23">
        <v>20170209</v>
      </c>
      <c r="B64" s="22" t="s">
        <v>18</v>
      </c>
      <c r="C64" s="35" t="s">
        <v>3</v>
      </c>
      <c r="D64" s="23"/>
      <c r="E64" s="23" t="s">
        <v>207</v>
      </c>
      <c r="F64" s="23" t="s">
        <v>197</v>
      </c>
      <c r="G64" s="23" t="s">
        <v>1</v>
      </c>
      <c r="H64" s="25">
        <f>[7]副本!G127</f>
        <v>8339.3289999999961</v>
      </c>
      <c r="I64" s="25">
        <f>H64-8339.329</f>
        <v>0</v>
      </c>
      <c r="J64" s="23"/>
      <c r="K64" s="27"/>
      <c r="L64" s="26">
        <f>H64-I64</f>
        <v>8339.3289999999961</v>
      </c>
      <c r="M64" s="27">
        <v>20000</v>
      </c>
      <c r="N64" s="28"/>
      <c r="O64" s="29"/>
      <c r="P64" s="24"/>
    </row>
    <row r="65" spans="1:16" s="12" customFormat="1" ht="33.75" customHeight="1" x14ac:dyDescent="0.15">
      <c r="A65" s="23">
        <v>20170209</v>
      </c>
      <c r="B65" s="22" t="s">
        <v>17</v>
      </c>
      <c r="C65" s="35" t="s">
        <v>3</v>
      </c>
      <c r="D65" s="23"/>
      <c r="E65" s="23" t="s">
        <v>9</v>
      </c>
      <c r="F65" s="23" t="s">
        <v>175</v>
      </c>
      <c r="G65" s="23" t="s">
        <v>1</v>
      </c>
      <c r="H65" s="25">
        <f>[7]副本!G129</f>
        <v>13987.876000000004</v>
      </c>
      <c r="I65" s="25">
        <f>H65-4751.949+4751.949</f>
        <v>13987.876000000004</v>
      </c>
      <c r="J65" s="23"/>
      <c r="K65" s="27"/>
      <c r="L65" s="26">
        <f>H65-I65</f>
        <v>0</v>
      </c>
      <c r="M65" s="27">
        <v>30000</v>
      </c>
      <c r="N65" s="28"/>
      <c r="O65" s="29"/>
      <c r="P65" s="24" t="s">
        <v>184</v>
      </c>
    </row>
    <row r="66" spans="1:16" s="12" customFormat="1" ht="33.75" customHeight="1" x14ac:dyDescent="0.15">
      <c r="A66" s="23">
        <v>20170209</v>
      </c>
      <c r="B66" s="22" t="s">
        <v>17</v>
      </c>
      <c r="C66" s="35" t="s">
        <v>3</v>
      </c>
      <c r="D66" s="23"/>
      <c r="E66" s="23" t="s">
        <v>9</v>
      </c>
      <c r="F66" s="23" t="s">
        <v>158</v>
      </c>
      <c r="G66" s="23" t="s">
        <v>1</v>
      </c>
      <c r="H66" s="25">
        <f>[7]副本!G130</f>
        <v>9946.3690000000006</v>
      </c>
      <c r="I66" s="25">
        <f>H66</f>
        <v>9946.3690000000006</v>
      </c>
      <c r="J66" s="23"/>
      <c r="K66" s="27"/>
      <c r="L66" s="26">
        <f>H66-I66</f>
        <v>0</v>
      </c>
      <c r="M66" s="27">
        <v>30000</v>
      </c>
      <c r="N66" s="28"/>
      <c r="O66" s="29"/>
      <c r="P66" s="30" t="s">
        <v>15</v>
      </c>
    </row>
    <row r="67" spans="1:16" s="12" customFormat="1" ht="33.75" customHeight="1" x14ac:dyDescent="0.15">
      <c r="A67" s="23">
        <v>20170209</v>
      </c>
      <c r="B67" s="22" t="s">
        <v>14</v>
      </c>
      <c r="C67" s="35" t="s">
        <v>3</v>
      </c>
      <c r="D67" s="23" t="s">
        <v>5</v>
      </c>
      <c r="E67" s="23" t="s">
        <v>2</v>
      </c>
      <c r="F67" s="23" t="s">
        <v>174</v>
      </c>
      <c r="G67" s="23" t="s">
        <v>1</v>
      </c>
      <c r="H67" s="25">
        <f>[7]副本!G132</f>
        <v>14976.093999999999</v>
      </c>
      <c r="I67" s="25">
        <f>H67-14976.094</f>
        <v>0</v>
      </c>
      <c r="J67" s="23"/>
      <c r="K67" s="27">
        <v>350</v>
      </c>
      <c r="L67" s="26">
        <f>H67-I67</f>
        <v>14976.093999999999</v>
      </c>
      <c r="M67" s="27">
        <v>20000</v>
      </c>
      <c r="N67" s="28" t="s">
        <v>13</v>
      </c>
      <c r="O67" s="29" t="s">
        <v>12</v>
      </c>
      <c r="P67" s="24" t="s">
        <v>11</v>
      </c>
    </row>
    <row r="68" spans="1:16" s="12" customFormat="1" ht="33.75" customHeight="1" x14ac:dyDescent="0.15">
      <c r="A68" s="23">
        <v>20170209</v>
      </c>
      <c r="B68" s="22" t="s">
        <v>10</v>
      </c>
      <c r="C68" s="35" t="s">
        <v>3</v>
      </c>
      <c r="D68" s="23"/>
      <c r="E68" s="23" t="s">
        <v>9</v>
      </c>
      <c r="F68" s="23" t="s">
        <v>158</v>
      </c>
      <c r="G68" s="23" t="s">
        <v>1</v>
      </c>
      <c r="H68" s="25">
        <f>[7]副本!G134</f>
        <v>20204.884999999973</v>
      </c>
      <c r="I68" s="25">
        <f>H68</f>
        <v>20204.884999999973</v>
      </c>
      <c r="J68" s="23"/>
      <c r="K68" s="27"/>
      <c r="L68" s="26">
        <v>0</v>
      </c>
      <c r="M68" s="27">
        <v>30000</v>
      </c>
      <c r="N68" s="28"/>
      <c r="O68" s="29"/>
      <c r="P68" s="24"/>
    </row>
    <row r="69" spans="1:16" s="12" customFormat="1" ht="33.75" customHeight="1" x14ac:dyDescent="0.15">
      <c r="A69" s="23">
        <v>20170209</v>
      </c>
      <c r="B69" s="22" t="s">
        <v>8</v>
      </c>
      <c r="C69" s="35" t="s">
        <v>3</v>
      </c>
      <c r="D69" s="23"/>
      <c r="E69" s="23"/>
      <c r="F69" s="24"/>
      <c r="G69" s="23"/>
      <c r="H69" s="25"/>
      <c r="I69" s="25"/>
      <c r="J69" s="23"/>
      <c r="K69" s="27"/>
      <c r="L69" s="26"/>
      <c r="M69" s="27">
        <v>20000</v>
      </c>
      <c r="N69" s="28"/>
      <c r="O69" s="29"/>
      <c r="P69" s="23"/>
    </row>
    <row r="70" spans="1:16" s="12" customFormat="1" ht="33.75" customHeight="1" x14ac:dyDescent="0.15">
      <c r="A70" s="23">
        <v>20170209</v>
      </c>
      <c r="B70" s="22" t="s">
        <v>7</v>
      </c>
      <c r="C70" s="35" t="s">
        <v>3</v>
      </c>
      <c r="D70" s="23"/>
      <c r="E70" s="23"/>
      <c r="F70" s="23"/>
      <c r="G70" s="23"/>
      <c r="H70" s="25"/>
      <c r="I70" s="25"/>
      <c r="J70" s="23"/>
      <c r="K70" s="27"/>
      <c r="L70" s="26"/>
      <c r="M70" s="27">
        <v>15000</v>
      </c>
      <c r="N70" s="28"/>
      <c r="O70" s="29"/>
      <c r="P70" s="24"/>
    </row>
    <row r="71" spans="1:16" s="12" customFormat="1" ht="33.75" customHeight="1" x14ac:dyDescent="0.15">
      <c r="A71" s="23">
        <v>20170209</v>
      </c>
      <c r="B71" s="22" t="s">
        <v>6</v>
      </c>
      <c r="C71" s="35" t="s">
        <v>3</v>
      </c>
      <c r="D71" s="23" t="s">
        <v>5</v>
      </c>
      <c r="E71" s="23" t="s">
        <v>2</v>
      </c>
      <c r="F71" s="23" t="s">
        <v>171</v>
      </c>
      <c r="G71" s="23" t="s">
        <v>1</v>
      </c>
      <c r="H71" s="25">
        <f>[7]副本!G141</f>
        <v>12005.106</v>
      </c>
      <c r="I71" s="25">
        <f>H71-12005.106</f>
        <v>0</v>
      </c>
      <c r="J71" s="23"/>
      <c r="K71" s="27"/>
      <c r="L71" s="26">
        <f>H71-I71</f>
        <v>12005.106</v>
      </c>
      <c r="M71" s="27">
        <v>15000</v>
      </c>
      <c r="N71" s="28"/>
      <c r="O71" s="29"/>
      <c r="P71" s="24"/>
    </row>
    <row r="72" spans="1:16" s="12" customFormat="1" ht="33.75" customHeight="1" x14ac:dyDescent="0.15">
      <c r="A72" s="23">
        <v>20170209</v>
      </c>
      <c r="B72" s="22" t="s">
        <v>4</v>
      </c>
      <c r="C72" s="35" t="s">
        <v>3</v>
      </c>
      <c r="D72" s="23"/>
      <c r="E72" s="23" t="s">
        <v>2</v>
      </c>
      <c r="F72" s="23" t="s">
        <v>170</v>
      </c>
      <c r="G72" s="23" t="s">
        <v>1</v>
      </c>
      <c r="H72" s="25">
        <f>[7]副本!G143</f>
        <v>5057.1899999999987</v>
      </c>
      <c r="I72" s="25">
        <f>H72</f>
        <v>5057.1899999999987</v>
      </c>
      <c r="J72" s="23"/>
      <c r="K72" s="27"/>
      <c r="L72" s="26">
        <f>H72-I72</f>
        <v>0</v>
      </c>
      <c r="M72" s="27">
        <v>15000</v>
      </c>
      <c r="N72" s="28"/>
      <c r="O72" s="29"/>
      <c r="P72" s="24" t="s">
        <v>201</v>
      </c>
    </row>
    <row r="78" spans="1:16" s="2" customFormat="1" x14ac:dyDescent="0.15">
      <c r="B78" s="3"/>
      <c r="C78" s="10"/>
      <c r="D78" s="9"/>
      <c r="E78" s="3"/>
      <c r="F78" s="3"/>
      <c r="G78" s="9"/>
      <c r="H78" s="8"/>
      <c r="I78" s="8"/>
      <c r="K78" s="7"/>
      <c r="L78" s="11"/>
      <c r="M78" s="5"/>
      <c r="N78" s="4"/>
      <c r="O78" s="4"/>
      <c r="P78" s="3"/>
    </row>
    <row r="230" spans="2:16" s="2" customFormat="1" x14ac:dyDescent="0.15">
      <c r="B230" s="3"/>
      <c r="C230" s="10"/>
      <c r="D230" s="9"/>
      <c r="E230" s="3"/>
      <c r="F230" s="3"/>
      <c r="G230" s="3"/>
      <c r="H230" s="3"/>
      <c r="I230" s="8"/>
      <c r="K230" s="7"/>
      <c r="L230" s="6"/>
      <c r="M230" s="5"/>
      <c r="N230" s="4"/>
      <c r="O230" s="4"/>
      <c r="P230" s="3"/>
    </row>
  </sheetData>
  <autoFilter ref="B1:I72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65" activePane="bottomRight" state="frozen"/>
      <selection pane="topRight"/>
      <selection pane="bottomLeft"/>
      <selection pane="bottomRight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7.37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42.75" customHeight="1" x14ac:dyDescent="0.15">
      <c r="A2" s="37">
        <v>20170210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>
        <f>[8]副本!G3</f>
        <v>0</v>
      </c>
      <c r="I2" s="60">
        <f t="shared" ref="I2:I14" si="0">H2</f>
        <v>0</v>
      </c>
      <c r="J2" s="37"/>
      <c r="K2" s="62"/>
      <c r="L2" s="61">
        <v>0</v>
      </c>
      <c r="M2" s="62">
        <v>2000</v>
      </c>
      <c r="N2" s="63" t="s">
        <v>120</v>
      </c>
      <c r="O2" s="64" t="s">
        <v>89</v>
      </c>
      <c r="P2" s="59" t="s">
        <v>211</v>
      </c>
    </row>
    <row r="3" spans="1:17" s="48" customFormat="1" ht="42.75" customHeight="1" x14ac:dyDescent="0.15">
      <c r="A3" s="37">
        <v>20170210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[8]副本!G6</f>
        <v>525.19899999999996</v>
      </c>
      <c r="I3" s="60">
        <f t="shared" si="0"/>
        <v>525.19899999999996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42.75" customHeight="1" x14ac:dyDescent="0.15">
      <c r="A4" s="37">
        <v>20170210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[8]副本!G8</f>
        <v>1664.4629999999959</v>
      </c>
      <c r="I4" s="60">
        <f t="shared" si="0"/>
        <v>1664.4629999999959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42.75" customHeight="1" x14ac:dyDescent="0.15">
      <c r="A5" s="37">
        <v>20170210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>
        <f>[8]副本!G10</f>
        <v>2003.7640000000292</v>
      </c>
      <c r="I5" s="60">
        <f t="shared" si="0"/>
        <v>2003.7640000000292</v>
      </c>
      <c r="J5" s="37"/>
      <c r="K5" s="62"/>
      <c r="L5" s="61">
        <f>H5-I5</f>
        <v>0</v>
      </c>
      <c r="M5" s="62">
        <v>2000</v>
      </c>
      <c r="N5" s="63" t="s">
        <v>123</v>
      </c>
      <c r="O5" s="64" t="s">
        <v>89</v>
      </c>
      <c r="P5" s="59" t="s">
        <v>212</v>
      </c>
    </row>
    <row r="6" spans="1:17" s="48" customFormat="1" ht="42.75" customHeight="1" x14ac:dyDescent="0.15">
      <c r="A6" s="37">
        <v>20170210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>
        <f>[8]副本!G12</f>
        <v>2039.8959999999997</v>
      </c>
      <c r="I6" s="60">
        <f t="shared" si="0"/>
        <v>2039.8959999999997</v>
      </c>
      <c r="J6" s="37"/>
      <c r="K6" s="62"/>
      <c r="L6" s="61"/>
      <c r="M6" s="62">
        <v>3000</v>
      </c>
      <c r="N6" s="63" t="s">
        <v>120</v>
      </c>
      <c r="O6" s="64" t="s">
        <v>89</v>
      </c>
      <c r="P6" s="59" t="s">
        <v>211</v>
      </c>
      <c r="Q6" s="49"/>
    </row>
    <row r="7" spans="1:17" s="48" customFormat="1" ht="42.75" customHeight="1" x14ac:dyDescent="0.15">
      <c r="A7" s="37">
        <v>20170210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[8]副本!G14</f>
        <v>1208.2349999999988</v>
      </c>
      <c r="I7" s="60">
        <f t="shared" si="0"/>
        <v>1208.2349999999988</v>
      </c>
      <c r="J7" s="37"/>
      <c r="K7" s="62"/>
      <c r="L7" s="61">
        <f>H7-I7</f>
        <v>0</v>
      </c>
      <c r="M7" s="62">
        <v>3000</v>
      </c>
      <c r="N7" s="63"/>
      <c r="O7" s="64"/>
      <c r="P7" s="59" t="s">
        <v>210</v>
      </c>
      <c r="Q7" s="49"/>
    </row>
    <row r="8" spans="1:17" s="48" customFormat="1" ht="42.75" customHeight="1" x14ac:dyDescent="0.15">
      <c r="A8" s="37">
        <v>20170210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[8]副本!G16</f>
        <v>1966.7690000000002</v>
      </c>
      <c r="I8" s="60">
        <f t="shared" si="0"/>
        <v>1966.7690000000002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42.75" customHeight="1" x14ac:dyDescent="0.15">
      <c r="A9" s="37">
        <v>20170210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[8]副本!G18</f>
        <v>1322.4749999999999</v>
      </c>
      <c r="I9" s="60">
        <f t="shared" si="0"/>
        <v>1322.4749999999999</v>
      </c>
      <c r="J9" s="37"/>
      <c r="K9" s="62">
        <v>100</v>
      </c>
      <c r="L9" s="61">
        <f t="shared" ref="L9:L14" si="1">H9-I9</f>
        <v>0</v>
      </c>
      <c r="M9" s="62">
        <v>5000</v>
      </c>
      <c r="N9" s="63" t="s">
        <v>111</v>
      </c>
      <c r="O9" s="64" t="s">
        <v>110</v>
      </c>
      <c r="P9" s="52" t="s">
        <v>109</v>
      </c>
    </row>
    <row r="10" spans="1:17" s="48" customFormat="1" ht="42.75" customHeight="1" x14ac:dyDescent="0.15">
      <c r="A10" s="37">
        <v>20170210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[8]副本!G20</f>
        <v>1.5219999999999345</v>
      </c>
      <c r="I10" s="60">
        <f t="shared" si="0"/>
        <v>1.5219999999999345</v>
      </c>
      <c r="J10" s="37"/>
      <c r="K10" s="62"/>
      <c r="L10" s="61">
        <f t="shared" si="1"/>
        <v>0</v>
      </c>
      <c r="M10" s="62">
        <v>1500</v>
      </c>
      <c r="N10" s="63"/>
      <c r="O10" s="64"/>
      <c r="P10" s="59" t="s">
        <v>107</v>
      </c>
    </row>
    <row r="11" spans="1:17" s="48" customFormat="1" ht="42.75" customHeight="1" x14ac:dyDescent="0.15">
      <c r="A11" s="37">
        <v>20170210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[8]副本!G21</f>
        <v>3.999999999996362E-2</v>
      </c>
      <c r="I11" s="60">
        <f t="shared" si="0"/>
        <v>3.999999999996362E-2</v>
      </c>
      <c r="J11" s="37"/>
      <c r="K11" s="62"/>
      <c r="L11" s="61">
        <f t="shared" si="1"/>
        <v>0</v>
      </c>
      <c r="M11" s="62">
        <v>1500</v>
      </c>
      <c r="N11" s="63"/>
      <c r="O11" s="64"/>
      <c r="P11" s="59" t="s">
        <v>106</v>
      </c>
    </row>
    <row r="12" spans="1:17" s="48" customFormat="1" ht="42.75" customHeight="1" x14ac:dyDescent="0.15">
      <c r="A12" s="37">
        <v>20170210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[8]副本!G22</f>
        <v>1000</v>
      </c>
      <c r="I12" s="60">
        <f t="shared" si="0"/>
        <v>1000</v>
      </c>
      <c r="J12" s="37"/>
      <c r="K12" s="62"/>
      <c r="L12" s="61">
        <f t="shared" si="1"/>
        <v>0</v>
      </c>
      <c r="M12" s="62">
        <v>1500</v>
      </c>
      <c r="N12" s="63"/>
      <c r="O12" s="64"/>
      <c r="P12" s="59" t="s">
        <v>106</v>
      </c>
    </row>
    <row r="13" spans="1:17" s="48" customFormat="1" ht="42.75" customHeight="1" x14ac:dyDescent="0.15">
      <c r="A13" s="37">
        <v>20170210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[8]副本!G24</f>
        <v>1502.1479999999999</v>
      </c>
      <c r="I13" s="60">
        <f t="shared" si="0"/>
        <v>1502.1479999999999</v>
      </c>
      <c r="J13" s="37"/>
      <c r="K13" s="62"/>
      <c r="L13" s="61">
        <f t="shared" si="1"/>
        <v>0</v>
      </c>
      <c r="M13" s="62">
        <v>1500</v>
      </c>
      <c r="N13" s="63"/>
      <c r="O13" s="64"/>
      <c r="P13" s="59"/>
    </row>
    <row r="14" spans="1:17" s="48" customFormat="1" ht="42.75" customHeight="1" x14ac:dyDescent="0.15">
      <c r="A14" s="37">
        <v>20170210</v>
      </c>
      <c r="B14" s="58" t="s">
        <v>104</v>
      </c>
      <c r="C14" s="65" t="s">
        <v>19</v>
      </c>
      <c r="D14" s="37"/>
      <c r="E14" s="37" t="s">
        <v>114</v>
      </c>
      <c r="F14" s="23" t="s">
        <v>150</v>
      </c>
      <c r="G14" s="37" t="s">
        <v>1</v>
      </c>
      <c r="H14" s="60">
        <f>[8]副本!G26</f>
        <v>374.04999999999995</v>
      </c>
      <c r="I14" s="60">
        <f t="shared" si="0"/>
        <v>374.04999999999995</v>
      </c>
      <c r="J14" s="37"/>
      <c r="K14" s="62"/>
      <c r="L14" s="61">
        <f t="shared" si="1"/>
        <v>0</v>
      </c>
      <c r="M14" s="62">
        <v>1500</v>
      </c>
      <c r="N14" s="63"/>
      <c r="O14" s="64"/>
      <c r="P14" s="59" t="s">
        <v>103</v>
      </c>
      <c r="Q14" s="49"/>
    </row>
    <row r="15" spans="1:17" s="48" customFormat="1" ht="42.75" customHeight="1" x14ac:dyDescent="0.15">
      <c r="A15" s="37">
        <v>20170210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42.75" customHeight="1" x14ac:dyDescent="0.15">
      <c r="A16" s="37">
        <v>20170210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[8]副本!G30</f>
        <v>762.49699999999996</v>
      </c>
      <c r="I16" s="60">
        <f>H16</f>
        <v>762.49699999999996</v>
      </c>
      <c r="J16" s="37"/>
      <c r="K16" s="62"/>
      <c r="L16" s="61">
        <v>0</v>
      </c>
      <c r="M16" s="62">
        <v>1500</v>
      </c>
      <c r="N16" s="63"/>
      <c r="O16" s="64"/>
      <c r="P16" s="59" t="s">
        <v>205</v>
      </c>
    </row>
    <row r="17" spans="1:17" s="48" customFormat="1" ht="42.75" customHeight="1" x14ac:dyDescent="0.15">
      <c r="A17" s="37">
        <v>20170210</v>
      </c>
      <c r="B17" s="58" t="s">
        <v>101</v>
      </c>
      <c r="C17" s="65" t="s">
        <v>44</v>
      </c>
      <c r="D17" s="37"/>
      <c r="E17" s="37" t="s">
        <v>71</v>
      </c>
      <c r="F17" s="23" t="s">
        <v>153</v>
      </c>
      <c r="G17" s="37" t="s">
        <v>1</v>
      </c>
      <c r="H17" s="60">
        <f>[8]副本!G31</f>
        <v>200</v>
      </c>
      <c r="I17" s="60">
        <f>H17</f>
        <v>200</v>
      </c>
      <c r="J17" s="37"/>
      <c r="K17" s="62"/>
      <c r="L17" s="61"/>
      <c r="M17" s="62">
        <v>1500</v>
      </c>
      <c r="N17" s="63"/>
      <c r="O17" s="64"/>
      <c r="P17" s="73" t="s">
        <v>204</v>
      </c>
    </row>
    <row r="18" spans="1:17" s="48" customFormat="1" ht="42.75" customHeight="1" x14ac:dyDescent="0.15">
      <c r="A18" s="37">
        <v>20170210</v>
      </c>
      <c r="B18" s="58" t="s">
        <v>99</v>
      </c>
      <c r="C18" s="65" t="s">
        <v>93</v>
      </c>
      <c r="D18" s="37"/>
      <c r="E18" s="37" t="s">
        <v>9</v>
      </c>
      <c r="F18" s="23" t="s">
        <v>158</v>
      </c>
      <c r="G18" s="37" t="s">
        <v>1</v>
      </c>
      <c r="H18" s="60">
        <f>[8]副本!G33-H19</f>
        <v>10781.247000000018</v>
      </c>
      <c r="I18" s="60">
        <f>H18</f>
        <v>10781.247000000018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98</v>
      </c>
    </row>
    <row r="19" spans="1:17" s="48" customFormat="1" ht="42.75" customHeight="1" x14ac:dyDescent="0.15">
      <c r="A19" s="37">
        <v>20170210</v>
      </c>
      <c r="B19" s="58" t="s">
        <v>99</v>
      </c>
      <c r="C19" s="65" t="s">
        <v>93</v>
      </c>
      <c r="D19" s="37"/>
      <c r="E19" s="37" t="s">
        <v>9</v>
      </c>
      <c r="F19" s="24" t="s">
        <v>175</v>
      </c>
      <c r="G19" s="37" t="s">
        <v>1</v>
      </c>
      <c r="H19" s="60">
        <f>[8]副本!G35</f>
        <v>2172.7529999999824</v>
      </c>
      <c r="I19" s="60">
        <f>H19</f>
        <v>2172.7529999999824</v>
      </c>
      <c r="J19" s="37"/>
      <c r="K19" s="62"/>
      <c r="L19" s="61">
        <f>H19-I19</f>
        <v>0</v>
      </c>
      <c r="M19" s="62">
        <v>21000</v>
      </c>
      <c r="N19" s="63" t="s">
        <v>90</v>
      </c>
      <c r="O19" s="64" t="s">
        <v>89</v>
      </c>
      <c r="P19" s="59" t="s">
        <v>97</v>
      </c>
    </row>
    <row r="20" spans="1:17" s="48" customFormat="1" ht="42.75" customHeight="1" x14ac:dyDescent="0.15">
      <c r="A20" s="37">
        <v>20170210</v>
      </c>
      <c r="B20" s="58" t="s">
        <v>96</v>
      </c>
      <c r="C20" s="65" t="s">
        <v>44</v>
      </c>
      <c r="D20" s="37" t="s">
        <v>5</v>
      </c>
      <c r="E20" s="37" t="s">
        <v>61</v>
      </c>
      <c r="F20" s="23" t="s">
        <v>159</v>
      </c>
      <c r="G20" s="37" t="s">
        <v>1</v>
      </c>
      <c r="H20" s="60">
        <f>[8]副本!G37</f>
        <v>3496.5419999999999</v>
      </c>
      <c r="I20" s="60">
        <f>H20-3496.542+1000+2496.542</f>
        <v>3496.5419999999999</v>
      </c>
      <c r="J20" s="37"/>
      <c r="K20" s="62"/>
      <c r="L20" s="61">
        <f>H20-I20</f>
        <v>0</v>
      </c>
      <c r="M20" s="62">
        <v>5000</v>
      </c>
      <c r="N20" s="63"/>
      <c r="O20" s="64"/>
      <c r="P20" s="59" t="s">
        <v>194</v>
      </c>
    </row>
    <row r="21" spans="1:17" s="48" customFormat="1" ht="42.75" customHeight="1" x14ac:dyDescent="0.15">
      <c r="A21" s="37">
        <v>20170210</v>
      </c>
      <c r="B21" s="58" t="s">
        <v>95</v>
      </c>
      <c r="C21" s="65" t="s">
        <v>44</v>
      </c>
      <c r="D21" s="37"/>
      <c r="E21" s="37"/>
      <c r="F21" s="37"/>
      <c r="G21" s="37"/>
      <c r="H21" s="60"/>
      <c r="I21" s="60"/>
      <c r="J21" s="37"/>
      <c r="K21" s="62"/>
      <c r="L21" s="61"/>
      <c r="M21" s="62">
        <v>3000</v>
      </c>
      <c r="N21" s="63"/>
      <c r="O21" s="64"/>
      <c r="P21" s="59"/>
    </row>
    <row r="22" spans="1:17" s="48" customFormat="1" ht="42.75" customHeight="1" x14ac:dyDescent="0.15">
      <c r="A22" s="37">
        <v>20170210</v>
      </c>
      <c r="B22" s="58" t="s">
        <v>94</v>
      </c>
      <c r="C22" s="65" t="s">
        <v>93</v>
      </c>
      <c r="D22" s="37"/>
      <c r="E22" s="37" t="s">
        <v>9</v>
      </c>
      <c r="F22" s="23" t="s">
        <v>158</v>
      </c>
      <c r="G22" s="37" t="s">
        <v>1</v>
      </c>
      <c r="H22" s="60">
        <f>[8]副本!G41-'20170210'!H23</f>
        <v>9436.5454280000376</v>
      </c>
      <c r="I22" s="60">
        <f>H22</f>
        <v>9436.5454280000376</v>
      </c>
      <c r="J22" s="37"/>
      <c r="K22" s="62"/>
      <c r="L22" s="61">
        <f t="shared" ref="L22:L27" si="2">H22-I22</f>
        <v>0</v>
      </c>
      <c r="M22" s="62">
        <v>21000</v>
      </c>
      <c r="N22" s="63" t="s">
        <v>92</v>
      </c>
      <c r="O22" s="64" t="s">
        <v>89</v>
      </c>
      <c r="P22" s="59" t="s">
        <v>91</v>
      </c>
    </row>
    <row r="23" spans="1:17" s="48" customFormat="1" ht="42.75" customHeight="1" x14ac:dyDescent="0.15">
      <c r="A23" s="37">
        <v>20170210</v>
      </c>
      <c r="B23" s="58" t="s">
        <v>94</v>
      </c>
      <c r="C23" s="65" t="s">
        <v>93</v>
      </c>
      <c r="D23" s="37"/>
      <c r="E23" s="37" t="s">
        <v>9</v>
      </c>
      <c r="F23" s="24" t="s">
        <v>175</v>
      </c>
      <c r="G23" s="37" t="s">
        <v>1</v>
      </c>
      <c r="H23" s="60">
        <f>[8]副本!G43</f>
        <v>7210.4545719999624</v>
      </c>
      <c r="I23" s="60">
        <f>H23</f>
        <v>7210.4545719999624</v>
      </c>
      <c r="J23" s="37"/>
      <c r="K23" s="71"/>
      <c r="L23" s="61">
        <f t="shared" si="2"/>
        <v>0</v>
      </c>
      <c r="M23" s="62">
        <v>21000</v>
      </c>
      <c r="N23" s="63" t="s">
        <v>90</v>
      </c>
      <c r="O23" s="64" t="s">
        <v>89</v>
      </c>
      <c r="P23" s="59" t="s">
        <v>88</v>
      </c>
    </row>
    <row r="24" spans="1:17" s="48" customFormat="1" ht="42.75" customHeight="1" x14ac:dyDescent="0.15">
      <c r="A24" s="37">
        <v>20170210</v>
      </c>
      <c r="B24" s="58" t="s">
        <v>87</v>
      </c>
      <c r="C24" s="65" t="s">
        <v>44</v>
      </c>
      <c r="D24" s="37"/>
      <c r="E24" s="37" t="s">
        <v>86</v>
      </c>
      <c r="F24" s="23" t="s">
        <v>160</v>
      </c>
      <c r="G24" s="37" t="s">
        <v>1</v>
      </c>
      <c r="H24" s="60">
        <f>[8]副本!G45</f>
        <v>6134.7419999999993</v>
      </c>
      <c r="I24" s="60">
        <f>H24</f>
        <v>6134.7419999999993</v>
      </c>
      <c r="J24" s="37"/>
      <c r="K24" s="62">
        <v>350</v>
      </c>
      <c r="L24" s="61">
        <f t="shared" si="2"/>
        <v>0</v>
      </c>
      <c r="M24" s="62">
        <v>5000</v>
      </c>
      <c r="N24" s="63"/>
      <c r="O24" s="64"/>
      <c r="P24" s="59" t="s">
        <v>85</v>
      </c>
    </row>
    <row r="25" spans="1:17" s="48" customFormat="1" ht="42.75" customHeight="1" x14ac:dyDescent="0.15">
      <c r="A25" s="37">
        <v>20170210</v>
      </c>
      <c r="B25" s="58" t="s">
        <v>84</v>
      </c>
      <c r="C25" s="65" t="s">
        <v>3</v>
      </c>
      <c r="D25" s="37"/>
      <c r="E25" s="59" t="s">
        <v>83</v>
      </c>
      <c r="F25" s="23" t="s">
        <v>161</v>
      </c>
      <c r="G25" s="37" t="s">
        <v>1</v>
      </c>
      <c r="H25" s="60">
        <f>[8]副本!G47</f>
        <v>806.69299999999998</v>
      </c>
      <c r="I25" s="60">
        <f>H25</f>
        <v>806.69299999999998</v>
      </c>
      <c r="J25" s="37"/>
      <c r="K25" s="62"/>
      <c r="L25" s="61">
        <f t="shared" si="2"/>
        <v>0</v>
      </c>
      <c r="M25" s="62">
        <v>5000</v>
      </c>
      <c r="N25" s="63"/>
      <c r="O25" s="64"/>
      <c r="P25" s="66" t="s">
        <v>82</v>
      </c>
    </row>
    <row r="26" spans="1:17" s="48" customFormat="1" ht="42.75" customHeight="1" x14ac:dyDescent="0.15">
      <c r="A26" s="37">
        <v>20170210</v>
      </c>
      <c r="B26" s="58" t="s">
        <v>81</v>
      </c>
      <c r="C26" s="65" t="s">
        <v>44</v>
      </c>
      <c r="D26" s="37"/>
      <c r="E26" s="37" t="s">
        <v>203</v>
      </c>
      <c r="F26" s="23" t="s">
        <v>161</v>
      </c>
      <c r="G26" s="37" t="s">
        <v>1</v>
      </c>
      <c r="H26" s="60">
        <f>[8]副本!G49</f>
        <v>3992.8519999999999</v>
      </c>
      <c r="I26" s="60">
        <f>H26-3992.852</f>
        <v>0</v>
      </c>
      <c r="J26" s="37"/>
      <c r="K26" s="62"/>
      <c r="L26" s="61">
        <f t="shared" si="2"/>
        <v>3992.8519999999999</v>
      </c>
      <c r="M26" s="62">
        <v>5000</v>
      </c>
      <c r="N26" s="63"/>
      <c r="O26" s="64"/>
      <c r="P26" s="59"/>
    </row>
    <row r="27" spans="1:17" s="48" customFormat="1" ht="42.75" customHeight="1" x14ac:dyDescent="0.15">
      <c r="A27" s="37">
        <v>20170210</v>
      </c>
      <c r="B27" s="58" t="s">
        <v>80</v>
      </c>
      <c r="C27" s="65" t="s">
        <v>44</v>
      </c>
      <c r="D27" s="37"/>
      <c r="E27" s="37" t="s">
        <v>43</v>
      </c>
      <c r="F27" s="23" t="s">
        <v>157</v>
      </c>
      <c r="G27" s="37" t="s">
        <v>1</v>
      </c>
      <c r="H27" s="60">
        <f>[8]副本!G52</f>
        <v>2144.2040000000002</v>
      </c>
      <c r="I27" s="60">
        <f>H27</f>
        <v>2144.2040000000002</v>
      </c>
      <c r="J27" s="37"/>
      <c r="K27" s="62"/>
      <c r="L27" s="61">
        <f t="shared" si="2"/>
        <v>0</v>
      </c>
      <c r="M27" s="62">
        <v>4000</v>
      </c>
      <c r="N27" s="63"/>
      <c r="O27" s="64"/>
      <c r="P27" s="59"/>
    </row>
    <row r="28" spans="1:17" s="48" customFormat="1" ht="42.75" customHeight="1" x14ac:dyDescent="0.15">
      <c r="A28" s="37">
        <v>20170210</v>
      </c>
      <c r="B28" s="58" t="s">
        <v>79</v>
      </c>
      <c r="C28" s="65" t="s">
        <v>74</v>
      </c>
      <c r="D28" s="37"/>
      <c r="E28" s="37"/>
      <c r="F28" s="37"/>
      <c r="G28" s="37"/>
      <c r="H28" s="60"/>
      <c r="I28" s="60"/>
      <c r="J28" s="37"/>
      <c r="K28" s="62"/>
      <c r="L28" s="61"/>
      <c r="M28" s="62">
        <v>5000</v>
      </c>
      <c r="N28" s="63"/>
      <c r="O28" s="64"/>
      <c r="P28" s="59"/>
    </row>
    <row r="29" spans="1:17" s="48" customFormat="1" ht="42.75" customHeight="1" x14ac:dyDescent="0.15">
      <c r="A29" s="37">
        <v>20170210</v>
      </c>
      <c r="B29" s="58" t="s">
        <v>78</v>
      </c>
      <c r="C29" s="65" t="s">
        <v>74</v>
      </c>
      <c r="D29" s="37"/>
      <c r="E29" s="37" t="s">
        <v>32</v>
      </c>
      <c r="F29" s="23" t="s">
        <v>161</v>
      </c>
      <c r="G29" s="37" t="s">
        <v>1</v>
      </c>
      <c r="H29" s="60">
        <f>[8]副本!G57</f>
        <v>1374.6289999999999</v>
      </c>
      <c r="I29" s="60">
        <f>H29</f>
        <v>1374.6289999999999</v>
      </c>
      <c r="J29" s="37"/>
      <c r="K29" s="62"/>
      <c r="L29" s="61">
        <f>H29-I29</f>
        <v>0</v>
      </c>
      <c r="M29" s="62">
        <v>2000</v>
      </c>
      <c r="N29" s="63"/>
      <c r="O29" s="64"/>
      <c r="P29" s="59" t="s">
        <v>31</v>
      </c>
    </row>
    <row r="30" spans="1:17" s="48" customFormat="1" ht="42.75" customHeight="1" x14ac:dyDescent="0.15">
      <c r="A30" s="37">
        <v>20170210</v>
      </c>
      <c r="B30" s="58" t="s">
        <v>77</v>
      </c>
      <c r="C30" s="65" t="s">
        <v>74</v>
      </c>
      <c r="D30" s="37"/>
      <c r="E30" s="37" t="s">
        <v>32</v>
      </c>
      <c r="F30" s="23" t="s">
        <v>153</v>
      </c>
      <c r="G30" s="37" t="s">
        <v>1</v>
      </c>
      <c r="H30" s="60">
        <f>[8]副本!G59</f>
        <v>1098.6790000000001</v>
      </c>
      <c r="I30" s="60">
        <f>H30-1098.679+1098.679</f>
        <v>1098.6790000000001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209</v>
      </c>
    </row>
    <row r="31" spans="1:17" s="48" customFormat="1" ht="42.75" customHeight="1" x14ac:dyDescent="0.15">
      <c r="A31" s="37">
        <v>20170210</v>
      </c>
      <c r="B31" s="58" t="s">
        <v>76</v>
      </c>
      <c r="C31" s="65" t="s">
        <v>74</v>
      </c>
      <c r="D31" s="37"/>
      <c r="E31" s="37" t="s">
        <v>32</v>
      </c>
      <c r="F31" s="23" t="s">
        <v>161</v>
      </c>
      <c r="G31" s="37" t="s">
        <v>1</v>
      </c>
      <c r="H31" s="60">
        <f>[8]副本!G61</f>
        <v>20.347000000000207</v>
      </c>
      <c r="I31" s="60">
        <f>H31</f>
        <v>20.347000000000207</v>
      </c>
      <c r="J31" s="37"/>
      <c r="K31" s="62"/>
      <c r="L31" s="61">
        <f>H31-I31</f>
        <v>0</v>
      </c>
      <c r="M31" s="62">
        <v>1500</v>
      </c>
      <c r="N31" s="63"/>
      <c r="O31" s="64"/>
      <c r="P31" s="59" t="s">
        <v>31</v>
      </c>
      <c r="Q31" s="49"/>
    </row>
    <row r="32" spans="1:17" s="48" customFormat="1" ht="42.75" customHeight="1" x14ac:dyDescent="0.15">
      <c r="A32" s="37">
        <v>20170210</v>
      </c>
      <c r="B32" s="58" t="s">
        <v>75</v>
      </c>
      <c r="C32" s="65" t="s">
        <v>74</v>
      </c>
      <c r="D32" s="37"/>
      <c r="E32" s="37" t="s">
        <v>32</v>
      </c>
      <c r="F32" s="23" t="s">
        <v>153</v>
      </c>
      <c r="G32" s="37" t="s">
        <v>1</v>
      </c>
      <c r="H32" s="60">
        <f>[8]副本!G63</f>
        <v>1096.2820000000002</v>
      </c>
      <c r="I32" s="60">
        <f>H32-1096.282+1096.282</f>
        <v>1096.2820000000002</v>
      </c>
      <c r="J32" s="37"/>
      <c r="K32" s="62"/>
      <c r="L32" s="61">
        <f>H32-I32</f>
        <v>0</v>
      </c>
      <c r="M32" s="62">
        <v>1500</v>
      </c>
      <c r="N32" s="63"/>
      <c r="O32" s="64"/>
      <c r="P32" s="59" t="s">
        <v>209</v>
      </c>
    </row>
    <row r="33" spans="1:16" s="48" customFormat="1" ht="42.75" customHeight="1" x14ac:dyDescent="0.15">
      <c r="A33" s="37">
        <v>20170210</v>
      </c>
      <c r="B33" s="58" t="s">
        <v>73</v>
      </c>
      <c r="C33" s="65" t="s">
        <v>44</v>
      </c>
      <c r="D33" s="37"/>
      <c r="E33" s="37"/>
      <c r="F33" s="37"/>
      <c r="G33" s="37"/>
      <c r="H33" s="60"/>
      <c r="I33" s="60"/>
      <c r="J33" s="37"/>
      <c r="K33" s="62"/>
      <c r="L33" s="61"/>
      <c r="M33" s="62">
        <v>1500</v>
      </c>
      <c r="N33" s="63"/>
      <c r="O33" s="64"/>
      <c r="P33" s="59"/>
    </row>
    <row r="34" spans="1:16" s="48" customFormat="1" ht="42.75" customHeight="1" x14ac:dyDescent="0.15">
      <c r="A34" s="37">
        <v>20170210</v>
      </c>
      <c r="B34" s="58" t="s">
        <v>72</v>
      </c>
      <c r="C34" s="65" t="s">
        <v>44</v>
      </c>
      <c r="D34" s="37"/>
      <c r="E34" s="37" t="s">
        <v>71</v>
      </c>
      <c r="F34" s="23" t="s">
        <v>154</v>
      </c>
      <c r="G34" s="37" t="s">
        <v>1</v>
      </c>
      <c r="H34" s="37">
        <f>[8]副本!G67</f>
        <v>931.53000000000031</v>
      </c>
      <c r="I34" s="60">
        <f>H34-1035.099+1035.099-522.714</f>
        <v>408.81600000000026</v>
      </c>
      <c r="J34" s="37"/>
      <c r="K34" s="62">
        <v>30</v>
      </c>
      <c r="L34" s="61">
        <f>H34-I34</f>
        <v>522.71400000000006</v>
      </c>
      <c r="M34" s="62">
        <v>2000</v>
      </c>
      <c r="N34" s="63"/>
      <c r="O34" s="64"/>
      <c r="P34" s="59" t="s">
        <v>188</v>
      </c>
    </row>
    <row r="35" spans="1:16" s="48" customFormat="1" ht="42.75" customHeight="1" x14ac:dyDescent="0.15">
      <c r="A35" s="37">
        <v>20170210</v>
      </c>
      <c r="B35" s="58" t="s">
        <v>69</v>
      </c>
      <c r="C35" s="65" t="s">
        <v>44</v>
      </c>
      <c r="D35" s="37" t="s">
        <v>5</v>
      </c>
      <c r="E35" s="37" t="s">
        <v>68</v>
      </c>
      <c r="F35" s="23" t="s">
        <v>162</v>
      </c>
      <c r="G35" s="37" t="s">
        <v>1</v>
      </c>
      <c r="H35" s="60">
        <f>[8]副本!G69</f>
        <v>640.54299999999989</v>
      </c>
      <c r="I35" s="60">
        <f>H35-1037.023+500+537.023</f>
        <v>640.54300000000001</v>
      </c>
      <c r="J35" s="37"/>
      <c r="K35" s="62">
        <v>100</v>
      </c>
      <c r="L35" s="61">
        <f>H35-I35</f>
        <v>0</v>
      </c>
      <c r="M35" s="62">
        <v>3000</v>
      </c>
      <c r="N35" s="63"/>
      <c r="O35" s="64"/>
      <c r="P35" s="67" t="s">
        <v>67</v>
      </c>
    </row>
    <row r="36" spans="1:16" s="48" customFormat="1" ht="42.75" customHeight="1" x14ac:dyDescent="0.15">
      <c r="A36" s="37">
        <v>20170210</v>
      </c>
      <c r="B36" s="58" t="s">
        <v>66</v>
      </c>
      <c r="C36" s="65" t="s">
        <v>44</v>
      </c>
      <c r="D36" s="37" t="s">
        <v>5</v>
      </c>
      <c r="E36" s="37" t="s">
        <v>61</v>
      </c>
      <c r="F36" s="23" t="s">
        <v>159</v>
      </c>
      <c r="G36" s="37" t="s">
        <v>1</v>
      </c>
      <c r="H36" s="60">
        <f>[8]副本!G71</f>
        <v>2002.9199999999992</v>
      </c>
      <c r="I36" s="60">
        <f>H36-3607.546+2050+1050+507.546-1553.792+1553.792</f>
        <v>2002.9199999999994</v>
      </c>
      <c r="J36" s="37"/>
      <c r="K36" s="62"/>
      <c r="L36" s="61">
        <f>H36-I36</f>
        <v>0</v>
      </c>
      <c r="M36" s="62">
        <v>4000</v>
      </c>
      <c r="N36" s="63"/>
      <c r="O36" s="64"/>
      <c r="P36" s="59" t="s">
        <v>65</v>
      </c>
    </row>
    <row r="37" spans="1:16" s="48" customFormat="1" ht="42.75" customHeight="1" x14ac:dyDescent="0.15">
      <c r="A37" s="37">
        <v>20170210</v>
      </c>
      <c r="B37" s="58" t="s">
        <v>64</v>
      </c>
      <c r="C37" s="65" t="s">
        <v>3</v>
      </c>
      <c r="D37" s="37"/>
      <c r="E37" s="37"/>
      <c r="F37" s="37"/>
      <c r="G37" s="37"/>
      <c r="H37" s="60"/>
      <c r="I37" s="60"/>
      <c r="J37" s="37"/>
      <c r="K37" s="62"/>
      <c r="L37" s="61"/>
      <c r="M37" s="62">
        <v>5000</v>
      </c>
      <c r="N37" s="63"/>
      <c r="O37" s="64"/>
      <c r="P37" s="59"/>
    </row>
    <row r="38" spans="1:16" s="48" customFormat="1" ht="42.75" customHeight="1" x14ac:dyDescent="0.15">
      <c r="A38" s="37">
        <v>20170210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159</v>
      </c>
      <c r="G38" s="37" t="s">
        <v>1</v>
      </c>
      <c r="H38" s="60">
        <f>[8]副本!G75</f>
        <v>3359.4270000000524</v>
      </c>
      <c r="I38" s="60">
        <f>H38-955.747+477.874+477.873-1042.865-2628.137+500+542.865+2102.57+525.567-499.112-3147.566+2100+525+525+496.678-2617.899+1574.891+523.692-522.622+522.622-2589.467+523.692-499.362</f>
        <v>274.97400000005251</v>
      </c>
      <c r="J38" s="37"/>
      <c r="K38" s="62"/>
      <c r="L38" s="61">
        <f>H38-I38</f>
        <v>3084.453</v>
      </c>
      <c r="M38" s="62">
        <v>5000</v>
      </c>
      <c r="N38" s="63"/>
      <c r="O38" s="64"/>
      <c r="P38" s="59" t="s">
        <v>182</v>
      </c>
    </row>
    <row r="39" spans="1:16" s="48" customFormat="1" ht="42.75" customHeight="1" x14ac:dyDescent="0.15">
      <c r="A39" s="37">
        <v>20170210</v>
      </c>
      <c r="B39" s="58" t="s">
        <v>63</v>
      </c>
      <c r="C39" s="65" t="s">
        <v>44</v>
      </c>
      <c r="D39" s="37" t="s">
        <v>5</v>
      </c>
      <c r="E39" s="37" t="s">
        <v>61</v>
      </c>
      <c r="F39" s="23" t="s">
        <v>163</v>
      </c>
      <c r="G39" s="37" t="s">
        <v>1</v>
      </c>
      <c r="H39" s="60">
        <f>[8]副本!G76</f>
        <v>732.77800000000036</v>
      </c>
      <c r="I39" s="60">
        <f>H39</f>
        <v>732.77800000000036</v>
      </c>
      <c r="J39" s="37"/>
      <c r="K39" s="62"/>
      <c r="L39" s="61">
        <f>H39-I39</f>
        <v>0</v>
      </c>
      <c r="M39" s="62">
        <v>5000</v>
      </c>
      <c r="N39" s="63"/>
      <c r="O39" s="64"/>
      <c r="P39" s="59" t="s">
        <v>60</v>
      </c>
    </row>
    <row r="40" spans="1:16" s="48" customFormat="1" ht="42.75" customHeight="1" x14ac:dyDescent="0.15">
      <c r="A40" s="37">
        <v>20170210</v>
      </c>
      <c r="B40" s="58" t="s">
        <v>59</v>
      </c>
      <c r="C40" s="65" t="s">
        <v>19</v>
      </c>
      <c r="D40" s="37"/>
      <c r="E40" s="37" t="s">
        <v>32</v>
      </c>
      <c r="F40" s="23" t="s">
        <v>161</v>
      </c>
      <c r="G40" s="37" t="s">
        <v>1</v>
      </c>
      <c r="H40" s="60">
        <f>[8]副本!G78</f>
        <v>31.463999999997668</v>
      </c>
      <c r="I40" s="60">
        <f>H40-2564.978+2564.978</f>
        <v>31.463999999997668</v>
      </c>
      <c r="J40" s="37"/>
      <c r="K40" s="62"/>
      <c r="L40" s="61">
        <f>H40-I40</f>
        <v>0</v>
      </c>
      <c r="M40" s="62">
        <v>4000</v>
      </c>
      <c r="N40" s="63"/>
      <c r="O40" s="64"/>
      <c r="P40" s="52" t="s">
        <v>58</v>
      </c>
    </row>
    <row r="41" spans="1:16" s="48" customFormat="1" ht="42.75" customHeight="1" x14ac:dyDescent="0.15">
      <c r="A41" s="37">
        <v>20170210</v>
      </c>
      <c r="B41" s="58" t="s">
        <v>59</v>
      </c>
      <c r="C41" s="65" t="s">
        <v>19</v>
      </c>
      <c r="D41" s="37"/>
      <c r="E41" s="37" t="s">
        <v>32</v>
      </c>
      <c r="F41" s="23" t="s">
        <v>153</v>
      </c>
      <c r="G41" s="37" t="s">
        <v>1</v>
      </c>
      <c r="H41" s="60">
        <f>[8]副本!G81</f>
        <v>2564.9780000000001</v>
      </c>
      <c r="I41" s="60">
        <f>H41</f>
        <v>2564.9780000000001</v>
      </c>
      <c r="J41" s="37"/>
      <c r="K41" s="62"/>
      <c r="L41" s="61"/>
      <c r="M41" s="62">
        <v>4000</v>
      </c>
      <c r="N41" s="63"/>
      <c r="O41" s="64"/>
      <c r="P41" s="52" t="s">
        <v>208</v>
      </c>
    </row>
    <row r="42" spans="1:16" s="48" customFormat="1" ht="42.75" customHeight="1" x14ac:dyDescent="0.15">
      <c r="A42" s="37">
        <v>20170210</v>
      </c>
      <c r="B42" s="58" t="s">
        <v>56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2000</v>
      </c>
      <c r="N42" s="63"/>
      <c r="O42" s="64"/>
      <c r="P42" s="59"/>
    </row>
    <row r="43" spans="1:16" s="48" customFormat="1" ht="42.75" customHeight="1" x14ac:dyDescent="0.15">
      <c r="A43" s="37">
        <v>20170210</v>
      </c>
      <c r="B43" s="58" t="s">
        <v>55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[8]副本!G85</f>
        <v>2522.3710000000001</v>
      </c>
      <c r="I43" s="60">
        <f>H43-2522.371</f>
        <v>0</v>
      </c>
      <c r="J43" s="37"/>
      <c r="K43" s="62"/>
      <c r="L43" s="61">
        <f>H43-I43</f>
        <v>2522.3710000000001</v>
      </c>
      <c r="M43" s="62">
        <v>3000</v>
      </c>
      <c r="N43" s="63"/>
      <c r="O43" s="64"/>
      <c r="P43" s="59"/>
    </row>
    <row r="44" spans="1:16" s="48" customFormat="1" ht="42.75" customHeight="1" x14ac:dyDescent="0.15">
      <c r="A44" s="37">
        <v>20170210</v>
      </c>
      <c r="B44" s="58" t="s">
        <v>54</v>
      </c>
      <c r="C44" s="65" t="s">
        <v>19</v>
      </c>
      <c r="D44" s="37"/>
      <c r="E44" s="37" t="s">
        <v>32</v>
      </c>
      <c r="F44" s="23" t="s">
        <v>161</v>
      </c>
      <c r="G44" s="37" t="s">
        <v>1</v>
      </c>
      <c r="H44" s="60">
        <f>[8]副本!G87</f>
        <v>3759.3360000000002</v>
      </c>
      <c r="I44" s="60">
        <f>H44-2794.245</f>
        <v>965.09100000000035</v>
      </c>
      <c r="J44" s="37"/>
      <c r="K44" s="62">
        <v>1300</v>
      </c>
      <c r="L44" s="61">
        <f>H44-I44</f>
        <v>2794.2449999999999</v>
      </c>
      <c r="M44" s="62">
        <v>5000</v>
      </c>
      <c r="N44" s="68"/>
      <c r="O44" s="64"/>
      <c r="P44" s="52" t="s">
        <v>53</v>
      </c>
    </row>
    <row r="45" spans="1:16" s="48" customFormat="1" ht="42.75" customHeight="1" x14ac:dyDescent="0.15">
      <c r="A45" s="37">
        <v>20170210</v>
      </c>
      <c r="B45" s="58" t="s">
        <v>52</v>
      </c>
      <c r="C45" s="65" t="s">
        <v>44</v>
      </c>
      <c r="D45" s="37"/>
      <c r="E45" s="37"/>
      <c r="F45" s="37"/>
      <c r="G45" s="37"/>
      <c r="H45" s="60"/>
      <c r="I45" s="60"/>
      <c r="J45" s="37"/>
      <c r="K45" s="62"/>
      <c r="L45" s="61"/>
      <c r="M45" s="62">
        <v>5000</v>
      </c>
      <c r="N45" s="63"/>
      <c r="O45" s="64"/>
      <c r="P45" s="59"/>
    </row>
    <row r="46" spans="1:16" s="48" customFormat="1" ht="42.75" customHeight="1" x14ac:dyDescent="0.15">
      <c r="A46" s="37">
        <v>20170210</v>
      </c>
      <c r="B46" s="58" t="s">
        <v>51</v>
      </c>
      <c r="C46" s="65" t="s">
        <v>44</v>
      </c>
      <c r="D46" s="37"/>
      <c r="E46" s="37" t="s">
        <v>50</v>
      </c>
      <c r="F46" s="23" t="s">
        <v>152</v>
      </c>
      <c r="G46" s="37" t="s">
        <v>1</v>
      </c>
      <c r="H46" s="60">
        <f>[8]副本!G93</f>
        <v>2006.1080000000002</v>
      </c>
      <c r="I46" s="60">
        <f>H46-1021.25+1021.25</f>
        <v>2006.1080000000002</v>
      </c>
      <c r="J46" s="37"/>
      <c r="K46" s="62">
        <v>70</v>
      </c>
      <c r="L46" s="61">
        <f>H46-I46</f>
        <v>0</v>
      </c>
      <c r="M46" s="62">
        <v>5000</v>
      </c>
      <c r="N46" s="63"/>
      <c r="O46" s="64"/>
      <c r="P46" s="52" t="s">
        <v>180</v>
      </c>
    </row>
    <row r="47" spans="1:16" s="48" customFormat="1" ht="42.75" customHeight="1" x14ac:dyDescent="0.15">
      <c r="A47" s="37">
        <v>20170210</v>
      </c>
      <c r="B47" s="58" t="s">
        <v>51</v>
      </c>
      <c r="C47" s="65" t="s">
        <v>44</v>
      </c>
      <c r="D47" s="37"/>
      <c r="E47" s="37" t="s">
        <v>50</v>
      </c>
      <c r="F47" s="23" t="s">
        <v>148</v>
      </c>
      <c r="G47" s="37" t="s">
        <v>1</v>
      </c>
      <c r="H47" s="60">
        <f>[8]副本!G94</f>
        <v>1000</v>
      </c>
      <c r="I47" s="60">
        <f>H47</f>
        <v>1000</v>
      </c>
      <c r="J47" s="37"/>
      <c r="K47" s="62"/>
      <c r="L47" s="61"/>
      <c r="M47" s="62">
        <v>5000</v>
      </c>
      <c r="N47" s="63"/>
      <c r="O47" s="64"/>
      <c r="P47" s="52" t="s">
        <v>49</v>
      </c>
    </row>
    <row r="48" spans="1:16" s="48" customFormat="1" ht="42.75" customHeight="1" x14ac:dyDescent="0.15">
      <c r="A48" s="37">
        <v>20170210</v>
      </c>
      <c r="B48" s="58" t="s">
        <v>48</v>
      </c>
      <c r="C48" s="65" t="s">
        <v>44</v>
      </c>
      <c r="D48" s="37"/>
      <c r="E48" s="37" t="s">
        <v>43</v>
      </c>
      <c r="F48" s="23" t="s">
        <v>157</v>
      </c>
      <c r="G48" s="37" t="s">
        <v>1</v>
      </c>
      <c r="H48" s="60">
        <f>[8]副本!G96</f>
        <v>2.4439999999940483</v>
      </c>
      <c r="I48" s="60">
        <f>H48</f>
        <v>2.4439999999940483</v>
      </c>
      <c r="J48" s="37"/>
      <c r="K48" s="61"/>
      <c r="L48" s="61">
        <f>H48-I48</f>
        <v>0</v>
      </c>
      <c r="M48" s="62">
        <v>2000</v>
      </c>
      <c r="N48" s="63"/>
      <c r="O48" s="64"/>
      <c r="P48" s="59"/>
    </row>
    <row r="49" spans="1:17" s="48" customFormat="1" ht="42.75" customHeight="1" x14ac:dyDescent="0.15">
      <c r="A49" s="37">
        <v>20170210</v>
      </c>
      <c r="B49" s="58" t="s">
        <v>47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[8]副本!G98</f>
        <v>2409.6100000000006</v>
      </c>
      <c r="I49" s="60">
        <v>0</v>
      </c>
      <c r="J49" s="37"/>
      <c r="K49" s="62"/>
      <c r="L49" s="61">
        <f>H49-I49</f>
        <v>2409.6100000000006</v>
      </c>
      <c r="M49" s="62">
        <v>10000</v>
      </c>
      <c r="N49" s="63"/>
      <c r="O49" s="64"/>
      <c r="P49" s="59"/>
    </row>
    <row r="50" spans="1:17" s="48" customFormat="1" ht="42.75" customHeight="1" x14ac:dyDescent="0.15">
      <c r="A50" s="37">
        <v>20170210</v>
      </c>
      <c r="B50" s="58" t="s">
        <v>46</v>
      </c>
      <c r="C50" s="65" t="s">
        <v>19</v>
      </c>
      <c r="D50" s="37" t="s">
        <v>5</v>
      </c>
      <c r="E50" s="37" t="s">
        <v>27</v>
      </c>
      <c r="F50" s="23" t="s">
        <v>165</v>
      </c>
      <c r="G50" s="37" t="s">
        <v>1</v>
      </c>
      <c r="H50" s="60">
        <f>[8]副本!G100</f>
        <v>4217.264000000001</v>
      </c>
      <c r="I50" s="60">
        <v>0</v>
      </c>
      <c r="J50" s="37"/>
      <c r="K50" s="62"/>
      <c r="L50" s="61">
        <v>0</v>
      </c>
      <c r="M50" s="62">
        <v>10000</v>
      </c>
      <c r="N50" s="63"/>
      <c r="O50" s="64"/>
      <c r="P50" s="59"/>
    </row>
    <row r="51" spans="1:17" s="48" customFormat="1" ht="42.75" customHeight="1" x14ac:dyDescent="0.15">
      <c r="A51" s="37">
        <v>20170210</v>
      </c>
      <c r="B51" s="58" t="s">
        <v>45</v>
      </c>
      <c r="C51" s="65" t="s">
        <v>44</v>
      </c>
      <c r="D51" s="37"/>
      <c r="E51" s="37" t="s">
        <v>43</v>
      </c>
      <c r="F51" s="23" t="s">
        <v>166</v>
      </c>
      <c r="G51" s="37" t="s">
        <v>1</v>
      </c>
      <c r="H51" s="60">
        <f>[8]副本!G102</f>
        <v>982.15500000000793</v>
      </c>
      <c r="I51" s="60">
        <f>H51</f>
        <v>982.15500000000793</v>
      </c>
      <c r="J51" s="37"/>
      <c r="K51" s="61"/>
      <c r="L51" s="61">
        <v>0</v>
      </c>
      <c r="M51" s="62">
        <v>5000</v>
      </c>
      <c r="N51" s="69" t="s">
        <v>42</v>
      </c>
      <c r="O51" s="70" t="s">
        <v>41</v>
      </c>
      <c r="P51" s="59" t="s">
        <v>40</v>
      </c>
    </row>
    <row r="52" spans="1:17" s="48" customFormat="1" ht="42.75" customHeight="1" x14ac:dyDescent="0.15">
      <c r="A52" s="37">
        <v>20170210</v>
      </c>
      <c r="B52" s="58" t="s">
        <v>39</v>
      </c>
      <c r="C52" s="65" t="s">
        <v>19</v>
      </c>
      <c r="D52" s="37"/>
      <c r="E52" s="37"/>
      <c r="F52" s="37"/>
      <c r="G52" s="37"/>
      <c r="H52" s="60"/>
      <c r="I52" s="60"/>
      <c r="J52" s="37"/>
      <c r="K52" s="62"/>
      <c r="L52" s="61"/>
      <c r="M52" s="62">
        <v>3000</v>
      </c>
      <c r="N52" s="63"/>
      <c r="O52" s="64"/>
      <c r="P52" s="59"/>
    </row>
    <row r="53" spans="1:17" s="48" customFormat="1" ht="42.75" customHeight="1" x14ac:dyDescent="0.15">
      <c r="A53" s="37">
        <v>20170210</v>
      </c>
      <c r="B53" s="58" t="s">
        <v>38</v>
      </c>
      <c r="C53" s="65" t="s">
        <v>19</v>
      </c>
      <c r="D53" s="37" t="s">
        <v>5</v>
      </c>
      <c r="E53" s="37" t="s">
        <v>27</v>
      </c>
      <c r="F53" s="23" t="s">
        <v>165</v>
      </c>
      <c r="G53" s="37" t="s">
        <v>22</v>
      </c>
      <c r="H53" s="60">
        <f>[8]副本!G106</f>
        <v>15130.712</v>
      </c>
      <c r="I53" s="60">
        <v>0</v>
      </c>
      <c r="J53" s="37"/>
      <c r="K53" s="62"/>
      <c r="L53" s="61">
        <f>H53-I53</f>
        <v>15130.712</v>
      </c>
      <c r="M53" s="62">
        <v>25000</v>
      </c>
      <c r="N53" s="63" t="s">
        <v>37</v>
      </c>
      <c r="O53" s="64" t="s">
        <v>36</v>
      </c>
      <c r="P53" s="59" t="s">
        <v>35</v>
      </c>
    </row>
    <row r="54" spans="1:17" s="48" customFormat="1" ht="42.75" customHeight="1" x14ac:dyDescent="0.15">
      <c r="A54" s="37">
        <v>20170210</v>
      </c>
      <c r="B54" s="58" t="s">
        <v>34</v>
      </c>
      <c r="C54" s="65" t="s">
        <v>19</v>
      </c>
      <c r="D54" s="37" t="s">
        <v>5</v>
      </c>
      <c r="E54" s="37" t="s">
        <v>27</v>
      </c>
      <c r="F54" s="23" t="s">
        <v>167</v>
      </c>
      <c r="G54" s="37" t="s">
        <v>22</v>
      </c>
      <c r="H54" s="60">
        <f>[8]副本!G108</f>
        <v>30364.863000000081</v>
      </c>
      <c r="I54" s="60">
        <v>0</v>
      </c>
      <c r="J54" s="37"/>
      <c r="K54" s="62"/>
      <c r="L54" s="61">
        <f>H54-I54</f>
        <v>30364.863000000081</v>
      </c>
      <c r="M54" s="62">
        <v>50000</v>
      </c>
      <c r="N54" s="63"/>
      <c r="O54" s="64"/>
      <c r="P54" s="59"/>
    </row>
    <row r="55" spans="1:17" s="48" customFormat="1" ht="42.75" customHeight="1" x14ac:dyDescent="0.15">
      <c r="A55" s="37">
        <v>20170210</v>
      </c>
      <c r="B55" s="58" t="s">
        <v>33</v>
      </c>
      <c r="C55" s="65" t="s">
        <v>19</v>
      </c>
      <c r="D55" s="37"/>
      <c r="E55" s="37" t="s">
        <v>32</v>
      </c>
      <c r="F55" s="23" t="s">
        <v>161</v>
      </c>
      <c r="G55" s="37" t="s">
        <v>22</v>
      </c>
      <c r="H55" s="60">
        <f>[8]副本!G110</f>
        <v>2945.4590000000171</v>
      </c>
      <c r="I55" s="60">
        <f>H55-1184.528</f>
        <v>1760.9310000000171</v>
      </c>
      <c r="J55" s="37"/>
      <c r="K55" s="62"/>
      <c r="L55" s="61">
        <f>H55-I55</f>
        <v>1184.528</v>
      </c>
      <c r="M55" s="62">
        <v>4000</v>
      </c>
      <c r="N55" s="63"/>
      <c r="O55" s="64"/>
      <c r="P55" s="59" t="s">
        <v>31</v>
      </c>
    </row>
    <row r="56" spans="1:17" s="48" customFormat="1" ht="42.75" customHeight="1" x14ac:dyDescent="0.15">
      <c r="A56" s="37">
        <v>20170210</v>
      </c>
      <c r="B56" s="58" t="s">
        <v>30</v>
      </c>
      <c r="C56" s="65" t="s">
        <v>3</v>
      </c>
      <c r="D56" s="37"/>
      <c r="E56" s="37"/>
      <c r="F56" s="37"/>
      <c r="G56" s="37"/>
      <c r="H56" s="60"/>
      <c r="I56" s="60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42.75" customHeight="1" x14ac:dyDescent="0.15">
      <c r="A57" s="37">
        <v>20170210</v>
      </c>
      <c r="B57" s="58" t="s">
        <v>29</v>
      </c>
      <c r="C57" s="65" t="s">
        <v>3</v>
      </c>
      <c r="D57" s="37"/>
      <c r="E57" s="37"/>
      <c r="F57" s="37"/>
      <c r="G57" s="37"/>
      <c r="H57" s="60"/>
      <c r="I57" s="37"/>
      <c r="J57" s="37"/>
      <c r="K57" s="62"/>
      <c r="L57" s="61"/>
      <c r="M57" s="62">
        <v>37000</v>
      </c>
      <c r="N57" s="63"/>
      <c r="O57" s="64"/>
      <c r="P57" s="59"/>
    </row>
    <row r="58" spans="1:17" s="48" customFormat="1" ht="42.75" customHeight="1" x14ac:dyDescent="0.15">
      <c r="A58" s="37">
        <v>20170210</v>
      </c>
      <c r="B58" s="58" t="s">
        <v>28</v>
      </c>
      <c r="C58" s="65" t="s">
        <v>19</v>
      </c>
      <c r="D58" s="37" t="s">
        <v>5</v>
      </c>
      <c r="E58" s="37" t="s">
        <v>27</v>
      </c>
      <c r="F58" s="23" t="s">
        <v>168</v>
      </c>
      <c r="G58" s="37" t="s">
        <v>22</v>
      </c>
      <c r="H58" s="60">
        <f>[8]副本!G118</f>
        <v>1767.3689999999997</v>
      </c>
      <c r="I58" s="60">
        <v>0</v>
      </c>
      <c r="J58" s="37"/>
      <c r="K58" s="61"/>
      <c r="L58" s="61">
        <f>H58-I58</f>
        <v>1767.3689999999997</v>
      </c>
      <c r="M58" s="62">
        <v>10000</v>
      </c>
      <c r="N58" s="63"/>
      <c r="O58" s="64"/>
      <c r="P58" s="59"/>
      <c r="Q58" s="49"/>
    </row>
    <row r="59" spans="1:17" s="48" customFormat="1" ht="42.75" customHeight="1" x14ac:dyDescent="0.15">
      <c r="A59" s="37">
        <v>20170210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169</v>
      </c>
      <c r="G59" s="37" t="s">
        <v>22</v>
      </c>
      <c r="H59" s="60">
        <f>[8]副本!G120</f>
        <v>0</v>
      </c>
      <c r="I59" s="60">
        <f>H59</f>
        <v>0</v>
      </c>
      <c r="J59" s="37"/>
      <c r="K59" s="61"/>
      <c r="L59" s="61">
        <f>H59-I59</f>
        <v>0</v>
      </c>
      <c r="M59" s="62">
        <v>15000</v>
      </c>
      <c r="N59" s="63"/>
      <c r="O59" s="64"/>
      <c r="P59" s="59"/>
      <c r="Q59" s="49"/>
    </row>
    <row r="60" spans="1:17" s="48" customFormat="1" ht="42.75" customHeight="1" x14ac:dyDescent="0.15">
      <c r="A60" s="37">
        <v>20170210</v>
      </c>
      <c r="B60" s="58" t="s">
        <v>26</v>
      </c>
      <c r="C60" s="65" t="s">
        <v>3</v>
      </c>
      <c r="D60" s="37" t="s">
        <v>5</v>
      </c>
      <c r="E60" s="37" t="s">
        <v>2</v>
      </c>
      <c r="F60" s="23" t="s">
        <v>170</v>
      </c>
      <c r="G60" s="37" t="s">
        <v>22</v>
      </c>
      <c r="H60" s="60">
        <f>[8]副本!G121</f>
        <v>37.760000000000218</v>
      </c>
      <c r="I60" s="60">
        <f>H60</f>
        <v>37.760000000000218</v>
      </c>
      <c r="J60" s="37"/>
      <c r="K60" s="62"/>
      <c r="L60" s="61">
        <f>H60-I60</f>
        <v>0</v>
      </c>
      <c r="M60" s="62">
        <v>15000</v>
      </c>
      <c r="N60" s="63"/>
      <c r="O60" s="64"/>
      <c r="P60" s="59" t="s">
        <v>185</v>
      </c>
      <c r="Q60" s="49"/>
    </row>
    <row r="61" spans="1:17" s="48" customFormat="1" ht="42.75" customHeight="1" x14ac:dyDescent="0.15">
      <c r="A61" s="37">
        <v>20170210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171</v>
      </c>
      <c r="G61" s="37" t="s">
        <v>22</v>
      </c>
      <c r="H61" s="60">
        <f>[8]副本!G123</f>
        <v>6403.4309999999969</v>
      </c>
      <c r="I61" s="60">
        <f>H61</f>
        <v>6403.4309999999969</v>
      </c>
      <c r="J61" s="37"/>
      <c r="K61" s="62">
        <v>650</v>
      </c>
      <c r="L61" s="61"/>
      <c r="M61" s="62">
        <v>43000</v>
      </c>
      <c r="N61" s="63"/>
      <c r="O61" s="64"/>
      <c r="P61" s="59" t="s">
        <v>193</v>
      </c>
      <c r="Q61" s="49"/>
    </row>
    <row r="62" spans="1:17" s="48" customFormat="1" ht="42.75" customHeight="1" x14ac:dyDescent="0.15">
      <c r="A62" s="37">
        <v>20170210</v>
      </c>
      <c r="B62" s="58" t="s">
        <v>23</v>
      </c>
      <c r="C62" s="58" t="s">
        <v>19</v>
      </c>
      <c r="D62" s="37" t="s">
        <v>5</v>
      </c>
      <c r="E62" s="37" t="s">
        <v>2</v>
      </c>
      <c r="F62" s="23" t="s">
        <v>172</v>
      </c>
      <c r="G62" s="37"/>
      <c r="H62" s="60">
        <f>[8]副本!G124</f>
        <v>516.61999999999989</v>
      </c>
      <c r="I62" s="60">
        <f>H62</f>
        <v>516.61999999999989</v>
      </c>
      <c r="J62" s="37"/>
      <c r="K62" s="37"/>
      <c r="L62" s="61"/>
      <c r="M62" s="62"/>
      <c r="N62" s="63"/>
      <c r="O62" s="64"/>
      <c r="P62" s="59" t="s">
        <v>21</v>
      </c>
      <c r="Q62" s="49"/>
    </row>
    <row r="63" spans="1:17" s="48" customFormat="1" ht="42.75" customHeight="1" x14ac:dyDescent="0.15">
      <c r="A63" s="37">
        <v>20170210</v>
      </c>
      <c r="B63" s="58" t="s">
        <v>20</v>
      </c>
      <c r="C63" s="58" t="s">
        <v>19</v>
      </c>
      <c r="D63" s="37" t="s">
        <v>5</v>
      </c>
      <c r="E63" s="37"/>
      <c r="F63" s="37"/>
      <c r="G63" s="37"/>
      <c r="H63" s="60"/>
      <c r="I63" s="60"/>
      <c r="J63" s="37"/>
      <c r="K63" s="62"/>
      <c r="L63" s="61"/>
      <c r="M63" s="62"/>
      <c r="N63" s="63"/>
      <c r="O63" s="64"/>
      <c r="P63" s="59"/>
      <c r="Q63" s="49"/>
    </row>
    <row r="64" spans="1:17" s="48" customFormat="1" ht="42.75" customHeight="1" x14ac:dyDescent="0.15">
      <c r="A64" s="37">
        <v>20170210</v>
      </c>
      <c r="B64" s="58" t="s">
        <v>18</v>
      </c>
      <c r="C64" s="65" t="s">
        <v>3</v>
      </c>
      <c r="D64" s="37"/>
      <c r="E64" s="37" t="s">
        <v>207</v>
      </c>
      <c r="F64" s="23" t="s">
        <v>197</v>
      </c>
      <c r="G64" s="37" t="s">
        <v>1</v>
      </c>
      <c r="H64" s="60">
        <f>[8]副本!G128</f>
        <v>8339.3289999999961</v>
      </c>
      <c r="I64" s="60">
        <f>H64-8339.329</f>
        <v>0</v>
      </c>
      <c r="J64" s="37"/>
      <c r="K64" s="62"/>
      <c r="L64" s="61">
        <f>H64-I64</f>
        <v>8339.3289999999961</v>
      </c>
      <c r="M64" s="62">
        <v>20000</v>
      </c>
      <c r="N64" s="63"/>
      <c r="O64" s="64"/>
      <c r="P64" s="59"/>
    </row>
    <row r="65" spans="1:16" s="48" customFormat="1" ht="42.75" customHeight="1" x14ac:dyDescent="0.15">
      <c r="A65" s="37">
        <v>20170210</v>
      </c>
      <c r="B65" s="58" t="s">
        <v>17</v>
      </c>
      <c r="C65" s="65" t="s">
        <v>3</v>
      </c>
      <c r="D65" s="37"/>
      <c r="E65" s="37" t="s">
        <v>9</v>
      </c>
      <c r="F65" s="23" t="s">
        <v>175</v>
      </c>
      <c r="G65" s="37" t="s">
        <v>1</v>
      </c>
      <c r="H65" s="60">
        <f>[8]副本!G130</f>
        <v>13987.876000000004</v>
      </c>
      <c r="I65" s="60">
        <f>H65-4751.949+4751.949</f>
        <v>13987.876000000004</v>
      </c>
      <c r="J65" s="37"/>
      <c r="K65" s="62"/>
      <c r="L65" s="61">
        <f>H65-I65</f>
        <v>0</v>
      </c>
      <c r="M65" s="62">
        <v>30000</v>
      </c>
      <c r="N65" s="63"/>
      <c r="O65" s="64"/>
      <c r="P65" s="59" t="s">
        <v>184</v>
      </c>
    </row>
    <row r="66" spans="1:16" s="48" customFormat="1" ht="42.75" customHeight="1" x14ac:dyDescent="0.15">
      <c r="A66" s="37">
        <v>20170210</v>
      </c>
      <c r="B66" s="58" t="s">
        <v>17</v>
      </c>
      <c r="C66" s="65" t="s">
        <v>3</v>
      </c>
      <c r="D66" s="37"/>
      <c r="E66" s="37" t="s">
        <v>9</v>
      </c>
      <c r="F66" s="23" t="s">
        <v>158</v>
      </c>
      <c r="G66" s="37" t="s">
        <v>1</v>
      </c>
      <c r="H66" s="60">
        <f>[8]副本!G131</f>
        <v>9946.3690000000006</v>
      </c>
      <c r="I66" s="60">
        <f>H66</f>
        <v>9946.3690000000006</v>
      </c>
      <c r="J66" s="37"/>
      <c r="K66" s="62"/>
      <c r="L66" s="61">
        <f>H66-I66</f>
        <v>0</v>
      </c>
      <c r="M66" s="62">
        <v>30000</v>
      </c>
      <c r="N66" s="63"/>
      <c r="O66" s="64"/>
      <c r="P66" s="66" t="s">
        <v>15</v>
      </c>
    </row>
    <row r="67" spans="1:16" s="48" customFormat="1" ht="42.75" customHeight="1" x14ac:dyDescent="0.15">
      <c r="A67" s="37">
        <v>20170210</v>
      </c>
      <c r="B67" s="58" t="s">
        <v>14</v>
      </c>
      <c r="C67" s="65" t="s">
        <v>3</v>
      </c>
      <c r="D67" s="37" t="s">
        <v>5</v>
      </c>
      <c r="E67" s="37" t="s">
        <v>2</v>
      </c>
      <c r="F67" s="23" t="s">
        <v>174</v>
      </c>
      <c r="G67" s="37" t="s">
        <v>1</v>
      </c>
      <c r="H67" s="60">
        <f>[8]副本!G133</f>
        <v>14976.093999999999</v>
      </c>
      <c r="I67" s="60">
        <f>H67-14976.094</f>
        <v>0</v>
      </c>
      <c r="J67" s="37"/>
      <c r="K67" s="62">
        <v>350</v>
      </c>
      <c r="L67" s="61">
        <f>H67-I67</f>
        <v>14976.093999999999</v>
      </c>
      <c r="M67" s="62">
        <v>20000</v>
      </c>
      <c r="N67" s="63" t="s">
        <v>13</v>
      </c>
      <c r="O67" s="64" t="s">
        <v>12</v>
      </c>
      <c r="P67" s="59" t="s">
        <v>11</v>
      </c>
    </row>
    <row r="68" spans="1:16" s="48" customFormat="1" ht="42.75" customHeight="1" x14ac:dyDescent="0.15">
      <c r="A68" s="37">
        <v>20170210</v>
      </c>
      <c r="B68" s="58" t="s">
        <v>10</v>
      </c>
      <c r="C68" s="65" t="s">
        <v>3</v>
      </c>
      <c r="D68" s="37"/>
      <c r="E68" s="37" t="s">
        <v>9</v>
      </c>
      <c r="F68" s="23" t="s">
        <v>158</v>
      </c>
      <c r="G68" s="37" t="s">
        <v>1</v>
      </c>
      <c r="H68" s="60">
        <f>[8]副本!G135</f>
        <v>20204.884999999973</v>
      </c>
      <c r="I68" s="60">
        <f>H68</f>
        <v>20204.884999999973</v>
      </c>
      <c r="J68" s="37"/>
      <c r="K68" s="62"/>
      <c r="L68" s="61">
        <v>0</v>
      </c>
      <c r="M68" s="62">
        <v>30000</v>
      </c>
      <c r="N68" s="63"/>
      <c r="O68" s="64"/>
      <c r="P68" s="59"/>
    </row>
    <row r="69" spans="1:16" s="48" customFormat="1" ht="42.75" customHeight="1" x14ac:dyDescent="0.15">
      <c r="A69" s="37">
        <v>20170210</v>
      </c>
      <c r="B69" s="58" t="s">
        <v>8</v>
      </c>
      <c r="C69" s="65" t="s">
        <v>3</v>
      </c>
      <c r="D69" s="37"/>
      <c r="E69" s="37"/>
      <c r="F69" s="59"/>
      <c r="G69" s="37"/>
      <c r="H69" s="60"/>
      <c r="I69" s="60"/>
      <c r="J69" s="37"/>
      <c r="K69" s="62"/>
      <c r="L69" s="61"/>
      <c r="M69" s="62">
        <v>20000</v>
      </c>
      <c r="N69" s="63"/>
      <c r="O69" s="64"/>
      <c r="P69" s="37"/>
    </row>
    <row r="70" spans="1:16" s="48" customFormat="1" ht="42.75" customHeight="1" x14ac:dyDescent="0.15">
      <c r="A70" s="37">
        <v>20170210</v>
      </c>
      <c r="B70" s="58" t="s">
        <v>7</v>
      </c>
      <c r="C70" s="65" t="s">
        <v>3</v>
      </c>
      <c r="D70" s="37"/>
      <c r="E70" s="37"/>
      <c r="F70" s="37"/>
      <c r="G70" s="37"/>
      <c r="H70" s="60"/>
      <c r="I70" s="60"/>
      <c r="J70" s="37"/>
      <c r="K70" s="62"/>
      <c r="L70" s="61"/>
      <c r="M70" s="62">
        <v>15000</v>
      </c>
      <c r="N70" s="63"/>
      <c r="O70" s="64"/>
      <c r="P70" s="59"/>
    </row>
    <row r="71" spans="1:16" s="48" customFormat="1" ht="42.75" customHeight="1" x14ac:dyDescent="0.15">
      <c r="A71" s="37">
        <v>20170210</v>
      </c>
      <c r="B71" s="58" t="s">
        <v>6</v>
      </c>
      <c r="C71" s="65" t="s">
        <v>3</v>
      </c>
      <c r="D71" s="37" t="s">
        <v>5</v>
      </c>
      <c r="E71" s="37" t="s">
        <v>2</v>
      </c>
      <c r="F71" s="23" t="s">
        <v>171</v>
      </c>
      <c r="G71" s="37" t="s">
        <v>1</v>
      </c>
      <c r="H71" s="60">
        <f>[8]副本!G142</f>
        <v>12005.106</v>
      </c>
      <c r="I71" s="60">
        <f>H71-12005.106</f>
        <v>0</v>
      </c>
      <c r="J71" s="37"/>
      <c r="K71" s="62"/>
      <c r="L71" s="61">
        <f>H71-I71</f>
        <v>12005.106</v>
      </c>
      <c r="M71" s="62">
        <v>15000</v>
      </c>
      <c r="N71" s="63"/>
      <c r="O71" s="64"/>
      <c r="P71" s="59"/>
    </row>
    <row r="72" spans="1:16" s="48" customFormat="1" ht="42.75" customHeight="1" x14ac:dyDescent="0.15">
      <c r="A72" s="37">
        <v>20170210</v>
      </c>
      <c r="B72" s="58" t="s">
        <v>4</v>
      </c>
      <c r="C72" s="65" t="s">
        <v>3</v>
      </c>
      <c r="D72" s="37"/>
      <c r="E72" s="37" t="s">
        <v>2</v>
      </c>
      <c r="F72" s="23" t="s">
        <v>170</v>
      </c>
      <c r="G72" s="37" t="s">
        <v>1</v>
      </c>
      <c r="H72" s="60">
        <f>[8]副本!G144</f>
        <v>4289.2299999999987</v>
      </c>
      <c r="I72" s="60">
        <f>H72</f>
        <v>4289.2299999999987</v>
      </c>
      <c r="J72" s="37"/>
      <c r="K72" s="62"/>
      <c r="L72" s="61">
        <f>H72-I72</f>
        <v>0</v>
      </c>
      <c r="M72" s="62">
        <v>15000</v>
      </c>
      <c r="N72" s="63"/>
      <c r="O72" s="64"/>
      <c r="P72" s="59" t="s">
        <v>192</v>
      </c>
    </row>
    <row r="78" spans="1:16" x14ac:dyDescent="0.15">
      <c r="L78" s="47"/>
    </row>
    <row r="230" spans="7:8" x14ac:dyDescent="0.15">
      <c r="G230" s="39"/>
      <c r="H230" s="39"/>
    </row>
  </sheetData>
  <autoFilter ref="B1:I72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65" activePane="bottomRight" state="frozen"/>
      <selection pane="topRight"/>
      <selection pane="bottomLeft"/>
      <selection pane="bottomRight" activeCell="F71" sqref="F71:F72"/>
    </sheetView>
  </sheetViews>
  <sheetFormatPr defaultColWidth="8.875" defaultRowHeight="11.25" x14ac:dyDescent="0.15"/>
  <cols>
    <col min="1" max="1" width="8.875" style="38"/>
    <col min="2" max="2" width="5.875" style="39" customWidth="1"/>
    <col min="3" max="3" width="8.25" style="46" customWidth="1"/>
    <col min="4" max="4" width="4.625" style="45" customWidth="1"/>
    <col min="5" max="5" width="9.375" style="39" customWidth="1"/>
    <col min="6" max="6" width="27.625" style="39" customWidth="1"/>
    <col min="7" max="7" width="5.25" style="45" customWidth="1"/>
    <col min="8" max="8" width="10.125" style="44" customWidth="1"/>
    <col min="9" max="9" width="9.625" style="44" customWidth="1"/>
    <col min="10" max="10" width="8.25" style="38" hidden="1" customWidth="1"/>
    <col min="11" max="11" width="7" style="43" customWidth="1"/>
    <col min="12" max="12" width="8.375" style="42" customWidth="1"/>
    <col min="13" max="13" width="6" style="41" bestFit="1" customWidth="1"/>
    <col min="14" max="14" width="8.75" style="40" customWidth="1"/>
    <col min="15" max="15" width="8.25" style="40" customWidth="1"/>
    <col min="16" max="16" width="28.5" style="39" customWidth="1"/>
    <col min="17" max="16384" width="8.875" style="38"/>
  </cols>
  <sheetData>
    <row r="1" spans="1:17" s="48" customFormat="1" ht="22.5" x14ac:dyDescent="0.15">
      <c r="A1" s="50" t="s">
        <v>145</v>
      </c>
      <c r="B1" s="51" t="s">
        <v>144</v>
      </c>
      <c r="C1" s="50" t="s">
        <v>143</v>
      </c>
      <c r="D1" s="50" t="s">
        <v>142</v>
      </c>
      <c r="E1" s="50" t="s">
        <v>141</v>
      </c>
      <c r="F1" s="50" t="s">
        <v>177</v>
      </c>
      <c r="G1" s="52" t="s">
        <v>139</v>
      </c>
      <c r="H1" s="53" t="s">
        <v>138</v>
      </c>
      <c r="I1" s="54" t="s">
        <v>137</v>
      </c>
      <c r="J1" s="50"/>
      <c r="K1" s="55" t="s">
        <v>136</v>
      </c>
      <c r="L1" s="56" t="s">
        <v>135</v>
      </c>
      <c r="M1" s="55" t="s">
        <v>134</v>
      </c>
      <c r="N1" s="57" t="s">
        <v>133</v>
      </c>
      <c r="O1" s="57" t="s">
        <v>132</v>
      </c>
      <c r="P1" s="50" t="s">
        <v>131</v>
      </c>
    </row>
    <row r="2" spans="1:17" s="48" customFormat="1" ht="33" customHeight="1" x14ac:dyDescent="0.15">
      <c r="A2" s="37">
        <v>20170213</v>
      </c>
      <c r="B2" s="58" t="s">
        <v>130</v>
      </c>
      <c r="C2" s="65" t="s">
        <v>44</v>
      </c>
      <c r="D2" s="58"/>
      <c r="E2" s="37" t="s">
        <v>117</v>
      </c>
      <c r="F2" s="37" t="s">
        <v>178</v>
      </c>
      <c r="G2" s="59" t="s">
        <v>1</v>
      </c>
      <c r="H2" s="60"/>
      <c r="I2" s="60"/>
      <c r="J2" s="37"/>
      <c r="K2" s="62"/>
      <c r="L2" s="61"/>
      <c r="M2" s="62">
        <v>2000</v>
      </c>
      <c r="N2" s="63" t="s">
        <v>120</v>
      </c>
      <c r="O2" s="64" t="s">
        <v>89</v>
      </c>
      <c r="P2" s="59"/>
    </row>
    <row r="3" spans="1:17" s="48" customFormat="1" ht="33" customHeight="1" x14ac:dyDescent="0.15">
      <c r="A3" s="37">
        <v>20170213</v>
      </c>
      <c r="B3" s="58" t="s">
        <v>129</v>
      </c>
      <c r="C3" s="65" t="s">
        <v>44</v>
      </c>
      <c r="D3" s="58"/>
      <c r="E3" s="37" t="s">
        <v>86</v>
      </c>
      <c r="F3" s="23" t="s">
        <v>156</v>
      </c>
      <c r="G3" s="59" t="s">
        <v>1</v>
      </c>
      <c r="H3" s="60">
        <f>[9]副本!G6</f>
        <v>501.47899999999993</v>
      </c>
      <c r="I3" s="60">
        <f>H3</f>
        <v>501.47899999999993</v>
      </c>
      <c r="J3" s="37"/>
      <c r="K3" s="62"/>
      <c r="L3" s="61">
        <f>H3-I3</f>
        <v>0</v>
      </c>
      <c r="M3" s="62">
        <v>1500</v>
      </c>
      <c r="N3" s="63"/>
      <c r="O3" s="64"/>
      <c r="P3" s="59"/>
    </row>
    <row r="4" spans="1:17" s="48" customFormat="1" ht="33" customHeight="1" x14ac:dyDescent="0.15">
      <c r="A4" s="37">
        <v>20170213</v>
      </c>
      <c r="B4" s="58" t="s">
        <v>128</v>
      </c>
      <c r="C4" s="65" t="s">
        <v>44</v>
      </c>
      <c r="D4" s="58"/>
      <c r="E4" s="37" t="s">
        <v>43</v>
      </c>
      <c r="F4" s="37" t="s">
        <v>157</v>
      </c>
      <c r="G4" s="59" t="s">
        <v>1</v>
      </c>
      <c r="H4" s="60">
        <f>[9]副本!G8</f>
        <v>1383.3429999999958</v>
      </c>
      <c r="I4" s="60">
        <f>H4</f>
        <v>1383.3429999999958</v>
      </c>
      <c r="J4" s="37"/>
      <c r="K4" s="61"/>
      <c r="L4" s="61">
        <v>0</v>
      </c>
      <c r="M4" s="62">
        <v>2000</v>
      </c>
      <c r="N4" s="63" t="s">
        <v>127</v>
      </c>
      <c r="O4" s="64" t="s">
        <v>126</v>
      </c>
      <c r="P4" s="59" t="s">
        <v>122</v>
      </c>
    </row>
    <row r="5" spans="1:17" s="48" customFormat="1" ht="33" customHeight="1" x14ac:dyDescent="0.15">
      <c r="A5" s="37">
        <v>20170213</v>
      </c>
      <c r="B5" s="58" t="s">
        <v>125</v>
      </c>
      <c r="C5" s="65" t="s">
        <v>44</v>
      </c>
      <c r="D5" s="37"/>
      <c r="E5" s="37" t="s">
        <v>117</v>
      </c>
      <c r="F5" s="37" t="s">
        <v>148</v>
      </c>
      <c r="G5" s="59" t="s">
        <v>1</v>
      </c>
      <c r="H5" s="60">
        <f>[9]副本!G10</f>
        <v>1648.2440000000297</v>
      </c>
      <c r="I5" s="60">
        <f>H5</f>
        <v>1648.2440000000297</v>
      </c>
      <c r="J5" s="37"/>
      <c r="K5" s="62"/>
      <c r="L5" s="61">
        <f>H5-I5</f>
        <v>0</v>
      </c>
      <c r="M5" s="62">
        <v>2000</v>
      </c>
      <c r="N5" s="63" t="s">
        <v>123</v>
      </c>
      <c r="O5" s="64" t="s">
        <v>89</v>
      </c>
      <c r="P5" s="59" t="s">
        <v>212</v>
      </c>
    </row>
    <row r="6" spans="1:17" s="48" customFormat="1" ht="33" customHeight="1" x14ac:dyDescent="0.15">
      <c r="A6" s="37">
        <v>20170213</v>
      </c>
      <c r="B6" s="58" t="s">
        <v>121</v>
      </c>
      <c r="C6" s="65" t="s">
        <v>44</v>
      </c>
      <c r="D6" s="37"/>
      <c r="E6" s="37" t="s">
        <v>117</v>
      </c>
      <c r="F6" s="37" t="s">
        <v>149</v>
      </c>
      <c r="G6" s="59" t="s">
        <v>1</v>
      </c>
      <c r="H6" s="60"/>
      <c r="I6" s="60"/>
      <c r="J6" s="37"/>
      <c r="K6" s="62"/>
      <c r="L6" s="61"/>
      <c r="M6" s="62">
        <v>3000</v>
      </c>
      <c r="N6" s="63" t="s">
        <v>120</v>
      </c>
      <c r="O6" s="64" t="s">
        <v>89</v>
      </c>
      <c r="P6" s="59"/>
      <c r="Q6" s="49"/>
    </row>
    <row r="7" spans="1:17" s="48" customFormat="1" ht="33" customHeight="1" x14ac:dyDescent="0.15">
      <c r="A7" s="37">
        <v>20170213</v>
      </c>
      <c r="B7" s="58" t="s">
        <v>118</v>
      </c>
      <c r="C7" s="65" t="s">
        <v>44</v>
      </c>
      <c r="D7" s="37"/>
      <c r="E7" s="37" t="s">
        <v>117</v>
      </c>
      <c r="F7" s="37" t="s">
        <v>148</v>
      </c>
      <c r="G7" s="37" t="s">
        <v>1</v>
      </c>
      <c r="H7" s="60">
        <f>[9]副本!G14</f>
        <v>19.135000000000218</v>
      </c>
      <c r="I7" s="60">
        <f t="shared" ref="I7:I13" si="0">H7</f>
        <v>19.135000000000218</v>
      </c>
      <c r="J7" s="37"/>
      <c r="K7" s="62"/>
      <c r="L7" s="61">
        <f>H7-I7</f>
        <v>0</v>
      </c>
      <c r="M7" s="62">
        <v>3000</v>
      </c>
      <c r="N7" s="63"/>
      <c r="O7" s="64"/>
      <c r="P7" s="59" t="s">
        <v>210</v>
      </c>
      <c r="Q7" s="49"/>
    </row>
    <row r="8" spans="1:17" s="48" customFormat="1" ht="33" customHeight="1" x14ac:dyDescent="0.15">
      <c r="A8" s="37">
        <v>20170213</v>
      </c>
      <c r="B8" s="58" t="s">
        <v>115</v>
      </c>
      <c r="C8" s="65" t="s">
        <v>44</v>
      </c>
      <c r="D8" s="37"/>
      <c r="E8" s="37" t="s">
        <v>114</v>
      </c>
      <c r="F8" s="23" t="s">
        <v>150</v>
      </c>
      <c r="G8" s="37" t="s">
        <v>1</v>
      </c>
      <c r="H8" s="60">
        <f>[9]副本!G16</f>
        <v>1811.6090000000002</v>
      </c>
      <c r="I8" s="60">
        <f t="shared" si="0"/>
        <v>1811.6090000000002</v>
      </c>
      <c r="J8" s="37"/>
      <c r="K8" s="62"/>
      <c r="L8" s="61">
        <v>0</v>
      </c>
      <c r="M8" s="62">
        <v>3000</v>
      </c>
      <c r="N8" s="63"/>
      <c r="O8" s="64"/>
      <c r="P8" s="59" t="s">
        <v>103</v>
      </c>
    </row>
    <row r="9" spans="1:17" s="48" customFormat="1" ht="33" customHeight="1" x14ac:dyDescent="0.15">
      <c r="A9" s="37">
        <v>20170213</v>
      </c>
      <c r="B9" s="58" t="s">
        <v>113</v>
      </c>
      <c r="C9" s="65" t="s">
        <v>3</v>
      </c>
      <c r="D9" s="37"/>
      <c r="E9" s="37" t="s">
        <v>112</v>
      </c>
      <c r="F9" s="23" t="s">
        <v>151</v>
      </c>
      <c r="G9" s="37" t="s">
        <v>1</v>
      </c>
      <c r="H9" s="37">
        <f>[9]副本!G18</f>
        <v>1322.4749999999999</v>
      </c>
      <c r="I9" s="60">
        <f t="shared" si="0"/>
        <v>1322.4749999999999</v>
      </c>
      <c r="J9" s="37"/>
      <c r="K9" s="62">
        <v>100</v>
      </c>
      <c r="L9" s="61">
        <f>H9-I9</f>
        <v>0</v>
      </c>
      <c r="M9" s="62">
        <v>5000</v>
      </c>
      <c r="N9" s="63" t="s">
        <v>111</v>
      </c>
      <c r="O9" s="64" t="s">
        <v>110</v>
      </c>
      <c r="P9" s="52" t="s">
        <v>109</v>
      </c>
    </row>
    <row r="10" spans="1:17" s="48" customFormat="1" ht="33" customHeight="1" x14ac:dyDescent="0.15">
      <c r="A10" s="37">
        <v>20170213</v>
      </c>
      <c r="B10" s="58" t="s">
        <v>108</v>
      </c>
      <c r="C10" s="37" t="s">
        <v>44</v>
      </c>
      <c r="D10" s="37"/>
      <c r="E10" s="37" t="s">
        <v>71</v>
      </c>
      <c r="F10" s="23" t="s">
        <v>152</v>
      </c>
      <c r="G10" s="37" t="s">
        <v>1</v>
      </c>
      <c r="H10" s="60">
        <f>[9]副本!G20</f>
        <v>1.5219999999999345</v>
      </c>
      <c r="I10" s="60">
        <f t="shared" si="0"/>
        <v>1.5219999999999345</v>
      </c>
      <c r="J10" s="37"/>
      <c r="K10" s="62"/>
      <c r="L10" s="61">
        <f>H10-I10</f>
        <v>0</v>
      </c>
      <c r="M10" s="62">
        <v>1500</v>
      </c>
      <c r="N10" s="63"/>
      <c r="O10" s="64"/>
      <c r="P10" s="59" t="s">
        <v>107</v>
      </c>
    </row>
    <row r="11" spans="1:17" s="48" customFormat="1" ht="33" customHeight="1" x14ac:dyDescent="0.15">
      <c r="A11" s="37">
        <v>20170213</v>
      </c>
      <c r="B11" s="58" t="s">
        <v>108</v>
      </c>
      <c r="C11" s="37" t="s">
        <v>44</v>
      </c>
      <c r="D11" s="37"/>
      <c r="E11" s="37" t="s">
        <v>71</v>
      </c>
      <c r="F11" s="23" t="s">
        <v>153</v>
      </c>
      <c r="G11" s="37" t="s">
        <v>1</v>
      </c>
      <c r="H11" s="60">
        <f>[9]副本!G21</f>
        <v>3.999999999996362E-2</v>
      </c>
      <c r="I11" s="60">
        <f t="shared" si="0"/>
        <v>3.999999999996362E-2</v>
      </c>
      <c r="J11" s="37"/>
      <c r="K11" s="62"/>
      <c r="L11" s="61">
        <f>H11-I11</f>
        <v>0</v>
      </c>
      <c r="M11" s="62">
        <v>1500</v>
      </c>
      <c r="N11" s="63"/>
      <c r="O11" s="64"/>
      <c r="P11" s="59" t="s">
        <v>106</v>
      </c>
    </row>
    <row r="12" spans="1:17" s="48" customFormat="1" ht="33" customHeight="1" x14ac:dyDescent="0.15">
      <c r="A12" s="37">
        <v>20170213</v>
      </c>
      <c r="B12" s="58" t="s">
        <v>108</v>
      </c>
      <c r="C12" s="37" t="s">
        <v>44</v>
      </c>
      <c r="D12" s="37"/>
      <c r="E12" s="37" t="s">
        <v>71</v>
      </c>
      <c r="F12" s="23" t="s">
        <v>154</v>
      </c>
      <c r="G12" s="37" t="s">
        <v>1</v>
      </c>
      <c r="H12" s="60">
        <f>[9]副本!G22</f>
        <v>1000</v>
      </c>
      <c r="I12" s="60">
        <f t="shared" si="0"/>
        <v>1000</v>
      </c>
      <c r="J12" s="37"/>
      <c r="K12" s="62"/>
      <c r="L12" s="61">
        <f>H12-I12</f>
        <v>0</v>
      </c>
      <c r="M12" s="62">
        <v>1500</v>
      </c>
      <c r="N12" s="63"/>
      <c r="O12" s="64"/>
      <c r="P12" s="59" t="s">
        <v>106</v>
      </c>
    </row>
    <row r="13" spans="1:17" s="48" customFormat="1" ht="33" customHeight="1" x14ac:dyDescent="0.15">
      <c r="A13" s="37">
        <v>20170213</v>
      </c>
      <c r="B13" s="58" t="s">
        <v>105</v>
      </c>
      <c r="C13" s="37" t="s">
        <v>44</v>
      </c>
      <c r="D13" s="37"/>
      <c r="E13" s="37" t="s">
        <v>86</v>
      </c>
      <c r="F13" s="23" t="s">
        <v>155</v>
      </c>
      <c r="G13" s="37" t="s">
        <v>1</v>
      </c>
      <c r="H13" s="60">
        <f>[9]副本!G24</f>
        <v>1502.1479999999999</v>
      </c>
      <c r="I13" s="60">
        <f t="shared" si="0"/>
        <v>1502.1479999999999</v>
      </c>
      <c r="J13" s="37"/>
      <c r="K13" s="62"/>
      <c r="L13" s="61">
        <f>H13-I13</f>
        <v>0</v>
      </c>
      <c r="M13" s="62">
        <v>1500</v>
      </c>
      <c r="N13" s="63"/>
      <c r="O13" s="64"/>
      <c r="P13" s="59"/>
    </row>
    <row r="14" spans="1:17" s="48" customFormat="1" ht="33" customHeight="1" x14ac:dyDescent="0.15">
      <c r="A14" s="37">
        <v>20170213</v>
      </c>
      <c r="B14" s="58" t="s">
        <v>104</v>
      </c>
      <c r="C14" s="65" t="s">
        <v>19</v>
      </c>
      <c r="D14" s="37"/>
      <c r="E14" s="37" t="s">
        <v>114</v>
      </c>
      <c r="F14" s="37"/>
      <c r="G14" s="37"/>
      <c r="H14" s="60"/>
      <c r="I14" s="60"/>
      <c r="J14" s="37"/>
      <c r="K14" s="62"/>
      <c r="L14" s="61"/>
      <c r="M14" s="62">
        <v>1500</v>
      </c>
      <c r="N14" s="63"/>
      <c r="O14" s="64"/>
      <c r="P14" s="59"/>
      <c r="Q14" s="49"/>
    </row>
    <row r="15" spans="1:17" s="48" customFormat="1" ht="33" customHeight="1" x14ac:dyDescent="0.15">
      <c r="A15" s="37">
        <v>20170213</v>
      </c>
      <c r="B15" s="58" t="s">
        <v>102</v>
      </c>
      <c r="C15" s="65" t="s">
        <v>19</v>
      </c>
      <c r="D15" s="37"/>
      <c r="E15" s="37"/>
      <c r="F15" s="37"/>
      <c r="G15" s="37"/>
      <c r="H15" s="60"/>
      <c r="I15" s="60"/>
      <c r="J15" s="37"/>
      <c r="K15" s="61"/>
      <c r="L15" s="61"/>
      <c r="M15" s="62">
        <v>1500</v>
      </c>
      <c r="N15" s="63"/>
      <c r="O15" s="64"/>
      <c r="P15" s="59"/>
    </row>
    <row r="16" spans="1:17" s="48" customFormat="1" ht="33" customHeight="1" x14ac:dyDescent="0.15">
      <c r="A16" s="37">
        <v>20170213</v>
      </c>
      <c r="B16" s="58" t="s">
        <v>101</v>
      </c>
      <c r="C16" s="65" t="s">
        <v>44</v>
      </c>
      <c r="D16" s="37"/>
      <c r="E16" s="37" t="s">
        <v>71</v>
      </c>
      <c r="F16" s="23" t="s">
        <v>152</v>
      </c>
      <c r="G16" s="37" t="s">
        <v>1</v>
      </c>
      <c r="H16" s="60">
        <f>[9]副本!G30</f>
        <v>432.577</v>
      </c>
      <c r="I16" s="60">
        <f>H16</f>
        <v>432.577</v>
      </c>
      <c r="J16" s="37"/>
      <c r="K16" s="62"/>
      <c r="L16" s="61">
        <v>0</v>
      </c>
      <c r="M16" s="62">
        <v>1500</v>
      </c>
      <c r="N16" s="63"/>
      <c r="O16" s="64"/>
      <c r="P16" s="59" t="s">
        <v>226</v>
      </c>
    </row>
    <row r="17" spans="1:17" s="48" customFormat="1" ht="33" customHeight="1" x14ac:dyDescent="0.15">
      <c r="A17" s="37">
        <v>20170213</v>
      </c>
      <c r="B17" s="58" t="s">
        <v>101</v>
      </c>
      <c r="C17" s="65" t="s">
        <v>44</v>
      </c>
      <c r="D17" s="37"/>
      <c r="E17" s="37" t="s">
        <v>71</v>
      </c>
      <c r="F17" s="23" t="s">
        <v>153</v>
      </c>
      <c r="G17" s="37" t="s">
        <v>1</v>
      </c>
      <c r="H17" s="60">
        <f>[9]副本!G31</f>
        <v>385.15999999999997</v>
      </c>
      <c r="I17" s="60">
        <f>H17</f>
        <v>385.15999999999997</v>
      </c>
      <c r="J17" s="37"/>
      <c r="K17" s="62"/>
      <c r="L17" s="61"/>
      <c r="M17" s="62">
        <v>1500</v>
      </c>
      <c r="N17" s="63"/>
      <c r="O17" s="64"/>
      <c r="P17" s="73" t="s">
        <v>225</v>
      </c>
    </row>
    <row r="18" spans="1:17" s="48" customFormat="1" ht="33" customHeight="1" x14ac:dyDescent="0.15">
      <c r="A18" s="37">
        <v>20170213</v>
      </c>
      <c r="B18" s="58" t="s">
        <v>99</v>
      </c>
      <c r="C18" s="65" t="s">
        <v>93</v>
      </c>
      <c r="D18" s="37"/>
      <c r="E18" s="37" t="s">
        <v>9</v>
      </c>
      <c r="F18" s="23" t="s">
        <v>158</v>
      </c>
      <c r="G18" s="37" t="s">
        <v>1</v>
      </c>
      <c r="H18" s="60">
        <f>[9]副本!G33-H19</f>
        <v>16596.247000000018</v>
      </c>
      <c r="I18" s="60">
        <f>H18</f>
        <v>16596.247000000018</v>
      </c>
      <c r="J18" s="37"/>
      <c r="K18" s="62"/>
      <c r="L18" s="61">
        <f>H18-I18</f>
        <v>0</v>
      </c>
      <c r="M18" s="62">
        <v>21000</v>
      </c>
      <c r="N18" s="63" t="s">
        <v>90</v>
      </c>
      <c r="O18" s="64" t="s">
        <v>89</v>
      </c>
      <c r="P18" s="59" t="s">
        <v>98</v>
      </c>
    </row>
    <row r="19" spans="1:17" s="48" customFormat="1" ht="33" customHeight="1" x14ac:dyDescent="0.15">
      <c r="A19" s="37">
        <v>20170213</v>
      </c>
      <c r="B19" s="58" t="s">
        <v>99</v>
      </c>
      <c r="C19" s="65" t="s">
        <v>93</v>
      </c>
      <c r="D19" s="37"/>
      <c r="E19" s="37" t="s">
        <v>9</v>
      </c>
      <c r="F19" s="24" t="s">
        <v>175</v>
      </c>
      <c r="G19" s="37" t="s">
        <v>1</v>
      </c>
      <c r="H19" s="60">
        <f>[9]副本!G35</f>
        <v>2172.7529999999824</v>
      </c>
      <c r="I19" s="60">
        <f>H19</f>
        <v>2172.7529999999824</v>
      </c>
      <c r="J19" s="37"/>
      <c r="K19" s="62"/>
      <c r="L19" s="61">
        <f>H19-I19</f>
        <v>0</v>
      </c>
      <c r="M19" s="62">
        <v>21000</v>
      </c>
      <c r="N19" s="63" t="s">
        <v>90</v>
      </c>
      <c r="O19" s="64" t="s">
        <v>89</v>
      </c>
      <c r="P19" s="59" t="s">
        <v>97</v>
      </c>
    </row>
    <row r="20" spans="1:17" s="48" customFormat="1" ht="33" customHeight="1" x14ac:dyDescent="0.15">
      <c r="A20" s="37">
        <v>20170213</v>
      </c>
      <c r="B20" s="58" t="s">
        <v>96</v>
      </c>
      <c r="C20" s="65" t="s">
        <v>44</v>
      </c>
      <c r="D20" s="37" t="s">
        <v>5</v>
      </c>
      <c r="E20" s="37" t="s">
        <v>61</v>
      </c>
      <c r="F20" s="23" t="s">
        <v>159</v>
      </c>
      <c r="G20" s="37" t="s">
        <v>1</v>
      </c>
      <c r="H20" s="60">
        <f>[9]副本!G37</f>
        <v>2350.4299999999998</v>
      </c>
      <c r="I20" s="60">
        <f>H20-3496.542+1000+2496.542</f>
        <v>2350.4299999999998</v>
      </c>
      <c r="J20" s="37"/>
      <c r="K20" s="62"/>
      <c r="L20" s="61">
        <f>H20-I20</f>
        <v>0</v>
      </c>
      <c r="M20" s="62">
        <v>5000</v>
      </c>
      <c r="N20" s="63"/>
      <c r="O20" s="64"/>
      <c r="P20" s="59" t="s">
        <v>224</v>
      </c>
    </row>
    <row r="21" spans="1:17" s="48" customFormat="1" ht="33" customHeight="1" x14ac:dyDescent="0.15">
      <c r="A21" s="37">
        <v>20170213</v>
      </c>
      <c r="B21" s="58" t="s">
        <v>95</v>
      </c>
      <c r="C21" s="65" t="s">
        <v>44</v>
      </c>
      <c r="D21" s="37"/>
      <c r="E21" s="37"/>
      <c r="F21" s="37"/>
      <c r="G21" s="37"/>
      <c r="H21" s="60"/>
      <c r="I21" s="60"/>
      <c r="J21" s="37"/>
      <c r="K21" s="62"/>
      <c r="L21" s="61"/>
      <c r="M21" s="62">
        <v>3000</v>
      </c>
      <c r="N21" s="63"/>
      <c r="O21" s="64"/>
      <c r="P21" s="59"/>
    </row>
    <row r="22" spans="1:17" s="48" customFormat="1" ht="33" customHeight="1" x14ac:dyDescent="0.15">
      <c r="A22" s="37">
        <v>20170213</v>
      </c>
      <c r="B22" s="58" t="s">
        <v>94</v>
      </c>
      <c r="C22" s="65" t="s">
        <v>93</v>
      </c>
      <c r="D22" s="37"/>
      <c r="E22" s="37" t="s">
        <v>9</v>
      </c>
      <c r="F22" s="23" t="s">
        <v>158</v>
      </c>
      <c r="G22" s="37" t="s">
        <v>1</v>
      </c>
      <c r="H22" s="60">
        <f>[9]副本!G41-'20170213'!H23</f>
        <v>1464.5454280000376</v>
      </c>
      <c r="I22" s="60">
        <f>H22</f>
        <v>1464.5454280000376</v>
      </c>
      <c r="J22" s="37"/>
      <c r="K22" s="62"/>
      <c r="L22" s="61">
        <f t="shared" ref="L22:L27" si="1">H22-I22</f>
        <v>0</v>
      </c>
      <c r="M22" s="62">
        <v>21000</v>
      </c>
      <c r="N22" s="63" t="s">
        <v>92</v>
      </c>
      <c r="O22" s="64" t="s">
        <v>89</v>
      </c>
      <c r="P22" s="59" t="s">
        <v>91</v>
      </c>
    </row>
    <row r="23" spans="1:17" s="48" customFormat="1" ht="33" customHeight="1" x14ac:dyDescent="0.15">
      <c r="A23" s="37">
        <v>20170213</v>
      </c>
      <c r="B23" s="58" t="s">
        <v>94</v>
      </c>
      <c r="C23" s="65" t="s">
        <v>93</v>
      </c>
      <c r="D23" s="37"/>
      <c r="E23" s="37" t="s">
        <v>9</v>
      </c>
      <c r="F23" s="24" t="s">
        <v>175</v>
      </c>
      <c r="G23" s="37" t="s">
        <v>1</v>
      </c>
      <c r="H23" s="60">
        <f>[9]副本!G43</f>
        <v>7210.4545719999624</v>
      </c>
      <c r="I23" s="60">
        <f>H23</f>
        <v>7210.4545719999624</v>
      </c>
      <c r="J23" s="37"/>
      <c r="K23" s="71"/>
      <c r="L23" s="61">
        <f t="shared" si="1"/>
        <v>0</v>
      </c>
      <c r="M23" s="62">
        <v>21000</v>
      </c>
      <c r="N23" s="63" t="s">
        <v>90</v>
      </c>
      <c r="O23" s="64" t="s">
        <v>89</v>
      </c>
      <c r="P23" s="59" t="s">
        <v>88</v>
      </c>
    </row>
    <row r="24" spans="1:17" s="48" customFormat="1" ht="33" customHeight="1" x14ac:dyDescent="0.15">
      <c r="A24" s="37">
        <v>20170213</v>
      </c>
      <c r="B24" s="58" t="s">
        <v>87</v>
      </c>
      <c r="C24" s="65" t="s">
        <v>44</v>
      </c>
      <c r="D24" s="37"/>
      <c r="E24" s="37" t="s">
        <v>86</v>
      </c>
      <c r="F24" s="23" t="s">
        <v>160</v>
      </c>
      <c r="G24" s="37" t="s">
        <v>1</v>
      </c>
      <c r="H24" s="60">
        <f>[9]副本!G45</f>
        <v>6134.7419999999993</v>
      </c>
      <c r="I24" s="60">
        <f>H24</f>
        <v>6134.7419999999993</v>
      </c>
      <c r="J24" s="37"/>
      <c r="K24" s="62">
        <v>350</v>
      </c>
      <c r="L24" s="61">
        <f t="shared" si="1"/>
        <v>0</v>
      </c>
      <c r="M24" s="62">
        <v>5000</v>
      </c>
      <c r="N24" s="63"/>
      <c r="O24" s="64"/>
      <c r="P24" s="59" t="s">
        <v>85</v>
      </c>
    </row>
    <row r="25" spans="1:17" s="48" customFormat="1" ht="33" customHeight="1" x14ac:dyDescent="0.15">
      <c r="A25" s="37">
        <v>20170213</v>
      </c>
      <c r="B25" s="58" t="s">
        <v>84</v>
      </c>
      <c r="C25" s="65" t="s">
        <v>3</v>
      </c>
      <c r="D25" s="37"/>
      <c r="E25" s="59" t="s">
        <v>83</v>
      </c>
      <c r="F25" s="23" t="s">
        <v>161</v>
      </c>
      <c r="G25" s="37" t="s">
        <v>1</v>
      </c>
      <c r="H25" s="60">
        <f>[9]副本!G47</f>
        <v>263.673</v>
      </c>
      <c r="I25" s="60">
        <f>H25</f>
        <v>263.673</v>
      </c>
      <c r="J25" s="37"/>
      <c r="K25" s="62"/>
      <c r="L25" s="61">
        <f t="shared" si="1"/>
        <v>0</v>
      </c>
      <c r="M25" s="62">
        <v>5000</v>
      </c>
      <c r="N25" s="63"/>
      <c r="O25" s="64"/>
      <c r="P25" s="66" t="s">
        <v>82</v>
      </c>
    </row>
    <row r="26" spans="1:17" s="48" customFormat="1" ht="33" customHeight="1" x14ac:dyDescent="0.15">
      <c r="A26" s="37">
        <v>20170213</v>
      </c>
      <c r="B26" s="58" t="s">
        <v>81</v>
      </c>
      <c r="C26" s="65" t="s">
        <v>44</v>
      </c>
      <c r="D26" s="37"/>
      <c r="E26" s="37" t="s">
        <v>223</v>
      </c>
      <c r="F26" s="23" t="s">
        <v>161</v>
      </c>
      <c r="G26" s="37" t="s">
        <v>1</v>
      </c>
      <c r="H26" s="60">
        <f>[9]副本!G49</f>
        <v>3992.8519999999999</v>
      </c>
      <c r="I26" s="60">
        <f>H26-3992.852</f>
        <v>0</v>
      </c>
      <c r="J26" s="37"/>
      <c r="K26" s="62"/>
      <c r="L26" s="61">
        <f t="shared" si="1"/>
        <v>3992.8519999999999</v>
      </c>
      <c r="M26" s="62">
        <v>5000</v>
      </c>
      <c r="N26" s="63"/>
      <c r="O26" s="64"/>
      <c r="P26" s="59"/>
    </row>
    <row r="27" spans="1:17" s="48" customFormat="1" ht="33" customHeight="1" x14ac:dyDescent="0.15">
      <c r="A27" s="37">
        <v>20170213</v>
      </c>
      <c r="B27" s="58" t="s">
        <v>80</v>
      </c>
      <c r="C27" s="65" t="s">
        <v>44</v>
      </c>
      <c r="D27" s="37"/>
      <c r="E27" s="37" t="s">
        <v>43</v>
      </c>
      <c r="F27" s="23" t="s">
        <v>157</v>
      </c>
      <c r="G27" s="37" t="s">
        <v>1</v>
      </c>
      <c r="H27" s="60">
        <f>[9]副本!G52</f>
        <v>2144.2040000000002</v>
      </c>
      <c r="I27" s="60">
        <f>H27</f>
        <v>2144.2040000000002</v>
      </c>
      <c r="J27" s="37"/>
      <c r="K27" s="62"/>
      <c r="L27" s="61">
        <f t="shared" si="1"/>
        <v>0</v>
      </c>
      <c r="M27" s="62">
        <v>4000</v>
      </c>
      <c r="N27" s="63"/>
      <c r="O27" s="64"/>
      <c r="P27" s="59"/>
    </row>
    <row r="28" spans="1:17" s="48" customFormat="1" ht="33" customHeight="1" x14ac:dyDescent="0.15">
      <c r="A28" s="37">
        <v>20170213</v>
      </c>
      <c r="B28" s="58" t="s">
        <v>79</v>
      </c>
      <c r="C28" s="65" t="s">
        <v>74</v>
      </c>
      <c r="D28" s="37"/>
      <c r="E28" s="37"/>
      <c r="F28" s="37"/>
      <c r="G28" s="37"/>
      <c r="H28" s="60"/>
      <c r="I28" s="60"/>
      <c r="J28" s="37"/>
      <c r="K28" s="62"/>
      <c r="L28" s="61"/>
      <c r="M28" s="62">
        <v>5000</v>
      </c>
      <c r="N28" s="63"/>
      <c r="O28" s="64"/>
      <c r="P28" s="59"/>
    </row>
    <row r="29" spans="1:17" s="48" customFormat="1" ht="33" customHeight="1" x14ac:dyDescent="0.15">
      <c r="A29" s="37">
        <v>20170213</v>
      </c>
      <c r="B29" s="58" t="s">
        <v>78</v>
      </c>
      <c r="C29" s="65" t="s">
        <v>74</v>
      </c>
      <c r="D29" s="37"/>
      <c r="E29" s="37" t="s">
        <v>32</v>
      </c>
      <c r="F29" s="37"/>
      <c r="G29" s="37"/>
      <c r="H29" s="60"/>
      <c r="I29" s="60"/>
      <c r="J29" s="37"/>
      <c r="K29" s="62"/>
      <c r="L29" s="61"/>
      <c r="M29" s="62">
        <v>2000</v>
      </c>
      <c r="N29" s="63"/>
      <c r="O29" s="64"/>
      <c r="P29" s="59"/>
    </row>
    <row r="30" spans="1:17" s="48" customFormat="1" ht="33" customHeight="1" x14ac:dyDescent="0.15">
      <c r="A30" s="37">
        <v>20170213</v>
      </c>
      <c r="B30" s="58" t="s">
        <v>77</v>
      </c>
      <c r="C30" s="65" t="s">
        <v>74</v>
      </c>
      <c r="D30" s="37"/>
      <c r="E30" s="37" t="s">
        <v>32</v>
      </c>
      <c r="F30" s="23" t="s">
        <v>153</v>
      </c>
      <c r="G30" s="37" t="s">
        <v>1</v>
      </c>
      <c r="H30" s="60">
        <f>[9]副本!G59</f>
        <v>1098.6790000000001</v>
      </c>
      <c r="I30" s="60">
        <f>H30-1098.679+1098.679</f>
        <v>1098.6790000000001</v>
      </c>
      <c r="J30" s="37"/>
      <c r="K30" s="62"/>
      <c r="L30" s="61">
        <f>H30-I30</f>
        <v>0</v>
      </c>
      <c r="M30" s="62">
        <v>1500</v>
      </c>
      <c r="N30" s="63"/>
      <c r="O30" s="64"/>
      <c r="P30" s="59" t="s">
        <v>222</v>
      </c>
    </row>
    <row r="31" spans="1:17" s="48" customFormat="1" ht="33" customHeight="1" x14ac:dyDescent="0.15">
      <c r="A31" s="37">
        <v>20170213</v>
      </c>
      <c r="B31" s="58" t="s">
        <v>76</v>
      </c>
      <c r="C31" s="65" t="s">
        <v>74</v>
      </c>
      <c r="D31" s="37"/>
      <c r="E31" s="37" t="s">
        <v>32</v>
      </c>
      <c r="F31" s="37"/>
      <c r="G31" s="37"/>
      <c r="H31" s="60"/>
      <c r="I31" s="60"/>
      <c r="J31" s="37"/>
      <c r="K31" s="62"/>
      <c r="L31" s="61"/>
      <c r="M31" s="62">
        <v>1500</v>
      </c>
      <c r="N31" s="63"/>
      <c r="O31" s="64"/>
      <c r="P31" s="59"/>
      <c r="Q31" s="49"/>
    </row>
    <row r="32" spans="1:17" s="48" customFormat="1" ht="33" customHeight="1" x14ac:dyDescent="0.15">
      <c r="A32" s="37">
        <v>20170213</v>
      </c>
      <c r="B32" s="58" t="s">
        <v>75</v>
      </c>
      <c r="C32" s="65" t="s">
        <v>74</v>
      </c>
      <c r="D32" s="37"/>
      <c r="E32" s="37" t="s">
        <v>32</v>
      </c>
      <c r="F32" s="23" t="s">
        <v>153</v>
      </c>
      <c r="G32" s="37" t="s">
        <v>1</v>
      </c>
      <c r="H32" s="60">
        <f>[9]副本!G63</f>
        <v>1096.2820000000002</v>
      </c>
      <c r="I32" s="60">
        <f>H32-1096.282+1096.282</f>
        <v>1096.2820000000002</v>
      </c>
      <c r="J32" s="37"/>
      <c r="K32" s="62"/>
      <c r="L32" s="61">
        <f>H32-I32</f>
        <v>0</v>
      </c>
      <c r="M32" s="62">
        <v>1500</v>
      </c>
      <c r="N32" s="63"/>
      <c r="O32" s="64"/>
      <c r="P32" s="59" t="s">
        <v>222</v>
      </c>
    </row>
    <row r="33" spans="1:16" s="48" customFormat="1" ht="33" customHeight="1" x14ac:dyDescent="0.15">
      <c r="A33" s="37">
        <v>20170213</v>
      </c>
      <c r="B33" s="58" t="s">
        <v>73</v>
      </c>
      <c r="C33" s="65" t="s">
        <v>44</v>
      </c>
      <c r="D33" s="37"/>
      <c r="E33" s="37"/>
      <c r="F33" s="37"/>
      <c r="G33" s="37"/>
      <c r="H33" s="60"/>
      <c r="I33" s="60"/>
      <c r="J33" s="37"/>
      <c r="K33" s="62"/>
      <c r="L33" s="61"/>
      <c r="M33" s="62">
        <v>1500</v>
      </c>
      <c r="N33" s="63"/>
      <c r="O33" s="64"/>
      <c r="P33" s="59"/>
    </row>
    <row r="34" spans="1:16" s="48" customFormat="1" ht="33" customHeight="1" x14ac:dyDescent="0.15">
      <c r="A34" s="37">
        <v>20170213</v>
      </c>
      <c r="B34" s="58" t="s">
        <v>72</v>
      </c>
      <c r="C34" s="65" t="s">
        <v>44</v>
      </c>
      <c r="D34" s="37"/>
      <c r="E34" s="37" t="s">
        <v>71</v>
      </c>
      <c r="F34" s="23" t="s">
        <v>154</v>
      </c>
      <c r="G34" s="37" t="s">
        <v>1</v>
      </c>
      <c r="H34" s="37">
        <f>[9]副本!G67</f>
        <v>931.53000000000031</v>
      </c>
      <c r="I34" s="60">
        <f>H34-1035.099+1035.099</f>
        <v>931.53000000000031</v>
      </c>
      <c r="J34" s="37"/>
      <c r="K34" s="62">
        <v>30</v>
      </c>
      <c r="L34" s="61">
        <f>H34-I34</f>
        <v>0</v>
      </c>
      <c r="M34" s="62">
        <v>2000</v>
      </c>
      <c r="N34" s="63"/>
      <c r="O34" s="64"/>
      <c r="P34" s="59" t="s">
        <v>221</v>
      </c>
    </row>
    <row r="35" spans="1:16" s="48" customFormat="1" ht="33" customHeight="1" x14ac:dyDescent="0.15">
      <c r="A35" s="37">
        <v>20170213</v>
      </c>
      <c r="B35" s="58" t="s">
        <v>69</v>
      </c>
      <c r="C35" s="65" t="s">
        <v>44</v>
      </c>
      <c r="D35" s="37" t="s">
        <v>5</v>
      </c>
      <c r="E35" s="37" t="s">
        <v>68</v>
      </c>
      <c r="F35" s="23" t="s">
        <v>162</v>
      </c>
      <c r="G35" s="37" t="s">
        <v>1</v>
      </c>
      <c r="H35" s="60">
        <f>[9]副本!G69</f>
        <v>557.34299999999985</v>
      </c>
      <c r="I35" s="60">
        <f>H35-1037.023+500+537.023</f>
        <v>557.34299999999996</v>
      </c>
      <c r="J35" s="37"/>
      <c r="K35" s="62">
        <v>100</v>
      </c>
      <c r="L35" s="61">
        <f>H35-I35</f>
        <v>0</v>
      </c>
      <c r="M35" s="62">
        <v>3000</v>
      </c>
      <c r="N35" s="63"/>
      <c r="O35" s="64"/>
      <c r="P35" s="67" t="s">
        <v>67</v>
      </c>
    </row>
    <row r="36" spans="1:16" s="48" customFormat="1" ht="33" customHeight="1" x14ac:dyDescent="0.15">
      <c r="A36" s="37">
        <v>20170213</v>
      </c>
      <c r="B36" s="58" t="s">
        <v>66</v>
      </c>
      <c r="C36" s="65" t="s">
        <v>44</v>
      </c>
      <c r="D36" s="37" t="s">
        <v>5</v>
      </c>
      <c r="E36" s="37" t="s">
        <v>61</v>
      </c>
      <c r="F36" s="23" t="s">
        <v>159</v>
      </c>
      <c r="G36" s="37" t="s">
        <v>1</v>
      </c>
      <c r="H36" s="60">
        <f>[9]副本!G71</f>
        <v>2002.9199999999992</v>
      </c>
      <c r="I36" s="60">
        <f>H36-3607.546+2050+1050+507.546-1553.792+1553.792</f>
        <v>2002.9199999999994</v>
      </c>
      <c r="J36" s="37"/>
      <c r="K36" s="62"/>
      <c r="L36" s="61">
        <f>H36-I36</f>
        <v>0</v>
      </c>
      <c r="M36" s="62">
        <v>4000</v>
      </c>
      <c r="N36" s="63"/>
      <c r="O36" s="64"/>
      <c r="P36" s="59" t="s">
        <v>65</v>
      </c>
    </row>
    <row r="37" spans="1:16" s="48" customFormat="1" ht="33" customHeight="1" x14ac:dyDescent="0.15">
      <c r="A37" s="37">
        <v>20170213</v>
      </c>
      <c r="B37" s="58" t="s">
        <v>64</v>
      </c>
      <c r="C37" s="65" t="s">
        <v>3</v>
      </c>
      <c r="D37" s="37"/>
      <c r="E37" s="37"/>
      <c r="F37" s="37"/>
      <c r="G37" s="37"/>
      <c r="H37" s="60"/>
      <c r="I37" s="60"/>
      <c r="J37" s="37"/>
      <c r="K37" s="62"/>
      <c r="L37" s="61"/>
      <c r="M37" s="62">
        <v>5000</v>
      </c>
      <c r="N37" s="63"/>
      <c r="O37" s="64"/>
      <c r="P37" s="59"/>
    </row>
    <row r="38" spans="1:16" s="48" customFormat="1" ht="33" customHeight="1" x14ac:dyDescent="0.15">
      <c r="A38" s="37">
        <v>20170213</v>
      </c>
      <c r="B38" s="58" t="s">
        <v>63</v>
      </c>
      <c r="C38" s="65" t="s">
        <v>44</v>
      </c>
      <c r="D38" s="37" t="s">
        <v>5</v>
      </c>
      <c r="E38" s="37" t="s">
        <v>61</v>
      </c>
      <c r="F38" s="23" t="s">
        <v>159</v>
      </c>
      <c r="G38" s="37" t="s">
        <v>1</v>
      </c>
      <c r="H38" s="60">
        <f>[9]副本!G75</f>
        <v>3276.2270000000526</v>
      </c>
      <c r="I38" s="60">
        <f>H38-955.747+477.874+477.873-1042.865-2628.137+500+542.865+2102.57+525.567-499.112-3147.566+2100+525+525+496.678-2617.899+1574.891+523.692-522.622+522.622-2589.467+523.692-499.362</f>
        <v>191.77400000005269</v>
      </c>
      <c r="J38" s="37"/>
      <c r="K38" s="62"/>
      <c r="L38" s="61">
        <f>H38-I38</f>
        <v>3084.453</v>
      </c>
      <c r="M38" s="62">
        <v>5000</v>
      </c>
      <c r="N38" s="63"/>
      <c r="O38" s="64"/>
      <c r="P38" s="59" t="s">
        <v>220</v>
      </c>
    </row>
    <row r="39" spans="1:16" s="48" customFormat="1" ht="33" customHeight="1" x14ac:dyDescent="0.15">
      <c r="A39" s="37">
        <v>20170213</v>
      </c>
      <c r="B39" s="58" t="s">
        <v>63</v>
      </c>
      <c r="C39" s="65" t="s">
        <v>44</v>
      </c>
      <c r="D39" s="37" t="s">
        <v>5</v>
      </c>
      <c r="E39" s="37" t="s">
        <v>61</v>
      </c>
      <c r="F39" s="23" t="s">
        <v>163</v>
      </c>
      <c r="G39" s="37" t="s">
        <v>1</v>
      </c>
      <c r="H39" s="60">
        <f>[9]副本!G76</f>
        <v>588.63800000000037</v>
      </c>
      <c r="I39" s="60">
        <f>H39</f>
        <v>588.63800000000037</v>
      </c>
      <c r="J39" s="37"/>
      <c r="K39" s="62"/>
      <c r="L39" s="61">
        <f>H39-I39</f>
        <v>0</v>
      </c>
      <c r="M39" s="62">
        <v>5000</v>
      </c>
      <c r="N39" s="63"/>
      <c r="O39" s="64"/>
      <c r="P39" s="59" t="s">
        <v>60</v>
      </c>
    </row>
    <row r="40" spans="1:16" s="48" customFormat="1" ht="33" customHeight="1" x14ac:dyDescent="0.15">
      <c r="A40" s="37">
        <v>20170213</v>
      </c>
      <c r="B40" s="58" t="s">
        <v>59</v>
      </c>
      <c r="C40" s="65" t="s">
        <v>19</v>
      </c>
      <c r="D40" s="37"/>
      <c r="E40" s="37" t="s">
        <v>32</v>
      </c>
      <c r="F40" s="23" t="s">
        <v>161</v>
      </c>
      <c r="G40" s="37" t="s">
        <v>1</v>
      </c>
      <c r="H40" s="60">
        <f>[9]副本!G78</f>
        <v>31.463999999997668</v>
      </c>
      <c r="I40" s="60">
        <f>H40-2564.978+2564.978</f>
        <v>31.463999999997668</v>
      </c>
      <c r="J40" s="37"/>
      <c r="K40" s="62"/>
      <c r="L40" s="61">
        <f>H40-I40</f>
        <v>0</v>
      </c>
      <c r="M40" s="62">
        <v>4000</v>
      </c>
      <c r="N40" s="63"/>
      <c r="O40" s="64"/>
      <c r="P40" s="52" t="s">
        <v>58</v>
      </c>
    </row>
    <row r="41" spans="1:16" s="48" customFormat="1" ht="33" customHeight="1" x14ac:dyDescent="0.15">
      <c r="A41" s="37">
        <v>20170213</v>
      </c>
      <c r="B41" s="58" t="s">
        <v>59</v>
      </c>
      <c r="C41" s="65" t="s">
        <v>19</v>
      </c>
      <c r="D41" s="37"/>
      <c r="E41" s="37" t="s">
        <v>32</v>
      </c>
      <c r="F41" s="23" t="s">
        <v>153</v>
      </c>
      <c r="G41" s="37" t="s">
        <v>1</v>
      </c>
      <c r="H41" s="60">
        <f>[9]副本!G81</f>
        <v>2564.9780000000001</v>
      </c>
      <c r="I41" s="60">
        <f>H41</f>
        <v>2564.9780000000001</v>
      </c>
      <c r="J41" s="37"/>
      <c r="K41" s="62"/>
      <c r="L41" s="61"/>
      <c r="M41" s="62">
        <v>4000</v>
      </c>
      <c r="N41" s="63"/>
      <c r="O41" s="64"/>
      <c r="P41" s="52" t="s">
        <v>219</v>
      </c>
    </row>
    <row r="42" spans="1:16" s="48" customFormat="1" ht="33" customHeight="1" x14ac:dyDescent="0.15">
      <c r="A42" s="37">
        <v>20170213</v>
      </c>
      <c r="B42" s="58" t="s">
        <v>56</v>
      </c>
      <c r="C42" s="65" t="s">
        <v>19</v>
      </c>
      <c r="D42" s="37"/>
      <c r="E42" s="37"/>
      <c r="F42" s="37"/>
      <c r="G42" s="37"/>
      <c r="H42" s="60"/>
      <c r="I42" s="60"/>
      <c r="J42" s="37"/>
      <c r="K42" s="62"/>
      <c r="L42" s="61"/>
      <c r="M42" s="62">
        <v>2000</v>
      </c>
      <c r="N42" s="63"/>
      <c r="O42" s="64"/>
      <c r="P42" s="59"/>
    </row>
    <row r="43" spans="1:16" s="48" customFormat="1" ht="33" customHeight="1" x14ac:dyDescent="0.15">
      <c r="A43" s="37">
        <v>20170213</v>
      </c>
      <c r="B43" s="58" t="s">
        <v>55</v>
      </c>
      <c r="C43" s="65" t="s">
        <v>19</v>
      </c>
      <c r="D43" s="37"/>
      <c r="E43" s="37" t="s">
        <v>32</v>
      </c>
      <c r="F43" s="23" t="s">
        <v>161</v>
      </c>
      <c r="G43" s="37" t="s">
        <v>1</v>
      </c>
      <c r="H43" s="60">
        <f>[9]副本!G85</f>
        <v>2522.3710000000001</v>
      </c>
      <c r="I43" s="60">
        <f>H43-2522.371</f>
        <v>0</v>
      </c>
      <c r="J43" s="37"/>
      <c r="K43" s="62"/>
      <c r="L43" s="61">
        <f>H43-I43</f>
        <v>2522.3710000000001</v>
      </c>
      <c r="M43" s="62">
        <v>3000</v>
      </c>
      <c r="N43" s="63"/>
      <c r="O43" s="64"/>
      <c r="P43" s="59"/>
    </row>
    <row r="44" spans="1:16" s="48" customFormat="1" ht="33" customHeight="1" x14ac:dyDescent="0.15">
      <c r="A44" s="37">
        <v>20170213</v>
      </c>
      <c r="B44" s="58" t="s">
        <v>54</v>
      </c>
      <c r="C44" s="65" t="s">
        <v>19</v>
      </c>
      <c r="D44" s="37"/>
      <c r="E44" s="37" t="s">
        <v>32</v>
      </c>
      <c r="F44" s="23" t="s">
        <v>161</v>
      </c>
      <c r="G44" s="37" t="s">
        <v>1</v>
      </c>
      <c r="H44" s="60">
        <f>[9]副本!G87</f>
        <v>3759.3360000000002</v>
      </c>
      <c r="I44" s="60">
        <f>H44-2794.245</f>
        <v>965.09100000000035</v>
      </c>
      <c r="J44" s="37"/>
      <c r="K44" s="62">
        <v>1300</v>
      </c>
      <c r="L44" s="61">
        <f>H44-I44</f>
        <v>2794.2449999999999</v>
      </c>
      <c r="M44" s="62">
        <v>5000</v>
      </c>
      <c r="N44" s="68"/>
      <c r="O44" s="64"/>
      <c r="P44" s="52" t="s">
        <v>53</v>
      </c>
    </row>
    <row r="45" spans="1:16" s="48" customFormat="1" ht="33" customHeight="1" x14ac:dyDescent="0.15">
      <c r="A45" s="37">
        <v>20170213</v>
      </c>
      <c r="B45" s="58" t="s">
        <v>52</v>
      </c>
      <c r="C45" s="65" t="s">
        <v>44</v>
      </c>
      <c r="D45" s="37"/>
      <c r="E45" s="37"/>
      <c r="F45" s="37"/>
      <c r="G45" s="37"/>
      <c r="H45" s="60"/>
      <c r="I45" s="60"/>
      <c r="J45" s="37"/>
      <c r="K45" s="62"/>
      <c r="L45" s="61"/>
      <c r="M45" s="62">
        <v>5000</v>
      </c>
      <c r="N45" s="63"/>
      <c r="O45" s="64"/>
      <c r="P45" s="59"/>
    </row>
    <row r="46" spans="1:16" s="48" customFormat="1" ht="33" customHeight="1" x14ac:dyDescent="0.15">
      <c r="A46" s="37">
        <v>20170213</v>
      </c>
      <c r="B46" s="58" t="s">
        <v>51</v>
      </c>
      <c r="C46" s="65" t="s">
        <v>44</v>
      </c>
      <c r="D46" s="37"/>
      <c r="E46" s="37" t="s">
        <v>50</v>
      </c>
      <c r="F46" s="23" t="s">
        <v>152</v>
      </c>
      <c r="G46" s="37" t="s">
        <v>1</v>
      </c>
      <c r="H46" s="60">
        <f>[9]副本!G93</f>
        <v>2006.1080000000002</v>
      </c>
      <c r="I46" s="60">
        <f>H46-1021.25+1021.25</f>
        <v>2006.1080000000002</v>
      </c>
      <c r="J46" s="37"/>
      <c r="K46" s="62">
        <v>100</v>
      </c>
      <c r="L46" s="61">
        <f>H46-I46</f>
        <v>0</v>
      </c>
      <c r="M46" s="62">
        <v>5000</v>
      </c>
      <c r="N46" s="63"/>
      <c r="O46" s="64"/>
      <c r="P46" s="52" t="s">
        <v>218</v>
      </c>
    </row>
    <row r="47" spans="1:16" s="48" customFormat="1" ht="33" customHeight="1" x14ac:dyDescent="0.15">
      <c r="A47" s="37">
        <v>20170213</v>
      </c>
      <c r="B47" s="58" t="s">
        <v>51</v>
      </c>
      <c r="C47" s="65" t="s">
        <v>44</v>
      </c>
      <c r="D47" s="37"/>
      <c r="E47" s="37" t="s">
        <v>50</v>
      </c>
      <c r="F47" s="23" t="s">
        <v>148</v>
      </c>
      <c r="G47" s="37"/>
      <c r="H47" s="60">
        <f>[9]副本!G94</f>
        <v>1000</v>
      </c>
      <c r="I47" s="60">
        <f>H47</f>
        <v>1000</v>
      </c>
      <c r="J47" s="37"/>
      <c r="K47" s="62"/>
      <c r="L47" s="61"/>
      <c r="M47" s="62">
        <v>5000</v>
      </c>
      <c r="N47" s="63"/>
      <c r="O47" s="64"/>
      <c r="P47" s="52" t="s">
        <v>49</v>
      </c>
    </row>
    <row r="48" spans="1:16" s="48" customFormat="1" ht="33" customHeight="1" x14ac:dyDescent="0.15">
      <c r="A48" s="37">
        <v>20170213</v>
      </c>
      <c r="B48" s="58" t="s">
        <v>48</v>
      </c>
      <c r="C48" s="65" t="s">
        <v>44</v>
      </c>
      <c r="D48" s="37"/>
      <c r="E48" s="37" t="s">
        <v>43</v>
      </c>
      <c r="F48" s="23" t="s">
        <v>157</v>
      </c>
      <c r="G48" s="37" t="s">
        <v>1</v>
      </c>
      <c r="H48" s="60">
        <f>[9]副本!G96</f>
        <v>2.4439999999940483</v>
      </c>
      <c r="I48" s="60">
        <f>H48</f>
        <v>2.4439999999940483</v>
      </c>
      <c r="J48" s="37"/>
      <c r="K48" s="61"/>
      <c r="L48" s="61">
        <f>H48-I48</f>
        <v>0</v>
      </c>
      <c r="M48" s="62">
        <v>2000</v>
      </c>
      <c r="N48" s="63"/>
      <c r="O48" s="64"/>
      <c r="P48" s="59"/>
    </row>
    <row r="49" spans="1:17" s="48" customFormat="1" ht="33" customHeight="1" x14ac:dyDescent="0.15">
      <c r="A49" s="37">
        <v>20170213</v>
      </c>
      <c r="B49" s="58" t="s">
        <v>47</v>
      </c>
      <c r="C49" s="65" t="s">
        <v>19</v>
      </c>
      <c r="D49" s="37" t="s">
        <v>5</v>
      </c>
      <c r="E49" s="37" t="s">
        <v>27</v>
      </c>
      <c r="F49" s="23" t="s">
        <v>165</v>
      </c>
      <c r="G49" s="37" t="s">
        <v>1</v>
      </c>
      <c r="H49" s="60">
        <f>[9]副本!G98</f>
        <v>2409.6100000000006</v>
      </c>
      <c r="I49" s="60">
        <v>0</v>
      </c>
      <c r="J49" s="37"/>
      <c r="K49" s="62"/>
      <c r="L49" s="61">
        <f>H49-I49</f>
        <v>2409.6100000000006</v>
      </c>
      <c r="M49" s="62">
        <v>10000</v>
      </c>
      <c r="N49" s="63"/>
      <c r="O49" s="64"/>
      <c r="P49" s="59"/>
    </row>
    <row r="50" spans="1:17" s="48" customFormat="1" ht="33" customHeight="1" x14ac:dyDescent="0.15">
      <c r="A50" s="37">
        <v>20170213</v>
      </c>
      <c r="B50" s="58" t="s">
        <v>46</v>
      </c>
      <c r="C50" s="65" t="s">
        <v>19</v>
      </c>
      <c r="D50" s="37" t="s">
        <v>5</v>
      </c>
      <c r="E50" s="37" t="s">
        <v>27</v>
      </c>
      <c r="F50" s="23" t="s">
        <v>165</v>
      </c>
      <c r="G50" s="37" t="s">
        <v>1</v>
      </c>
      <c r="H50" s="60">
        <f>[9]副本!G100</f>
        <v>4217.264000000001</v>
      </c>
      <c r="I50" s="60">
        <v>0</v>
      </c>
      <c r="J50" s="37"/>
      <c r="K50" s="62"/>
      <c r="L50" s="61">
        <v>0</v>
      </c>
      <c r="M50" s="62">
        <v>10000</v>
      </c>
      <c r="N50" s="63"/>
      <c r="O50" s="64"/>
      <c r="P50" s="59"/>
    </row>
    <row r="51" spans="1:17" s="48" customFormat="1" ht="33" customHeight="1" x14ac:dyDescent="0.15">
      <c r="A51" s="37">
        <v>20170213</v>
      </c>
      <c r="B51" s="58" t="s">
        <v>45</v>
      </c>
      <c r="C51" s="65" t="s">
        <v>44</v>
      </c>
      <c r="D51" s="37"/>
      <c r="E51" s="37" t="s">
        <v>43</v>
      </c>
      <c r="F51" s="23" t="s">
        <v>166</v>
      </c>
      <c r="G51" s="37" t="s">
        <v>1</v>
      </c>
      <c r="H51" s="60">
        <f>[9]副本!G102</f>
        <v>3009.6350000000075</v>
      </c>
      <c r="I51" s="60">
        <f>H51</f>
        <v>3009.6350000000075</v>
      </c>
      <c r="J51" s="37"/>
      <c r="K51" s="61"/>
      <c r="L51" s="61">
        <v>0</v>
      </c>
      <c r="M51" s="62">
        <v>5000</v>
      </c>
      <c r="N51" s="69" t="s">
        <v>42</v>
      </c>
      <c r="O51" s="70" t="s">
        <v>41</v>
      </c>
      <c r="P51" s="59" t="s">
        <v>40</v>
      </c>
    </row>
    <row r="52" spans="1:17" s="48" customFormat="1" ht="33" customHeight="1" x14ac:dyDescent="0.15">
      <c r="A52" s="37">
        <v>20170213</v>
      </c>
      <c r="B52" s="58" t="s">
        <v>39</v>
      </c>
      <c r="C52" s="65" t="s">
        <v>19</v>
      </c>
      <c r="D52" s="37"/>
      <c r="E52" s="37"/>
      <c r="F52" s="37"/>
      <c r="G52" s="37"/>
      <c r="H52" s="60"/>
      <c r="I52" s="60"/>
      <c r="J52" s="37"/>
      <c r="K52" s="62"/>
      <c r="L52" s="61"/>
      <c r="M52" s="62">
        <v>3000</v>
      </c>
      <c r="N52" s="63"/>
      <c r="O52" s="64"/>
      <c r="P52" s="59"/>
    </row>
    <row r="53" spans="1:17" s="48" customFormat="1" ht="33" customHeight="1" x14ac:dyDescent="0.15">
      <c r="A53" s="37">
        <v>20170213</v>
      </c>
      <c r="B53" s="58" t="s">
        <v>38</v>
      </c>
      <c r="C53" s="65" t="s">
        <v>19</v>
      </c>
      <c r="D53" s="37" t="s">
        <v>5</v>
      </c>
      <c r="E53" s="37" t="s">
        <v>27</v>
      </c>
      <c r="F53" s="23" t="s">
        <v>165</v>
      </c>
      <c r="G53" s="37" t="s">
        <v>22</v>
      </c>
      <c r="H53" s="60">
        <f>[9]副本!G106</f>
        <v>15130.712</v>
      </c>
      <c r="I53" s="60">
        <v>0</v>
      </c>
      <c r="J53" s="37"/>
      <c r="K53" s="62"/>
      <c r="L53" s="61">
        <f>H53-I53</f>
        <v>15130.712</v>
      </c>
      <c r="M53" s="62">
        <v>25000</v>
      </c>
      <c r="N53" s="63" t="s">
        <v>37</v>
      </c>
      <c r="O53" s="64" t="s">
        <v>36</v>
      </c>
      <c r="P53" s="59" t="s">
        <v>35</v>
      </c>
    </row>
    <row r="54" spans="1:17" s="48" customFormat="1" ht="33" customHeight="1" x14ac:dyDescent="0.15">
      <c r="A54" s="37">
        <v>20170213</v>
      </c>
      <c r="B54" s="58" t="s">
        <v>34</v>
      </c>
      <c r="C54" s="65" t="s">
        <v>19</v>
      </c>
      <c r="D54" s="37" t="s">
        <v>5</v>
      </c>
      <c r="E54" s="37" t="s">
        <v>27</v>
      </c>
      <c r="F54" s="23" t="s">
        <v>167</v>
      </c>
      <c r="G54" s="37" t="s">
        <v>22</v>
      </c>
      <c r="H54" s="60">
        <f>[9]副本!G108</f>
        <v>30364.863000000081</v>
      </c>
      <c r="I54" s="60">
        <v>0</v>
      </c>
      <c r="J54" s="37"/>
      <c r="K54" s="62"/>
      <c r="L54" s="61">
        <f>H54-I54</f>
        <v>30364.863000000081</v>
      </c>
      <c r="M54" s="62">
        <v>50000</v>
      </c>
      <c r="N54" s="63"/>
      <c r="O54" s="64"/>
      <c r="P54" s="59"/>
    </row>
    <row r="55" spans="1:17" s="48" customFormat="1" ht="33" customHeight="1" x14ac:dyDescent="0.15">
      <c r="A55" s="37">
        <v>20170213</v>
      </c>
      <c r="B55" s="58" t="s">
        <v>33</v>
      </c>
      <c r="C55" s="65" t="s">
        <v>19</v>
      </c>
      <c r="D55" s="37"/>
      <c r="E55" s="37" t="s">
        <v>32</v>
      </c>
      <c r="F55" s="23" t="s">
        <v>161</v>
      </c>
      <c r="G55" s="37" t="s">
        <v>22</v>
      </c>
      <c r="H55" s="60">
        <f>[9]副本!G110</f>
        <v>2453.7190000000169</v>
      </c>
      <c r="I55" s="60">
        <f>H55-1184.528</f>
        <v>1269.1910000000169</v>
      </c>
      <c r="J55" s="37"/>
      <c r="K55" s="62"/>
      <c r="L55" s="61">
        <f>H55-I55</f>
        <v>1184.528</v>
      </c>
      <c r="M55" s="62">
        <v>4000</v>
      </c>
      <c r="N55" s="63"/>
      <c r="O55" s="64"/>
      <c r="P55" s="59" t="s">
        <v>31</v>
      </c>
    </row>
    <row r="56" spans="1:17" s="48" customFormat="1" ht="33" customHeight="1" x14ac:dyDescent="0.15">
      <c r="A56" s="37">
        <v>20170213</v>
      </c>
      <c r="B56" s="58" t="s">
        <v>30</v>
      </c>
      <c r="C56" s="65" t="s">
        <v>3</v>
      </c>
      <c r="D56" s="37"/>
      <c r="E56" s="37"/>
      <c r="F56" s="37"/>
      <c r="G56" s="37"/>
      <c r="H56" s="60"/>
      <c r="I56" s="60"/>
      <c r="J56" s="37"/>
      <c r="K56" s="62"/>
      <c r="L56" s="61"/>
      <c r="M56" s="62">
        <v>37000</v>
      </c>
      <c r="N56" s="63"/>
      <c r="O56" s="64"/>
      <c r="P56" s="59"/>
    </row>
    <row r="57" spans="1:17" s="48" customFormat="1" ht="33" customHeight="1" x14ac:dyDescent="0.15">
      <c r="A57" s="37">
        <v>20170213</v>
      </c>
      <c r="B57" s="58" t="s">
        <v>29</v>
      </c>
      <c r="C57" s="65" t="s">
        <v>3</v>
      </c>
      <c r="D57" s="37"/>
      <c r="E57" s="37"/>
      <c r="F57" s="37"/>
      <c r="G57" s="37"/>
      <c r="H57" s="60"/>
      <c r="I57" s="37"/>
      <c r="J57" s="37"/>
      <c r="K57" s="62"/>
      <c r="L57" s="61"/>
      <c r="M57" s="62">
        <v>37000</v>
      </c>
      <c r="N57" s="63"/>
      <c r="O57" s="64"/>
      <c r="P57" s="59"/>
    </row>
    <row r="58" spans="1:17" s="48" customFormat="1" ht="33" customHeight="1" x14ac:dyDescent="0.15">
      <c r="A58" s="37">
        <v>20170213</v>
      </c>
      <c r="B58" s="58" t="s">
        <v>28</v>
      </c>
      <c r="C58" s="65" t="s">
        <v>19</v>
      </c>
      <c r="D58" s="37" t="s">
        <v>5</v>
      </c>
      <c r="E58" s="37" t="s">
        <v>27</v>
      </c>
      <c r="F58" s="23" t="s">
        <v>168</v>
      </c>
      <c r="G58" s="37" t="s">
        <v>22</v>
      </c>
      <c r="H58" s="60">
        <f>[9]副本!G118</f>
        <v>1767.3689999999997</v>
      </c>
      <c r="I58" s="60">
        <v>0</v>
      </c>
      <c r="J58" s="37"/>
      <c r="K58" s="61"/>
      <c r="L58" s="61">
        <f>H58-I58</f>
        <v>1767.3689999999997</v>
      </c>
      <c r="M58" s="62">
        <v>10000</v>
      </c>
      <c r="N58" s="63"/>
      <c r="O58" s="64"/>
      <c r="P58" s="59"/>
      <c r="Q58" s="49"/>
    </row>
    <row r="59" spans="1:17" s="48" customFormat="1" ht="33" customHeight="1" x14ac:dyDescent="0.15">
      <c r="A59" s="37">
        <v>20170213</v>
      </c>
      <c r="B59" s="58" t="s">
        <v>26</v>
      </c>
      <c r="C59" s="65" t="s">
        <v>3</v>
      </c>
      <c r="D59" s="37" t="s">
        <v>5</v>
      </c>
      <c r="E59" s="37" t="s">
        <v>2</v>
      </c>
      <c r="F59" s="23" t="s">
        <v>169</v>
      </c>
      <c r="G59" s="37" t="s">
        <v>22</v>
      </c>
      <c r="H59" s="60">
        <f>[9]副本!G120</f>
        <v>0</v>
      </c>
      <c r="I59" s="60">
        <f>H59</f>
        <v>0</v>
      </c>
      <c r="J59" s="37"/>
      <c r="K59" s="61"/>
      <c r="L59" s="61">
        <f>H59-I59</f>
        <v>0</v>
      </c>
      <c r="M59" s="62">
        <v>15000</v>
      </c>
      <c r="N59" s="63"/>
      <c r="O59" s="64"/>
      <c r="P59" s="59"/>
      <c r="Q59" s="49"/>
    </row>
    <row r="60" spans="1:17" s="48" customFormat="1" ht="33" customHeight="1" x14ac:dyDescent="0.15">
      <c r="A60" s="37">
        <v>20170213</v>
      </c>
      <c r="B60" s="58" t="s">
        <v>26</v>
      </c>
      <c r="C60" s="65" t="s">
        <v>3</v>
      </c>
      <c r="D60" s="37" t="s">
        <v>5</v>
      </c>
      <c r="E60" s="37" t="s">
        <v>2</v>
      </c>
      <c r="F60" s="23" t="s">
        <v>170</v>
      </c>
      <c r="G60" s="37" t="s">
        <v>22</v>
      </c>
      <c r="H60" s="60">
        <f>[9]副本!G121</f>
        <v>4.8600000000005821</v>
      </c>
      <c r="I60" s="60">
        <f>H60</f>
        <v>4.8600000000005821</v>
      </c>
      <c r="J60" s="37"/>
      <c r="K60" s="62"/>
      <c r="L60" s="61">
        <f>H60-I60</f>
        <v>0</v>
      </c>
      <c r="M60" s="62">
        <v>15000</v>
      </c>
      <c r="N60" s="63"/>
      <c r="O60" s="64"/>
      <c r="P60" s="59" t="s">
        <v>217</v>
      </c>
      <c r="Q60" s="49"/>
    </row>
    <row r="61" spans="1:17" s="48" customFormat="1" ht="33" customHeight="1" x14ac:dyDescent="0.15">
      <c r="A61" s="37">
        <v>20170213</v>
      </c>
      <c r="B61" s="58" t="s">
        <v>23</v>
      </c>
      <c r="C61" s="58" t="s">
        <v>19</v>
      </c>
      <c r="D61" s="37" t="s">
        <v>5</v>
      </c>
      <c r="E61" s="37" t="s">
        <v>2</v>
      </c>
      <c r="F61" s="23" t="s">
        <v>171</v>
      </c>
      <c r="G61" s="37" t="s">
        <v>22</v>
      </c>
      <c r="H61" s="60">
        <f>[9]副本!G123</f>
        <v>6003.4309999999969</v>
      </c>
      <c r="I61" s="60">
        <f>H61</f>
        <v>6003.4309999999969</v>
      </c>
      <c r="J61" s="37"/>
      <c r="K61" s="62">
        <v>600</v>
      </c>
      <c r="L61" s="61"/>
      <c r="M61" s="62">
        <v>43000</v>
      </c>
      <c r="N61" s="63"/>
      <c r="O61" s="64"/>
      <c r="P61" s="59" t="s">
        <v>216</v>
      </c>
      <c r="Q61" s="49"/>
    </row>
    <row r="62" spans="1:17" s="48" customFormat="1" ht="33" customHeight="1" x14ac:dyDescent="0.15">
      <c r="A62" s="37">
        <v>20170213</v>
      </c>
      <c r="B62" s="58" t="s">
        <v>23</v>
      </c>
      <c r="C62" s="58" t="s">
        <v>19</v>
      </c>
      <c r="D62" s="37" t="s">
        <v>5</v>
      </c>
      <c r="E62" s="37" t="s">
        <v>2</v>
      </c>
      <c r="F62" s="23" t="s">
        <v>172</v>
      </c>
      <c r="G62" s="37" t="s">
        <v>22</v>
      </c>
      <c r="H62" s="60">
        <f>[9]副本!G124</f>
        <v>8.3400000000001455</v>
      </c>
      <c r="I62" s="60">
        <f>H62</f>
        <v>8.3400000000001455</v>
      </c>
      <c r="J62" s="37"/>
      <c r="K62" s="37"/>
      <c r="L62" s="61"/>
      <c r="M62" s="62">
        <v>43000</v>
      </c>
      <c r="N62" s="63"/>
      <c r="O62" s="64"/>
      <c r="P62" s="59" t="s">
        <v>21</v>
      </c>
      <c r="Q62" s="49"/>
    </row>
    <row r="63" spans="1:17" s="48" customFormat="1" ht="33" customHeight="1" x14ac:dyDescent="0.15">
      <c r="A63" s="37">
        <v>20170213</v>
      </c>
      <c r="B63" s="58" t="s">
        <v>20</v>
      </c>
      <c r="C63" s="58" t="s">
        <v>19</v>
      </c>
      <c r="D63" s="37" t="s">
        <v>5</v>
      </c>
      <c r="E63" s="37"/>
      <c r="F63" s="37"/>
      <c r="G63" s="37"/>
      <c r="H63" s="60"/>
      <c r="I63" s="60"/>
      <c r="J63" s="37"/>
      <c r="K63" s="62"/>
      <c r="L63" s="61"/>
      <c r="M63" s="62"/>
      <c r="N63" s="63"/>
      <c r="O63" s="64"/>
      <c r="P63" s="59"/>
      <c r="Q63" s="49"/>
    </row>
    <row r="64" spans="1:17" s="48" customFormat="1" ht="33" customHeight="1" x14ac:dyDescent="0.15">
      <c r="A64" s="37">
        <v>20170213</v>
      </c>
      <c r="B64" s="58" t="s">
        <v>18</v>
      </c>
      <c r="C64" s="65" t="s">
        <v>3</v>
      </c>
      <c r="D64" s="37"/>
      <c r="E64" s="37" t="s">
        <v>215</v>
      </c>
      <c r="F64" s="23" t="s">
        <v>197</v>
      </c>
      <c r="G64" s="37" t="s">
        <v>1</v>
      </c>
      <c r="H64" s="60">
        <f>[9]副本!G128</f>
        <v>8339.3289999999961</v>
      </c>
      <c r="I64" s="60">
        <f>H64-8339.329</f>
        <v>0</v>
      </c>
      <c r="J64" s="37"/>
      <c r="K64" s="62">
        <v>150</v>
      </c>
      <c r="L64" s="61">
        <f>H64-I64</f>
        <v>8339.3289999999961</v>
      </c>
      <c r="M64" s="62">
        <v>20000</v>
      </c>
      <c r="N64" s="63"/>
      <c r="O64" s="64"/>
      <c r="P64" s="59"/>
    </row>
    <row r="65" spans="1:16" s="48" customFormat="1" ht="33" customHeight="1" x14ac:dyDescent="0.15">
      <c r="A65" s="37">
        <v>20170213</v>
      </c>
      <c r="B65" s="58" t="s">
        <v>17</v>
      </c>
      <c r="C65" s="65" t="s">
        <v>3</v>
      </c>
      <c r="D65" s="37"/>
      <c r="E65" s="37" t="s">
        <v>9</v>
      </c>
      <c r="F65" s="23" t="s">
        <v>175</v>
      </c>
      <c r="G65" s="37" t="s">
        <v>1</v>
      </c>
      <c r="H65" s="60">
        <f>[9]副本!G130</f>
        <v>14706.423999999999</v>
      </c>
      <c r="I65" s="60">
        <f>H65-4751.949+4751.949-9902.153</f>
        <v>4804.2709999999988</v>
      </c>
      <c r="J65" s="37"/>
      <c r="K65" s="62"/>
      <c r="L65" s="61">
        <f>H65-I65</f>
        <v>9902.1530000000002</v>
      </c>
      <c r="M65" s="62">
        <v>30000</v>
      </c>
      <c r="N65" s="63"/>
      <c r="O65" s="64"/>
      <c r="P65" s="59" t="s">
        <v>214</v>
      </c>
    </row>
    <row r="66" spans="1:16" s="48" customFormat="1" ht="33" customHeight="1" x14ac:dyDescent="0.15">
      <c r="A66" s="37">
        <v>20170213</v>
      </c>
      <c r="B66" s="58" t="s">
        <v>17</v>
      </c>
      <c r="C66" s="65" t="s">
        <v>3</v>
      </c>
      <c r="D66" s="37"/>
      <c r="E66" s="37" t="s">
        <v>9</v>
      </c>
      <c r="F66" s="23" t="s">
        <v>158</v>
      </c>
      <c r="G66" s="37" t="s">
        <v>1</v>
      </c>
      <c r="H66" s="60">
        <f>[9]副本!G131</f>
        <v>9946.3690000000006</v>
      </c>
      <c r="I66" s="60">
        <f>H66</f>
        <v>9946.3690000000006</v>
      </c>
      <c r="J66" s="37"/>
      <c r="K66" s="62"/>
      <c r="L66" s="61">
        <f>H66-I66</f>
        <v>0</v>
      </c>
      <c r="M66" s="62">
        <v>30000</v>
      </c>
      <c r="N66" s="63"/>
      <c r="O66" s="64"/>
      <c r="P66" s="66" t="s">
        <v>15</v>
      </c>
    </row>
    <row r="67" spans="1:16" s="48" customFormat="1" ht="33" customHeight="1" x14ac:dyDescent="0.15">
      <c r="A67" s="37">
        <v>20170213</v>
      </c>
      <c r="B67" s="58" t="s">
        <v>14</v>
      </c>
      <c r="C67" s="65" t="s">
        <v>3</v>
      </c>
      <c r="D67" s="37" t="s">
        <v>5</v>
      </c>
      <c r="E67" s="37" t="s">
        <v>2</v>
      </c>
      <c r="F67" s="23" t="s">
        <v>174</v>
      </c>
      <c r="G67" s="37" t="s">
        <v>1</v>
      </c>
      <c r="H67" s="60">
        <f>[9]副本!G133</f>
        <v>14976.093999999999</v>
      </c>
      <c r="I67" s="60">
        <f>H67-14976.094</f>
        <v>0</v>
      </c>
      <c r="J67" s="37"/>
      <c r="K67" s="62">
        <v>250</v>
      </c>
      <c r="L67" s="61">
        <f>H67-I67</f>
        <v>14976.093999999999</v>
      </c>
      <c r="M67" s="62">
        <v>20000</v>
      </c>
      <c r="N67" s="63" t="s">
        <v>13</v>
      </c>
      <c r="O67" s="64" t="s">
        <v>12</v>
      </c>
      <c r="P67" s="59" t="s">
        <v>11</v>
      </c>
    </row>
    <row r="68" spans="1:16" s="48" customFormat="1" ht="33" customHeight="1" x14ac:dyDescent="0.15">
      <c r="A68" s="37">
        <v>20170213</v>
      </c>
      <c r="B68" s="58" t="s">
        <v>10</v>
      </c>
      <c r="C68" s="65" t="s">
        <v>3</v>
      </c>
      <c r="D68" s="37"/>
      <c r="E68" s="37" t="s">
        <v>9</v>
      </c>
      <c r="F68" s="23" t="s">
        <v>158</v>
      </c>
      <c r="G68" s="37" t="s">
        <v>1</v>
      </c>
      <c r="H68" s="60">
        <f>[9]副本!G135</f>
        <v>23765.582999999973</v>
      </c>
      <c r="I68" s="60">
        <f>H68</f>
        <v>23765.582999999973</v>
      </c>
      <c r="J68" s="37"/>
      <c r="K68" s="62"/>
      <c r="L68" s="61">
        <v>0</v>
      </c>
      <c r="M68" s="62">
        <v>30000</v>
      </c>
      <c r="N68" s="63"/>
      <c r="O68" s="64"/>
      <c r="P68" s="59"/>
    </row>
    <row r="69" spans="1:16" s="48" customFormat="1" ht="33" customHeight="1" x14ac:dyDescent="0.15">
      <c r="A69" s="37">
        <v>20170213</v>
      </c>
      <c r="B69" s="58" t="s">
        <v>8</v>
      </c>
      <c r="C69" s="65" t="s">
        <v>3</v>
      </c>
      <c r="D69" s="37"/>
      <c r="E69" s="37"/>
      <c r="F69" s="59"/>
      <c r="G69" s="37"/>
      <c r="H69" s="60"/>
      <c r="I69" s="60"/>
      <c r="J69" s="37"/>
      <c r="K69" s="62"/>
      <c r="L69" s="61"/>
      <c r="M69" s="62">
        <v>20000</v>
      </c>
      <c r="N69" s="63"/>
      <c r="O69" s="64"/>
      <c r="P69" s="37"/>
    </row>
    <row r="70" spans="1:16" s="48" customFormat="1" ht="33" customHeight="1" x14ac:dyDescent="0.15">
      <c r="A70" s="37">
        <v>20170213</v>
      </c>
      <c r="B70" s="58" t="s">
        <v>7</v>
      </c>
      <c r="C70" s="65" t="s">
        <v>3</v>
      </c>
      <c r="D70" s="37"/>
      <c r="E70" s="37"/>
      <c r="F70" s="37"/>
      <c r="G70" s="37"/>
      <c r="H70" s="60"/>
      <c r="I70" s="60"/>
      <c r="J70" s="37"/>
      <c r="K70" s="62"/>
      <c r="L70" s="61"/>
      <c r="M70" s="62">
        <v>15000</v>
      </c>
      <c r="N70" s="63"/>
      <c r="O70" s="64"/>
      <c r="P70" s="59"/>
    </row>
    <row r="71" spans="1:16" s="48" customFormat="1" ht="33" customHeight="1" x14ac:dyDescent="0.15">
      <c r="A71" s="37">
        <v>20170213</v>
      </c>
      <c r="B71" s="58" t="s">
        <v>6</v>
      </c>
      <c r="C71" s="65" t="s">
        <v>3</v>
      </c>
      <c r="D71" s="37" t="s">
        <v>5</v>
      </c>
      <c r="E71" s="37" t="s">
        <v>2</v>
      </c>
      <c r="F71" s="23" t="s">
        <v>171</v>
      </c>
      <c r="G71" s="37" t="s">
        <v>1</v>
      </c>
      <c r="H71" s="60">
        <f>[9]副本!G142</f>
        <v>12005.106</v>
      </c>
      <c r="I71" s="60">
        <f>H71-12005.106</f>
        <v>0</v>
      </c>
      <c r="J71" s="37"/>
      <c r="K71" s="62"/>
      <c r="L71" s="61">
        <f>H71-I71</f>
        <v>12005.106</v>
      </c>
      <c r="M71" s="62">
        <v>15000</v>
      </c>
      <c r="N71" s="63"/>
      <c r="O71" s="64"/>
      <c r="P71" s="59"/>
    </row>
    <row r="72" spans="1:16" s="48" customFormat="1" ht="33" customHeight="1" x14ac:dyDescent="0.15">
      <c r="A72" s="37">
        <v>20170213</v>
      </c>
      <c r="B72" s="58" t="s">
        <v>4</v>
      </c>
      <c r="C72" s="65" t="s">
        <v>3</v>
      </c>
      <c r="D72" s="37"/>
      <c r="E72" s="37" t="s">
        <v>2</v>
      </c>
      <c r="F72" s="23" t="s">
        <v>170</v>
      </c>
      <c r="G72" s="37" t="s">
        <v>1</v>
      </c>
      <c r="H72" s="60">
        <f>[9]副本!G144</f>
        <v>3338.5299999999988</v>
      </c>
      <c r="I72" s="60">
        <f>H72</f>
        <v>3338.5299999999988</v>
      </c>
      <c r="J72" s="37"/>
      <c r="K72" s="62"/>
      <c r="L72" s="61">
        <f>H72-I72</f>
        <v>0</v>
      </c>
      <c r="M72" s="62">
        <v>15000</v>
      </c>
      <c r="N72" s="63"/>
      <c r="O72" s="64"/>
      <c r="P72" s="59" t="s">
        <v>213</v>
      </c>
    </row>
    <row r="78" spans="1:16" x14ac:dyDescent="0.15">
      <c r="L78" s="47"/>
    </row>
    <row r="230" spans="7:8" x14ac:dyDescent="0.15">
      <c r="G230" s="39"/>
      <c r="H230" s="39"/>
    </row>
  </sheetData>
  <autoFilter ref="B1:I72"/>
  <phoneticPr fontId="3" type="noConversion"/>
  <pageMargins left="0.36" right="0.08" top="0.57999999999999996" bottom="0.12" header="0.32" footer="0.09"/>
  <pageSetup scale="95" orientation="landscape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20170201</vt:lpstr>
      <vt:lpstr>20170203</vt:lpstr>
      <vt:lpstr>20170204</vt:lpstr>
      <vt:lpstr>20170206</vt:lpstr>
      <vt:lpstr>20170207</vt:lpstr>
      <vt:lpstr>20170208</vt:lpstr>
      <vt:lpstr>20170209</vt:lpstr>
      <vt:lpstr>20170210</vt:lpstr>
      <vt:lpstr>20170213</vt:lpstr>
      <vt:lpstr>20170214</vt:lpstr>
      <vt:lpstr>20170215</vt:lpstr>
      <vt:lpstr>20170216</vt:lpstr>
      <vt:lpstr>20170217</vt:lpstr>
      <vt:lpstr>20170220</vt:lpstr>
      <vt:lpstr>20170221</vt:lpstr>
      <vt:lpstr>20170222</vt:lpstr>
      <vt:lpstr>20170223</vt:lpstr>
      <vt:lpstr>20170224</vt:lpstr>
      <vt:lpstr>20170227</vt:lpstr>
      <vt:lpstr>20170228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2017-04-19T06:24:15Z</dcterms:modified>
</cp:coreProperties>
</file>