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/>
  <mc:AlternateContent xmlns:mc="http://schemas.openxmlformats.org/markup-compatibility/2006">
    <mc:Choice Requires="x15">
      <x15ac:absPath xmlns:x15ac="http://schemas.microsoft.com/office/spreadsheetml/2010/11/ac" url="/Users/home/Desktop/"/>
    </mc:Choice>
  </mc:AlternateContent>
  <xr:revisionPtr revIDLastSave="0" documentId="13_ncr:1_{C970C519-8735-B445-8929-0E21C6B2D850}" xr6:coauthVersionLast="40" xr6:coauthVersionMax="40" xr10:uidLastSave="{00000000-0000-0000-0000-000000000000}"/>
  <bookViews>
    <workbookView xWindow="0" yWindow="460" windowWidth="28720" windowHeight="16020" xr2:uid="{00000000-000D-0000-FFFF-FFFF00000000}"/>
  </bookViews>
  <sheets>
    <sheet name="工具" sheetId="1" r:id="rId1"/>
    <sheet name="对照表" sheetId="2" r:id="rId2"/>
  </sheets>
  <calcPr calcId="191029"/>
</workbook>
</file>

<file path=xl/calcChain.xml><?xml version="1.0" encoding="utf-8"?>
<calcChain xmlns="http://schemas.openxmlformats.org/spreadsheetml/2006/main">
  <c r="D17" i="1" l="1"/>
  <c r="C18" i="1" l="1"/>
  <c r="C17" i="1" s="1"/>
  <c r="C22" i="1" s="1"/>
  <c r="D11" i="1"/>
  <c r="D19" i="1"/>
  <c r="D20" i="1" s="1"/>
  <c r="D18" i="1"/>
  <c r="D22" i="1"/>
  <c r="D21" i="1"/>
  <c r="D23" i="1"/>
  <c r="D24" i="1" s="1"/>
  <c r="D12" i="1"/>
  <c r="C12" i="1" l="1"/>
  <c r="C11" i="1"/>
  <c r="C23" i="1"/>
  <c r="C21" i="1"/>
  <c r="J17" i="1" l="1"/>
  <c r="J15" i="1"/>
  <c r="K8" i="1"/>
  <c r="J20" i="1" l="1"/>
  <c r="J21" i="1"/>
  <c r="J22" i="1" s="1"/>
  <c r="J13" i="1"/>
  <c r="J14" i="1" s="1"/>
  <c r="L15" i="1"/>
  <c r="J9" i="1"/>
  <c r="J8" i="1"/>
  <c r="C24" i="1"/>
  <c r="C19" i="1"/>
  <c r="C20" i="1" s="1"/>
</calcChain>
</file>

<file path=xl/sharedStrings.xml><?xml version="1.0" encoding="utf-8"?>
<sst xmlns="http://schemas.openxmlformats.org/spreadsheetml/2006/main" count="104" uniqueCount="77">
  <si>
    <t>新网金融产品利差反推测算工具</t>
  </si>
  <si>
    <t>授信额</t>
  </si>
  <si>
    <t>车辆评估价</t>
  </si>
  <si>
    <t>融资总金额</t>
  </si>
  <si>
    <t>36期产品表（利率同24期）</t>
  </si>
  <si>
    <t>车辆成交价</t>
  </si>
  <si>
    <t>期限</t>
  </si>
  <si>
    <t>首付比例</t>
  </si>
  <si>
    <t>首付</t>
  </si>
  <si>
    <t>超融服务费</t>
  </si>
  <si>
    <t>超融平台管理费</t>
  </si>
  <si>
    <t>超融GPS</t>
  </si>
  <si>
    <t>超融保险</t>
  </si>
  <si>
    <t>正确月供</t>
  </si>
  <si>
    <t>=</t>
  </si>
  <si>
    <t>58车分期</t>
  </si>
  <si>
    <t>资方</t>
  </si>
  <si>
    <t>月供</t>
  </si>
  <si>
    <t>错误月供</t>
  </si>
  <si>
    <t>GPS返佣金额</t>
  </si>
  <si>
    <t>息返返点</t>
  </si>
  <si>
    <t xml:space="preserve"> </t>
  </si>
  <si>
    <t>MFR</t>
  </si>
  <si>
    <t>MF</t>
  </si>
  <si>
    <t>融资金额</t>
  </si>
  <si>
    <t>费率</t>
  </si>
  <si>
    <t>利率</t>
  </si>
  <si>
    <t>息差</t>
  </si>
  <si>
    <t>￥30,000 </t>
  </si>
  <si>
    <t>￥1,023.87 </t>
  </si>
  <si>
    <t>￥2,291.96 </t>
  </si>
  <si>
    <t>￥50,000 </t>
  </si>
  <si>
    <t>￥1,706.45 </t>
  </si>
  <si>
    <t>￥3,819.93 </t>
  </si>
  <si>
    <t>￥80,000 </t>
  </si>
  <si>
    <t>￥2,730.33 </t>
  </si>
  <si>
    <t>￥6,111.89 </t>
  </si>
  <si>
    <t>￥100,000 </t>
  </si>
  <si>
    <t>￥3,412.91 </t>
  </si>
  <si>
    <t>￥7,639.86 </t>
  </si>
  <si>
    <t>￥150,000 </t>
  </si>
  <si>
    <t>￥5,119.36 </t>
  </si>
  <si>
    <t>￥11,459.79 </t>
  </si>
  <si>
    <t>￥200,000 </t>
  </si>
  <si>
    <t>￥6,825.82 </t>
  </si>
  <si>
    <t>￥15,279.71 </t>
  </si>
  <si>
    <t>￥1,438.97 </t>
  </si>
  <si>
    <t>￥1,561.17 </t>
  </si>
  <si>
    <t>￥2,398.28 </t>
  </si>
  <si>
    <t>￥2,601.96 </t>
  </si>
  <si>
    <t>￥3,837.25 </t>
  </si>
  <si>
    <t>￥4,613.13 </t>
  </si>
  <si>
    <t>￥4,796.57 </t>
  </si>
  <si>
    <t>￥5,203.91 </t>
  </si>
  <si>
    <t>￥7,194.85 </t>
  </si>
  <si>
    <t>￥7,805.87 </t>
  </si>
  <si>
    <t>￥9,593.13 </t>
  </si>
  <si>
    <t>￥10,407.83 </t>
  </si>
  <si>
    <t>融资本金（小）</t>
    <phoneticPr fontId="8" type="noConversion"/>
  </si>
  <si>
    <t>融资总额</t>
    <phoneticPr fontId="8" type="noConversion"/>
  </si>
  <si>
    <t>最低首付比例</t>
    <phoneticPr fontId="8" type="noConversion"/>
  </si>
  <si>
    <t>首付</t>
    <phoneticPr fontId="8" type="noConversion"/>
  </si>
  <si>
    <t>实际首付比例</t>
    <phoneticPr fontId="8" type="noConversion"/>
  </si>
  <si>
    <t>年化利率</t>
    <phoneticPr fontId="8" type="noConversion"/>
  </si>
  <si>
    <t>车融资+GPS超融+保险超融</t>
    <phoneticPr fontId="8" type="noConversion"/>
  </si>
  <si>
    <t>打款给车商尾款</t>
    <phoneticPr fontId="8" type="noConversion"/>
  </si>
  <si>
    <t>金融产品测算工具</t>
    <phoneticPr fontId="8" type="noConversion"/>
  </si>
  <si>
    <t>资方年利率</t>
    <phoneticPr fontId="8" type="noConversion"/>
  </si>
  <si>
    <t>58年利率</t>
    <phoneticPr fontId="8" type="noConversion"/>
  </si>
  <si>
    <t>占授信</t>
    <phoneticPr fontId="8" type="noConversion"/>
  </si>
  <si>
    <t>不占授信</t>
    <phoneticPr fontId="8" type="noConversion"/>
  </si>
  <si>
    <t>月费率</t>
    <phoneticPr fontId="8" type="noConversion"/>
  </si>
  <si>
    <t>36/无票返佣</t>
    <phoneticPr fontId="8" type="noConversion"/>
  </si>
  <si>
    <t>若资方为新网则资方年利率=8.8%，若为微众则资方年利率=58年利率</t>
    <phoneticPr fontId="8" type="noConversion"/>
  </si>
  <si>
    <t>车融资+保险超融</t>
    <phoneticPr fontId="8" type="noConversion"/>
  </si>
  <si>
    <t>58金融内部工具，请勿外传</t>
    <phoneticPr fontId="8" type="noConversion"/>
  </si>
  <si>
    <t>CXF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</si>
</sst>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¥&quot;#,##0.00_);[Red]\(&quot;¥&quot;#,##0.00\)"/>
    <numFmt numFmtId="176" formatCode="0_);[Red]\(0\)"/>
    <numFmt numFmtId="177" formatCode="0.0%"/>
    <numFmt numFmtId="178" formatCode="\¥#,##0.00_);[Red]\(\¥#,##0.00\)"/>
    <numFmt numFmtId="179" formatCode="0.00_ "/>
  </numFmts>
  <fonts count="14">
    <font>
      <sz val="12"/>
      <color theme="1"/>
      <name val="等线"/>
      <charset val="134"/>
      <scheme val="minor"/>
    </font>
    <font>
      <sz val="10"/>
      <color theme="1"/>
      <name val="Microsoft YaHei"/>
      <family val="2"/>
      <charset val="134"/>
    </font>
    <font>
      <sz val="11"/>
      <color theme="1"/>
      <name val="SimSun"/>
      <family val="3"/>
      <charset val="134"/>
    </font>
    <font>
      <sz val="12"/>
      <color theme="1"/>
      <name val="等线"/>
      <family val="4"/>
      <charset val="134"/>
      <scheme val="minor"/>
    </font>
    <font>
      <sz val="12"/>
      <color theme="0"/>
      <name val="等线"/>
      <family val="4"/>
      <charset val="134"/>
      <scheme val="minor"/>
    </font>
    <font>
      <sz val="10"/>
      <color theme="1"/>
      <name val="微软雅黑"/>
      <family val="2"/>
      <charset val="134"/>
    </font>
    <font>
      <sz val="12"/>
      <color theme="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b/>
      <sz val="12"/>
      <color theme="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8"/>
      <color theme="0" tint="-4.9989318521683403E-2"/>
      <name val="微软雅黑"/>
      <family val="2"/>
      <charset val="134"/>
    </font>
    <font>
      <b/>
      <sz val="12"/>
      <color theme="0" tint="-4.9989318521683403E-2"/>
      <name val="等线"/>
      <family val="4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499984740745262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>
      <alignment vertical="center"/>
    </xf>
    <xf numFmtId="10" fontId="1" fillId="0" borderId="0" xfId="0" applyNumberFormat="1" applyFont="1">
      <alignment vertical="center"/>
    </xf>
    <xf numFmtId="0" fontId="2" fillId="0" borderId="0" xfId="0" applyFont="1">
      <alignment vertical="center"/>
    </xf>
    <xf numFmtId="8" fontId="0" fillId="6" borderId="1" xfId="0" applyNumberFormat="1" applyFill="1" applyBorder="1" applyProtection="1">
      <alignment vertical="center"/>
      <protection hidden="1"/>
    </xf>
    <xf numFmtId="8" fontId="4" fillId="19" borderId="1" xfId="0" applyNumberFormat="1" applyFont="1" applyFill="1" applyBorder="1" applyAlignment="1" applyProtection="1">
      <alignment vertical="center" wrapText="1"/>
      <protection hidden="1"/>
    </xf>
    <xf numFmtId="8" fontId="4" fillId="19" borderId="3" xfId="0" applyNumberFormat="1" applyFont="1" applyFill="1" applyBorder="1" applyAlignment="1" applyProtection="1">
      <alignment vertical="center" wrapText="1"/>
      <protection hidden="1"/>
    </xf>
    <xf numFmtId="8" fontId="4" fillId="19" borderId="4" xfId="0" applyNumberFormat="1" applyFont="1" applyFill="1" applyBorder="1" applyAlignment="1" applyProtection="1">
      <alignment vertical="center"/>
      <protection hidden="1"/>
    </xf>
    <xf numFmtId="8" fontId="4" fillId="19" borderId="1" xfId="0" applyNumberFormat="1" applyFont="1" applyFill="1" applyBorder="1" applyProtection="1">
      <alignment vertical="center"/>
      <protection hidden="1"/>
    </xf>
    <xf numFmtId="8" fontId="0" fillId="16" borderId="1" xfId="0" applyNumberFormat="1" applyFill="1" applyBorder="1" applyProtection="1">
      <alignment vertical="center"/>
      <protection hidden="1"/>
    </xf>
    <xf numFmtId="10" fontId="0" fillId="16" borderId="1" xfId="1" applyNumberFormat="1" applyFont="1" applyFill="1" applyBorder="1" applyProtection="1">
      <alignment vertical="center"/>
      <protection hidden="1"/>
    </xf>
    <xf numFmtId="10" fontId="4" fillId="19" borderId="1" xfId="1" applyNumberFormat="1" applyFont="1" applyFill="1" applyBorder="1" applyProtection="1">
      <alignment vertical="center"/>
      <protection hidden="1"/>
    </xf>
    <xf numFmtId="8" fontId="11" fillId="6" borderId="1" xfId="0" applyNumberFormat="1" applyFont="1" applyFill="1" applyBorder="1" applyProtection="1">
      <alignment vertical="center"/>
      <protection hidden="1"/>
    </xf>
    <xf numFmtId="8" fontId="10" fillId="19" borderId="1" xfId="0" applyNumberFormat="1" applyFont="1" applyFill="1" applyBorder="1" applyProtection="1">
      <alignment vertical="center"/>
      <protection hidden="1"/>
    </xf>
    <xf numFmtId="10" fontId="0" fillId="6" borderId="1" xfId="1" applyNumberFormat="1" applyFont="1" applyFill="1" applyBorder="1" applyProtection="1">
      <alignment vertical="center"/>
      <protection hidden="1"/>
    </xf>
    <xf numFmtId="0" fontId="9" fillId="18" borderId="1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alignment vertical="center"/>
      <protection locked="0" hidden="1"/>
    </xf>
    <xf numFmtId="0" fontId="0" fillId="0" borderId="1" xfId="0" applyBorder="1" applyProtection="1">
      <alignment vertical="center"/>
      <protection locked="0" hidden="1"/>
    </xf>
    <xf numFmtId="8" fontId="0" fillId="0" borderId="16" xfId="0" applyNumberFormat="1" applyBorder="1" applyAlignment="1" applyProtection="1">
      <alignment horizontal="center" vertical="center"/>
      <protection locked="0" hidden="1"/>
    </xf>
    <xf numFmtId="8" fontId="0" fillId="0" borderId="17" xfId="0" applyNumberFormat="1" applyBorder="1" applyAlignment="1" applyProtection="1">
      <alignment horizontal="center" vertical="center"/>
      <protection locked="0" hidden="1"/>
    </xf>
    <xf numFmtId="0" fontId="0" fillId="0" borderId="17" xfId="0" applyBorder="1" applyProtection="1">
      <alignment vertical="center"/>
      <protection locked="0" hidden="1"/>
    </xf>
    <xf numFmtId="8" fontId="0" fillId="0" borderId="1" xfId="0" applyNumberFormat="1" applyBorder="1" applyProtection="1">
      <alignment vertical="center"/>
      <protection locked="0" hidden="1"/>
    </xf>
    <xf numFmtId="176" fontId="0" fillId="0" borderId="1" xfId="0" applyNumberFormat="1" applyBorder="1" applyProtection="1">
      <alignment vertical="center"/>
      <protection locked="0" hidden="1"/>
    </xf>
    <xf numFmtId="10" fontId="0" fillId="0" borderId="1" xfId="1" applyNumberFormat="1" applyFont="1" applyBorder="1" applyProtection="1">
      <alignment vertical="center"/>
      <protection locked="0" hidden="1"/>
    </xf>
    <xf numFmtId="9" fontId="0" fillId="0" borderId="16" xfId="1" applyFont="1" applyBorder="1" applyAlignment="1" applyProtection="1">
      <alignment horizontal="center" vertical="center"/>
      <protection locked="0" hidden="1"/>
    </xf>
    <xf numFmtId="9" fontId="0" fillId="0" borderId="17" xfId="1" applyFont="1" applyBorder="1" applyAlignment="1" applyProtection="1">
      <alignment horizontal="center" vertical="center"/>
      <protection locked="0" hidden="1"/>
    </xf>
    <xf numFmtId="176" fontId="0" fillId="0" borderId="16" xfId="0" applyNumberFormat="1" applyBorder="1" applyAlignment="1" applyProtection="1">
      <alignment horizontal="center" vertical="center"/>
      <protection locked="0" hidden="1"/>
    </xf>
    <xf numFmtId="176" fontId="0" fillId="0" borderId="17" xfId="0" applyNumberFormat="1" applyBorder="1" applyAlignment="1" applyProtection="1">
      <alignment horizontal="center" vertical="center"/>
      <protection locked="0" hidden="1"/>
    </xf>
    <xf numFmtId="9" fontId="0" fillId="7" borderId="1" xfId="1" applyFont="1" applyFill="1" applyBorder="1" applyProtection="1">
      <alignment vertical="center"/>
      <protection locked="0" hidden="1"/>
    </xf>
    <xf numFmtId="10" fontId="0" fillId="0" borderId="16" xfId="1" applyNumberFormat="1" applyFont="1" applyBorder="1" applyAlignment="1" applyProtection="1">
      <alignment horizontal="center" vertical="center"/>
      <protection locked="0" hidden="1"/>
    </xf>
    <xf numFmtId="10" fontId="0" fillId="0" borderId="17" xfId="1" applyNumberFormat="1" applyFont="1" applyBorder="1" applyAlignment="1" applyProtection="1">
      <alignment horizontal="center" vertical="center"/>
      <protection locked="0" hidden="1"/>
    </xf>
    <xf numFmtId="179" fontId="3" fillId="0" borderId="1" xfId="0" applyNumberFormat="1" applyFont="1" applyBorder="1" applyAlignment="1" applyProtection="1">
      <alignment vertical="center"/>
      <protection locked="0" hidden="1"/>
    </xf>
    <xf numFmtId="0" fontId="3" fillId="0" borderId="1" xfId="0" applyFont="1" applyBorder="1" applyAlignment="1" applyProtection="1">
      <alignment vertical="center"/>
      <protection locked="0" hidden="1"/>
    </xf>
    <xf numFmtId="8" fontId="0" fillId="0" borderId="0" xfId="0" applyNumberFormat="1" applyProtection="1">
      <alignment vertical="center"/>
      <protection locked="0" hidden="1"/>
    </xf>
    <xf numFmtId="0" fontId="0" fillId="8" borderId="0" xfId="0" applyFill="1" applyBorder="1" applyProtection="1">
      <alignment vertical="center"/>
      <protection locked="0" hidden="1"/>
    </xf>
    <xf numFmtId="0" fontId="0" fillId="0" borderId="17" xfId="0" applyFill="1" applyBorder="1" applyProtection="1">
      <alignment vertical="center"/>
      <protection locked="0" hidden="1"/>
    </xf>
    <xf numFmtId="8" fontId="0" fillId="0" borderId="16" xfId="0" applyNumberFormat="1" applyFill="1" applyBorder="1" applyAlignment="1" applyProtection="1">
      <alignment horizontal="center" vertical="center"/>
      <protection locked="0" hidden="1"/>
    </xf>
    <xf numFmtId="8" fontId="0" fillId="0" borderId="17" xfId="0" applyNumberFormat="1" applyFill="1" applyBorder="1" applyAlignment="1" applyProtection="1">
      <alignment horizontal="center" vertical="center"/>
      <protection locked="0" hidden="1"/>
    </xf>
    <xf numFmtId="0" fontId="0" fillId="0" borderId="0" xfId="0" applyAlignment="1" applyProtection="1">
      <alignment horizontal="center" vertical="center"/>
      <protection locked="0" hidden="1"/>
    </xf>
    <xf numFmtId="9" fontId="0" fillId="0" borderId="16" xfId="1" applyNumberFormat="1" applyFont="1" applyBorder="1" applyAlignment="1" applyProtection="1">
      <alignment horizontal="center" vertical="center"/>
      <protection locked="0" hidden="1"/>
    </xf>
    <xf numFmtId="9" fontId="0" fillId="0" borderId="17" xfId="1" applyNumberFormat="1" applyFont="1" applyBorder="1" applyAlignment="1" applyProtection="1">
      <alignment horizontal="center" vertical="center"/>
      <protection locked="0" hidden="1"/>
    </xf>
    <xf numFmtId="0" fontId="0" fillId="0" borderId="0" xfId="0" applyAlignment="1" applyProtection="1">
      <alignment horizontal="right" vertical="center"/>
      <protection locked="0" hidden="1"/>
    </xf>
    <xf numFmtId="0" fontId="9" fillId="0" borderId="1" xfId="0" applyFont="1" applyBorder="1" applyAlignment="1" applyProtection="1">
      <alignment vertical="center"/>
      <protection locked="0" hidden="1"/>
    </xf>
    <xf numFmtId="8" fontId="0" fillId="0" borderId="16" xfId="0" applyNumberFormat="1" applyFill="1" applyBorder="1" applyProtection="1">
      <alignment vertical="center"/>
      <protection locked="0" hidden="1"/>
    </xf>
    <xf numFmtId="0" fontId="0" fillId="0" borderId="11" xfId="0" applyBorder="1" applyProtection="1">
      <alignment vertical="center"/>
      <protection locked="0" hidden="1"/>
    </xf>
    <xf numFmtId="178" fontId="0" fillId="0" borderId="1" xfId="0" applyNumberFormat="1" applyBorder="1" applyProtection="1">
      <alignment vertical="center"/>
      <protection locked="0" hidden="1"/>
    </xf>
    <xf numFmtId="9" fontId="0" fillId="0" borderId="16" xfId="1" applyFont="1" applyBorder="1" applyProtection="1">
      <alignment vertical="center"/>
      <protection locked="0" hidden="1"/>
    </xf>
    <xf numFmtId="0" fontId="0" fillId="0" borderId="2" xfId="0" applyBorder="1" applyProtection="1">
      <alignment vertical="center"/>
      <protection locked="0" hidden="1"/>
    </xf>
    <xf numFmtId="0" fontId="13" fillId="0" borderId="0" xfId="0" applyFont="1" applyAlignment="1" applyProtection="1">
      <alignment horizontal="center" vertical="center"/>
      <protection locked="0" hidden="1"/>
    </xf>
    <xf numFmtId="0" fontId="3" fillId="4" borderId="1" xfId="0" applyFont="1" applyFill="1" applyBorder="1" applyProtection="1">
      <alignment vertical="center"/>
      <protection hidden="1"/>
    </xf>
    <xf numFmtId="0" fontId="0" fillId="4" borderId="1" xfId="0" applyFill="1" applyBorder="1" applyProtection="1">
      <alignment vertical="center"/>
      <protection hidden="1"/>
    </xf>
    <xf numFmtId="0" fontId="3" fillId="7" borderId="1" xfId="0" applyFont="1" applyFill="1" applyBorder="1" applyProtection="1">
      <alignment vertical="center"/>
      <protection hidden="1"/>
    </xf>
    <xf numFmtId="0" fontId="3" fillId="9" borderId="1" xfId="0" applyFont="1" applyFill="1" applyBorder="1" applyProtection="1">
      <alignment vertical="center"/>
      <protection hidden="1"/>
    </xf>
    <xf numFmtId="0" fontId="3" fillId="11" borderId="1" xfId="0" applyFont="1" applyFill="1" applyBorder="1" applyProtection="1">
      <alignment vertical="center"/>
      <protection hidden="1"/>
    </xf>
    <xf numFmtId="0" fontId="0" fillId="11" borderId="1" xfId="0" applyFill="1" applyBorder="1" applyProtection="1">
      <alignment vertical="center"/>
      <protection hidden="1"/>
    </xf>
    <xf numFmtId="0" fontId="3" fillId="5" borderId="1" xfId="0" applyFont="1" applyFill="1" applyBorder="1" applyProtection="1">
      <alignment vertical="center"/>
      <protection hidden="1"/>
    </xf>
    <xf numFmtId="0" fontId="3" fillId="10" borderId="1" xfId="0" applyFont="1" applyFill="1" applyBorder="1" applyProtection="1">
      <alignment vertical="center"/>
      <protection hidden="1"/>
    </xf>
    <xf numFmtId="0" fontId="3" fillId="17" borderId="1" xfId="0" applyFont="1" applyFill="1" applyBorder="1" applyProtection="1">
      <alignment vertical="center"/>
      <protection hidden="1"/>
    </xf>
    <xf numFmtId="0" fontId="0" fillId="12" borderId="1" xfId="0" applyFill="1" applyBorder="1" applyProtection="1">
      <alignment vertical="center"/>
      <protection hidden="1"/>
    </xf>
    <xf numFmtId="0" fontId="3" fillId="3" borderId="1" xfId="0" applyFont="1" applyFill="1" applyBorder="1" applyProtection="1">
      <alignment vertical="center"/>
      <protection hidden="1"/>
    </xf>
    <xf numFmtId="0" fontId="3" fillId="13" borderId="5" xfId="0" applyFont="1" applyFill="1" applyBorder="1" applyProtection="1">
      <alignment vertical="center"/>
      <protection hidden="1"/>
    </xf>
    <xf numFmtId="0" fontId="3" fillId="13" borderId="1" xfId="0" applyFont="1" applyFill="1" applyBorder="1" applyProtection="1">
      <alignment vertical="center"/>
      <protection hidden="1"/>
    </xf>
    <xf numFmtId="0" fontId="0" fillId="0" borderId="0" xfId="0" applyProtection="1">
      <alignment vertical="center"/>
      <protection hidden="1"/>
    </xf>
    <xf numFmtId="0" fontId="6" fillId="15" borderId="0" xfId="0" applyFont="1" applyFill="1" applyBorder="1" applyProtection="1">
      <alignment vertical="center"/>
      <protection hidden="1"/>
    </xf>
    <xf numFmtId="0" fontId="3" fillId="11" borderId="15" xfId="0" applyFont="1" applyFill="1" applyBorder="1" applyProtection="1">
      <alignment vertical="center"/>
      <protection hidden="1"/>
    </xf>
    <xf numFmtId="0" fontId="3" fillId="17" borderId="0" xfId="0" applyFont="1" applyFill="1" applyProtection="1">
      <alignment vertical="center"/>
      <protection hidden="1"/>
    </xf>
    <xf numFmtId="178" fontId="0" fillId="6" borderId="1" xfId="0" applyNumberFormat="1" applyFill="1" applyBorder="1" applyProtection="1">
      <alignment vertical="center"/>
      <protection hidden="1"/>
    </xf>
    <xf numFmtId="0" fontId="4" fillId="14" borderId="0" xfId="0" applyFont="1" applyFill="1" applyAlignment="1" applyProtection="1">
      <alignment horizontal="right" vertical="center"/>
      <protection hidden="1"/>
    </xf>
    <xf numFmtId="178" fontId="0" fillId="6" borderId="0" xfId="0" applyNumberFormat="1" applyFill="1" applyProtection="1">
      <alignment vertical="center"/>
      <protection hidden="1"/>
    </xf>
    <xf numFmtId="178" fontId="0" fillId="7" borderId="11" xfId="0" applyNumberFormat="1" applyFill="1" applyBorder="1" applyAlignment="1" applyProtection="1">
      <alignment horizontal="center" vertical="center"/>
      <protection hidden="1"/>
    </xf>
    <xf numFmtId="178" fontId="0" fillId="0" borderId="0" xfId="0" applyNumberFormat="1" applyProtection="1">
      <alignment vertical="center"/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3" fillId="2" borderId="3" xfId="0" applyFont="1" applyFill="1" applyBorder="1" applyAlignment="1" applyProtection="1">
      <alignment horizontal="center" vertical="center" wrapText="1"/>
      <protection hidden="1"/>
    </xf>
    <xf numFmtId="0" fontId="0" fillId="2" borderId="11" xfId="0" applyFill="1" applyBorder="1" applyAlignment="1" applyProtection="1">
      <alignment horizontal="center" vertical="center" wrapText="1"/>
      <protection hidden="1"/>
    </xf>
    <xf numFmtId="0" fontId="0" fillId="2" borderId="0" xfId="0" applyFill="1" applyBorder="1" applyAlignment="1" applyProtection="1">
      <alignment horizontal="center" vertical="center" wrapText="1"/>
      <protection hidden="1"/>
    </xf>
    <xf numFmtId="0" fontId="12" fillId="20" borderId="0" xfId="0" applyFont="1" applyFill="1" applyAlignment="1" applyProtection="1">
      <alignment horizontal="center" vertical="center"/>
      <protection hidden="1"/>
    </xf>
    <xf numFmtId="0" fontId="3" fillId="0" borderId="11" xfId="0" applyFont="1" applyBorder="1" applyAlignment="1" applyProtection="1">
      <alignment horizontal="left" vertical="center" wrapText="1"/>
      <protection hidden="1"/>
    </xf>
    <xf numFmtId="0" fontId="3" fillId="0" borderId="0" xfId="0" applyFont="1" applyBorder="1" applyAlignment="1" applyProtection="1">
      <alignment horizontal="left" vertical="center" wrapText="1"/>
      <protection hidden="1"/>
    </xf>
    <xf numFmtId="0" fontId="9" fillId="0" borderId="1" xfId="0" applyFont="1" applyBorder="1" applyAlignment="1" applyProtection="1">
      <alignment horizontal="left" vertical="center"/>
      <protection hidden="1"/>
    </xf>
    <xf numFmtId="0" fontId="9" fillId="0" borderId="16" xfId="0" applyFont="1" applyBorder="1" applyAlignment="1" applyProtection="1">
      <alignment horizontal="left" vertical="center"/>
      <protection hidden="1"/>
    </xf>
    <xf numFmtId="0" fontId="9" fillId="0" borderId="17" xfId="0" applyFont="1" applyBorder="1" applyAlignment="1" applyProtection="1">
      <alignment horizontal="left" vertical="center"/>
      <protection hidden="1"/>
    </xf>
    <xf numFmtId="10" fontId="5" fillId="0" borderId="6" xfId="1" applyNumberFormat="1" applyFont="1" applyBorder="1" applyAlignment="1" applyProtection="1">
      <alignment horizontal="center" vertical="center"/>
      <protection hidden="1"/>
    </xf>
    <xf numFmtId="10" fontId="5" fillId="0" borderId="7" xfId="1" applyNumberFormat="1" applyFont="1" applyBorder="1" applyAlignment="1" applyProtection="1">
      <alignment horizontal="center" vertical="center"/>
      <protection hidden="1"/>
    </xf>
    <xf numFmtId="10" fontId="5" fillId="0" borderId="8" xfId="1" applyNumberFormat="1" applyFont="1" applyBorder="1" applyAlignment="1" applyProtection="1">
      <alignment horizontal="center" vertical="center"/>
      <protection hidden="1"/>
    </xf>
    <xf numFmtId="10" fontId="5" fillId="0" borderId="6" xfId="1" applyNumberFormat="1" applyFont="1" applyBorder="1" applyAlignment="1" applyProtection="1">
      <alignment horizontal="right" vertical="center"/>
      <protection hidden="1"/>
    </xf>
    <xf numFmtId="10" fontId="5" fillId="0" borderId="7" xfId="1" applyNumberFormat="1" applyFont="1" applyBorder="1" applyAlignment="1" applyProtection="1">
      <alignment horizontal="right" vertical="center"/>
      <protection hidden="1"/>
    </xf>
    <xf numFmtId="10" fontId="5" fillId="0" borderId="8" xfId="1" applyNumberFormat="1" applyFont="1" applyBorder="1" applyAlignment="1" applyProtection="1">
      <alignment horizontal="right" vertical="center"/>
      <protection hidden="1"/>
    </xf>
    <xf numFmtId="10" fontId="5" fillId="0" borderId="9" xfId="1" applyNumberFormat="1" applyFont="1" applyBorder="1" applyAlignment="1" applyProtection="1">
      <alignment vertical="center"/>
      <protection hidden="1"/>
    </xf>
    <xf numFmtId="177" fontId="5" fillId="0" borderId="0" xfId="1" applyNumberFormat="1" applyFont="1" applyBorder="1" applyAlignment="1" applyProtection="1">
      <alignment vertical="center"/>
      <protection hidden="1"/>
    </xf>
    <xf numFmtId="10" fontId="5" fillId="0" borderId="10" xfId="1" applyNumberFormat="1" applyFont="1" applyBorder="1" applyAlignment="1" applyProtection="1">
      <alignment vertical="center"/>
      <protection hidden="1"/>
    </xf>
    <xf numFmtId="10" fontId="5" fillId="0" borderId="12" xfId="1" applyNumberFormat="1" applyFont="1" applyBorder="1" applyAlignment="1" applyProtection="1">
      <alignment vertical="center"/>
      <protection hidden="1"/>
    </xf>
    <xf numFmtId="177" fontId="5" fillId="0" borderId="13" xfId="1" applyNumberFormat="1" applyFont="1" applyBorder="1" applyAlignment="1" applyProtection="1">
      <alignment vertical="center"/>
      <protection hidden="1"/>
    </xf>
    <xf numFmtId="10" fontId="5" fillId="0" borderId="14" xfId="1" applyNumberFormat="1" applyFont="1" applyBorder="1" applyAlignment="1" applyProtection="1">
      <alignment vertical="center"/>
      <protection hidden="1"/>
    </xf>
    <xf numFmtId="8" fontId="0" fillId="16" borderId="0" xfId="0" applyNumberFormat="1" applyFill="1" applyProtection="1">
      <alignment vertical="center"/>
      <protection hidden="1"/>
    </xf>
    <xf numFmtId="10" fontId="0" fillId="6" borderId="16" xfId="1" applyNumberFormat="1" applyFont="1" applyFill="1" applyBorder="1" applyProtection="1">
      <alignment vertical="center"/>
      <protection hidden="1"/>
    </xf>
    <xf numFmtId="8" fontId="0" fillId="6" borderId="16" xfId="0" applyNumberFormat="1" applyFill="1" applyBorder="1" applyProtection="1">
      <alignment vertical="center"/>
      <protection hidden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C5" sqref="C5:D5"/>
    </sheetView>
  </sheetViews>
  <sheetFormatPr baseColWidth="10" defaultColWidth="11" defaultRowHeight="25" customHeight="1"/>
  <cols>
    <col min="1" max="1" width="8" style="16" customWidth="1"/>
    <col min="2" max="2" width="18.83203125" style="16" customWidth="1"/>
    <col min="3" max="3" width="16.6640625" style="16" customWidth="1"/>
    <col min="4" max="4" width="15.6640625" style="16" customWidth="1"/>
    <col min="5" max="5" width="14.83203125" style="16" customWidth="1"/>
    <col min="6" max="6" width="14" style="16" customWidth="1"/>
    <col min="7" max="7" width="9.6640625" style="16" customWidth="1"/>
    <col min="8" max="8" width="8.33203125" style="16" customWidth="1"/>
    <col min="9" max="9" width="19" style="16" customWidth="1"/>
    <col min="10" max="10" width="22" style="16" customWidth="1"/>
    <col min="11" max="11" width="15" style="16" customWidth="1"/>
    <col min="12" max="12" width="12.6640625" style="16" customWidth="1"/>
    <col min="13" max="15" width="11" style="16"/>
    <col min="16" max="16" width="14.33203125" style="16" customWidth="1"/>
    <col min="17" max="16384" width="11" style="16"/>
  </cols>
  <sheetData>
    <row r="1" spans="1:16" ht="25" customHeight="1">
      <c r="B1" s="75" t="s">
        <v>75</v>
      </c>
      <c r="C1" s="75"/>
      <c r="D1" s="75"/>
      <c r="E1" s="75"/>
      <c r="F1" s="75"/>
      <c r="G1" s="75"/>
      <c r="H1" s="75"/>
      <c r="I1" s="75"/>
      <c r="J1" s="75"/>
      <c r="K1" s="75"/>
    </row>
    <row r="2" spans="1:16" ht="19" customHeight="1">
      <c r="B2" s="75"/>
      <c r="C2" s="75"/>
      <c r="D2" s="75"/>
      <c r="E2" s="75"/>
      <c r="F2" s="75"/>
      <c r="G2" s="75"/>
      <c r="H2" s="75"/>
      <c r="I2" s="75"/>
      <c r="J2" s="75"/>
      <c r="K2" s="75"/>
    </row>
    <row r="3" spans="1:16" ht="25" customHeight="1">
      <c r="B3" s="71" t="s">
        <v>66</v>
      </c>
      <c r="C3" s="71"/>
      <c r="D3" s="72"/>
      <c r="E3" s="17"/>
      <c r="F3" s="17"/>
      <c r="I3" s="73" t="s">
        <v>0</v>
      </c>
      <c r="J3" s="74"/>
      <c r="K3" s="74"/>
    </row>
    <row r="4" spans="1:16" ht="25" customHeight="1">
      <c r="B4" s="49" t="s">
        <v>1</v>
      </c>
      <c r="C4" s="18">
        <v>50000</v>
      </c>
      <c r="D4" s="19"/>
      <c r="E4" s="20"/>
      <c r="F4" s="17"/>
      <c r="I4" s="55" t="s">
        <v>3</v>
      </c>
      <c r="J4" s="21">
        <v>58396.49</v>
      </c>
    </row>
    <row r="5" spans="1:16" ht="25" customHeight="1">
      <c r="B5" s="50" t="s">
        <v>2</v>
      </c>
      <c r="C5" s="18">
        <v>90000</v>
      </c>
      <c r="D5" s="19"/>
      <c r="E5" s="20"/>
      <c r="F5" s="17"/>
      <c r="I5" s="59" t="s">
        <v>6</v>
      </c>
      <c r="J5" s="22">
        <v>36</v>
      </c>
      <c r="N5" s="81" t="s">
        <v>4</v>
      </c>
      <c r="O5" s="82"/>
      <c r="P5" s="83"/>
    </row>
    <row r="6" spans="1:16" ht="25" customHeight="1">
      <c r="B6" s="49" t="s">
        <v>5</v>
      </c>
      <c r="C6" s="18">
        <v>100000</v>
      </c>
      <c r="D6" s="19"/>
      <c r="E6" s="20"/>
      <c r="F6" s="17"/>
      <c r="I6" s="59" t="s">
        <v>68</v>
      </c>
      <c r="J6" s="23">
        <v>0.19739999999999999</v>
      </c>
      <c r="N6" s="84" t="s">
        <v>71</v>
      </c>
      <c r="O6" s="85" t="s">
        <v>72</v>
      </c>
      <c r="P6" s="86" t="s">
        <v>63</v>
      </c>
    </row>
    <row r="7" spans="1:16" ht="25" customHeight="1">
      <c r="B7" s="49" t="s">
        <v>60</v>
      </c>
      <c r="C7" s="24">
        <v>0.3</v>
      </c>
      <c r="D7" s="25"/>
      <c r="E7" s="20"/>
      <c r="F7" s="17"/>
      <c r="I7" s="59" t="s">
        <v>67</v>
      </c>
      <c r="J7" s="23">
        <v>8.7999999999999995E-2</v>
      </c>
      <c r="N7" s="87">
        <v>6.3E-3</v>
      </c>
      <c r="O7" s="88">
        <v>0</v>
      </c>
      <c r="P7" s="89">
        <v>0.13902141825763401</v>
      </c>
    </row>
    <row r="8" spans="1:16" ht="25" customHeight="1">
      <c r="B8" s="49" t="s">
        <v>6</v>
      </c>
      <c r="C8" s="26">
        <v>36</v>
      </c>
      <c r="D8" s="27"/>
      <c r="E8" s="20"/>
      <c r="F8" s="17"/>
      <c r="H8" s="28">
        <v>0</v>
      </c>
      <c r="I8" s="51" t="s">
        <v>9</v>
      </c>
      <c r="J8" s="66">
        <f>K8*H8</f>
        <v>0</v>
      </c>
      <c r="K8" s="69">
        <f>J4-(PV(J6/12,J5,(PMT(J7/12,J5,J4,0,0)),0,0))</f>
        <v>8396.4926701265213</v>
      </c>
      <c r="N8" s="87">
        <v>6.7000000000000002E-3</v>
      </c>
      <c r="O8" s="88">
        <v>0.01</v>
      </c>
      <c r="P8" s="89">
        <v>0.14747287258455899</v>
      </c>
    </row>
    <row r="9" spans="1:16" ht="25" customHeight="1">
      <c r="B9" s="49" t="s">
        <v>68</v>
      </c>
      <c r="C9" s="29">
        <v>0.19739999999999999</v>
      </c>
      <c r="D9" s="30"/>
      <c r="E9" s="76" t="s">
        <v>73</v>
      </c>
      <c r="F9" s="77"/>
      <c r="G9" s="77"/>
      <c r="H9" s="28">
        <v>1</v>
      </c>
      <c r="I9" s="51" t="s">
        <v>10</v>
      </c>
      <c r="J9" s="66">
        <f>K8*H9</f>
        <v>8396.4926701265213</v>
      </c>
      <c r="K9" s="69"/>
      <c r="N9" s="87">
        <v>7.0000000000000001E-3</v>
      </c>
      <c r="O9" s="88">
        <v>0.02</v>
      </c>
      <c r="P9" s="89">
        <v>0.15378488494593801</v>
      </c>
    </row>
    <row r="10" spans="1:16" ht="25" customHeight="1">
      <c r="B10" s="49" t="s">
        <v>67</v>
      </c>
      <c r="C10" s="29">
        <v>8.7999999999999995E-2</v>
      </c>
      <c r="D10" s="30"/>
      <c r="E10" s="76"/>
      <c r="F10" s="77"/>
      <c r="G10" s="77"/>
      <c r="I10" s="52" t="s">
        <v>11</v>
      </c>
      <c r="J10" s="21">
        <v>1500</v>
      </c>
      <c r="N10" s="87">
        <v>7.4000000000000003E-3</v>
      </c>
      <c r="O10" s="88">
        <v>0.03</v>
      </c>
      <c r="P10" s="89">
        <v>0.16216599110611701</v>
      </c>
    </row>
    <row r="11" spans="1:16" ht="25" customHeight="1">
      <c r="A11" s="28">
        <v>0</v>
      </c>
      <c r="B11" s="51" t="s">
        <v>9</v>
      </c>
      <c r="C11" s="4">
        <f>((PV(C10/12,C8,(PMT(C9/12,C8,(C17),0,0)),0,0))-(C17))*A11</f>
        <v>0</v>
      </c>
      <c r="D11" s="5">
        <f>((PV(C10/12,C8,(PMT(C9/12,C8,(D17),0,0)),0,0))-(D17))*A11</f>
        <v>0</v>
      </c>
      <c r="E11" s="31"/>
      <c r="F11" s="17"/>
      <c r="I11" s="52" t="s">
        <v>12</v>
      </c>
      <c r="J11" s="21">
        <v>0</v>
      </c>
      <c r="N11" s="87">
        <v>7.7000000000000002E-3</v>
      </c>
      <c r="O11" s="88">
        <v>0.04</v>
      </c>
      <c r="P11" s="89">
        <v>0.16842599026226601</v>
      </c>
    </row>
    <row r="12" spans="1:16" ht="25" customHeight="1">
      <c r="A12" s="28">
        <v>1</v>
      </c>
      <c r="B12" s="51" t="s">
        <v>10</v>
      </c>
      <c r="C12" s="4">
        <f>((PV(C10/12,C8,(PMT(C9/12,C8,(C17),0,0)),0,0))-(C17))*A12</f>
        <v>7189.21006222086</v>
      </c>
      <c r="D12" s="6">
        <f>((PV(C10/12,C8,(PMT(C9/12,C8,(D17),0,0)),0,0))-(D17))*A12</f>
        <v>8396.4931185215828</v>
      </c>
      <c r="E12" s="32"/>
      <c r="F12" s="17"/>
      <c r="I12" s="60" t="s">
        <v>5</v>
      </c>
      <c r="J12" s="33">
        <v>100000</v>
      </c>
      <c r="N12" s="87">
        <v>8.0999999999999996E-3</v>
      </c>
      <c r="O12" s="88">
        <v>0.05</v>
      </c>
      <c r="P12" s="89">
        <v>0.17673872131489499</v>
      </c>
    </row>
    <row r="13" spans="1:16" ht="25" customHeight="1">
      <c r="A13" s="34"/>
      <c r="B13" s="52" t="s">
        <v>11</v>
      </c>
      <c r="C13" s="18">
        <v>1500</v>
      </c>
      <c r="D13" s="19"/>
      <c r="E13" s="35"/>
      <c r="F13" s="17"/>
      <c r="I13" s="61" t="s">
        <v>8</v>
      </c>
      <c r="J13" s="66">
        <f>J12-(J4-K8-J10-J11)</f>
        <v>51500.002670126523</v>
      </c>
      <c r="N13" s="87">
        <v>8.5000000000000006E-3</v>
      </c>
      <c r="O13" s="88">
        <v>0.06</v>
      </c>
      <c r="P13" s="89">
        <v>0.185013235979891</v>
      </c>
    </row>
    <row r="14" spans="1:16" ht="25" customHeight="1">
      <c r="B14" s="52" t="s">
        <v>12</v>
      </c>
      <c r="C14" s="18">
        <v>0</v>
      </c>
      <c r="D14" s="19"/>
      <c r="E14" s="20"/>
      <c r="F14" s="17"/>
      <c r="I14" s="61" t="s">
        <v>7</v>
      </c>
      <c r="J14" s="14">
        <f>J13/J12</f>
        <v>0.51500002670126521</v>
      </c>
      <c r="N14" s="87">
        <v>8.8000000000000005E-3</v>
      </c>
      <c r="O14" s="88">
        <v>7.0000000000000007E-2</v>
      </c>
      <c r="P14" s="89">
        <v>0.19119440636439899</v>
      </c>
    </row>
    <row r="15" spans="1:16" ht="25" customHeight="1">
      <c r="B15" s="53" t="s">
        <v>19</v>
      </c>
      <c r="C15" s="36">
        <v>0</v>
      </c>
      <c r="D15" s="37"/>
      <c r="E15" s="20"/>
      <c r="F15" s="17"/>
      <c r="I15" s="61" t="s">
        <v>13</v>
      </c>
      <c r="J15" s="66">
        <f>PMT(J7/12,J5,J4,0,0)</f>
        <v>-1851.5618501721206</v>
      </c>
      <c r="K15" s="38" t="s">
        <v>14</v>
      </c>
      <c r="L15" s="70">
        <f>PMT(J6/12,J5,(J4-K8),0,0)</f>
        <v>-1851.5618501721292</v>
      </c>
      <c r="N15" s="87">
        <v>9.1000000000000004E-3</v>
      </c>
      <c r="O15" s="88">
        <v>0.08</v>
      </c>
      <c r="P15" s="89">
        <v>0.197354669818084</v>
      </c>
    </row>
    <row r="16" spans="1:16" ht="25" customHeight="1">
      <c r="B16" s="54" t="s">
        <v>20</v>
      </c>
      <c r="C16" s="39">
        <v>0.08</v>
      </c>
      <c r="D16" s="40"/>
      <c r="E16" s="20"/>
      <c r="F16" s="17"/>
      <c r="I16" s="62"/>
      <c r="J16" s="67" t="s">
        <v>15</v>
      </c>
      <c r="K16" s="41"/>
      <c r="L16" s="67" t="s">
        <v>16</v>
      </c>
      <c r="N16" s="87">
        <v>9.4999999999999998E-3</v>
      </c>
      <c r="O16" s="88">
        <v>0.09</v>
      </c>
      <c r="P16" s="89">
        <v>0.20553625621152299</v>
      </c>
    </row>
    <row r="17" spans="2:16" ht="25" customHeight="1">
      <c r="B17" s="55" t="s">
        <v>58</v>
      </c>
      <c r="C17" s="4">
        <f>MIN(C4,C6*(1-C7)+C13+C14,C5*(1-C7)+C13+C14,(PV(C9/12,C8,(PMT(C10/12,C8,(C18),0,0)),0,0)))</f>
        <v>42810.78993778005</v>
      </c>
      <c r="D17" s="7">
        <f>MIN(C4,C6*(1-C7)+C13+C14,C5*(1-C7)+C13+C14)</f>
        <v>50000</v>
      </c>
      <c r="E17" s="78" t="s">
        <v>64</v>
      </c>
      <c r="F17" s="78"/>
      <c r="I17" s="63" t="s">
        <v>18</v>
      </c>
      <c r="J17" s="68">
        <f>PMT(J6/12,J5,J4,0,0)</f>
        <v>-2162.4943768418366</v>
      </c>
      <c r="N17" s="90">
        <v>9.7999999999999997E-3</v>
      </c>
      <c r="O17" s="91">
        <v>0.1</v>
      </c>
      <c r="P17" s="92">
        <v>0.211648684289267</v>
      </c>
    </row>
    <row r="18" spans="2:16" ht="25" customHeight="1">
      <c r="B18" s="56" t="s">
        <v>59</v>
      </c>
      <c r="C18" s="4">
        <f>IF(PV(C10/12,C8,(PMT(C9/12,C8,(D17),0,0)),0,0)&gt;C4,C4,PV(C10/12,C8,(PMT(C9/12,C8,(D17),0,0)),0,0))</f>
        <v>50000</v>
      </c>
      <c r="D18" s="8">
        <f>PV(C10/12,C8,(PMT(C9/12,C8,(D17),0,0)),0,0)</f>
        <v>58396.493118521583</v>
      </c>
      <c r="E18" s="42"/>
      <c r="F18" s="17"/>
      <c r="I18" s="64" t="s">
        <v>19</v>
      </c>
      <c r="J18" s="43">
        <v>0</v>
      </c>
      <c r="K18" s="44"/>
    </row>
    <row r="19" spans="2:16" ht="25" customHeight="1">
      <c r="B19" s="56" t="s">
        <v>61</v>
      </c>
      <c r="C19" s="9">
        <f>C6-(C17-C13-C14)</f>
        <v>58689.21006221995</v>
      </c>
      <c r="D19" s="8">
        <f>C6-(D17-C13-C14)</f>
        <v>51500</v>
      </c>
      <c r="E19" s="45"/>
      <c r="F19" s="17"/>
      <c r="I19" s="54" t="s">
        <v>20</v>
      </c>
      <c r="J19" s="46">
        <v>0.08</v>
      </c>
      <c r="K19" s="44"/>
    </row>
    <row r="20" spans="2:16" ht="25" customHeight="1">
      <c r="B20" s="56" t="s">
        <v>62</v>
      </c>
      <c r="C20" s="10">
        <f>C19/C6</f>
        <v>0.58689210062219954</v>
      </c>
      <c r="D20" s="11">
        <f>D19/C6</f>
        <v>0.51500000000000001</v>
      </c>
      <c r="E20" s="17"/>
      <c r="F20" s="17"/>
      <c r="I20" s="65" t="s">
        <v>65</v>
      </c>
      <c r="J20" s="93">
        <f>J4-J10-K8</f>
        <v>48499.997329873477</v>
      </c>
      <c r="K20" s="44"/>
    </row>
    <row r="21" spans="2:16" ht="25" customHeight="1">
      <c r="B21" s="56" t="s">
        <v>17</v>
      </c>
      <c r="C21" s="12">
        <f>PMT(C9/12,C8,(C17),0,0)</f>
        <v>-1585.3365931515136</v>
      </c>
      <c r="D21" s="13">
        <f>PMT(C9/12,C8,(D17),0,0)</f>
        <v>-1851.5619490502224</v>
      </c>
      <c r="E21" s="17"/>
      <c r="F21" s="17"/>
      <c r="I21" s="58" t="s">
        <v>22</v>
      </c>
      <c r="J21" s="94">
        <f>J19+(J18/(J4-K8))</f>
        <v>0.08</v>
      </c>
      <c r="K21" s="44"/>
    </row>
    <row r="22" spans="2:16" ht="25" customHeight="1">
      <c r="B22" s="57" t="s">
        <v>65</v>
      </c>
      <c r="C22" s="9">
        <f>C17-C13</f>
        <v>41310.78993778005</v>
      </c>
      <c r="D22" s="8">
        <f>D17-C13</f>
        <v>48500</v>
      </c>
      <c r="E22" s="79" t="s">
        <v>74</v>
      </c>
      <c r="F22" s="80"/>
      <c r="I22" s="58" t="s">
        <v>23</v>
      </c>
      <c r="J22" s="95">
        <f>(J4-K8)*J21</f>
        <v>3999.9997863898784</v>
      </c>
      <c r="K22" s="44"/>
    </row>
    <row r="23" spans="2:16" ht="25" customHeight="1">
      <c r="B23" s="58" t="s">
        <v>22</v>
      </c>
      <c r="C23" s="14">
        <f>C16+(C15/C17)</f>
        <v>0.08</v>
      </c>
      <c r="D23" s="11">
        <f>C16+(C15/D17)</f>
        <v>0.08</v>
      </c>
      <c r="E23" s="17"/>
      <c r="F23" s="17" t="s">
        <v>21</v>
      </c>
      <c r="K23" s="44"/>
    </row>
    <row r="24" spans="2:16" ht="25" customHeight="1">
      <c r="B24" s="58" t="s">
        <v>23</v>
      </c>
      <c r="C24" s="4">
        <f>C17*C23</f>
        <v>3424.8631950224039</v>
      </c>
      <c r="D24" s="8">
        <f>D17*D23</f>
        <v>4000</v>
      </c>
      <c r="E24" s="17"/>
      <c r="F24" s="17"/>
    </row>
    <row r="25" spans="2:16" ht="25" customHeight="1">
      <c r="B25" s="17"/>
      <c r="C25" s="15" t="s">
        <v>69</v>
      </c>
      <c r="D25" s="15" t="s">
        <v>70</v>
      </c>
      <c r="E25" s="17"/>
      <c r="F25" s="17"/>
    </row>
    <row r="27" spans="2:16" ht="25" customHeight="1">
      <c r="J27" s="47"/>
    </row>
    <row r="1000" spans="26:26" ht="25" customHeight="1">
      <c r="Z1000" s="48" t="s">
        <v>76</v>
      </c>
    </row>
  </sheetData>
  <sheetProtection algorithmName="SHA-512" hashValue="ogIgH8RBRXT7pscDJPDg8p+U56kbnTPe7cECSRsx5A0DPAOJHultfxAlV36iuHoSLIWo8AwS17ULDBAD+88/iA==" saltValue="uhxcAYQLiIaB2WMj6ZXtSg==" spinCount="100000" sheet="1" objects="1" scenarios="1" selectLockedCells="1"/>
  <mergeCells count="19">
    <mergeCell ref="E22:F22"/>
    <mergeCell ref="B1:K2"/>
    <mergeCell ref="B3:D3"/>
    <mergeCell ref="I3:K3"/>
    <mergeCell ref="E17:F17"/>
    <mergeCell ref="C4:D4"/>
    <mergeCell ref="C5:D5"/>
    <mergeCell ref="C6:D6"/>
    <mergeCell ref="C7:D7"/>
    <mergeCell ref="C8:D8"/>
    <mergeCell ref="C13:D13"/>
    <mergeCell ref="C14:D14"/>
    <mergeCell ref="C15:D15"/>
    <mergeCell ref="C16:D16"/>
    <mergeCell ref="C9:D9"/>
    <mergeCell ref="C10:D10"/>
    <mergeCell ref="E9:G10"/>
    <mergeCell ref="N5:P5"/>
    <mergeCell ref="K8:K9"/>
  </mergeCells>
  <phoneticPr fontId="8" type="noConversion"/>
  <pageMargins left="0.69930555555555596" right="0.69930555555555596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6"/>
  <sheetViews>
    <sheetView workbookViewId="0">
      <selection activeCell="F22" sqref="F22"/>
    </sheetView>
  </sheetViews>
  <sheetFormatPr baseColWidth="10" defaultColWidth="11" defaultRowHeight="16"/>
  <sheetData>
    <row r="2" spans="2:7">
      <c r="B2" s="1" t="s">
        <v>24</v>
      </c>
      <c r="C2" s="1" t="s">
        <v>6</v>
      </c>
      <c r="D2" s="1" t="s">
        <v>25</v>
      </c>
      <c r="E2" s="1" t="s">
        <v>26</v>
      </c>
      <c r="F2" s="1" t="s">
        <v>17</v>
      </c>
      <c r="G2" s="1" t="s">
        <v>27</v>
      </c>
    </row>
    <row r="3" spans="2:7">
      <c r="B3" s="1" t="s">
        <v>28</v>
      </c>
      <c r="C3" s="1">
        <v>36</v>
      </c>
      <c r="D3" s="2">
        <v>8.5000000000000006E-3</v>
      </c>
      <c r="E3" s="2">
        <v>0.13900000000000001</v>
      </c>
      <c r="F3" s="1" t="s">
        <v>29</v>
      </c>
      <c r="G3" s="1" t="s">
        <v>30</v>
      </c>
    </row>
    <row r="4" spans="2:7">
      <c r="B4" s="1" t="s">
        <v>31</v>
      </c>
      <c r="C4" s="1">
        <v>36</v>
      </c>
      <c r="D4" s="2">
        <v>8.5000000000000006E-3</v>
      </c>
      <c r="E4" s="2">
        <v>0.13900000000000001</v>
      </c>
      <c r="F4" s="1" t="s">
        <v>32</v>
      </c>
      <c r="G4" s="1" t="s">
        <v>33</v>
      </c>
    </row>
    <row r="5" spans="2:7">
      <c r="B5" s="1" t="s">
        <v>34</v>
      </c>
      <c r="C5" s="1">
        <v>36</v>
      </c>
      <c r="D5" s="2">
        <v>8.5000000000000006E-3</v>
      </c>
      <c r="E5" s="2">
        <v>0.13900000000000001</v>
      </c>
      <c r="F5" s="1" t="s">
        <v>35</v>
      </c>
      <c r="G5" s="1" t="s">
        <v>36</v>
      </c>
    </row>
    <row r="6" spans="2:7">
      <c r="B6" s="1" t="s">
        <v>37</v>
      </c>
      <c r="C6" s="1">
        <v>36</v>
      </c>
      <c r="D6" s="2">
        <v>8.5000000000000006E-3</v>
      </c>
      <c r="E6" s="2">
        <v>0.13900000000000001</v>
      </c>
      <c r="F6" s="1" t="s">
        <v>38</v>
      </c>
      <c r="G6" s="1" t="s">
        <v>39</v>
      </c>
    </row>
    <row r="7" spans="2:7">
      <c r="B7" s="1" t="s">
        <v>40</v>
      </c>
      <c r="C7" s="1">
        <v>36</v>
      </c>
      <c r="D7" s="2">
        <v>8.5000000000000006E-3</v>
      </c>
      <c r="E7" s="2">
        <v>0.13900000000000001</v>
      </c>
      <c r="F7" s="1" t="s">
        <v>41</v>
      </c>
      <c r="G7" s="1" t="s">
        <v>42</v>
      </c>
    </row>
    <row r="8" spans="2:7">
      <c r="B8" s="1" t="s">
        <v>43</v>
      </c>
      <c r="C8" s="1">
        <v>36</v>
      </c>
      <c r="D8" s="2">
        <v>8.5000000000000006E-3</v>
      </c>
      <c r="E8" s="2">
        <v>0.13900000000000001</v>
      </c>
      <c r="F8" s="1" t="s">
        <v>44</v>
      </c>
      <c r="G8" s="1" t="s">
        <v>45</v>
      </c>
    </row>
    <row r="9" spans="2:7">
      <c r="B9" s="3"/>
      <c r="C9" s="3"/>
      <c r="D9" s="3"/>
      <c r="E9" s="3"/>
      <c r="F9" s="3"/>
      <c r="G9" s="3"/>
    </row>
    <row r="10" spans="2:7">
      <c r="B10" s="1" t="s">
        <v>24</v>
      </c>
      <c r="C10" s="1" t="s">
        <v>6</v>
      </c>
      <c r="D10" s="1" t="s">
        <v>25</v>
      </c>
      <c r="E10" s="1" t="s">
        <v>26</v>
      </c>
      <c r="F10" s="1" t="s">
        <v>17</v>
      </c>
      <c r="G10" s="1" t="s">
        <v>27</v>
      </c>
    </row>
    <row r="11" spans="2:7">
      <c r="B11" s="1" t="s">
        <v>28</v>
      </c>
      <c r="C11" s="1">
        <v>24</v>
      </c>
      <c r="D11" s="2">
        <v>8.5000000000000006E-3</v>
      </c>
      <c r="E11" s="2">
        <v>0.13900000000000001</v>
      </c>
      <c r="F11" s="1" t="s">
        <v>46</v>
      </c>
      <c r="G11" s="1" t="s">
        <v>47</v>
      </c>
    </row>
    <row r="12" spans="2:7">
      <c r="B12" s="1" t="s">
        <v>31</v>
      </c>
      <c r="C12" s="1">
        <v>25</v>
      </c>
      <c r="D12" s="2">
        <v>8.5000000000000006E-3</v>
      </c>
      <c r="E12" s="2">
        <v>0.13900000000000001</v>
      </c>
      <c r="F12" s="1" t="s">
        <v>48</v>
      </c>
      <c r="G12" s="1" t="s">
        <v>49</v>
      </c>
    </row>
    <row r="13" spans="2:7">
      <c r="B13" s="1" t="s">
        <v>34</v>
      </c>
      <c r="C13" s="1">
        <v>26</v>
      </c>
      <c r="D13" s="2">
        <v>8.5000000000000006E-3</v>
      </c>
      <c r="E13" s="2">
        <v>0.13900000000000001</v>
      </c>
      <c r="F13" s="1" t="s">
        <v>50</v>
      </c>
      <c r="G13" s="1" t="s">
        <v>51</v>
      </c>
    </row>
    <row r="14" spans="2:7">
      <c r="B14" s="1" t="s">
        <v>37</v>
      </c>
      <c r="C14" s="1">
        <v>27</v>
      </c>
      <c r="D14" s="2">
        <v>8.5000000000000006E-3</v>
      </c>
      <c r="E14" s="2">
        <v>0.13900000000000001</v>
      </c>
      <c r="F14" s="1" t="s">
        <v>52</v>
      </c>
      <c r="G14" s="1" t="s">
        <v>53</v>
      </c>
    </row>
    <row r="15" spans="2:7">
      <c r="B15" s="1" t="s">
        <v>40</v>
      </c>
      <c r="C15" s="1">
        <v>28</v>
      </c>
      <c r="D15" s="2">
        <v>8.5000000000000006E-3</v>
      </c>
      <c r="E15" s="2">
        <v>0.13900000000000001</v>
      </c>
      <c r="F15" s="1" t="s">
        <v>54</v>
      </c>
      <c r="G15" s="1" t="s">
        <v>55</v>
      </c>
    </row>
    <row r="16" spans="2:7">
      <c r="B16" s="1" t="s">
        <v>43</v>
      </c>
      <c r="C16" s="1">
        <v>29</v>
      </c>
      <c r="D16" s="2">
        <v>8.5000000000000006E-3</v>
      </c>
      <c r="E16" s="2">
        <v>0.13900000000000001</v>
      </c>
      <c r="F16" s="1" t="s">
        <v>56</v>
      </c>
      <c r="G16" s="1" t="s">
        <v>57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工具</vt:lpstr>
      <vt:lpstr>对照表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金融测算工具</dc:title>
  <dc:subject/>
  <dc:creator>Mr. Cheng</dc:creator>
  <cp:keywords/>
  <dc:description/>
  <cp:lastModifiedBy>Microsoft Office User</cp:lastModifiedBy>
  <dcterms:created xsi:type="dcterms:W3CDTF">2018-10-16T06:51:00Z</dcterms:created>
  <dcterms:modified xsi:type="dcterms:W3CDTF">2018-11-17T16:55:43Z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