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480" yWindow="648" windowWidth="14820" windowHeight="8328" tabRatio="827" firstSheet="1" activeTab="16"/>
  </bookViews>
  <sheets>
    <sheet name="снаб" sheetId="93" r:id="rId1"/>
    <sheet name="Тане" sheetId="436" r:id="rId2"/>
    <sheet name="эн.снабж" sheetId="397" r:id="rId3"/>
    <sheet name="расторж" sheetId="346" r:id="rId4"/>
    <sheet name="рекл" sheetId="291" r:id="rId5"/>
    <sheet name="аг-ва" sheetId="347" r:id="rId6"/>
    <sheet name="св." sheetId="270" r:id="rId7"/>
    <sheet name="ЛК" sheetId="345" r:id="rId8"/>
    <sheet name="Сок." sheetId="197" r:id="rId9"/>
    <sheet name="тех." sheetId="70" r:id="rId10"/>
    <sheet name="мат." sheetId="65" r:id="rId11"/>
    <sheet name="ПС" sheetId="494" r:id="rId12"/>
    <sheet name="СЗ" sheetId="453" r:id="rId13"/>
    <sheet name="болван" sheetId="489" r:id="rId14"/>
    <sheet name="реестр26" sheetId="477" r:id="rId15"/>
    <sheet name="26пл-ф" sheetId="503" r:id="rId16"/>
    <sheet name="0" sheetId="462" r:id="rId17"/>
    <sheet name="оплачено" sheetId="502" r:id="rId18"/>
    <sheet name="май" sheetId="500" r:id="rId19"/>
    <sheet name="апрель" sheetId="498" r:id="rId20"/>
    <sheet name="март" sheetId="491" r:id="rId21"/>
    <sheet name="февр" sheetId="485" r:id="rId22"/>
    <sheet name="январь" sheetId="479" r:id="rId23"/>
  </sheets>
  <definedNames>
    <definedName name="_xlnm._FilterDatabase" localSheetId="16" hidden="1">'0'!$A$2:$I$20</definedName>
    <definedName name="_xlnm._FilterDatabase" localSheetId="15" hidden="1">'26пл-ф'!$A$3:$F$211</definedName>
    <definedName name="_xlnm._FilterDatabase" localSheetId="5" hidden="1">'аг-ва'!$A$2:$I$55</definedName>
    <definedName name="_xlnm._FilterDatabase" localSheetId="19" hidden="1">апрель!$A$2:$J$1463</definedName>
    <definedName name="_xlnm._FilterDatabase" localSheetId="13" hidden="1">болван!$A$3:$I$562</definedName>
    <definedName name="_xlnm._FilterDatabase" localSheetId="7" hidden="1">ЛК!$A$1:$I$95</definedName>
    <definedName name="_xlnm._FilterDatabase" localSheetId="18" hidden="1">май!$A$2:$J$1147</definedName>
    <definedName name="_xlnm._FilterDatabase" localSheetId="20" hidden="1">март!$A$2:$J$1008</definedName>
    <definedName name="_xlnm._FilterDatabase" localSheetId="10" hidden="1">мат.!$A$2:$I$398</definedName>
    <definedName name="_xlnm._FilterDatabase" localSheetId="17" hidden="1">оплачено!$A$2:$J$1408</definedName>
    <definedName name="_xlnm._FilterDatabase" localSheetId="11" hidden="1">ПС!$A$2:$I$9</definedName>
    <definedName name="_xlnm._FilterDatabase" localSheetId="3" hidden="1">расторж!$A$2:$I$31</definedName>
    <definedName name="_xlnm._FilterDatabase" localSheetId="14" hidden="1">реестр26!$A$3:$I$209</definedName>
    <definedName name="_xlnm._FilterDatabase" localSheetId="4" hidden="1">рекл!$A$2:$J$151</definedName>
    <definedName name="_xlnm._FilterDatabase" localSheetId="6" hidden="1">св.!$A$2:$I$23</definedName>
    <definedName name="_xlnm._FilterDatabase" localSheetId="12" hidden="1">СЗ!$A$2:$I$126</definedName>
    <definedName name="_xlnm._FilterDatabase" localSheetId="0" hidden="1">снаб!$A$1:$I$1</definedName>
    <definedName name="_xlnm._FilterDatabase" localSheetId="8" hidden="1">Сок.!$A$2:$I$24</definedName>
    <definedName name="_xlnm._FilterDatabase" localSheetId="1" hidden="1">Тане!#REF!</definedName>
    <definedName name="_xlnm._FilterDatabase" localSheetId="9" hidden="1">тех.!$A$2:$I$257</definedName>
    <definedName name="_xlnm._FilterDatabase" localSheetId="21" hidden="1">февр!$A$2:$J$1444</definedName>
    <definedName name="_xlnm._FilterDatabase" localSheetId="2" hidden="1">эн.снабж!$A$2:$I$96</definedName>
    <definedName name="_xlnm._FilterDatabase" localSheetId="22" hidden="1">январь!$A$2:$J$928</definedName>
  </definedNames>
  <calcPr calcId="162913"/>
</workbook>
</file>

<file path=xl/calcChain.xml><?xml version="1.0" encoding="utf-8"?>
<calcChain xmlns="http://schemas.openxmlformats.org/spreadsheetml/2006/main">
  <c r="F180" i="489" l="1"/>
  <c r="F68" i="489"/>
  <c r="F73" i="489"/>
  <c r="F183" i="489" l="1"/>
  <c r="F1402" i="502" l="1"/>
  <c r="F56" i="397" l="1"/>
  <c r="F1392" i="502"/>
  <c r="F13" i="462" l="1"/>
  <c r="F12" i="462" l="1"/>
  <c r="F511" i="489"/>
  <c r="F1356" i="502" l="1"/>
  <c r="F1359" i="502"/>
  <c r="F1314" i="502"/>
  <c r="F1317" i="502"/>
  <c r="F1322" i="502"/>
  <c r="F1330" i="502"/>
  <c r="F1369" i="502"/>
  <c r="F1347" i="502"/>
  <c r="J28" i="436"/>
  <c r="D210" i="503"/>
  <c r="D207" i="503"/>
  <c r="D206" i="503"/>
  <c r="D205" i="503"/>
  <c r="D190" i="503"/>
  <c r="D201" i="503"/>
  <c r="D189" i="503"/>
  <c r="D183" i="503"/>
  <c r="D175" i="503"/>
  <c r="D168" i="503"/>
  <c r="D177" i="503"/>
  <c r="D164" i="503"/>
  <c r="D120" i="503"/>
  <c r="D41" i="503"/>
  <c r="D20" i="503"/>
  <c r="F3" i="197" l="1"/>
  <c r="F192" i="70" l="1"/>
  <c r="F177" i="70"/>
  <c r="F377" i="65" l="1"/>
  <c r="F350" i="65"/>
  <c r="F33" i="65"/>
  <c r="F3" i="462" l="1"/>
  <c r="G3" i="462" s="1"/>
  <c r="F1404" i="502" l="1"/>
  <c r="F309" i="65"/>
  <c r="F1271" i="502" l="1"/>
  <c r="D209" i="503"/>
  <c r="F150" i="489" l="1"/>
  <c r="D191" i="503"/>
  <c r="F1172" i="502"/>
  <c r="F163" i="489"/>
  <c r="F1202" i="502" l="1"/>
  <c r="D199" i="503"/>
  <c r="D122" i="503"/>
  <c r="D119" i="503"/>
  <c r="D150" i="503"/>
  <c r="D40" i="503"/>
  <c r="D35" i="503"/>
  <c r="F49" i="489" l="1"/>
  <c r="F1141" i="502" l="1"/>
  <c r="F1193" i="502"/>
  <c r="F1115" i="502"/>
  <c r="F1119" i="502"/>
  <c r="F1087" i="502"/>
  <c r="F1124" i="502"/>
  <c r="F1126" i="502"/>
  <c r="F1129" i="502"/>
  <c r="F1138" i="502"/>
  <c r="F1084" i="502"/>
  <c r="F1075" i="502"/>
  <c r="F1076" i="502"/>
  <c r="F1080" i="502"/>
  <c r="D200" i="503"/>
  <c r="D184" i="503"/>
  <c r="D182" i="503" l="1"/>
  <c r="D179" i="503"/>
  <c r="D176" i="503"/>
  <c r="D174" i="503"/>
  <c r="D172" i="503"/>
  <c r="D169" i="503"/>
  <c r="D181" i="503"/>
  <c r="D166" i="503"/>
  <c r="D162" i="503"/>
  <c r="F168" i="93" l="1"/>
  <c r="F148" i="93"/>
  <c r="F146" i="93"/>
  <c r="F142" i="93"/>
  <c r="F127" i="93"/>
  <c r="F115" i="93"/>
  <c r="F112" i="93"/>
  <c r="F110" i="93"/>
  <c r="F101" i="93"/>
  <c r="F98" i="93"/>
  <c r="F96" i="93"/>
  <c r="F85" i="93"/>
  <c r="F83" i="93"/>
  <c r="F65" i="93"/>
  <c r="F48" i="93"/>
  <c r="F36" i="93"/>
  <c r="F35" i="93"/>
  <c r="F27" i="93"/>
  <c r="F20" i="93"/>
  <c r="F18" i="93"/>
  <c r="F17" i="93"/>
  <c r="F5" i="93"/>
  <c r="F1019" i="502" l="1"/>
  <c r="F202" i="65" l="1"/>
  <c r="F22" i="70" l="1"/>
  <c r="F70" i="70"/>
  <c r="F152" i="65"/>
  <c r="F154" i="65"/>
  <c r="D203" i="503" l="1"/>
  <c r="D195" i="503"/>
  <c r="D187" i="503"/>
  <c r="D159" i="503"/>
  <c r="D92" i="503"/>
  <c r="D59" i="503"/>
  <c r="D33" i="503"/>
  <c r="D22" i="503"/>
  <c r="D11" i="503"/>
  <c r="D4" i="503"/>
  <c r="E203" i="503"/>
  <c r="B203" i="503"/>
  <c r="E195" i="503"/>
  <c r="B195" i="503"/>
  <c r="E193" i="503"/>
  <c r="E192" i="503"/>
  <c r="E191" i="503"/>
  <c r="B187" i="503"/>
  <c r="E166" i="503"/>
  <c r="B166" i="503"/>
  <c r="E159" i="503"/>
  <c r="B159" i="503"/>
  <c r="E145" i="503"/>
  <c r="E92" i="503" s="1"/>
  <c r="B92" i="503"/>
  <c r="E89" i="503"/>
  <c r="E87" i="503"/>
  <c r="E86" i="503"/>
  <c r="E82" i="503"/>
  <c r="E80" i="503"/>
  <c r="E77" i="503"/>
  <c r="E75" i="503"/>
  <c r="E73" i="503"/>
  <c r="E72" i="503"/>
  <c r="E69" i="503"/>
  <c r="E68" i="503"/>
  <c r="E62" i="503"/>
  <c r="E61" i="503"/>
  <c r="B59" i="503"/>
  <c r="E33" i="503"/>
  <c r="B33" i="503"/>
  <c r="E22" i="503"/>
  <c r="B22" i="503"/>
  <c r="E11" i="503"/>
  <c r="B11" i="503"/>
  <c r="E4" i="503"/>
  <c r="B4" i="503"/>
  <c r="B2" i="503" l="1"/>
  <c r="E59" i="503"/>
  <c r="E187" i="503"/>
  <c r="D2" i="503"/>
  <c r="B1" i="503"/>
  <c r="E2" i="503" l="1"/>
  <c r="F189" i="477"/>
  <c r="F89" i="477"/>
  <c r="F87" i="477"/>
  <c r="F86" i="477"/>
  <c r="F82" i="477"/>
  <c r="F80" i="477"/>
  <c r="F77" i="477"/>
  <c r="F75" i="477"/>
  <c r="F73" i="477"/>
  <c r="F72" i="477"/>
  <c r="F69" i="477"/>
  <c r="F68" i="477"/>
  <c r="F62" i="477"/>
  <c r="F61" i="477"/>
  <c r="F27" i="489" l="1"/>
  <c r="F1045" i="502" l="1"/>
  <c r="F1038" i="502"/>
  <c r="F1018" i="502"/>
  <c r="D39" i="436"/>
  <c r="F19" i="453" l="1"/>
  <c r="F964" i="502" l="1"/>
  <c r="F835" i="502" l="1"/>
  <c r="F977" i="502"/>
  <c r="F1001" i="502"/>
  <c r="F1015" i="502"/>
  <c r="F995" i="502"/>
  <c r="F896" i="502"/>
  <c r="F898" i="502"/>
  <c r="F920" i="502"/>
  <c r="F921" i="502"/>
  <c r="F923" i="502"/>
  <c r="F930" i="502"/>
  <c r="F938" i="502"/>
  <c r="F939" i="502"/>
  <c r="F951" i="502"/>
  <c r="F878" i="502"/>
  <c r="F886" i="502"/>
  <c r="F877" i="502"/>
  <c r="F863" i="502"/>
  <c r="F867" i="502"/>
  <c r="F44" i="291" l="1"/>
  <c r="F318" i="489" l="1"/>
  <c r="F176" i="489" l="1"/>
  <c r="F27" i="453" l="1"/>
  <c r="F17" i="453"/>
  <c r="F185" i="489" l="1"/>
  <c r="F155" i="489" l="1"/>
  <c r="F127" i="65" l="1"/>
  <c r="F501" i="489" l="1"/>
  <c r="F724" i="502" l="1"/>
  <c r="F726" i="502"/>
  <c r="F729" i="502"/>
  <c r="F733" i="502"/>
  <c r="F755" i="502"/>
  <c r="F758" i="502"/>
  <c r="F34" i="65" l="1"/>
  <c r="F29" i="346" l="1"/>
  <c r="F690" i="502" l="1"/>
  <c r="F691" i="502"/>
  <c r="F701" i="502"/>
  <c r="F654" i="502"/>
  <c r="F613" i="502"/>
  <c r="F706" i="502" l="1"/>
  <c r="F370" i="489" l="1"/>
  <c r="F617" i="502" l="1"/>
  <c r="F616" i="502"/>
  <c r="F512" i="489" l="1"/>
  <c r="F793" i="498"/>
  <c r="F609" i="502"/>
  <c r="F493" i="502" l="1"/>
  <c r="F507" i="502"/>
  <c r="F517" i="502"/>
  <c r="F519" i="502"/>
  <c r="F529" i="502"/>
  <c r="F556" i="502"/>
  <c r="F434" i="502" l="1"/>
  <c r="F475" i="502"/>
  <c r="F487" i="502"/>
  <c r="F459" i="502"/>
  <c r="F456" i="502"/>
  <c r="F454" i="502"/>
  <c r="F455" i="502"/>
  <c r="F408" i="502"/>
  <c r="F442" i="502" l="1"/>
  <c r="F36" i="65" l="1"/>
  <c r="F200" i="65" l="1"/>
  <c r="F350" i="502" l="1"/>
  <c r="F181" i="489" l="1"/>
  <c r="F157" i="489"/>
  <c r="F167" i="489"/>
  <c r="F170" i="489" l="1"/>
  <c r="F168" i="489" l="1"/>
  <c r="F308" i="502" l="1"/>
  <c r="F313" i="502"/>
  <c r="F262" i="502"/>
  <c r="F279" i="502"/>
  <c r="F280" i="502"/>
  <c r="F66" i="489" l="1"/>
  <c r="F239" i="502" l="1"/>
  <c r="F255" i="502"/>
  <c r="F258" i="502"/>
  <c r="F185" i="502"/>
  <c r="F250" i="502"/>
  <c r="F150" i="502"/>
  <c r="F151" i="502"/>
  <c r="F152" i="502"/>
  <c r="F156" i="502"/>
  <c r="F115" i="70" l="1"/>
  <c r="F3" i="70" s="1"/>
  <c r="F164" i="489" l="1"/>
  <c r="F123" i="65"/>
  <c r="F119" i="502" l="1"/>
  <c r="F77" i="502"/>
  <c r="F78" i="502"/>
  <c r="F86" i="502"/>
  <c r="F127" i="502"/>
  <c r="F53" i="502" l="1"/>
  <c r="F34" i="502"/>
  <c r="F1" i="502" l="1"/>
  <c r="F22" i="462"/>
  <c r="G22" i="462" s="1"/>
  <c r="F190" i="477" l="1"/>
  <c r="H25" i="436" l="1"/>
  <c r="F37" i="397" l="1"/>
  <c r="F25" i="346" l="1"/>
  <c r="F26" i="346"/>
  <c r="F5" i="346"/>
  <c r="F27" i="346" l="1"/>
  <c r="F1037" i="500"/>
  <c r="F1040" i="500"/>
  <c r="F1111" i="500"/>
  <c r="F1122" i="500"/>
  <c r="F1022" i="500"/>
  <c r="F1014" i="500"/>
  <c r="F1030" i="500" l="1"/>
  <c r="F349" i="65" l="1"/>
  <c r="F966" i="500" l="1"/>
  <c r="F894" i="500" l="1"/>
  <c r="F932" i="500" l="1"/>
  <c r="F933" i="500"/>
  <c r="F921" i="500"/>
  <c r="F902" i="500"/>
  <c r="F487" i="489" l="1"/>
  <c r="F314" i="489" l="1"/>
  <c r="F764" i="500" l="1"/>
  <c r="F859" i="500" l="1"/>
  <c r="F872" i="500"/>
  <c r="F874" i="500"/>
  <c r="F875" i="500"/>
  <c r="F842" i="500"/>
  <c r="F792" i="500" l="1"/>
  <c r="F757" i="500"/>
  <c r="F823" i="500"/>
  <c r="F824" i="500"/>
  <c r="F826" i="500"/>
  <c r="F833" i="500"/>
  <c r="F734" i="500"/>
  <c r="F753" i="500"/>
  <c r="B25" i="436"/>
  <c r="F23" i="397" l="1"/>
  <c r="F718" i="500" l="1"/>
  <c r="F710" i="500"/>
  <c r="F713" i="500"/>
  <c r="F189" i="65" l="1"/>
  <c r="F701" i="500" l="1"/>
  <c r="F58" i="397" l="1"/>
  <c r="F677" i="500" l="1"/>
  <c r="F24" i="397" l="1"/>
  <c r="F655" i="500" l="1"/>
  <c r="F667" i="500"/>
  <c r="F670" i="500"/>
  <c r="F629" i="500"/>
  <c r="F646" i="500"/>
  <c r="F648" i="500"/>
  <c r="F479" i="500" l="1"/>
  <c r="F43" i="453" l="1"/>
  <c r="F42" i="453"/>
  <c r="F728" i="500" l="1"/>
  <c r="F555" i="500"/>
  <c r="F493" i="500"/>
  <c r="F534" i="500"/>
  <c r="F535" i="500"/>
  <c r="F255" i="489" l="1"/>
  <c r="F191" i="477" l="1"/>
  <c r="F91" i="489" l="1"/>
  <c r="F394" i="500" l="1"/>
  <c r="F417" i="500"/>
  <c r="F437" i="500"/>
  <c r="F372" i="500"/>
  <c r="F363" i="500"/>
  <c r="F364" i="500"/>
  <c r="F365" i="500"/>
  <c r="F366" i="500"/>
  <c r="F398" i="500"/>
  <c r="F467" i="500" l="1"/>
  <c r="F193" i="489"/>
  <c r="F58" i="489" l="1"/>
  <c r="F350" i="500" l="1"/>
  <c r="F348" i="500"/>
  <c r="F247" i="500" l="1"/>
  <c r="F200" i="500"/>
  <c r="F203" i="500"/>
  <c r="F208" i="500"/>
  <c r="F226" i="500"/>
  <c r="F242" i="500"/>
  <c r="F268" i="500"/>
  <c r="F271" i="500"/>
  <c r="F261" i="500"/>
  <c r="F174" i="500"/>
  <c r="F179" i="500"/>
  <c r="F185" i="500"/>
  <c r="F192" i="500"/>
  <c r="F135" i="500"/>
  <c r="F119" i="500"/>
  <c r="F116" i="500"/>
  <c r="F93" i="500"/>
  <c r="F72" i="500" l="1"/>
  <c r="F143" i="477" l="1"/>
  <c r="C4" i="489"/>
  <c r="F412" i="489"/>
  <c r="F58" i="500" l="1"/>
  <c r="F51" i="500"/>
  <c r="F42" i="500"/>
  <c r="F30" i="500"/>
  <c r="F25" i="500"/>
  <c r="F18" i="500"/>
  <c r="F14" i="500"/>
  <c r="F12" i="500"/>
  <c r="F1" i="500" l="1"/>
  <c r="F421" i="489"/>
  <c r="F1395" i="498" l="1"/>
  <c r="F1401" i="498"/>
  <c r="F1425" i="498"/>
  <c r="F1429" i="498"/>
  <c r="F1368" i="498" l="1"/>
  <c r="F1354" i="498"/>
  <c r="F1352" i="498"/>
  <c r="F488" i="489" l="1"/>
  <c r="M2" i="436" l="1"/>
  <c r="F1298" i="498" l="1"/>
  <c r="F1300" i="498"/>
  <c r="F1301" i="498"/>
  <c r="F1305" i="498"/>
  <c r="F1306" i="498"/>
  <c r="F1258" i="498"/>
  <c r="F1241" i="498" l="1"/>
  <c r="F8" i="494" l="1"/>
  <c r="F1" i="494" l="1"/>
  <c r="F1218" i="498" l="1"/>
  <c r="F1227" i="498"/>
  <c r="F1237" i="498"/>
  <c r="F1216" i="498"/>
  <c r="F1131" i="498" l="1"/>
  <c r="F1136" i="498"/>
  <c r="F413" i="489" l="1"/>
  <c r="F349" i="489" l="1"/>
  <c r="F1110" i="498" l="1"/>
  <c r="F1249" i="498" l="1"/>
  <c r="F1118" i="498" l="1"/>
  <c r="F1066" i="498"/>
  <c r="F47" i="453" l="1"/>
  <c r="F1040" i="498" l="1"/>
  <c r="F1044" i="498"/>
  <c r="F1047" i="498"/>
  <c r="F1061" i="498"/>
  <c r="F961" i="498"/>
  <c r="F960" i="498" l="1"/>
  <c r="F3" i="270" l="1"/>
  <c r="F935" i="498" l="1"/>
  <c r="F937" i="498"/>
  <c r="F881" i="498"/>
  <c r="F827" i="498"/>
  <c r="F841" i="498"/>
  <c r="F842" i="498"/>
  <c r="F768" i="498" l="1"/>
  <c r="F769" i="498"/>
  <c r="F735" i="498" l="1"/>
  <c r="F666" i="498" l="1"/>
  <c r="F662" i="498" l="1"/>
  <c r="F609" i="498" l="1"/>
  <c r="F612" i="498"/>
  <c r="F617" i="498"/>
  <c r="F630" i="498"/>
  <c r="F656" i="498"/>
  <c r="F379" i="489" l="1"/>
  <c r="F6" i="346" l="1"/>
  <c r="F3" i="346" s="1"/>
  <c r="F482" i="498" l="1"/>
  <c r="F430" i="498"/>
  <c r="F165" i="65" l="1"/>
  <c r="F30" i="65" s="1"/>
  <c r="F397" i="498" l="1"/>
  <c r="F403" i="498"/>
  <c r="F243" i="498"/>
  <c r="F244" i="498"/>
  <c r="F245" i="498"/>
  <c r="F242" i="498"/>
  <c r="F81" i="498" l="1"/>
  <c r="F93" i="498"/>
  <c r="F199" i="498"/>
  <c r="F180" i="498"/>
  <c r="F107" i="498"/>
  <c r="F125" i="498"/>
  <c r="F346" i="498"/>
  <c r="F8" i="453" l="1"/>
  <c r="F69" i="498" l="1"/>
  <c r="F65" i="498" l="1"/>
  <c r="F15" i="498"/>
  <c r="F9" i="498"/>
  <c r="F5" i="498"/>
  <c r="F1" i="498" l="1"/>
  <c r="F999" i="491" l="1"/>
  <c r="F173" i="489" l="1"/>
  <c r="F997" i="491" l="1"/>
  <c r="F995" i="491" l="1"/>
  <c r="F954" i="491" l="1"/>
  <c r="F951" i="491"/>
  <c r="F934" i="491" l="1"/>
  <c r="F915" i="491"/>
  <c r="F850" i="491"/>
  <c r="F808" i="491"/>
  <c r="F803" i="491"/>
  <c r="F793" i="491"/>
  <c r="F782" i="491"/>
  <c r="F985" i="491"/>
  <c r="F986" i="491"/>
  <c r="F740" i="491" l="1"/>
  <c r="F755" i="491"/>
  <c r="F687" i="491"/>
  <c r="F3" i="397" l="1"/>
  <c r="F578" i="491" l="1"/>
  <c r="F649" i="491"/>
  <c r="F641" i="491"/>
  <c r="F673" i="491"/>
  <c r="F557" i="491"/>
  <c r="F516" i="491" l="1"/>
  <c r="F498" i="491" l="1"/>
  <c r="F493" i="491" l="1"/>
  <c r="F430" i="491" l="1"/>
  <c r="F431" i="491"/>
  <c r="J354" i="491"/>
  <c r="F377" i="491"/>
  <c r="F301" i="491"/>
  <c r="F302" i="491"/>
  <c r="F304" i="491"/>
  <c r="F264" i="491"/>
  <c r="F344" i="491"/>
  <c r="F441" i="489" l="1"/>
  <c r="F257" i="491" l="1"/>
  <c r="F107" i="453" l="1"/>
  <c r="F96" i="453" s="1"/>
  <c r="F239" i="491" l="1"/>
  <c r="F174" i="491" l="1"/>
  <c r="F175" i="491"/>
  <c r="F159" i="491" l="1"/>
  <c r="F130" i="491" l="1"/>
  <c r="F121" i="491"/>
  <c r="F88" i="491" l="1"/>
  <c r="F87" i="491"/>
  <c r="F86" i="491"/>
  <c r="F32" i="491" l="1"/>
  <c r="F35" i="491"/>
  <c r="F12" i="491" l="1"/>
  <c r="F6" i="491"/>
  <c r="F1" i="491" l="1"/>
  <c r="F1414" i="485"/>
  <c r="F1391" i="485"/>
  <c r="F1429" i="485"/>
  <c r="F1394" i="485"/>
  <c r="F1396" i="485"/>
  <c r="F1410" i="485"/>
  <c r="F1256" i="485"/>
  <c r="F1296" i="485"/>
  <c r="F1298" i="485"/>
  <c r="F1241" i="485"/>
  <c r="F69" i="397" l="1"/>
  <c r="F54" i="397" s="1"/>
  <c r="F927" i="479" l="1"/>
  <c r="F1156" i="485" l="1"/>
  <c r="F1165" i="485"/>
  <c r="F1126" i="485"/>
  <c r="F1063" i="485"/>
  <c r="F1064" i="485"/>
  <c r="F1012" i="485"/>
  <c r="F1001" i="485"/>
  <c r="F1049" i="485"/>
  <c r="F1050" i="485"/>
  <c r="F1051" i="485"/>
  <c r="F1052" i="485"/>
  <c r="F1053" i="485"/>
  <c r="F1054" i="485"/>
  <c r="F1047" i="485"/>
  <c r="F1189" i="485"/>
  <c r="J1189" i="485"/>
  <c r="F1021" i="485"/>
  <c r="F1039" i="485"/>
  <c r="F1193" i="485"/>
  <c r="F4" i="489" l="1"/>
  <c r="C7" i="489"/>
  <c r="F7" i="489"/>
  <c r="C10" i="489"/>
  <c r="C39" i="489"/>
  <c r="F92" i="489"/>
  <c r="F98" i="489"/>
  <c r="C153" i="489"/>
  <c r="F172" i="489"/>
  <c r="F190" i="489"/>
  <c r="C188" i="489"/>
  <c r="F325" i="489"/>
  <c r="C459" i="489"/>
  <c r="F459" i="489"/>
  <c r="C470" i="489"/>
  <c r="F470" i="489"/>
  <c r="C479" i="489"/>
  <c r="F479" i="489"/>
  <c r="C497" i="489"/>
  <c r="F497" i="489"/>
  <c r="C508" i="489"/>
  <c r="F508" i="489"/>
  <c r="F10" i="489" l="1"/>
  <c r="F153" i="489"/>
  <c r="F188" i="489"/>
  <c r="F39" i="489"/>
  <c r="C2" i="489"/>
  <c r="F2" i="489" l="1"/>
  <c r="F979" i="485" l="1"/>
  <c r="F975" i="485" l="1"/>
  <c r="F976" i="485"/>
  <c r="F969" i="485" l="1"/>
  <c r="C4" i="477" l="1"/>
  <c r="F931" i="485" l="1"/>
  <c r="F933" i="485"/>
  <c r="F804" i="485" l="1"/>
  <c r="F985" i="485"/>
  <c r="F850" i="485" l="1"/>
  <c r="F829" i="485"/>
  <c r="F823" i="485"/>
  <c r="F845" i="485"/>
  <c r="F813" i="485"/>
  <c r="F890" i="485"/>
  <c r="F884" i="485"/>
  <c r="F796" i="485" l="1"/>
  <c r="F797" i="485" l="1"/>
  <c r="F758" i="485" l="1"/>
  <c r="F761" i="485"/>
  <c r="F719" i="485"/>
  <c r="F738" i="485"/>
  <c r="F697" i="485"/>
  <c r="F692" i="485"/>
  <c r="F691" i="485"/>
  <c r="F676" i="485" l="1"/>
  <c r="F624" i="485" l="1"/>
  <c r="F636" i="485"/>
  <c r="F619" i="485"/>
  <c r="F598" i="485"/>
  <c r="F587" i="485" l="1"/>
  <c r="F517" i="485" l="1"/>
  <c r="F532" i="485"/>
  <c r="F496" i="485"/>
  <c r="F497" i="485"/>
  <c r="F486" i="485"/>
  <c r="F444" i="485"/>
  <c r="F450" i="485"/>
  <c r="F452" i="485"/>
  <c r="F553" i="485"/>
  <c r="F661" i="485"/>
  <c r="F459" i="485"/>
  <c r="F412" i="485" l="1"/>
  <c r="F405" i="485"/>
  <c r="F349" i="485"/>
  <c r="F332" i="485"/>
  <c r="F326" i="485"/>
  <c r="F363" i="485"/>
  <c r="F311" i="485"/>
  <c r="F654" i="485"/>
  <c r="F361" i="485"/>
  <c r="F370" i="485"/>
  <c r="F309" i="485" l="1"/>
  <c r="F298" i="485" l="1"/>
  <c r="F299" i="485" l="1"/>
  <c r="F296" i="485" l="1"/>
  <c r="F213" i="485"/>
  <c r="F216" i="485"/>
  <c r="F229" i="485"/>
  <c r="F242" i="485"/>
  <c r="F270" i="485"/>
  <c r="F272" i="485"/>
  <c r="F284" i="485"/>
  <c r="F197" i="485"/>
  <c r="F191" i="485"/>
  <c r="B19" i="436" l="1"/>
  <c r="F74" i="485"/>
  <c r="F85" i="485"/>
  <c r="F152" i="485"/>
  <c r="F156" i="485"/>
  <c r="F116" i="485"/>
  <c r="F118" i="485"/>
  <c r="F147" i="485"/>
  <c r="F92" i="485"/>
  <c r="B2" i="436" l="1"/>
  <c r="F58" i="485"/>
  <c r="F56" i="485"/>
  <c r="F52" i="485"/>
  <c r="F35" i="485"/>
  <c r="F29" i="485"/>
  <c r="F10" i="485"/>
  <c r="F1" i="485" l="1"/>
  <c r="F893" i="479"/>
  <c r="F914" i="479"/>
  <c r="F880" i="479"/>
  <c r="F796" i="479" l="1"/>
  <c r="F805" i="479"/>
  <c r="F810" i="479"/>
  <c r="F723" i="479" l="1"/>
  <c r="F690" i="479"/>
  <c r="F666" i="479"/>
  <c r="F674" i="479"/>
  <c r="F686" i="479"/>
  <c r="F623" i="479" l="1"/>
  <c r="F625" i="479"/>
  <c r="F564" i="479"/>
  <c r="F571" i="479"/>
  <c r="F589" i="479"/>
  <c r="F539" i="479"/>
  <c r="F475" i="479" l="1"/>
  <c r="F393" i="479" l="1"/>
  <c r="F398" i="479"/>
  <c r="F391" i="479" l="1"/>
  <c r="F390" i="479" l="1"/>
  <c r="F361" i="479"/>
  <c r="F375" i="479"/>
  <c r="F340" i="479"/>
  <c r="F351" i="479"/>
  <c r="F210" i="479"/>
  <c r="F198" i="479"/>
  <c r="F193" i="479"/>
  <c r="F94" i="479" l="1"/>
  <c r="F169" i="479" l="1"/>
  <c r="F168" i="479"/>
  <c r="F177" i="479"/>
  <c r="F141" i="479" l="1"/>
  <c r="F145" i="479"/>
  <c r="F151" i="479"/>
  <c r="F129" i="479"/>
  <c r="F127" i="479"/>
  <c r="F128" i="479"/>
  <c r="F77" i="479"/>
  <c r="F67" i="479" l="1"/>
  <c r="F63" i="479" l="1"/>
  <c r="F51" i="479" l="1"/>
  <c r="F43" i="479" l="1"/>
  <c r="F39" i="479"/>
  <c r="F40" i="479"/>
  <c r="F27" i="479" l="1"/>
  <c r="F22" i="479" l="1"/>
  <c r="F8" i="479" l="1"/>
  <c r="F1" i="479" s="1"/>
  <c r="F59" i="477" l="1"/>
  <c r="F4" i="477" l="1"/>
  <c r="C11" i="477"/>
  <c r="F11" i="477"/>
  <c r="C22" i="477"/>
  <c r="F22" i="477"/>
  <c r="C33" i="477"/>
  <c r="F33" i="477"/>
  <c r="C59" i="477"/>
  <c r="C92" i="477"/>
  <c r="F92" i="477"/>
  <c r="C157" i="477"/>
  <c r="F157" i="477"/>
  <c r="C164" i="477"/>
  <c r="F164" i="477"/>
  <c r="C185" i="477"/>
  <c r="F185" i="477"/>
  <c r="C193" i="477"/>
  <c r="F193" i="477"/>
  <c r="C201" i="477"/>
  <c r="F201" i="477"/>
  <c r="C2" i="477" l="1"/>
  <c r="C1" i="477"/>
  <c r="F2" i="477"/>
  <c r="F7" i="453" l="1"/>
  <c r="F3" i="291" l="1"/>
  <c r="F1" i="291" s="1"/>
  <c r="C3" i="270" l="1"/>
  <c r="C1" i="270" s="1"/>
  <c r="H19" i="436" l="1"/>
  <c r="H2" i="436" l="1"/>
  <c r="F22" i="453" l="1"/>
  <c r="F4" i="453" l="1"/>
  <c r="F64" i="453"/>
  <c r="F68" i="453" l="1"/>
  <c r="F3" i="453"/>
  <c r="F39" i="453"/>
  <c r="F15" i="453"/>
  <c r="F35" i="453"/>
  <c r="F1" i="453" l="1"/>
  <c r="F87" i="397"/>
  <c r="C3" i="197" l="1"/>
  <c r="F3" i="65" l="1"/>
  <c r="C2" i="345" l="1"/>
  <c r="F1" i="65" l="1"/>
  <c r="F22" i="397" l="1"/>
  <c r="F1" i="397" s="1"/>
  <c r="F2" i="345" l="1"/>
  <c r="F3" i="347" l="1"/>
  <c r="C3" i="347"/>
</calcChain>
</file>

<file path=xl/comments1.xml><?xml version="1.0" encoding="utf-8"?>
<comments xmlns="http://schemas.openxmlformats.org/spreadsheetml/2006/main">
  <authors>
    <author>Ольга Михайловна Брынцева</author>
  </authors>
  <commentList>
    <comment ref="F7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это долг.
По договору платеж д/б 874 075,20.
Недопосталено</t>
        </r>
      </text>
    </comment>
  </commentList>
</comments>
</file>

<file path=xl/comments2.xml><?xml version="1.0" encoding="utf-8"?>
<comments xmlns="http://schemas.openxmlformats.org/spreadsheetml/2006/main">
  <authors>
    <author>Ольга Михайловна Брынцева</author>
  </authors>
  <commentList>
    <comment ref="D261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был РСК Паримар
соглашение об уступке прав № 7 от 10.05.18</t>
        </r>
      </text>
    </comment>
    <comment ref="D264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был РСК Паримар
соглашение об уступке прав № 6 от 10.05.18</t>
        </r>
      </text>
    </comment>
    <comment ref="G513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Лебедь
Мордвинов
Ильин
Шевцов
Ильина
Крыжная
Михеев
Дармограй
Щукина</t>
        </r>
      </text>
    </comment>
    <comment ref="G51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II
Кузьмин
Королёва
Аксенова
Михайлова
III
Токовенко</t>
        </r>
      </text>
    </comment>
    <comment ref="G516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I
петренко
II
лобанова
алексеев
дозморова
осиянц
никифоров
попова
савельева
лебедев
корольков
ушаков</t>
        </r>
      </text>
    </comment>
    <comment ref="G517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Тимакова
канунников
карпов
андреева
мотлохов
колпакова
рябова
таракановский
гогричяни
романова
черевань
соколов
зубец
едемская
цапин</t>
        </r>
      </text>
    </comment>
    <comment ref="G518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головина
магеррамова
железняк
</t>
        </r>
      </text>
    </comment>
    <comment ref="G519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прокопенко
масаковская
хорошилов
сафонов</t>
        </r>
      </text>
    </comment>
    <comment ref="G520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вишневская
капралова
новиков
гординский</t>
        </r>
      </text>
    </comment>
  </commentList>
</comments>
</file>

<file path=xl/comments3.xml><?xml version="1.0" encoding="utf-8"?>
<comments xmlns="http://schemas.openxmlformats.org/spreadsheetml/2006/main">
  <authors>
    <author>Ольга Михайловна Брынцева</author>
    <author>Наталья Владимировна Гращенкова</author>
  </authors>
  <commentList>
    <comment ref="G94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сарычев
сорокина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2 - эверт
3 - петкович
4 - качаева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  <charset val="204"/>
          </rPr>
          <t>Наталья Владимировна Гращенкова:</t>
        </r>
        <r>
          <rPr>
            <sz val="9"/>
            <color indexed="81"/>
            <rFont val="Tahoma"/>
            <family val="2"/>
            <charset val="204"/>
          </rPr>
          <t xml:space="preserve">
учтена переплата по сч 234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скорректировано по сверке</t>
        </r>
      </text>
    </comment>
    <comment ref="G628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родионов
смирнов
микрюков
рыжов</t>
        </r>
      </text>
    </comment>
    <comment ref="I634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главбух
юрист компании
кадровое дело
учет в строительстве</t>
        </r>
      </text>
    </comment>
    <comment ref="G869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Терешкина
Заболотских
Царенко
Швецов
Ересь
Смирнова
Шульц
Самута
Немцова</t>
        </r>
      </text>
    </comment>
    <comment ref="F1138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снято 88,02 - переплата с предыд.счетов</t>
        </r>
      </text>
    </comment>
    <comment ref="G1306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Кинс
Локтева</t>
        </r>
      </text>
    </comment>
  </commentList>
</comments>
</file>

<file path=xl/comments4.xml><?xml version="1.0" encoding="utf-8"?>
<comments xmlns="http://schemas.openxmlformats.org/spreadsheetml/2006/main">
  <authors>
    <author>Ольга Михайловна Брынцева</author>
    <author>Автор</author>
  </authors>
  <commentList>
    <comment ref="G96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поташина
попрыго
глинянко
куликова
сословьева
орлов
калинина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снято по сверке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учтена переплата 
какая-то старая
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была переплата</t>
        </r>
      </text>
    </comment>
    <comment ref="G549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куликов
козловцева
белова</t>
        </r>
      </text>
    </comment>
    <comment ref="F65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скорректировано по сверке</t>
        </r>
      </text>
    </comment>
    <comment ref="G748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козлова
семенчик</t>
        </r>
      </text>
    </comment>
    <comment ref="F1040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скорректировано по сверке</t>
        </r>
      </text>
    </comment>
  </commentList>
</comments>
</file>

<file path=xl/comments5.xml><?xml version="1.0" encoding="utf-8"?>
<comments xmlns="http://schemas.openxmlformats.org/spreadsheetml/2006/main">
  <authors>
    <author>Ольга Михайловна Брынцева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корректировка за февраль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Ольга Михайловна </t>
        </r>
        <r>
          <rPr>
            <sz val="9"/>
            <color indexed="81"/>
            <rFont val="Tahoma"/>
            <family val="2"/>
            <charset val="204"/>
          </rPr>
          <t xml:space="preserve">
Петрова н.а.
петрова л.в.
игнатьев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Ларьков
Рушкин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55 тр - по сверке висят лишние на 01.01.18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корректировка за февраль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корректировка за февраль</t>
        </r>
      </text>
    </comment>
    <comment ref="F656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переплата 1,20 за январь</t>
        </r>
      </text>
    </comment>
    <comment ref="F769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скорректирована переплата</t>
        </r>
      </text>
    </comment>
    <comment ref="F841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учтена переплата по счету 228 сайты март</t>
        </r>
      </text>
    </comment>
    <comment ref="F842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корректировка за февраль
</t>
        </r>
      </text>
    </comment>
    <comment ref="F1131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учтена переплата 
какая-то старая
</t>
        </r>
      </text>
    </comment>
    <comment ref="F1298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снято по сверке</t>
        </r>
      </text>
    </comment>
    <comment ref="F1300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снято по сверке
</t>
        </r>
      </text>
    </comment>
    <comment ref="F1301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сняли по сверке</t>
        </r>
      </text>
    </comment>
  </commentList>
</comments>
</file>

<file path=xl/comments6.xml><?xml version="1.0" encoding="utf-8"?>
<comments xmlns="http://schemas.openxmlformats.org/spreadsheetml/2006/main">
  <authors>
    <author>Ольга Михайловна Брынцева</author>
  </authors>
  <commentList>
    <comment ref="G18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Ольга Михайловна </t>
        </r>
        <r>
          <rPr>
            <sz val="9"/>
            <color indexed="81"/>
            <rFont val="Tahoma"/>
            <family val="2"/>
            <charset val="204"/>
          </rPr>
          <t xml:space="preserve">
Макиенко
Скорик
Громов
Устинкова
Кувакина
Дудина
Долинов
Воротова
Ломакин
Панова
Семенова
Раннева</t>
        </r>
      </text>
    </comment>
    <comment ref="F772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корректировка за февраль</t>
        </r>
      </text>
    </comment>
    <comment ref="F789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корректировка за февраль</t>
        </r>
      </text>
    </comment>
  </commentList>
</comments>
</file>

<file path=xl/comments7.xml><?xml version="1.0" encoding="utf-8"?>
<comments xmlns="http://schemas.openxmlformats.org/spreadsheetml/2006/main">
  <authors>
    <author>Ольга Михайловна Брынцева</author>
    <author>Наталья Владимировна Гращенкова</author>
  </authors>
  <commentList>
    <comment ref="D97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был РСК Паримар
соглашение об уступке прав № 4 от 10.05.18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Кузнецов
Шляхтенко
Суровцев
Перепелица
Федорова
Лемени-Македон
Рыжов
Семенчуков
Королева
Попков
Модератова
Воротов
Теплов
Сабитова
Санкина
Ширшин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Вингерт
Баширова
Молодцова
Маркочан
Герасимова
Котров
Шарова
Дольникова
Возженников
Парамонов
Борисов
Жеглов
Селяков</t>
        </r>
      </text>
    </comment>
    <comment ref="G452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Вингерт
Баширова
Молодцова
Маркочан
Герасимова
Котров
Шарова
Дольникова
Возженников
Парамонов
Борисов
Жеглов
Селяков</t>
        </r>
      </text>
    </comment>
    <comment ref="E543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был Рубеж
соглашение о замене стороны от 20.06.18</t>
        </r>
      </text>
    </comment>
    <comment ref="G6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Ольга Михайловна </t>
        </r>
        <r>
          <rPr>
            <sz val="9"/>
            <color indexed="81"/>
            <rFont val="Tahoma"/>
            <family val="2"/>
            <charset val="204"/>
          </rPr>
          <t xml:space="preserve">
Аглиев
Яковлев</t>
        </r>
      </text>
    </comment>
    <comment ref="G619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Загранцева
Вайндрах
Ярец
Цветкова
Магон
Тяло
Лузан
Сорокина
Кузнецова
Артемьев
Замараев</t>
        </r>
      </text>
    </comment>
    <comment ref="F692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переплата с предыдущего счета</t>
        </r>
      </text>
    </comment>
    <comment ref="D812" authorId="1" shapeId="0">
      <text>
        <r>
          <rPr>
            <b/>
            <sz val="9"/>
            <color indexed="81"/>
            <rFont val="Tahoma"/>
            <family val="2"/>
            <charset val="204"/>
          </rPr>
          <t>Наталья Владимировна Гращенкова:</t>
        </r>
        <r>
          <rPr>
            <sz val="9"/>
            <color indexed="81"/>
            <rFont val="Tahoma"/>
            <family val="2"/>
            <charset val="204"/>
          </rPr>
          <t xml:space="preserve">
Принт Групп ???</t>
        </r>
      </text>
    </comment>
    <comment ref="I84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Семяшкин
Огородников
Боженкин
Колосов</t>
        </r>
      </text>
    </comment>
    <comment ref="G916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Тарасов
Яковлева
Яремчук
Иванов
</t>
        </r>
      </text>
    </comment>
    <comment ref="F1001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32,98 - недоплата по корректировке январского счета</t>
        </r>
      </text>
    </comment>
    <comment ref="G100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Ольга Михайловна </t>
        </r>
        <r>
          <rPr>
            <sz val="9"/>
            <color indexed="81"/>
            <rFont val="Tahoma"/>
            <family val="2"/>
            <charset val="204"/>
          </rPr>
          <t xml:space="preserve">
Петренко
Кузнецова
Коваленко
Краюшкин
Сенькив
Снеткова
Подояхин
Машинина
Клочкова
Зернвоа
Форсова
Коллективная
Овчаренко
Чижков
Гвндрвбура
Яковлева
Колотова
Корольков
Мельченко
Масолов
Селюкова</t>
        </r>
      </text>
    </comment>
    <comment ref="G10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Ольга Михайловна </t>
        </r>
        <r>
          <rPr>
            <sz val="9"/>
            <color indexed="81"/>
            <rFont val="Tahoma"/>
            <family val="2"/>
            <charset val="204"/>
          </rPr>
          <t xml:space="preserve">
Макаров
Алексеева
Суслин
Сальков
Мишачкова</t>
        </r>
      </text>
    </comment>
  </commentList>
</comments>
</file>

<file path=xl/comments8.xml><?xml version="1.0" encoding="utf-8"?>
<comments xmlns="http://schemas.openxmlformats.org/spreadsheetml/2006/main">
  <authors>
    <author>Ольга Михайловна Брынцева</author>
  </authors>
  <commentList>
    <comment ref="E209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был Рубеж
соглашение о замене стороны от 20.06.18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Ольга Михайловна </t>
        </r>
        <r>
          <rPr>
            <sz val="9"/>
            <color indexed="81"/>
            <rFont val="Tahoma"/>
            <family val="2"/>
            <charset val="204"/>
          </rPr>
          <t xml:space="preserve">
Темирова
Москаленко
Митрюшина
Чекина
Хоботова
Пыжик
Кочерга
Фомина
Мороз
Волков
Иванова Э.
Гончарова
Цветков
Сабурова
Тимин</t>
        </r>
      </text>
    </comment>
    <comment ref="G47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Чернова
Кириллов
Иошев
Петруков
Яковлева
Наговицына
Чибизова
Вознесенская
Дорошин
Павлова
Захарова
Белоногов
Меньших
</t>
        </r>
      </text>
    </comment>
    <comment ref="G530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Кузнецов
Шляхтенко
Суровцев
Перепелица
Федорова
Лемени-Македон
Рыжов
Семенчуков
Королева
Попков
Модератова
Воротов
Теплов
Сабитова
Санкина
Ширшин</t>
        </r>
      </text>
    </comment>
    <comment ref="F539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скорректировано по сверке
-2 коп.
</t>
        </r>
      </text>
    </comment>
    <comment ref="F623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в нашей сверке 
на 1 коп. Меньше
</t>
        </r>
      </text>
    </comment>
    <comment ref="F62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скорректировано по сверке</t>
        </r>
      </text>
    </comment>
    <comment ref="G690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Ларионов
Сафаралиев
Северин
Трапезникова
Заостровский
Смирнова
Волегова
Чумакова
Кузнецова
Шакиров
Радославова
Рыбакина
Мохова
Родионова
Ежикеева
Балашов
Борзенко
Платонова
Дмитриенко
Власова
Волков
Тромбинская
Каткова
Иванов
Амелина
Ананьина
</t>
        </r>
      </text>
    </comment>
    <comment ref="F796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 Михайловна Брынцева:</t>
        </r>
        <r>
          <rPr>
            <sz val="9"/>
            <color indexed="81"/>
            <rFont val="Tahoma"/>
            <family val="2"/>
            <charset val="204"/>
          </rPr>
          <t xml:space="preserve">
46,8 и 13,0 -переплата с декабря</t>
        </r>
      </text>
    </comment>
    <comment ref="G88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Ольга Михайловна </t>
        </r>
        <r>
          <rPr>
            <sz val="9"/>
            <color indexed="81"/>
            <rFont val="Tahoma"/>
            <family val="2"/>
            <charset val="204"/>
          </rPr>
          <t xml:space="preserve">
Темирова
Москаленко
Митрюшина
Чекина
Хоботова
Пыжик
Кочерга
Фомина
Мороз
Волков
Иванова Э.
Гончарова
Цветков
Сабурова
Тимин</t>
        </r>
      </text>
    </comment>
  </commentList>
</comments>
</file>

<file path=xl/sharedStrings.xml><?xml version="1.0" encoding="utf-8"?>
<sst xmlns="http://schemas.openxmlformats.org/spreadsheetml/2006/main" count="50068" uniqueCount="9476">
  <si>
    <t>161</t>
  </si>
  <si>
    <t>вода</t>
  </si>
  <si>
    <t>мурино 1.4</t>
  </si>
  <si>
    <t>ФАСАДЫ, ОКНА</t>
  </si>
  <si>
    <t>31</t>
  </si>
  <si>
    <t>уфк по спб (ростехнадзор)</t>
  </si>
  <si>
    <t>кран</t>
  </si>
  <si>
    <t>39</t>
  </si>
  <si>
    <t>янино</t>
  </si>
  <si>
    <t>плательщ</t>
  </si>
  <si>
    <t>вид работ</t>
  </si>
  <si>
    <t>116</t>
  </si>
  <si>
    <t>97</t>
  </si>
  <si>
    <t>99</t>
  </si>
  <si>
    <t>виброплита</t>
  </si>
  <si>
    <t>петроблок</t>
  </si>
  <si>
    <t>смр лифты</t>
  </si>
  <si>
    <t>220</t>
  </si>
  <si>
    <t>179</t>
  </si>
  <si>
    <t>162</t>
  </si>
  <si>
    <t>смр полы</t>
  </si>
  <si>
    <t>смр фасад</t>
  </si>
  <si>
    <t>ук сл</t>
  </si>
  <si>
    <t>смр окна, остекление</t>
  </si>
  <si>
    <t>смр каркас</t>
  </si>
  <si>
    <t>56</t>
  </si>
  <si>
    <t>41</t>
  </si>
  <si>
    <t>37</t>
  </si>
  <si>
    <t>смоленская</t>
  </si>
  <si>
    <t>СК АДСТ</t>
  </si>
  <si>
    <t>неваДстрой</t>
  </si>
  <si>
    <t>86</t>
  </si>
  <si>
    <t>195</t>
  </si>
  <si>
    <t>28</t>
  </si>
  <si>
    <t>ип брынцев</t>
  </si>
  <si>
    <t>блюхера</t>
  </si>
  <si>
    <t>138</t>
  </si>
  <si>
    <t>срок оплаты</t>
  </si>
  <si>
    <t>волна</t>
  </si>
  <si>
    <t>ск стиф</t>
  </si>
  <si>
    <t>ИТОГО</t>
  </si>
  <si>
    <t>маршал</t>
  </si>
  <si>
    <t>68</t>
  </si>
  <si>
    <t>обит</t>
  </si>
  <si>
    <t>аванс, предоплата</t>
  </si>
  <si>
    <t>вилатерм</t>
  </si>
  <si>
    <t xml:space="preserve"> </t>
  </si>
  <si>
    <t>ип суворов</t>
  </si>
  <si>
    <t>дэв проджект</t>
  </si>
  <si>
    <t>подрядчики долги</t>
  </si>
  <si>
    <t>181</t>
  </si>
  <si>
    <t>№ п/п</t>
  </si>
  <si>
    <t>96</t>
  </si>
  <si>
    <t>83</t>
  </si>
  <si>
    <t>100</t>
  </si>
  <si>
    <t>мурино 2</t>
  </si>
  <si>
    <t>сумма</t>
  </si>
  <si>
    <t>дата счета</t>
  </si>
  <si>
    <t>счет</t>
  </si>
  <si>
    <t>оплатить до</t>
  </si>
  <si>
    <t>лидер</t>
  </si>
  <si>
    <t>смр перегородки</t>
  </si>
  <si>
    <t>алеф</t>
  </si>
  <si>
    <t>песок</t>
  </si>
  <si>
    <t>98</t>
  </si>
  <si>
    <t>185</t>
  </si>
  <si>
    <t>25</t>
  </si>
  <si>
    <t>156</t>
  </si>
  <si>
    <t>183</t>
  </si>
  <si>
    <t>ДТ, ДГУ</t>
  </si>
  <si>
    <t>ТрансСтрой-Инструмент</t>
  </si>
  <si>
    <t>40</t>
  </si>
  <si>
    <t>Снабстрой</t>
  </si>
  <si>
    <t>тэк сервис</t>
  </si>
  <si>
    <t>198</t>
  </si>
  <si>
    <t>рубеж</t>
  </si>
  <si>
    <t>парус</t>
  </si>
  <si>
    <t>47</t>
  </si>
  <si>
    <t>смр</t>
  </si>
  <si>
    <t>смр кровля</t>
  </si>
  <si>
    <t>Рубикон</t>
  </si>
  <si>
    <t>борт 6м</t>
  </si>
  <si>
    <t>смр гидроизоляция</t>
  </si>
  <si>
    <t>201</t>
  </si>
  <si>
    <t>79</t>
  </si>
  <si>
    <t>124</t>
  </si>
  <si>
    <t>16</t>
  </si>
  <si>
    <t>компрессор</t>
  </si>
  <si>
    <t>163</t>
  </si>
  <si>
    <t>312</t>
  </si>
  <si>
    <t>мурино 1.3</t>
  </si>
  <si>
    <t>мурино 47</t>
  </si>
  <si>
    <t>мурино 48</t>
  </si>
  <si>
    <t>геодезические приборы</t>
  </si>
  <si>
    <t>минимакс</t>
  </si>
  <si>
    <t>манипулятор</t>
  </si>
  <si>
    <t>142</t>
  </si>
  <si>
    <t>смр инж. сети</t>
  </si>
  <si>
    <t>160</t>
  </si>
  <si>
    <t>167</t>
  </si>
  <si>
    <t>Максмир-СПб</t>
  </si>
  <si>
    <t>смр дренаж</t>
  </si>
  <si>
    <t>испытание бетона</t>
  </si>
  <si>
    <t>сваебой</t>
  </si>
  <si>
    <t>ииц недвижимость петербурга</t>
  </si>
  <si>
    <t>автокран 32тн</t>
  </si>
  <si>
    <t>133</t>
  </si>
  <si>
    <t>пушкин</t>
  </si>
  <si>
    <t>строп</t>
  </si>
  <si>
    <t>организация</t>
  </si>
  <si>
    <t>смолен</t>
  </si>
  <si>
    <t>23</t>
  </si>
  <si>
    <t>ано дпо критерий</t>
  </si>
  <si>
    <t>73</t>
  </si>
  <si>
    <t>180</t>
  </si>
  <si>
    <t>Балтсервис</t>
  </si>
  <si>
    <t>ростелеком</t>
  </si>
  <si>
    <t>147</t>
  </si>
  <si>
    <t>связь</t>
  </si>
  <si>
    <t>ВСЕГО неделя</t>
  </si>
  <si>
    <t>наш город</t>
  </si>
  <si>
    <t>платель-щик</t>
  </si>
  <si>
    <t>спецтехника</t>
  </si>
  <si>
    <t>дата оплаты</t>
  </si>
  <si>
    <t>смр сваи</t>
  </si>
  <si>
    <t>акварель</t>
  </si>
  <si>
    <t>кабель</t>
  </si>
  <si>
    <t>прочая техника</t>
  </si>
  <si>
    <t>рэмкрэйн</t>
  </si>
  <si>
    <t>мурино 2 к.1</t>
  </si>
  <si>
    <t>медведь</t>
  </si>
  <si>
    <t>топосъемка</t>
  </si>
  <si>
    <t>170</t>
  </si>
  <si>
    <t>изыскатель</t>
  </si>
  <si>
    <t>фрегат</t>
  </si>
  <si>
    <t>смр ТС</t>
  </si>
  <si>
    <t>мск</t>
  </si>
  <si>
    <t>арматура, прокат</t>
  </si>
  <si>
    <t>Б.И.К.</t>
  </si>
  <si>
    <t>165</t>
  </si>
  <si>
    <t>линкор</t>
  </si>
  <si>
    <t>61</t>
  </si>
  <si>
    <t>доска</t>
  </si>
  <si>
    <t>агентское</t>
  </si>
  <si>
    <t>лгн</t>
  </si>
  <si>
    <t>38</t>
  </si>
  <si>
    <t>149</t>
  </si>
  <si>
    <t>эко-север</t>
  </si>
  <si>
    <t>АСТ</t>
  </si>
  <si>
    <t>ЭкоСан</t>
  </si>
  <si>
    <t>91</t>
  </si>
  <si>
    <t>офис</t>
  </si>
  <si>
    <t>90</t>
  </si>
  <si>
    <t>92</t>
  </si>
  <si>
    <t>146</t>
  </si>
  <si>
    <t>перевозка</t>
  </si>
  <si>
    <t>гуп тэк</t>
  </si>
  <si>
    <t>СТД Петрович</t>
  </si>
  <si>
    <t>182</t>
  </si>
  <si>
    <t>кирпич, газобетон</t>
  </si>
  <si>
    <t>все</t>
  </si>
  <si>
    <t>189</t>
  </si>
  <si>
    <t>207</t>
  </si>
  <si>
    <t>скарабей</t>
  </si>
  <si>
    <t>самосвал</t>
  </si>
  <si>
    <t>автокран 25тн</t>
  </si>
  <si>
    <t>лесной</t>
  </si>
  <si>
    <t>117</t>
  </si>
  <si>
    <t>насос</t>
  </si>
  <si>
    <t>144</t>
  </si>
  <si>
    <t>166</t>
  </si>
  <si>
    <t>медиа плюс</t>
  </si>
  <si>
    <t>смр мусоропровод</t>
  </si>
  <si>
    <t>64</t>
  </si>
  <si>
    <t>богатырь</t>
  </si>
  <si>
    <t>регата</t>
  </si>
  <si>
    <t>184</t>
  </si>
  <si>
    <t>66</t>
  </si>
  <si>
    <t>сев-компл</t>
  </si>
  <si>
    <t>визитки</t>
  </si>
  <si>
    <t>материалы, проч.</t>
  </si>
  <si>
    <t>пгупс</t>
  </si>
  <si>
    <t>вывоз мусора</t>
  </si>
  <si>
    <t>лид-кран</t>
  </si>
  <si>
    <t>реклама</t>
  </si>
  <si>
    <t>силовые машины</t>
  </si>
  <si>
    <t>дата</t>
  </si>
  <si>
    <t>спецодежда</t>
  </si>
  <si>
    <t>школьная</t>
  </si>
  <si>
    <t>амм</t>
  </si>
  <si>
    <t>смр благоустройство</t>
  </si>
  <si>
    <t>140</t>
  </si>
  <si>
    <t>объект</t>
  </si>
  <si>
    <t xml:space="preserve">дог. </t>
  </si>
  <si>
    <t>Лаам-С</t>
  </si>
  <si>
    <t>син</t>
  </si>
  <si>
    <t>33</t>
  </si>
  <si>
    <t>бкн.ру</t>
  </si>
  <si>
    <t>всеволожск</t>
  </si>
  <si>
    <t>21</t>
  </si>
  <si>
    <t>тгк-1</t>
  </si>
  <si>
    <t>55</t>
  </si>
  <si>
    <t>смр ограждающие</t>
  </si>
  <si>
    <t>СП Амарант</t>
  </si>
  <si>
    <t>залей пол</t>
  </si>
  <si>
    <t>126</t>
  </si>
  <si>
    <t>2богатырь</t>
  </si>
  <si>
    <t>дог.</t>
  </si>
  <si>
    <t>автокран 100тн</t>
  </si>
  <si>
    <t>башня</t>
  </si>
  <si>
    <t>водоканал</t>
  </si>
  <si>
    <t xml:space="preserve">ВСЕГО </t>
  </si>
  <si>
    <t>ремарк</t>
  </si>
  <si>
    <t>немо</t>
  </si>
  <si>
    <t>мурино 2 к.3</t>
  </si>
  <si>
    <t>мурино 2 к.2</t>
  </si>
  <si>
    <t>жби</t>
  </si>
  <si>
    <t>сваи</t>
  </si>
  <si>
    <t>смр двери</t>
  </si>
  <si>
    <t>легион</t>
  </si>
  <si>
    <t>смр металлок-ции</t>
  </si>
  <si>
    <t>пфайфер канаты …</t>
  </si>
  <si>
    <t>завод жби 7</t>
  </si>
  <si>
    <t>инвест-телеком</t>
  </si>
  <si>
    <t>инфлайт интертейнмент групп</t>
  </si>
  <si>
    <t>дк-аренда</t>
  </si>
  <si>
    <t>бой кирпича</t>
  </si>
  <si>
    <t>всеволожскспецтранс</t>
  </si>
  <si>
    <t>вотерпрайсинвест</t>
  </si>
  <si>
    <t>смр НВК</t>
  </si>
  <si>
    <t>прочее</t>
  </si>
  <si>
    <t>лид-88</t>
  </si>
  <si>
    <t>печать</t>
  </si>
  <si>
    <t>интернет</t>
  </si>
  <si>
    <t>щиты, баннеры</t>
  </si>
  <si>
    <t>радио, тв</t>
  </si>
  <si>
    <t>электро 2</t>
  </si>
  <si>
    <t>смр инж.сети</t>
  </si>
  <si>
    <t>принт групп</t>
  </si>
  <si>
    <t>январь</t>
  </si>
  <si>
    <t>смр мет/к-ции</t>
  </si>
  <si>
    <t>спбвергаз</t>
  </si>
  <si>
    <t>агентства</t>
  </si>
  <si>
    <t>Стройметаллинвест</t>
  </si>
  <si>
    <t>Фактум С-З</t>
  </si>
  <si>
    <t>уголок</t>
  </si>
  <si>
    <t>канат</t>
  </si>
  <si>
    <t>кд</t>
  </si>
  <si>
    <t>132</t>
  </si>
  <si>
    <t>ТД БМЗ</t>
  </si>
  <si>
    <t>Рэмкрэйн</t>
  </si>
  <si>
    <t>151</t>
  </si>
  <si>
    <t>отделка моп</t>
  </si>
  <si>
    <t>петербурггаз</t>
  </si>
  <si>
    <t>Металлокомплект-М</t>
  </si>
  <si>
    <t>грунт справки</t>
  </si>
  <si>
    <t>компл.реш.и с-мы</t>
  </si>
  <si>
    <t>Ариэль Металл</t>
  </si>
  <si>
    <t>тд балтийский ресурс</t>
  </si>
  <si>
    <t>строкк</t>
  </si>
  <si>
    <t>самсон 301</t>
  </si>
  <si>
    <t>самсон 307</t>
  </si>
  <si>
    <t>ЛогистикЮнион</t>
  </si>
  <si>
    <t>транспортные услуги</t>
  </si>
  <si>
    <t>арматура</t>
  </si>
  <si>
    <t>лг, лгн</t>
  </si>
  <si>
    <t>фиксаторы</t>
  </si>
  <si>
    <t>конструктив инжиниринг</t>
  </si>
  <si>
    <t>пенополистирол</t>
  </si>
  <si>
    <t>Новоград</t>
  </si>
  <si>
    <t>отделка квартир</t>
  </si>
  <si>
    <t>эл-во, тепло, вода</t>
  </si>
  <si>
    <t>ск крона</t>
  </si>
  <si>
    <t>смр фасад, окна</t>
  </si>
  <si>
    <t>ДТ, техника</t>
  </si>
  <si>
    <t>отделстрой</t>
  </si>
  <si>
    <t>МеталлГрупп С-З</t>
  </si>
  <si>
    <t>подрядчики</t>
  </si>
  <si>
    <t>дог. 55-М47/08-14</t>
  </si>
  <si>
    <t>всев.тепловые сети</t>
  </si>
  <si>
    <t>Промтехнология</t>
  </si>
  <si>
    <t>пет.сбыт.компания</t>
  </si>
  <si>
    <t>ЭкоПром-Сервис</t>
  </si>
  <si>
    <t>дос-ка техн.воды</t>
  </si>
  <si>
    <t>аванс</t>
  </si>
  <si>
    <t>милмар</t>
  </si>
  <si>
    <t>смр мет.двери</t>
  </si>
  <si>
    <t>реквизиты</t>
  </si>
  <si>
    <t>юнионинвестстрой</t>
  </si>
  <si>
    <t>центр ворот фаворит</t>
  </si>
  <si>
    <t>песок, щебень</t>
  </si>
  <si>
    <t>александр новостройки</t>
  </si>
  <si>
    <t>невадстрой</t>
  </si>
  <si>
    <t>газета метро</t>
  </si>
  <si>
    <t>наружка</t>
  </si>
  <si>
    <t>сайт</t>
  </si>
  <si>
    <t>счета</t>
  </si>
  <si>
    <t>смр НТС</t>
  </si>
  <si>
    <t>гор.станция дератиз.</t>
  </si>
  <si>
    <t>30</t>
  </si>
  <si>
    <t>12</t>
  </si>
  <si>
    <t>27</t>
  </si>
  <si>
    <t>32</t>
  </si>
  <si>
    <t>ЦАСТ</t>
  </si>
  <si>
    <t>Силта</t>
  </si>
  <si>
    <t>керамогранит</t>
  </si>
  <si>
    <t>42</t>
  </si>
  <si>
    <t>Кратер</t>
  </si>
  <si>
    <t>46</t>
  </si>
  <si>
    <t>сайты</t>
  </si>
  <si>
    <t>балканы</t>
  </si>
  <si>
    <t>тореза</t>
  </si>
  <si>
    <t>строймонолит</t>
  </si>
  <si>
    <t>обучение</t>
  </si>
  <si>
    <t>гк снрг</t>
  </si>
  <si>
    <t>отделка</t>
  </si>
  <si>
    <t>смр видеонаблюдение</t>
  </si>
  <si>
    <t>36</t>
  </si>
  <si>
    <t>212</t>
  </si>
  <si>
    <t>дт 1000л</t>
  </si>
  <si>
    <t>57</t>
  </si>
  <si>
    <t>интерэстейт</t>
  </si>
  <si>
    <t>домашний</t>
  </si>
  <si>
    <t>ноябрь</t>
  </si>
  <si>
    <t>про недвижимость</t>
  </si>
  <si>
    <t>177</t>
  </si>
  <si>
    <t>тех.охрана</t>
  </si>
  <si>
    <t>декабрь</t>
  </si>
  <si>
    <t>ТП охр.телевид.</t>
  </si>
  <si>
    <t>миг-сервис</t>
  </si>
  <si>
    <t>ТО</t>
  </si>
  <si>
    <t>ТО итп</t>
  </si>
  <si>
    <t>ТО уутэ</t>
  </si>
  <si>
    <t>тепло, ГВС</t>
  </si>
  <si>
    <t>превыш.норм. ВО</t>
  </si>
  <si>
    <t>вода, стоки</t>
  </si>
  <si>
    <t>текущие</t>
  </si>
  <si>
    <t>автокран 25т</t>
  </si>
  <si>
    <t>проволока 1,2</t>
  </si>
  <si>
    <t>115</t>
  </si>
  <si>
    <t>СЦ Элмаш</t>
  </si>
  <si>
    <t>112</t>
  </si>
  <si>
    <t>дог. ТК 09/14</t>
  </si>
  <si>
    <t>мусоропровод</t>
  </si>
  <si>
    <t>шиномонтаж</t>
  </si>
  <si>
    <t>дюбель</t>
  </si>
  <si>
    <t>158</t>
  </si>
  <si>
    <t>213</t>
  </si>
  <si>
    <t>виай спб</t>
  </si>
  <si>
    <t>мурино</t>
  </si>
  <si>
    <t>242</t>
  </si>
  <si>
    <t>центр кадастр.работ</t>
  </si>
  <si>
    <t>титан</t>
  </si>
  <si>
    <t>ФОРЕСТ</t>
  </si>
  <si>
    <t>шаланда</t>
  </si>
  <si>
    <t>Келтон Кульетус</t>
  </si>
  <si>
    <t>тнт</t>
  </si>
  <si>
    <t>звезда</t>
  </si>
  <si>
    <t>витамин</t>
  </si>
  <si>
    <t>178</t>
  </si>
  <si>
    <t>тепломонтаж-сервис</t>
  </si>
  <si>
    <t>смр внутр.сети</t>
  </si>
  <si>
    <t>расчет</t>
  </si>
  <si>
    <t>рен-тв</t>
  </si>
  <si>
    <t>форест</t>
  </si>
  <si>
    <t>а, мс</t>
  </si>
  <si>
    <t>март</t>
  </si>
  <si>
    <t>вывоз тбо норма</t>
  </si>
  <si>
    <t>вывоз тбо сверх</t>
  </si>
  <si>
    <t>ип черняев</t>
  </si>
  <si>
    <t>пластина</t>
  </si>
  <si>
    <t>ВелесТопливоСервис</t>
  </si>
  <si>
    <t>комус-петербург</t>
  </si>
  <si>
    <t>петербургтеплоэнерго</t>
  </si>
  <si>
    <t>краска</t>
  </si>
  <si>
    <t>139</t>
  </si>
  <si>
    <t>194</t>
  </si>
  <si>
    <t>промсервис</t>
  </si>
  <si>
    <t>чоу дпо ипботсп</t>
  </si>
  <si>
    <t>лидер (полярн)</t>
  </si>
  <si>
    <t>дог. 201-Л/04-14 (уступка 05)</t>
  </si>
  <si>
    <t>БалтЭнергоТехника</t>
  </si>
  <si>
    <t>мд-сервис ск</t>
  </si>
  <si>
    <t>отверстия</t>
  </si>
  <si>
    <t>тотальное</t>
  </si>
  <si>
    <t>тлк гепард</t>
  </si>
  <si>
    <t>Ленстройматериалы-Техностром</t>
  </si>
  <si>
    <t>547</t>
  </si>
  <si>
    <t>ст-недвижимость</t>
  </si>
  <si>
    <t>таргет</t>
  </si>
  <si>
    <t>стройтехнология</t>
  </si>
  <si>
    <t>ИСТ</t>
  </si>
  <si>
    <t>ск доступная энергия</t>
  </si>
  <si>
    <t>интерэктив</t>
  </si>
  <si>
    <t>АРТВ</t>
  </si>
  <si>
    <t>штукатурка</t>
  </si>
  <si>
    <t>дог. 46-ВГ/05-15</t>
  </si>
  <si>
    <t>камень перегородочный КПР ПР-ПС 50 10320шт</t>
  </si>
  <si>
    <t>продвижение сайта</t>
  </si>
  <si>
    <t>кликтекс</t>
  </si>
  <si>
    <t>июль</t>
  </si>
  <si>
    <t>оргпринт-спб</t>
  </si>
  <si>
    <t>автокран 32т</t>
  </si>
  <si>
    <t>дог. 0145-13б</t>
  </si>
  <si>
    <t>смр дв.блоки, декор.</t>
  </si>
  <si>
    <t>цаст строительство</t>
  </si>
  <si>
    <t>дог. 97-ТК/04-15</t>
  </si>
  <si>
    <t>школа</t>
  </si>
  <si>
    <t>ск спектр</t>
  </si>
  <si>
    <t>текущие платежи</t>
  </si>
  <si>
    <t>дог. 48-ГП/07-15</t>
  </si>
  <si>
    <t>рускон</t>
  </si>
  <si>
    <t>битфорт</t>
  </si>
  <si>
    <t>н-маркет про развитие</t>
  </si>
  <si>
    <t>Бур и Молот</t>
  </si>
  <si>
    <t>комплектующие</t>
  </si>
  <si>
    <t>ок.р</t>
  </si>
  <si>
    <t>смр котельные</t>
  </si>
  <si>
    <t>лисстрой</t>
  </si>
  <si>
    <t>экскаватор-погрузчик</t>
  </si>
  <si>
    <t>ск город</t>
  </si>
  <si>
    <t>арм. 16</t>
  </si>
  <si>
    <t>дог. 95-ГОУ/07-15</t>
  </si>
  <si>
    <t>арм. 12</t>
  </si>
  <si>
    <t>тв-3</t>
  </si>
  <si>
    <t>санкт-петербург</t>
  </si>
  <si>
    <t>ВС</t>
  </si>
  <si>
    <t>смр ИТП</t>
  </si>
  <si>
    <t>дог. 123-В/08-15</t>
  </si>
  <si>
    <t>дог. 121-М48/08-15</t>
  </si>
  <si>
    <t>470</t>
  </si>
  <si>
    <t>ТехФаворит</t>
  </si>
  <si>
    <t>строй-союз</t>
  </si>
  <si>
    <t>смр сопутствующие</t>
  </si>
  <si>
    <t>лид-авто</t>
  </si>
  <si>
    <t>теплоэнерго</t>
  </si>
  <si>
    <t>дог. 07/15-27</t>
  </si>
  <si>
    <t>проектировщики сев-зап</t>
  </si>
  <si>
    <t>нева</t>
  </si>
  <si>
    <t>дог. 108-М47/08-15</t>
  </si>
  <si>
    <t>снрг-строй</t>
  </si>
  <si>
    <t>ТО ДЭС</t>
  </si>
  <si>
    <t>мурино 43</t>
  </si>
  <si>
    <t>арм. 10</t>
  </si>
  <si>
    <t>модерн</t>
  </si>
  <si>
    <t>наше радио</t>
  </si>
  <si>
    <t>дог. 126-М48/09-15</t>
  </si>
  <si>
    <t>БалтАренда Строй</t>
  </si>
  <si>
    <t>КМК-Неруд</t>
  </si>
  <si>
    <t>каркас</t>
  </si>
  <si>
    <t>дог. 122-ТК/08-15</t>
  </si>
  <si>
    <t>ск партнер групп</t>
  </si>
  <si>
    <t>барт</t>
  </si>
  <si>
    <t>дог. 137-М47/11-15</t>
  </si>
  <si>
    <t>стройПодряд</t>
  </si>
  <si>
    <t>ПС 45</t>
  </si>
  <si>
    <t>дельта</t>
  </si>
  <si>
    <t>дог. 134-ТК/10-15</t>
  </si>
  <si>
    <t>9</t>
  </si>
  <si>
    <t>11</t>
  </si>
  <si>
    <t>дольщик</t>
  </si>
  <si>
    <t>помпа, рукав</t>
  </si>
  <si>
    <t>155</t>
  </si>
  <si>
    <t>смр РАСЦО</t>
  </si>
  <si>
    <t>поликлиника 48</t>
  </si>
  <si>
    <t>дог. 121-С/12-15</t>
  </si>
  <si>
    <t>смр диспетчеризация</t>
  </si>
  <si>
    <t>смр ворота</t>
  </si>
  <si>
    <t>дог. 139-В/10-15</t>
  </si>
  <si>
    <t>дог. 140-М48/10-15</t>
  </si>
  <si>
    <t>бор01</t>
  </si>
  <si>
    <t>дог. 138-М47/11-15</t>
  </si>
  <si>
    <t>дог. 108-ТК/10-15</t>
  </si>
  <si>
    <t>дог. 109-ТК/10-15</t>
  </si>
  <si>
    <t>балтстрой</t>
  </si>
  <si>
    <t>смр кровля, полы</t>
  </si>
  <si>
    <t>84</t>
  </si>
  <si>
    <t>77</t>
  </si>
  <si>
    <t>43</t>
  </si>
  <si>
    <t>45</t>
  </si>
  <si>
    <t>157</t>
  </si>
  <si>
    <t>сс</t>
  </si>
  <si>
    <t>жск немо</t>
  </si>
  <si>
    <t>жск трил</t>
  </si>
  <si>
    <t>кадастровые работы</t>
  </si>
  <si>
    <t>Водоканал</t>
  </si>
  <si>
    <t>911</t>
  </si>
  <si>
    <t>АврораТрансНеруд</t>
  </si>
  <si>
    <t>стр-компл</t>
  </si>
  <si>
    <t>долги СМР</t>
  </si>
  <si>
    <t>проект</t>
  </si>
  <si>
    <t>ДП бизнес пресс</t>
  </si>
  <si>
    <t>мир</t>
  </si>
  <si>
    <t>95</t>
  </si>
  <si>
    <t>янтарь</t>
  </si>
  <si>
    <t>типанова</t>
  </si>
  <si>
    <t>дог. 146-М43/02-16</t>
  </si>
  <si>
    <t>смр геотекстиль</t>
  </si>
  <si>
    <t>дог. 145-М47/01-16</t>
  </si>
  <si>
    <t>арт-грес</t>
  </si>
  <si>
    <t>387</t>
  </si>
  <si>
    <t>стройэнергомонтаж</t>
  </si>
  <si>
    <t>390</t>
  </si>
  <si>
    <t>смр ж/б каркас</t>
  </si>
  <si>
    <t>363</t>
  </si>
  <si>
    <t>мурино 49</t>
  </si>
  <si>
    <t>север км</t>
  </si>
  <si>
    <t>АСС</t>
  </si>
  <si>
    <t>счета СВАЕБОЙ</t>
  </si>
  <si>
    <t>668</t>
  </si>
  <si>
    <t>ПромСтройСервис</t>
  </si>
  <si>
    <t>гусен.экскаватор</t>
  </si>
  <si>
    <t>страх.премия</t>
  </si>
  <si>
    <t>галеон</t>
  </si>
  <si>
    <t>дог. 156-ТК/04-16</t>
  </si>
  <si>
    <t>Альта+</t>
  </si>
  <si>
    <t>Электрон СПб</t>
  </si>
  <si>
    <t>шины</t>
  </si>
  <si>
    <t>дог. 157-ТК/04-16</t>
  </si>
  <si>
    <t>дог. 118-ДОУ/11-15</t>
  </si>
  <si>
    <t>смр ремонт</t>
  </si>
  <si>
    <t>Инженерные сети</t>
  </si>
  <si>
    <t>жск ц.двор</t>
  </si>
  <si>
    <t>дог. 165-ДВ/04-16</t>
  </si>
  <si>
    <t>смр противопож.отсечки</t>
  </si>
  <si>
    <t>игнис</t>
  </si>
  <si>
    <t>июнь</t>
  </si>
  <si>
    <t>мурино 47 к.5</t>
  </si>
  <si>
    <t>трасстрой спб</t>
  </si>
  <si>
    <t>дог. 158-М47/04-16</t>
  </si>
  <si>
    <t>вершина</t>
  </si>
  <si>
    <t>интермедиагруп спб</t>
  </si>
  <si>
    <t>антенна-телесемь</t>
  </si>
  <si>
    <t>текущие счета</t>
  </si>
  <si>
    <t>мурино 47 к.2</t>
  </si>
  <si>
    <t>дог. 160-М47/04-16</t>
  </si>
  <si>
    <t>мурино 47 к.4</t>
  </si>
  <si>
    <t>дог. 161-М47/04-16</t>
  </si>
  <si>
    <t>смр кровля к.2</t>
  </si>
  <si>
    <t>Балтресурс</t>
  </si>
  <si>
    <t>817</t>
  </si>
  <si>
    <t>ИТР</t>
  </si>
  <si>
    <t>дог. 47-ВГ/03-16</t>
  </si>
  <si>
    <t>сп строй-область</t>
  </si>
  <si>
    <t>дог. 155-М47/04-16</t>
  </si>
  <si>
    <t>ПТК</t>
  </si>
  <si>
    <t>ВО</t>
  </si>
  <si>
    <t>альбатрос</t>
  </si>
  <si>
    <t>строй-вест</t>
  </si>
  <si>
    <t>дог. 163-ГОУ/06-16</t>
  </si>
  <si>
    <t>мурино 47 к.1</t>
  </si>
  <si>
    <t>дог. 159-М47/04-16</t>
  </si>
  <si>
    <t>видеонаблюд.площадки</t>
  </si>
  <si>
    <t>пп фасад</t>
  </si>
  <si>
    <t>дог. 171-ТК/04-16</t>
  </si>
  <si>
    <t>теплоизол.</t>
  </si>
  <si>
    <t>авентин инжиниринг</t>
  </si>
  <si>
    <t>дог. 180-ТК/06-16</t>
  </si>
  <si>
    <t>175</t>
  </si>
  <si>
    <t>профит</t>
  </si>
  <si>
    <t>дог. 153-ТК/04-16</t>
  </si>
  <si>
    <t>смр гидроиз.приямков</t>
  </si>
  <si>
    <t>абп</t>
  </si>
  <si>
    <t>дог. 144-Б/04-16</t>
  </si>
  <si>
    <t>37этаж</t>
  </si>
  <si>
    <t>охрана невский</t>
  </si>
  <si>
    <t>дог. 166-М43/04-16</t>
  </si>
  <si>
    <t>смр дренаж 1оч.</t>
  </si>
  <si>
    <t>сто дукато сервис</t>
  </si>
  <si>
    <t>август</t>
  </si>
  <si>
    <t>лидер-кран</t>
  </si>
  <si>
    <t>ДП</t>
  </si>
  <si>
    <t>мин.плиты</t>
  </si>
  <si>
    <t>расторжения</t>
  </si>
  <si>
    <t>сокол</t>
  </si>
  <si>
    <t>инж-геолог. изыскания</t>
  </si>
  <si>
    <t>геодезический мониторинг</t>
  </si>
  <si>
    <t>ск нева</t>
  </si>
  <si>
    <t>ск стс</t>
  </si>
  <si>
    <t>смр ТКС</t>
  </si>
  <si>
    <t>дог. 190-ТК/07-16</t>
  </si>
  <si>
    <t>генподряд</t>
  </si>
  <si>
    <t>1032</t>
  </si>
  <si>
    <t>дог. 24-Э2/12-14</t>
  </si>
  <si>
    <t>анхил марин групп</t>
  </si>
  <si>
    <t>вита</t>
  </si>
  <si>
    <t>дог. 147-ТК/03-16</t>
  </si>
  <si>
    <t>дог. 195-М44/07-16</t>
  </si>
  <si>
    <t>гидрозащита ск</t>
  </si>
  <si>
    <t>Петроцентр</t>
  </si>
  <si>
    <t>ПетроБлок</t>
  </si>
  <si>
    <t>дог. 140-М43/04-16</t>
  </si>
  <si>
    <t>Дельта-СПб 1</t>
  </si>
  <si>
    <t>Арес</t>
  </si>
  <si>
    <t>серв.обсл. невский</t>
  </si>
  <si>
    <t>сбытовая компания вымпел</t>
  </si>
  <si>
    <t>веллнес</t>
  </si>
  <si>
    <t>сентябрь</t>
  </si>
  <si>
    <t>нии экологич. и ген. проектирования</t>
  </si>
  <si>
    <t>дог. 85-16</t>
  </si>
  <si>
    <t>сч 148 от 22.08.16</t>
  </si>
  <si>
    <t>дог. 92-М47/04-15</t>
  </si>
  <si>
    <t>дог. 201-М47/08-16</t>
  </si>
  <si>
    <t>дог. 154-М47/04-16</t>
  </si>
  <si>
    <t>стройлэнд</t>
  </si>
  <si>
    <t>справки на отходы</t>
  </si>
  <si>
    <t>мир напитков</t>
  </si>
  <si>
    <t>смм-сопровождение</t>
  </si>
  <si>
    <t>дог. 118-М48/08-15</t>
  </si>
  <si>
    <t>дог. 120-ТК/12-15</t>
  </si>
  <si>
    <t>дог. 126-ТК/02-16</t>
  </si>
  <si>
    <t>дог. 76-ТК/10-14</t>
  </si>
  <si>
    <t>дог. 105-ТК/05-15</t>
  </si>
  <si>
    <t>дог. 89-ТК/02-15</t>
  </si>
  <si>
    <t>дог. 106-ТК/05-15</t>
  </si>
  <si>
    <t>дог. 181-М48/07-16</t>
  </si>
  <si>
    <t>дог. 183-М48/09-16</t>
  </si>
  <si>
    <t>дог. 182-М48/07-16</t>
  </si>
  <si>
    <t>ВС, ВО</t>
  </si>
  <si>
    <t>росэл</t>
  </si>
  <si>
    <t>д.05  расчет</t>
  </si>
  <si>
    <t>д.18  расчет</t>
  </si>
  <si>
    <t>октябрь</t>
  </si>
  <si>
    <t>май-июнь</t>
  </si>
  <si>
    <t>ДТ, ДЭС</t>
  </si>
  <si>
    <t>дог. 176-М47/05-16</t>
  </si>
  <si>
    <t>сантехпрогресссервис</t>
  </si>
  <si>
    <t>авансы</t>
  </si>
  <si>
    <t>Новоград, СК нов.дом</t>
  </si>
  <si>
    <t>каркас, отделка</t>
  </si>
  <si>
    <t>отделка, полы</t>
  </si>
  <si>
    <t>406</t>
  </si>
  <si>
    <t>секуридо</t>
  </si>
  <si>
    <t>дог. 196-М48/07-16</t>
  </si>
  <si>
    <t>балтстройсервис 8523</t>
  </si>
  <si>
    <t>прочие обслуживающие</t>
  </si>
  <si>
    <t>дата счета (акта)</t>
  </si>
  <si>
    <t>йога 1</t>
  </si>
  <si>
    <t>йога 1, 2</t>
  </si>
  <si>
    <t>йога 2</t>
  </si>
  <si>
    <t>бетон, жби</t>
  </si>
  <si>
    <t>доставка</t>
  </si>
  <si>
    <t>дог.поставки</t>
  </si>
  <si>
    <t>дог. 207-В/08-16</t>
  </si>
  <si>
    <t>дог. 204-В/08-16</t>
  </si>
  <si>
    <t>т-роботс</t>
  </si>
  <si>
    <t>максимум</t>
  </si>
  <si>
    <t>ди фм</t>
  </si>
  <si>
    <t>монте-карло</t>
  </si>
  <si>
    <t>русское радио</t>
  </si>
  <si>
    <t>ленэнерго (каб.сеть)</t>
  </si>
  <si>
    <t>йога</t>
  </si>
  <si>
    <t>служба заказчика</t>
  </si>
  <si>
    <t>монтаж</t>
  </si>
  <si>
    <t>дог. 114-ТК/07-15</t>
  </si>
  <si>
    <t>квартира</t>
  </si>
  <si>
    <t>не платить</t>
  </si>
  <si>
    <t>радио</t>
  </si>
  <si>
    <t>матч тв</t>
  </si>
  <si>
    <t>шушары 3005</t>
  </si>
  <si>
    <t>шушары 2998</t>
  </si>
  <si>
    <t>дог. 203-В/08-16</t>
  </si>
  <si>
    <t>ра далекс</t>
  </si>
  <si>
    <t>смр окна</t>
  </si>
  <si>
    <t xml:space="preserve">смр КЛ 0,4 </t>
  </si>
  <si>
    <t>дог. 55-ВГ/10-16</t>
  </si>
  <si>
    <t>ЭкоПласт</t>
  </si>
  <si>
    <t>альтаир (7640)</t>
  </si>
  <si>
    <t>мурино 47 к.3</t>
  </si>
  <si>
    <t>барс</t>
  </si>
  <si>
    <t>дог. 211-М47/10-16</t>
  </si>
  <si>
    <t>смр инж.сети к.1</t>
  </si>
  <si>
    <t>смр инж.сети к.2</t>
  </si>
  <si>
    <t>смр инж.сети к.3</t>
  </si>
  <si>
    <t>дог. 212-М47/10-16</t>
  </si>
  <si>
    <t>смр инж.сети к.4</t>
  </si>
  <si>
    <t>смр инж.сети к.5</t>
  </si>
  <si>
    <t>дог. 213-М47/10-16</t>
  </si>
  <si>
    <t>инж-эколог. изыскания</t>
  </si>
  <si>
    <t>АБП</t>
  </si>
  <si>
    <t>дог. 218-ДВ/11-16</t>
  </si>
  <si>
    <t>смр кровля к.3</t>
  </si>
  <si>
    <t>апс-монтаж</t>
  </si>
  <si>
    <t>дог. 214-М47/10-16</t>
  </si>
  <si>
    <t>дог. 205-М48/09-16</t>
  </si>
  <si>
    <t>смр ограждающие к.5</t>
  </si>
  <si>
    <t>смр каркас к.3</t>
  </si>
  <si>
    <t>смр ограждающие к.2</t>
  </si>
  <si>
    <t>смр каркас к.2</t>
  </si>
  <si>
    <t>дог. 206-В/08-16</t>
  </si>
  <si>
    <t>смр ограждающие к.3</t>
  </si>
  <si>
    <t>стр-рес</t>
  </si>
  <si>
    <t>Стройтех</t>
  </si>
  <si>
    <t>деталь МСН-2</t>
  </si>
  <si>
    <t>изг. видеоролика</t>
  </si>
  <si>
    <t>964</t>
  </si>
  <si>
    <t>ав.обслуживание, ТО</t>
  </si>
  <si>
    <t>акт 5</t>
  </si>
  <si>
    <t>эл-во май</t>
  </si>
  <si>
    <t>белорусы</t>
  </si>
  <si>
    <t>187</t>
  </si>
  <si>
    <t>УЧАСТКИ</t>
  </si>
  <si>
    <t>Прочее</t>
  </si>
  <si>
    <t>бетон, ЖБИ, кирпич</t>
  </si>
  <si>
    <t>экология</t>
  </si>
  <si>
    <t>геодезия, геология</t>
  </si>
  <si>
    <t>лаборатория, обслед.</t>
  </si>
  <si>
    <t>лаборатория, обследования</t>
  </si>
  <si>
    <t>разное</t>
  </si>
  <si>
    <t>конструктив инж.</t>
  </si>
  <si>
    <t>долги ВСЕГО</t>
  </si>
  <si>
    <t>свт-петербург</t>
  </si>
  <si>
    <t>почтовые отправления</t>
  </si>
  <si>
    <t>автовышка 28м</t>
  </si>
  <si>
    <t>221</t>
  </si>
  <si>
    <t>501</t>
  </si>
  <si>
    <t>508</t>
  </si>
  <si>
    <t>арм. 8,10,12</t>
  </si>
  <si>
    <t>провод</t>
  </si>
  <si>
    <t>мастика</t>
  </si>
  <si>
    <t>328</t>
  </si>
  <si>
    <t>февраль</t>
  </si>
  <si>
    <t>видеонабл. ДВ2, ТК, ТК2</t>
  </si>
  <si>
    <t>651</t>
  </si>
  <si>
    <t>29</t>
  </si>
  <si>
    <t>188</t>
  </si>
  <si>
    <t>1057</t>
  </si>
  <si>
    <t>123</t>
  </si>
  <si>
    <t>13</t>
  </si>
  <si>
    <t>263</t>
  </si>
  <si>
    <t>58</t>
  </si>
  <si>
    <t>120</t>
  </si>
  <si>
    <t>син-строй</t>
  </si>
  <si>
    <t>дог. 226-М43/02-16</t>
  </si>
  <si>
    <t>Норд Газ</t>
  </si>
  <si>
    <t>арм. 10,12</t>
  </si>
  <si>
    <t>ПРОЕКТ, СЗ</t>
  </si>
  <si>
    <t>МАУ "МУК"</t>
  </si>
  <si>
    <t>наружка босфор</t>
  </si>
  <si>
    <t>сф легион</t>
  </si>
  <si>
    <t>АБТ-Групп</t>
  </si>
  <si>
    <t>мех.уч</t>
  </si>
  <si>
    <t>жск айваз</t>
  </si>
  <si>
    <t>гидросервис +</t>
  </si>
  <si>
    <t>дог. 1-К1/01-17</t>
  </si>
  <si>
    <t>центр. кадастр. бюро</t>
  </si>
  <si>
    <t>изм.аудиоролика</t>
  </si>
  <si>
    <t>регион медиа спб</t>
  </si>
  <si>
    <t>тв центр</t>
  </si>
  <si>
    <t>рбк</t>
  </si>
  <si>
    <t>россия 24</t>
  </si>
  <si>
    <t>тепло, газ</t>
  </si>
  <si>
    <t>тепл.потери</t>
  </si>
  <si>
    <t>Электроэнергия</t>
  </si>
  <si>
    <t>ок.расчет</t>
  </si>
  <si>
    <t>СПб Вода</t>
  </si>
  <si>
    <t>техно-нпк</t>
  </si>
  <si>
    <t>ТГК-1</t>
  </si>
  <si>
    <t>тепло</t>
  </si>
  <si>
    <t>эл/энергия</t>
  </si>
  <si>
    <t>ук система спб</t>
  </si>
  <si>
    <t>гпм радио</t>
  </si>
  <si>
    <t>173</t>
  </si>
  <si>
    <t>347</t>
  </si>
  <si>
    <t>СТИ</t>
  </si>
  <si>
    <t>арм. 12,16</t>
  </si>
  <si>
    <t>85</t>
  </si>
  <si>
    <t>ремонт УШМ</t>
  </si>
  <si>
    <t>нтц грпм</t>
  </si>
  <si>
    <t>5 канал</t>
  </si>
  <si>
    <t>россия 1</t>
  </si>
  <si>
    <t>апрель</t>
  </si>
  <si>
    <t>304</t>
  </si>
  <si>
    <t>закладн.деталь</t>
  </si>
  <si>
    <t>до 20-го</t>
  </si>
  <si>
    <t>дог. 16/2012-ПЭ</t>
  </si>
  <si>
    <t>ПНД № 8</t>
  </si>
  <si>
    <t>арм. 10,16</t>
  </si>
  <si>
    <t>С-инжиниринг</t>
  </si>
  <si>
    <t>ТО АУППТ</t>
  </si>
  <si>
    <t>тех.эксплуатация инж.систем</t>
  </si>
  <si>
    <t>РТ</t>
  </si>
  <si>
    <t>указатели Вит., Терр.</t>
  </si>
  <si>
    <t>АБТ Групп</t>
  </si>
  <si>
    <t>аг.недвиж. Питер</t>
  </si>
  <si>
    <t>дог. 230-М47/03-17</t>
  </si>
  <si>
    <t>дог. 229-М47/03-17</t>
  </si>
  <si>
    <t>дог. 227-М48/01-17</t>
  </si>
  <si>
    <t>смр каркас к.5</t>
  </si>
  <si>
    <t>смр каркас к.4</t>
  </si>
  <si>
    <t>119</t>
  </si>
  <si>
    <t>174</t>
  </si>
  <si>
    <t>358</t>
  </si>
  <si>
    <t>перфоратор</t>
  </si>
  <si>
    <t>б/ц В.О.</t>
  </si>
  <si>
    <t>собака.ру</t>
  </si>
  <si>
    <t>обслуж. Автоматики итп</t>
  </si>
  <si>
    <t>обслуж. Уутэ</t>
  </si>
  <si>
    <t>тсн</t>
  </si>
  <si>
    <t>УСК</t>
  </si>
  <si>
    <t>джонсон контролс</t>
  </si>
  <si>
    <t>дог. D6222101</t>
  </si>
  <si>
    <t>хоз.товары</t>
  </si>
  <si>
    <t>389</t>
  </si>
  <si>
    <t>смр мет.кв.двери</t>
  </si>
  <si>
    <t>дог. 232-ТК/03-17</t>
  </si>
  <si>
    <t>смр мет.противопож.двери</t>
  </si>
  <si>
    <t>ноу дпо кварта</t>
  </si>
  <si>
    <t>ленмонтаж</t>
  </si>
  <si>
    <t>радио зенит</t>
  </si>
  <si>
    <t>б/н</t>
  </si>
  <si>
    <t>адвертка</t>
  </si>
  <si>
    <t>айриэлтор</t>
  </si>
  <si>
    <t>СК Росстрой</t>
  </si>
  <si>
    <t>РСТ</t>
  </si>
  <si>
    <t>опора потолочная</t>
  </si>
  <si>
    <t>дог. 235-М44/04-17</t>
  </si>
  <si>
    <t>балтикмедиа</t>
  </si>
  <si>
    <t>подключение к сетям</t>
  </si>
  <si>
    <t>испытание грунтов сваями</t>
  </si>
  <si>
    <t>дог. 239-М47/02-17</t>
  </si>
  <si>
    <t>ип золотайкин в.в.</t>
  </si>
  <si>
    <t>дог. 181-М43/06-16</t>
  </si>
  <si>
    <t>врем.эл/снабжение стройки</t>
  </si>
  <si>
    <t>материалы</t>
  </si>
  <si>
    <t>арти</t>
  </si>
  <si>
    <t>дог. 5-К2/04-17</t>
  </si>
  <si>
    <t>обчение ОТ, пожарка 1чел</t>
  </si>
  <si>
    <t>чоу дпо кварта</t>
  </si>
  <si>
    <t>Снабжение</t>
  </si>
  <si>
    <t>комплектующие (Оля)</t>
  </si>
  <si>
    <t>стр.техника (Оля)</t>
  </si>
  <si>
    <t>ДТ (Сокол)</t>
  </si>
  <si>
    <t>сетьСтрой</t>
  </si>
  <si>
    <t>дог. 240-ТК/05-17</t>
  </si>
  <si>
    <t>дог. 236-ТК/05-17</t>
  </si>
  <si>
    <t>канцтовары</t>
  </si>
  <si>
    <t>УМ-79</t>
  </si>
  <si>
    <t>башенный кран</t>
  </si>
  <si>
    <t>работы</t>
  </si>
  <si>
    <t>ЦАН ПЛЮС</t>
  </si>
  <si>
    <t>тк петербургъ</t>
  </si>
  <si>
    <t>СПК-А</t>
  </si>
  <si>
    <t>дог. 70088</t>
  </si>
  <si>
    <t>домрас</t>
  </si>
  <si>
    <t>дог. 238-М43/04-17</t>
  </si>
  <si>
    <t>дог. 237-ТК/04-17</t>
  </si>
  <si>
    <t>2аванс 40%</t>
  </si>
  <si>
    <t>д.05  1аванс 50%</t>
  </si>
  <si>
    <t>д.05  2аванс 50%</t>
  </si>
  <si>
    <t>д.18    1аванс 30%</t>
  </si>
  <si>
    <t>д.18    2аванс 40%</t>
  </si>
  <si>
    <t>1аванс 30%</t>
  </si>
  <si>
    <t>прочие платежи</t>
  </si>
  <si>
    <t>дог. 4-К2/03-17</t>
  </si>
  <si>
    <t>смр нулевой цикл секц.1-2-3</t>
  </si>
  <si>
    <t>сдв групп</t>
  </si>
  <si>
    <t>дог. 181-ГОУ/08-16</t>
  </si>
  <si>
    <t>152</t>
  </si>
  <si>
    <t>164</t>
  </si>
  <si>
    <t>эхо петербурга</t>
  </si>
  <si>
    <t>стат.зондир.грунтов</t>
  </si>
  <si>
    <t>ТК Петербургъ</t>
  </si>
  <si>
    <t>рубикон</t>
  </si>
  <si>
    <t>смр ограждающие, отделка</t>
  </si>
  <si>
    <t>362</t>
  </si>
  <si>
    <t>1164</t>
  </si>
  <si>
    <t>1010</t>
  </si>
  <si>
    <t>Партнер ИНТ</t>
  </si>
  <si>
    <t>Кровля и Изоляция</t>
  </si>
  <si>
    <t>910</t>
  </si>
  <si>
    <t>эструдоор-м</t>
  </si>
  <si>
    <t>дог. 248-ТК/06-17</t>
  </si>
  <si>
    <t>сбербанк россии</t>
  </si>
  <si>
    <t>акт</t>
  </si>
  <si>
    <t>субсидированная ставка</t>
  </si>
  <si>
    <t>388</t>
  </si>
  <si>
    <t>жск вр.года</t>
  </si>
  <si>
    <t>135</t>
  </si>
  <si>
    <t>смр двери квартирные</t>
  </si>
  <si>
    <t>сталия</t>
  </si>
  <si>
    <t>айдимануфактура</t>
  </si>
  <si>
    <t>смр стекло</t>
  </si>
  <si>
    <t>дог. 243-М43/05-17</t>
  </si>
  <si>
    <t>смр каркас к.1</t>
  </si>
  <si>
    <t>дог. 244-М43/05-17</t>
  </si>
  <si>
    <t>дог. б/н</t>
  </si>
  <si>
    <t>чоу дпо учеб.комбинат</t>
  </si>
  <si>
    <t>аквамарин</t>
  </si>
  <si>
    <t>дог. 249-ТК/06-17</t>
  </si>
  <si>
    <t>дог. 250-ТК/06-17</t>
  </si>
  <si>
    <t>бригантина</t>
  </si>
  <si>
    <t>смр НВК перемычка</t>
  </si>
  <si>
    <t>стройпроект плюс</t>
  </si>
  <si>
    <t>дог. 230-М43/06-17</t>
  </si>
  <si>
    <t>смр гидроизоляция к.4</t>
  </si>
  <si>
    <t>рентал юнитс</t>
  </si>
  <si>
    <t>псп-принт</t>
  </si>
  <si>
    <t>351</t>
  </si>
  <si>
    <t>плитка</t>
  </si>
  <si>
    <t>арм. 6</t>
  </si>
  <si>
    <t>402</t>
  </si>
  <si>
    <t>испытательный центр</t>
  </si>
  <si>
    <t>ано дпо учеб.комбинат</t>
  </si>
  <si>
    <t>мурино 43 к.3</t>
  </si>
  <si>
    <t>ориент спб</t>
  </si>
  <si>
    <t>дог. 213-М43/05-17</t>
  </si>
  <si>
    <t>528</t>
  </si>
  <si>
    <t>мурино 43 к.6</t>
  </si>
  <si>
    <t>экспертиза бетона</t>
  </si>
  <si>
    <t>скартел</t>
  </si>
  <si>
    <t>йота</t>
  </si>
  <si>
    <t>дог. 231-М47/07-17</t>
  </si>
  <si>
    <t>радио шансон</t>
  </si>
  <si>
    <t>новосистем</t>
  </si>
  <si>
    <t>лицензия ПО Comagic</t>
  </si>
  <si>
    <t>аренда сетей</t>
  </si>
  <si>
    <t>дог. 255-ТК/07-17</t>
  </si>
  <si>
    <t>смр перемычка</t>
  </si>
  <si>
    <t>329</t>
  </si>
  <si>
    <t>НСС</t>
  </si>
  <si>
    <t>НДС не обл.</t>
  </si>
  <si>
    <t>407</t>
  </si>
  <si>
    <t>дог. 232-М43/07-17</t>
  </si>
  <si>
    <t>дог. 242-М43/04-17</t>
  </si>
  <si>
    <t>НСС неваситистрой</t>
  </si>
  <si>
    <t>авг.17 - окт.17</t>
  </si>
  <si>
    <t>наружка Богатырь 3</t>
  </si>
  <si>
    <t>радио дача, любовь</t>
  </si>
  <si>
    <t>дог. 215-ГОУ/08-16</t>
  </si>
  <si>
    <t>дог. 335-Я/07-17</t>
  </si>
  <si>
    <t>пнр вент.оборудования</t>
  </si>
  <si>
    <t>резерв 1,2</t>
  </si>
  <si>
    <t>а, акв</t>
  </si>
  <si>
    <t>указатели Терр., ТК</t>
  </si>
  <si>
    <t>Конгломерат</t>
  </si>
  <si>
    <t>дог 20.16</t>
  </si>
  <si>
    <t>бетон</t>
  </si>
  <si>
    <t>швеллер</t>
  </si>
  <si>
    <t>773</t>
  </si>
  <si>
    <t>аккумулятор</t>
  </si>
  <si>
    <t>дог. 1-САМ2/07-17</t>
  </si>
  <si>
    <t>дог. 2-САМ2/07-17</t>
  </si>
  <si>
    <t>смр двери квартирные 2-ой ур.</t>
  </si>
  <si>
    <t>Автокран Строй</t>
  </si>
  <si>
    <t>дог. 266-М43/08-17</t>
  </si>
  <si>
    <t>смр дренаж 2оч.</t>
  </si>
  <si>
    <t>дог. 267-ТК/08-17</t>
  </si>
  <si>
    <t>смр полы паркинга</t>
  </si>
  <si>
    <t>эл/энергия расчет</t>
  </si>
  <si>
    <t>иск ленстройкомплект</t>
  </si>
  <si>
    <t>икопал</t>
  </si>
  <si>
    <t>дог. 12-К1/07-17</t>
  </si>
  <si>
    <t>1025</t>
  </si>
  <si>
    <t>дог. 227-ТК/06-17</t>
  </si>
  <si>
    <t>смр автодорога</t>
  </si>
  <si>
    <t>ленсовет</t>
  </si>
  <si>
    <t>дог. 6-САМ2/08-16</t>
  </si>
  <si>
    <t>промстрой</t>
  </si>
  <si>
    <t>с сент.17 по авг.18</t>
  </si>
  <si>
    <t>418</t>
  </si>
  <si>
    <t>КПП 780101001</t>
  </si>
  <si>
    <t>технотерра</t>
  </si>
  <si>
    <t>лидер за мс</t>
  </si>
  <si>
    <t>PR</t>
  </si>
  <si>
    <t>ЖБИ</t>
  </si>
  <si>
    <t>штукатурка, грунт</t>
  </si>
  <si>
    <t>дог. 12-ШК/09-17</t>
  </si>
  <si>
    <t>смр облицовка из стекла</t>
  </si>
  <si>
    <t>БЕСТ</t>
  </si>
  <si>
    <t>дог. 275-М47/09-17</t>
  </si>
  <si>
    <t>РРК</t>
  </si>
  <si>
    <t>дог. 15-КН/09-17</t>
  </si>
  <si>
    <t>дог. 90-17</t>
  </si>
  <si>
    <t>сч.182</t>
  </si>
  <si>
    <t>604</t>
  </si>
  <si>
    <t>технол.отверстия</t>
  </si>
  <si>
    <t>дог. 246-ТК/09-17</t>
  </si>
  <si>
    <t>смр наружное освещение</t>
  </si>
  <si>
    <t>дог. 253-М36/07-17</t>
  </si>
  <si>
    <t>предотделка моп</t>
  </si>
  <si>
    <t>чист.отделка моп</t>
  </si>
  <si>
    <t>Север</t>
  </si>
  <si>
    <t>1055</t>
  </si>
  <si>
    <t>350</t>
  </si>
  <si>
    <t>тех.газы</t>
  </si>
  <si>
    <t>дог. 234-ТК/07-17</t>
  </si>
  <si>
    <t>дог. 236-ТК/07-17</t>
  </si>
  <si>
    <t>а, л</t>
  </si>
  <si>
    <t>спб фил. РСО ЕВРОИНС</t>
  </si>
  <si>
    <t>ОСАГО 2шт</t>
  </si>
  <si>
    <t>дог. 328-КН/07-17, соглаш.44</t>
  </si>
  <si>
    <t>дог. 173-ШК/04-16, соглаш.57</t>
  </si>
  <si>
    <t>дог. 104-ШК/08-15, соглаш.56</t>
  </si>
  <si>
    <t>до 25-го</t>
  </si>
  <si>
    <t>дог. 234-КН/09-16, согл.39</t>
  </si>
  <si>
    <t>дог. 269-САМ2/01-17, согл.25</t>
  </si>
  <si>
    <t>дог. 267-САМ1/12-16, соглаш. 37</t>
  </si>
  <si>
    <t>808</t>
  </si>
  <si>
    <t>АйДиМануфактура</t>
  </si>
  <si>
    <t>дог. 287-ТК/10-17</t>
  </si>
  <si>
    <t>дог. 251-САМ1/11-16, соглаш.34</t>
  </si>
  <si>
    <t>дог. 317-САМ1/06-17, соглаш.35</t>
  </si>
  <si>
    <t>оп миг-охрана</t>
  </si>
  <si>
    <t>дог. 55-КН/10-17</t>
  </si>
  <si>
    <t>СПбГАСУ</t>
  </si>
  <si>
    <t>дог. 206-ШК/06-16, соглаш.27</t>
  </si>
  <si>
    <t>дог. 295-САМ2/04-17, соглаш. 24</t>
  </si>
  <si>
    <t>4325</t>
  </si>
  <si>
    <t>405</t>
  </si>
  <si>
    <t>дог. 270-М43/08-17</t>
  </si>
  <si>
    <t>смр ограждающие к.1</t>
  </si>
  <si>
    <t>дог. 274-М43/09-17</t>
  </si>
  <si>
    <t>дог. 271-М43/08-17</t>
  </si>
  <si>
    <t>дог. 20-ШК/12-14, соглаш.85</t>
  </si>
  <si>
    <t>дог. 35-САМ2/10-17</t>
  </si>
  <si>
    <t>дог. 332-МБ/07-17, соглаш.106</t>
  </si>
  <si>
    <t>дог. 345-МБ/07-17, соглаш.107</t>
  </si>
  <si>
    <t>дог. 275-КН/01-17, соглаш.124</t>
  </si>
  <si>
    <t>дог. 183-МБ/04-16, соглаш.100</t>
  </si>
  <si>
    <t>дог. 99-ЦД/05-15, соглаш.108</t>
  </si>
  <si>
    <t>дог. 301-САМ2/02-17, соглаш.26</t>
  </si>
  <si>
    <t>дог. 277-М48/09-17</t>
  </si>
  <si>
    <t>дог. 276-М48/09-17</t>
  </si>
  <si>
    <t>дог. 247-М47/06-17</t>
  </si>
  <si>
    <t>дог. 246-М47/06-17</t>
  </si>
  <si>
    <t>дог. 10-ШК/08-17</t>
  </si>
  <si>
    <t>дог. 34-САМ2/10-16</t>
  </si>
  <si>
    <t>модернизация сайта</t>
  </si>
  <si>
    <t>альфа строй</t>
  </si>
  <si>
    <t>дог. 41-ШК/10-17</t>
  </si>
  <si>
    <t>1028</t>
  </si>
  <si>
    <t>Леспром</t>
  </si>
  <si>
    <t>15/10-2</t>
  </si>
  <si>
    <t>мурино 47 к2</t>
  </si>
  <si>
    <t>гарант</t>
  </si>
  <si>
    <t>дог. 288-М47/10-17</t>
  </si>
  <si>
    <t>дог. 283-М47/10-17</t>
  </si>
  <si>
    <t>дог. 38-САМ2/03-17</t>
  </si>
  <si>
    <t>дог. 32-САМ2/10-17</t>
  </si>
  <si>
    <t>дог. 53-САМ2/10-17</t>
  </si>
  <si>
    <t>дог. 43-ШК/10-17</t>
  </si>
  <si>
    <t>дог. 7-КН/08-17</t>
  </si>
  <si>
    <t>дог. 21-КН/09-17</t>
  </si>
  <si>
    <t>дог. 22-КН/09-17</t>
  </si>
  <si>
    <t>лиц.отделка моп</t>
  </si>
  <si>
    <t>дог. 29-КН/10-17</t>
  </si>
  <si>
    <t>дог. 25-КН/09-17</t>
  </si>
  <si>
    <t>дог. 18-КН/09-17</t>
  </si>
  <si>
    <t>смик жби</t>
  </si>
  <si>
    <t>а, л, ср</t>
  </si>
  <si>
    <t>дог. 58-САМ2/10-17</t>
  </si>
  <si>
    <t>янино 2</t>
  </si>
  <si>
    <t>дог. 121-17</t>
  </si>
  <si>
    <t>сч.208</t>
  </si>
  <si>
    <t>дог. 233-САМ1/09-16, соглаш.77</t>
  </si>
  <si>
    <t>дог. 182-САМ1/04-16, соглаш.76</t>
  </si>
  <si>
    <t>дог. 310-МБ/06-17, соглаш.79</t>
  </si>
  <si>
    <t>дог. 312-ШК/06-17, соглаш.81</t>
  </si>
  <si>
    <t>дог. 158-ШК/03-16, соглаш.91</t>
  </si>
  <si>
    <t>дог. 159-САМ2/03-16, соглаш.23</t>
  </si>
  <si>
    <t>мини-экскаватор</t>
  </si>
  <si>
    <t>6824</t>
  </si>
  <si>
    <t>аренда октябрь</t>
  </si>
  <si>
    <t>профнастил</t>
  </si>
  <si>
    <t>Мега Трейд</t>
  </si>
  <si>
    <t>1118</t>
  </si>
  <si>
    <t>испытание перчаток и инструмента</t>
  </si>
  <si>
    <t>дог. 85-МБ/04-15, соглаш.121</t>
  </si>
  <si>
    <t>наружка  Йога</t>
  </si>
  <si>
    <t>дог. 01/09/17</t>
  </si>
  <si>
    <t>оператор скор. автомагситралей - север</t>
  </si>
  <si>
    <t>0403664-кт001</t>
  </si>
  <si>
    <t>пополнение лиц.счета</t>
  </si>
  <si>
    <t>жби, кирпич, газобетон, плитка</t>
  </si>
  <si>
    <t>строй-центр полюстровский,28</t>
  </si>
  <si>
    <t>аренда</t>
  </si>
  <si>
    <t>волгабалт</t>
  </si>
  <si>
    <t>ПСО</t>
  </si>
  <si>
    <t>аренда ноябрь</t>
  </si>
  <si>
    <t>дог. 268-М44/08-17</t>
  </si>
  <si>
    <t>шушары</t>
  </si>
  <si>
    <t>Форест</t>
  </si>
  <si>
    <t>3993</t>
  </si>
  <si>
    <t>дог. 265-М47/08-17</t>
  </si>
  <si>
    <t>отделка моп, лестниц</t>
  </si>
  <si>
    <t>дог. 325-ШК/07-17, соглаш.93</t>
  </si>
  <si>
    <t>пкф метстройдеталь</t>
  </si>
  <si>
    <t>дог. 14-САМ2/09-17</t>
  </si>
  <si>
    <t>дог. 39-САМ2/10-17</t>
  </si>
  <si>
    <t>дог. 227-КН/07-16, соглаш. 92</t>
  </si>
  <si>
    <t>видеонаблюд. Вит., ТК3, Терр., Терр2, Терр3, ТК2</t>
  </si>
  <si>
    <t>4894</t>
  </si>
  <si>
    <t>сухие смеси</t>
  </si>
  <si>
    <t>дог. 1409-17</t>
  </si>
  <si>
    <t>тэп-сервис</t>
  </si>
  <si>
    <t>2531</t>
  </si>
  <si>
    <t>9/алеф</t>
  </si>
  <si>
    <t>ГК Атлет</t>
  </si>
  <si>
    <t>Агава-С</t>
  </si>
  <si>
    <t>7416</t>
  </si>
  <si>
    <t>342</t>
  </si>
  <si>
    <t>реклама, PR</t>
  </si>
  <si>
    <t>ПЛИТКА, керамогранит</t>
  </si>
  <si>
    <t>лист г/к</t>
  </si>
  <si>
    <t>уголок, швеллер, пластина</t>
  </si>
  <si>
    <t>полоса, уголок</t>
  </si>
  <si>
    <t>дог. 64-КН/12-17</t>
  </si>
  <si>
    <t>1438</t>
  </si>
  <si>
    <t>ТО ноябрь</t>
  </si>
  <si>
    <t>керамогранит, резка</t>
  </si>
  <si>
    <t>дог. 301-М47/12-17</t>
  </si>
  <si>
    <t>юнион ти</t>
  </si>
  <si>
    <t>ск максимус</t>
  </si>
  <si>
    <t>дог. 264-МБ/12-17</t>
  </si>
  <si>
    <t>дог 09/17-01</t>
  </si>
  <si>
    <t>дог. 295-В/11-17</t>
  </si>
  <si>
    <t>9222</t>
  </si>
  <si>
    <t>арм. 10,16,25</t>
  </si>
  <si>
    <t>генподряд копрус 4</t>
  </si>
  <si>
    <t>дог. 72-К4/09-17</t>
  </si>
  <si>
    <t>лг</t>
  </si>
  <si>
    <t>дог. 31-САМ2/10-17</t>
  </si>
  <si>
    <t>дог. 19-КН/09-17</t>
  </si>
  <si>
    <t>яндекс директ</t>
  </si>
  <si>
    <t>65</t>
  </si>
  <si>
    <t>1129</t>
  </si>
  <si>
    <t>205</t>
  </si>
  <si>
    <t>208</t>
  </si>
  <si>
    <t>209</t>
  </si>
  <si>
    <t>ИП Резников</t>
  </si>
  <si>
    <t>радиостанция</t>
  </si>
  <si>
    <t>515</t>
  </si>
  <si>
    <t>224</t>
  </si>
  <si>
    <t>инж-геолог.изыскания</t>
  </si>
  <si>
    <t>гуп тэк спб</t>
  </si>
  <si>
    <t>дог. 276-ТК/01-18</t>
  </si>
  <si>
    <t>дог. 286-САМ1/12-16, соглаш.111</t>
  </si>
  <si>
    <t>364</t>
  </si>
  <si>
    <t>тнт4</t>
  </si>
  <si>
    <t>удостоверение</t>
  </si>
  <si>
    <t>сбербанк, цнс</t>
  </si>
  <si>
    <t>суб.ставка, эл.рег-ция</t>
  </si>
  <si>
    <t>ип тадевосян а.в.</t>
  </si>
  <si>
    <t>промкомплект</t>
  </si>
  <si>
    <t>дог. 291-ТК/10-17</t>
  </si>
  <si>
    <t>63</t>
  </si>
  <si>
    <t>колумб</t>
  </si>
  <si>
    <t>магеллан</t>
  </si>
  <si>
    <t>нахимов</t>
  </si>
  <si>
    <t>штраф</t>
  </si>
  <si>
    <t>пион</t>
  </si>
  <si>
    <t>80</t>
  </si>
  <si>
    <t>423</t>
  </si>
  <si>
    <t>89</t>
  </si>
  <si>
    <t>44</t>
  </si>
  <si>
    <t>Главальянс</t>
  </si>
  <si>
    <t>арм. 10,20</t>
  </si>
  <si>
    <t>18</t>
  </si>
  <si>
    <t>1068</t>
  </si>
  <si>
    <t>1084</t>
  </si>
  <si>
    <t>розетка, вилка, кабель..</t>
  </si>
  <si>
    <t>357</t>
  </si>
  <si>
    <t>дог. 253-МУР/11-17</t>
  </si>
  <si>
    <t>111</t>
  </si>
  <si>
    <t>мурино 48 к.5</t>
  </si>
  <si>
    <t>ано дпо умитц</t>
  </si>
  <si>
    <t>дог. 279-НМ/01-18</t>
  </si>
  <si>
    <t>дог. 298-М48/12-17</t>
  </si>
  <si>
    <t>Петербург Аудит</t>
  </si>
  <si>
    <t>Туров</t>
  </si>
  <si>
    <t>Ремарк</t>
  </si>
  <si>
    <t>СлЗаказчика</t>
  </si>
  <si>
    <t>Дольщики</t>
  </si>
  <si>
    <t>Реклама</t>
  </si>
  <si>
    <t>Агентства</t>
  </si>
  <si>
    <t>Сбербанк</t>
  </si>
  <si>
    <t>Эл/во, тепло, вода</t>
  </si>
  <si>
    <t>Подрядчики</t>
  </si>
  <si>
    <t>сфера</t>
  </si>
  <si>
    <t>Нотариус Леонтьев Е.В.</t>
  </si>
  <si>
    <t>строка+фотоблок, престиж-блок</t>
  </si>
  <si>
    <t>Амосов</t>
  </si>
  <si>
    <t>Сваебой</t>
  </si>
  <si>
    <t>дог. 02-ПД/В</t>
  </si>
  <si>
    <t>1011</t>
  </si>
  <si>
    <t>1016</t>
  </si>
  <si>
    <t>1020</t>
  </si>
  <si>
    <t>344</t>
  </si>
  <si>
    <t>456</t>
  </si>
  <si>
    <t>профиль</t>
  </si>
  <si>
    <t>26</t>
  </si>
  <si>
    <t>инком-А</t>
  </si>
  <si>
    <t>дог. 262-Б/11-17</t>
  </si>
  <si>
    <t>смр видеонаблюдение, скуд</t>
  </si>
  <si>
    <t>дог. 299-М44/12-17</t>
  </si>
  <si>
    <t>смр фасад, окна корпус 5</t>
  </si>
  <si>
    <t>дог. 25/10-13</t>
  </si>
  <si>
    <t>дог. 18/09-17</t>
  </si>
  <si>
    <t>сч6</t>
  </si>
  <si>
    <t>дог. 297-М47/12-17</t>
  </si>
  <si>
    <t>218</t>
  </si>
  <si>
    <t>фаспластер-спб</t>
  </si>
  <si>
    <t>дог. 284-ТК/01-18</t>
  </si>
  <si>
    <t>смр приточн.вент-ция</t>
  </si>
  <si>
    <t>422</t>
  </si>
  <si>
    <t>Блок</t>
  </si>
  <si>
    <t>арм. 20</t>
  </si>
  <si>
    <t>468</t>
  </si>
  <si>
    <t>509</t>
  </si>
  <si>
    <t>109</t>
  </si>
  <si>
    <t>125</t>
  </si>
  <si>
    <t>дэфо-спб</t>
  </si>
  <si>
    <t>изг.автоответчика</t>
  </si>
  <si>
    <t>галеря красивых домов</t>
  </si>
  <si>
    <t>марКо</t>
  </si>
  <si>
    <t>лайтбоксы в метро</t>
  </si>
  <si>
    <t>дог. 302-М47/12-17</t>
  </si>
  <si>
    <t>дог. 26-КН/09-17</t>
  </si>
  <si>
    <t>лаврики</t>
  </si>
  <si>
    <t>оп бафф</t>
  </si>
  <si>
    <t>эталон</t>
  </si>
  <si>
    <t>мурино 47 к1</t>
  </si>
  <si>
    <t>дог. 284-М47/10-17</t>
  </si>
  <si>
    <t>смр двери моп</t>
  </si>
  <si>
    <t>мурино 47 к3</t>
  </si>
  <si>
    <t>215</t>
  </si>
  <si>
    <t>379</t>
  </si>
  <si>
    <t>лидер пром</t>
  </si>
  <si>
    <t>дог. 191/2017</t>
  </si>
  <si>
    <t>дог. 71-ШК/02-18</t>
  </si>
  <si>
    <t>сч15</t>
  </si>
  <si>
    <t>Запстрой</t>
  </si>
  <si>
    <t>500</t>
  </si>
  <si>
    <t>819</t>
  </si>
  <si>
    <t>821</t>
  </si>
  <si>
    <t>мурино 43,48</t>
  </si>
  <si>
    <t>дт 3000л</t>
  </si>
  <si>
    <t>вент.блоки</t>
  </si>
  <si>
    <t>400</t>
  </si>
  <si>
    <t>фиксаторы, эмульсол</t>
  </si>
  <si>
    <t>670</t>
  </si>
  <si>
    <t>226</t>
  </si>
  <si>
    <t>136</t>
  </si>
  <si>
    <t>кирпич</t>
  </si>
  <si>
    <t>ип кукатова м.в.</t>
  </si>
  <si>
    <t>фотосъемка объекты</t>
  </si>
  <si>
    <t>237</t>
  </si>
  <si>
    <t>печать плакатов</t>
  </si>
  <si>
    <t>освещение</t>
  </si>
  <si>
    <t>уборка дорог</t>
  </si>
  <si>
    <t>предрейс.мед.осмотры</t>
  </si>
  <si>
    <t>765</t>
  </si>
  <si>
    <t>482</t>
  </si>
  <si>
    <t>веселый водовоз</t>
  </si>
  <si>
    <t>йога, шушары</t>
  </si>
  <si>
    <t>опинион</t>
  </si>
  <si>
    <t>инф-конс.услуги</t>
  </si>
  <si>
    <t>лицензия 12мес.</t>
  </si>
  <si>
    <t>пенал + шоколад</t>
  </si>
  <si>
    <t>тел.номер +аб.плата</t>
  </si>
  <si>
    <t>поддержка сайта (доп.раб.)</t>
  </si>
  <si>
    <t>9300</t>
  </si>
  <si>
    <t>Формула ИТ</t>
  </si>
  <si>
    <t>94</t>
  </si>
  <si>
    <t>76</t>
  </si>
  <si>
    <t>973</t>
  </si>
  <si>
    <t>975</t>
  </si>
  <si>
    <t>клей</t>
  </si>
  <si>
    <t>НПП Омега Техника</t>
  </si>
  <si>
    <t>брус, доска</t>
  </si>
  <si>
    <t>169</t>
  </si>
  <si>
    <t>219</t>
  </si>
  <si>
    <t>дог. 72-САМ2/02-18</t>
  </si>
  <si>
    <t>мпр</t>
  </si>
  <si>
    <t>дог. 69-ВГ/02-18</t>
  </si>
  <si>
    <t>огнезащита бет.стен</t>
  </si>
  <si>
    <t>смарт телеком</t>
  </si>
  <si>
    <t>продшипник шоп спб</t>
  </si>
  <si>
    <t>подшипники</t>
  </si>
  <si>
    <t>Пром</t>
  </si>
  <si>
    <t>Бетон</t>
  </si>
  <si>
    <t>ДТ, ДГУ, оборудование</t>
  </si>
  <si>
    <t>лидер бетон</t>
  </si>
  <si>
    <t>бетон, раствор</t>
  </si>
  <si>
    <t>витамин к.3</t>
  </si>
  <si>
    <t>витамин к.2</t>
  </si>
  <si>
    <t>дог. 314-М44/02-18</t>
  </si>
  <si>
    <t>дог. 307-М47/01-18</t>
  </si>
  <si>
    <t>смр эл/монтаж</t>
  </si>
  <si>
    <t>дог. 74-Я/02-18</t>
  </si>
  <si>
    <t>мурино 47 к4</t>
  </si>
  <si>
    <t>дог. 303-М47/12-17</t>
  </si>
  <si>
    <t>до 20-го пред.</t>
  </si>
  <si>
    <t>253</t>
  </si>
  <si>
    <t>74</t>
  </si>
  <si>
    <t>дог. 02/14ДП-1213</t>
  </si>
  <si>
    <t>дератизация</t>
  </si>
  <si>
    <t>дог. 105-Б2/10-15</t>
  </si>
  <si>
    <t>225</t>
  </si>
  <si>
    <t>933</t>
  </si>
  <si>
    <t>эвакуатор</t>
  </si>
  <si>
    <t>659</t>
  </si>
  <si>
    <t>фиксатор</t>
  </si>
  <si>
    <t>102</t>
  </si>
  <si>
    <t>дог. 286-САМ1/01-18</t>
  </si>
  <si>
    <t>дог. 278-ТК/01-18</t>
  </si>
  <si>
    <t>чист.отделка квартир</t>
  </si>
  <si>
    <t>реновациЯ</t>
  </si>
  <si>
    <t>дог. 274-ТК/12-17</t>
  </si>
  <si>
    <t>смр, оборудование, бетон</t>
  </si>
  <si>
    <t>а, л, сс</t>
  </si>
  <si>
    <t>905</t>
  </si>
  <si>
    <t>59</t>
  </si>
  <si>
    <t>анкер</t>
  </si>
  <si>
    <t>дт 5000л</t>
  </si>
  <si>
    <t>йога 2/2</t>
  </si>
  <si>
    <t>Электропоставка</t>
  </si>
  <si>
    <t>695</t>
  </si>
  <si>
    <t>110</t>
  </si>
  <si>
    <t>114</t>
  </si>
  <si>
    <t>дог. 75-КН/02-18</t>
  </si>
  <si>
    <t>регул-ка, замена фурнитуры</t>
  </si>
  <si>
    <t>дог. 11/01-17</t>
  </si>
  <si>
    <t>чл.взнос</t>
  </si>
  <si>
    <t>охрана</t>
  </si>
  <si>
    <t>1344</t>
  </si>
  <si>
    <t>479</t>
  </si>
  <si>
    <t>аренда ДЭС</t>
  </si>
  <si>
    <t>ПТК СТОМ</t>
  </si>
  <si>
    <t>247</t>
  </si>
  <si>
    <t>балка</t>
  </si>
  <si>
    <t>изделие</t>
  </si>
  <si>
    <t>3869</t>
  </si>
  <si>
    <t>265</t>
  </si>
  <si>
    <t>лгн за жск вр.года</t>
  </si>
  <si>
    <t>якорь</t>
  </si>
  <si>
    <t>564</t>
  </si>
  <si>
    <t>дог. 258-ТК/07-17</t>
  </si>
  <si>
    <t>дог. 281-ТК/10-17</t>
  </si>
  <si>
    <t>403</t>
  </si>
  <si>
    <t>457</t>
  </si>
  <si>
    <t>254</t>
  </si>
  <si>
    <t>ежемес.</t>
  </si>
  <si>
    <t>628</t>
  </si>
  <si>
    <t>ремонт эл.инструмента</t>
  </si>
  <si>
    <t>ремонт перфоратора</t>
  </si>
  <si>
    <t>78</t>
  </si>
  <si>
    <t>Технойл</t>
  </si>
  <si>
    <t>арм. 25</t>
  </si>
  <si>
    <t>йога 2/3</t>
  </si>
  <si>
    <t>541</t>
  </si>
  <si>
    <t>анкер клин.</t>
  </si>
  <si>
    <t>Абтрон</t>
  </si>
  <si>
    <t>дог. 70-КН/02-18</t>
  </si>
  <si>
    <t>дог. 192-М48/07-16</t>
  </si>
  <si>
    <t>РСК РЭС</t>
  </si>
  <si>
    <t>тех.подключение к сетям</t>
  </si>
  <si>
    <t>дог. 0147/01</t>
  </si>
  <si>
    <t>давекс груп</t>
  </si>
  <si>
    <t>дог. 290-ТК/02-18</t>
  </si>
  <si>
    <t>монтаж рекл.к-ции</t>
  </si>
  <si>
    <t>дог. 282-М47/10-17</t>
  </si>
  <si>
    <t>мурино 47 к5</t>
  </si>
  <si>
    <t>дог. 320-М47/03-18</t>
  </si>
  <si>
    <t>дог. 306-М47/12-17</t>
  </si>
  <si>
    <t>ДТ 3000л</t>
  </si>
  <si>
    <t>82</t>
  </si>
  <si>
    <t>259</t>
  </si>
  <si>
    <t>дог. 322-М47/03-18</t>
  </si>
  <si>
    <t>дог. 297-ТК/03-18</t>
  </si>
  <si>
    <t>ип стромкин а.м.</t>
  </si>
  <si>
    <t>168</t>
  </si>
  <si>
    <t>автовышка 18м</t>
  </si>
  <si>
    <t>1473</t>
  </si>
  <si>
    <t>автокран 40т</t>
  </si>
  <si>
    <t>543</t>
  </si>
  <si>
    <t>Атриум Сервис</t>
  </si>
  <si>
    <t>1104</t>
  </si>
  <si>
    <t>232</t>
  </si>
  <si>
    <t>1040</t>
  </si>
  <si>
    <t>нагреватель воздуха</t>
  </si>
  <si>
    <t>303</t>
  </si>
  <si>
    <t>консультант+</t>
  </si>
  <si>
    <t>233</t>
  </si>
  <si>
    <t>туров</t>
  </si>
  <si>
    <t>май</t>
  </si>
  <si>
    <t>принт</t>
  </si>
  <si>
    <t>386</t>
  </si>
  <si>
    <t>460</t>
  </si>
  <si>
    <t>461</t>
  </si>
  <si>
    <t>гугл</t>
  </si>
  <si>
    <t>ук мурино</t>
  </si>
  <si>
    <t>241</t>
  </si>
  <si>
    <t>викон-сервис</t>
  </si>
  <si>
    <t>Огастус</t>
  </si>
  <si>
    <t>дт 3500л</t>
  </si>
  <si>
    <t>арм. 16,20</t>
  </si>
  <si>
    <t>1022</t>
  </si>
  <si>
    <t>1044</t>
  </si>
  <si>
    <t>1105</t>
  </si>
  <si>
    <t>440</t>
  </si>
  <si>
    <t>93</t>
  </si>
  <si>
    <t>288</t>
  </si>
  <si>
    <t>480</t>
  </si>
  <si>
    <t>дог. 0187-5-18/4703</t>
  </si>
  <si>
    <t>дог. 0188-5-18/4703</t>
  </si>
  <si>
    <t>дог. 0189-5-18/4703</t>
  </si>
  <si>
    <t>629</t>
  </si>
  <si>
    <t>дог. 308-М48/01-18</t>
  </si>
  <si>
    <t>смр ограждающие к.4</t>
  </si>
  <si>
    <t>после акта</t>
  </si>
  <si>
    <t>дог. ТК-180304</t>
  </si>
  <si>
    <t>дог. 324-М47/03-18</t>
  </si>
  <si>
    <t>дог. 77-САМ2/03-18</t>
  </si>
  <si>
    <t>439</t>
  </si>
  <si>
    <t>ип киселев и.д.</t>
  </si>
  <si>
    <t>инф.услуги</t>
  </si>
  <si>
    <t>смр стены, перегородки с.1</t>
  </si>
  <si>
    <t>дог. 45-ШК/10-17</t>
  </si>
  <si>
    <t>шушары 2971</t>
  </si>
  <si>
    <t>дог. 38-18</t>
  </si>
  <si>
    <t>стадион ПС45</t>
  </si>
  <si>
    <t>дог. 46-18</t>
  </si>
  <si>
    <t>сч64</t>
  </si>
  <si>
    <t>дог. ТК-180203</t>
  </si>
  <si>
    <t>промщит</t>
  </si>
  <si>
    <t>медведь за аквамарин</t>
  </si>
  <si>
    <t>186</t>
  </si>
  <si>
    <t>650</t>
  </si>
  <si>
    <t>Леноблтранс</t>
  </si>
  <si>
    <t>Мобилтех+</t>
  </si>
  <si>
    <t>425</t>
  </si>
  <si>
    <t>445</t>
  </si>
  <si>
    <t>мурино 43,47</t>
  </si>
  <si>
    <t>781</t>
  </si>
  <si>
    <t>260</t>
  </si>
  <si>
    <t>рекламные услуги</t>
  </si>
  <si>
    <t>яндекс</t>
  </si>
  <si>
    <t>рекламные услуги .директ</t>
  </si>
  <si>
    <t>1103</t>
  </si>
  <si>
    <t>парковка</t>
  </si>
  <si>
    <t>481</t>
  </si>
  <si>
    <t>Нобель-Аудит</t>
  </si>
  <si>
    <t>аудит</t>
  </si>
  <si>
    <t>смр телефон, и-нет</t>
  </si>
  <si>
    <t>дог. 62-КН/11-17</t>
  </si>
  <si>
    <t>дог. 309-КН/06-16, соглаш.83</t>
  </si>
  <si>
    <t>дог. 65-КН/12-17</t>
  </si>
  <si>
    <t>смр водоотводы</t>
  </si>
  <si>
    <t>дог. 18-01/17 СМ</t>
  </si>
  <si>
    <t>243</t>
  </si>
  <si>
    <t>271</t>
  </si>
  <si>
    <t>261</t>
  </si>
  <si>
    <t>270</t>
  </si>
  <si>
    <t>йога 1, 2/3</t>
  </si>
  <si>
    <t>уступка к дог. 17-КН/09-17</t>
  </si>
  <si>
    <t>498</t>
  </si>
  <si>
    <t>шушары 3008</t>
  </si>
  <si>
    <t>шушары 3010</t>
  </si>
  <si>
    <t>шушары 3018</t>
  </si>
  <si>
    <t>шушары 3016</t>
  </si>
  <si>
    <t>шушары 3014</t>
  </si>
  <si>
    <t>шушары 3012</t>
  </si>
  <si>
    <t>шушары 3011</t>
  </si>
  <si>
    <t>1062</t>
  </si>
  <si>
    <t>дог. 325-М44/03-18</t>
  </si>
  <si>
    <t>Николай Иванович</t>
  </si>
  <si>
    <t>Изыскатель</t>
  </si>
  <si>
    <t>Изыскания</t>
  </si>
  <si>
    <t>инж-эколог.изыскания</t>
  </si>
  <si>
    <t>шушары 2975</t>
  </si>
  <si>
    <t>шушары 2976</t>
  </si>
  <si>
    <t>шушары 2993</t>
  </si>
  <si>
    <t>шушары 2987</t>
  </si>
  <si>
    <t>шушары 2980</t>
  </si>
  <si>
    <t>шушары 2988</t>
  </si>
  <si>
    <t>шушары 3000</t>
  </si>
  <si>
    <t>шушары 3001</t>
  </si>
  <si>
    <t>шушары 3019</t>
  </si>
  <si>
    <t>шушары 3017</t>
  </si>
  <si>
    <t>лен 97 к1</t>
  </si>
  <si>
    <t>озис-венчур</t>
  </si>
  <si>
    <t>cian+emls</t>
  </si>
  <si>
    <t>комитет по печати</t>
  </si>
  <si>
    <t>228</t>
  </si>
  <si>
    <t>499</t>
  </si>
  <si>
    <t>Техмаш</t>
  </si>
  <si>
    <t>ремонт ковша</t>
  </si>
  <si>
    <t>труба гофр.</t>
  </si>
  <si>
    <t>1215</t>
  </si>
  <si>
    <t>Талан</t>
  </si>
  <si>
    <t>эмаль</t>
  </si>
  <si>
    <t>105</t>
  </si>
  <si>
    <t>дюбель, лента перф.</t>
  </si>
  <si>
    <t>255</t>
  </si>
  <si>
    <t>490</t>
  </si>
  <si>
    <t>стропа</t>
  </si>
  <si>
    <t>291</t>
  </si>
  <si>
    <t>август плюс</t>
  </si>
  <si>
    <t>петросервис-сдм</t>
  </si>
  <si>
    <t>теплоконтроль</t>
  </si>
  <si>
    <t>обследование конструкций</t>
  </si>
  <si>
    <t>дог. 295-ЛС/03-18</t>
  </si>
  <si>
    <t>дог. 101/18</t>
  </si>
  <si>
    <t>дог. 102/18</t>
  </si>
  <si>
    <t>дог. 103/18</t>
  </si>
  <si>
    <t>дог. 104/18</t>
  </si>
  <si>
    <t>дог. 105/18</t>
  </si>
  <si>
    <t>дог. 106/18</t>
  </si>
  <si>
    <t>107</t>
  </si>
  <si>
    <t>таблички</t>
  </si>
  <si>
    <t>Руста</t>
  </si>
  <si>
    <t>Техноресурс</t>
  </si>
  <si>
    <t>424</t>
  </si>
  <si>
    <t>485</t>
  </si>
  <si>
    <t>стройтрансмонтаж</t>
  </si>
  <si>
    <t>дог. 328-М44/04-18</t>
  </si>
  <si>
    <t>дог. 329-М44/04-18</t>
  </si>
  <si>
    <t>дог. 331-М44/04-18</t>
  </si>
  <si>
    <t>дог. 332-М44/04-18</t>
  </si>
  <si>
    <t>ип стрикалов а.к.</t>
  </si>
  <si>
    <t>флаги 10шт</t>
  </si>
  <si>
    <t>дог. 286-М43/10-17</t>
  </si>
  <si>
    <t>301</t>
  </si>
  <si>
    <t>нотар.услуги</t>
  </si>
  <si>
    <t>нпп гарант-сервис университет</t>
  </si>
  <si>
    <t>240</t>
  </si>
  <si>
    <t>245</t>
  </si>
  <si>
    <t>104</t>
  </si>
  <si>
    <t>дог. 44-ШК/10-17</t>
  </si>
  <si>
    <t>смр МАФы</t>
  </si>
  <si>
    <t>дог. 76-К2/02-18</t>
  </si>
  <si>
    <t>лайса</t>
  </si>
  <si>
    <t>изг. РИМ</t>
  </si>
  <si>
    <t>размещение РИМ</t>
  </si>
  <si>
    <t>2419</t>
  </si>
  <si>
    <t>смр полы 2ур.</t>
  </si>
  <si>
    <t>слив дожд.вод в канализацию</t>
  </si>
  <si>
    <t>новоград</t>
  </si>
  <si>
    <t>дог. 28-К1/04-18</t>
  </si>
  <si>
    <t>дог. 20-Ш22/10-17</t>
  </si>
  <si>
    <t>смр котлован</t>
  </si>
  <si>
    <t>458</t>
  </si>
  <si>
    <t>455</t>
  </si>
  <si>
    <t>дог. 37-САМ2/10-17</t>
  </si>
  <si>
    <t>новосистем (комеджик)</t>
  </si>
  <si>
    <t>893</t>
  </si>
  <si>
    <t>4765</t>
  </si>
  <si>
    <t>171</t>
  </si>
  <si>
    <t>сетка сварн.</t>
  </si>
  <si>
    <t>307</t>
  </si>
  <si>
    <t>лаам-с</t>
  </si>
  <si>
    <t>дог. 27-К1/04-18</t>
  </si>
  <si>
    <t>смр стены, перегородки с.3, 4</t>
  </si>
  <si>
    <t>ЭР-телеком холдинг</t>
  </si>
  <si>
    <t>метрология узла учета</t>
  </si>
  <si>
    <t>дог. 310-ТК/04-18</t>
  </si>
  <si>
    <t>смр МАФы ДДУ</t>
  </si>
  <si>
    <t>459</t>
  </si>
  <si>
    <t>аренда зем.уч.</t>
  </si>
  <si>
    <t>тепл.потери Акварель</t>
  </si>
  <si>
    <t>комплект анкеров</t>
  </si>
  <si>
    <t>риопром спб</t>
  </si>
  <si>
    <t>427</t>
  </si>
  <si>
    <t>483</t>
  </si>
  <si>
    <t>мурино 47,48</t>
  </si>
  <si>
    <t>310</t>
  </si>
  <si>
    <t>172</t>
  </si>
  <si>
    <t>1064</t>
  </si>
  <si>
    <t>624</t>
  </si>
  <si>
    <t>расторжения, пиб</t>
  </si>
  <si>
    <t>фбу тест-с.петербург</t>
  </si>
  <si>
    <t>поверка средств измерений</t>
  </si>
  <si>
    <t>дог. 342-М47/05-18</t>
  </si>
  <si>
    <t>сч98</t>
  </si>
  <si>
    <t>сч113</t>
  </si>
  <si>
    <t>сч112</t>
  </si>
  <si>
    <t>сч111</t>
  </si>
  <si>
    <t>сч110</t>
  </si>
  <si>
    <t>сч109</t>
  </si>
  <si>
    <t>лаб.исследования</t>
  </si>
  <si>
    <t>страховка</t>
  </si>
  <si>
    <t>дог. 240-М48/08-17</t>
  </si>
  <si>
    <t>дог. 263-М47/08-17</t>
  </si>
  <si>
    <t>дог. 312-М47/02-18</t>
  </si>
  <si>
    <t>дог. 261-М47/08-17</t>
  </si>
  <si>
    <t>проволока вяз.</t>
  </si>
  <si>
    <t>арм. 8</t>
  </si>
  <si>
    <t>ип буш.т.м.</t>
  </si>
  <si>
    <t>масло</t>
  </si>
  <si>
    <t>сертекс рус</t>
  </si>
  <si>
    <t>прогресс спб</t>
  </si>
  <si>
    <t>дог. 303-КН/06-17</t>
  </si>
  <si>
    <t>1069</t>
  </si>
  <si>
    <t>дог. 48-ШК/10-17</t>
  </si>
  <si>
    <t>стоянка мурино</t>
  </si>
  <si>
    <t>дог. 72-СТ/05-18</t>
  </si>
  <si>
    <t>995</t>
  </si>
  <si>
    <t>1033</t>
  </si>
  <si>
    <t>1058</t>
  </si>
  <si>
    <t>гусен.кран</t>
  </si>
  <si>
    <t>мини-погрузчик</t>
  </si>
  <si>
    <t>1061</t>
  </si>
  <si>
    <t>1074</t>
  </si>
  <si>
    <t>231</t>
  </si>
  <si>
    <t>технологии результата</t>
  </si>
  <si>
    <t>дог. 346-М43/05-18</t>
  </si>
  <si>
    <t>ав.обслуживание</t>
  </si>
  <si>
    <t>дог. 73-18</t>
  </si>
  <si>
    <t>сч102</t>
  </si>
  <si>
    <t>сч101</t>
  </si>
  <si>
    <t>дог. 72-18</t>
  </si>
  <si>
    <t>дог. 71-18</t>
  </si>
  <si>
    <t>сч100</t>
  </si>
  <si>
    <t>дог. 70-18</t>
  </si>
  <si>
    <t>сч99</t>
  </si>
  <si>
    <t>дог. 69-18</t>
  </si>
  <si>
    <t>дог. 68-18</t>
  </si>
  <si>
    <t>сч97</t>
  </si>
  <si>
    <t>дог. 67-18</t>
  </si>
  <si>
    <t>сч96</t>
  </si>
  <si>
    <t>дог. 66-18</t>
  </si>
  <si>
    <t>сч95</t>
  </si>
  <si>
    <t>дог. 65-18</t>
  </si>
  <si>
    <t>сч94</t>
  </si>
  <si>
    <t>дог. 64-18</t>
  </si>
  <si>
    <t>сч93</t>
  </si>
  <si>
    <t>дог. 63-18</t>
  </si>
  <si>
    <t>сч92</t>
  </si>
  <si>
    <t>дог. 82-18</t>
  </si>
  <si>
    <t>дог. 81-18</t>
  </si>
  <si>
    <t>дог. 80-18</t>
  </si>
  <si>
    <t>дог. 79-18</t>
  </si>
  <si>
    <t>дог. 78-18</t>
  </si>
  <si>
    <t>дог. 77-18</t>
  </si>
  <si>
    <t>сч108</t>
  </si>
  <si>
    <t>мурино 43 к.1</t>
  </si>
  <si>
    <t>дог. 340-М43/05-18</t>
  </si>
  <si>
    <t>смр кровля к.1</t>
  </si>
  <si>
    <t>мурино 43 к.2</t>
  </si>
  <si>
    <t>дог. 341-М43/05-18</t>
  </si>
  <si>
    <t>медведь за рубеж</t>
  </si>
  <si>
    <t>дог. 22-К2.3/02-18</t>
  </si>
  <si>
    <t xml:space="preserve"> ск профиль групп</t>
  </si>
  <si>
    <t>дог. 344-М43/05-18</t>
  </si>
  <si>
    <t>дог. 76-СТ/06-18</t>
  </si>
  <si>
    <t>смр наруж.освещение</t>
  </si>
  <si>
    <t>наружка сириус</t>
  </si>
  <si>
    <t>дог. 32-К1/05-18</t>
  </si>
  <si>
    <t>смр фасады</t>
  </si>
  <si>
    <t>мурино 47 доу</t>
  </si>
  <si>
    <t>дог. 73-М47/05-18</t>
  </si>
  <si>
    <t>смр МАФы (ДОУ)</t>
  </si>
  <si>
    <t>мурино 48 к.4</t>
  </si>
  <si>
    <t>вентапарк</t>
  </si>
  <si>
    <t>дог. 350-М48/06-18</t>
  </si>
  <si>
    <t>росгосстрах</t>
  </si>
  <si>
    <t>559</t>
  </si>
  <si>
    <t>562</t>
  </si>
  <si>
    <t>дог. 9-К1/06-17</t>
  </si>
  <si>
    <t>до 15-го</t>
  </si>
  <si>
    <t>222</t>
  </si>
  <si>
    <t>дог. 263-ЛС/10-17</t>
  </si>
  <si>
    <t>лифтстройуправление</t>
  </si>
  <si>
    <t>дог. 34-К1/05-18</t>
  </si>
  <si>
    <t>1075187926</t>
  </si>
  <si>
    <t>дог. 311-М47/02-18</t>
  </si>
  <si>
    <t>477</t>
  </si>
  <si>
    <t>ЕВРО</t>
  </si>
  <si>
    <t>378</t>
  </si>
  <si>
    <t>Сантехпрогресссервис</t>
  </si>
  <si>
    <t xml:space="preserve">мурино 2 </t>
  </si>
  <si>
    <t>дог. 75-ТК/05-18</t>
  </si>
  <si>
    <t>ЭМ, ОВ отдел продаж</t>
  </si>
  <si>
    <t>дог. 77-КН/06-18</t>
  </si>
  <si>
    <t>озеленение</t>
  </si>
  <si>
    <t>до 01-го</t>
  </si>
  <si>
    <t>актион-пресс</t>
  </si>
  <si>
    <t>камаПрофСервис</t>
  </si>
  <si>
    <t>дог. 34-К1/06-18</t>
  </si>
  <si>
    <t>дог. 355-М49/05-18</t>
  </si>
  <si>
    <t>смр автостоянка</t>
  </si>
  <si>
    <t>мурино 43 к2</t>
  </si>
  <si>
    <t>дог. 361-М43/06-18</t>
  </si>
  <si>
    <t>305</t>
  </si>
  <si>
    <t>306</t>
  </si>
  <si>
    <t>587</t>
  </si>
  <si>
    <t>СтройРент С</t>
  </si>
  <si>
    <t>ремонт ДЭС</t>
  </si>
  <si>
    <t>ИП Попков</t>
  </si>
  <si>
    <t>деталь МС-1</t>
  </si>
  <si>
    <t>6831</t>
  </si>
  <si>
    <t>1009</t>
  </si>
  <si>
    <t>4121</t>
  </si>
  <si>
    <t>дог. 306-ТК/12-17</t>
  </si>
  <si>
    <t>дог. 347-М43/05-18</t>
  </si>
  <si>
    <t>дог. 26-К2.3/03-18</t>
  </si>
  <si>
    <t>смр каркас корп.3</t>
  </si>
  <si>
    <t>исп.топосъемка</t>
  </si>
  <si>
    <t>договор</t>
  </si>
  <si>
    <t>отделка спец.пом.</t>
  </si>
  <si>
    <t>дог. 290-М47/10-17</t>
  </si>
  <si>
    <t>дог. 264-М47/08-17</t>
  </si>
  <si>
    <t>дог. 313-М47/02-18</t>
  </si>
  <si>
    <t>496</t>
  </si>
  <si>
    <t>мурино 43,47,48</t>
  </si>
  <si>
    <t>1007</t>
  </si>
  <si>
    <t>сев-зап.проектная компания</t>
  </si>
  <si>
    <t>дог. 348-М48/05-18</t>
  </si>
  <si>
    <t>дог. 51-Я/10-17</t>
  </si>
  <si>
    <t>421</t>
  </si>
  <si>
    <t>834</t>
  </si>
  <si>
    <t>21/2018/4</t>
  </si>
  <si>
    <t>продление хостинга 1 год</t>
  </si>
  <si>
    <t>1696</t>
  </si>
  <si>
    <t>смр полы 2-ой ур.</t>
  </si>
  <si>
    <t>интерьерная вывеска</t>
  </si>
  <si>
    <t>дог. 29-САМ2/03-18</t>
  </si>
  <si>
    <t>1059</t>
  </si>
  <si>
    <t>смр ТКС, РАСЦО</t>
  </si>
  <si>
    <t>арм. 8,10,16</t>
  </si>
  <si>
    <t>астрал-отчетность 12 мес</t>
  </si>
  <si>
    <t>замена фильров-осушителей</t>
  </si>
  <si>
    <t>570</t>
  </si>
  <si>
    <t>СМ (строймонолит)</t>
  </si>
  <si>
    <t>геосфера</t>
  </si>
  <si>
    <t>дог. 37-Ш22/10-17</t>
  </si>
  <si>
    <t>ВО (поверхн.сток)</t>
  </si>
  <si>
    <t>дог. 333-ЛС/05-18</t>
  </si>
  <si>
    <t>мурино 43к.2</t>
  </si>
  <si>
    <t>дог. 335-М43/04-18</t>
  </si>
  <si>
    <t>мурино 43к.1</t>
  </si>
  <si>
    <t>дог. 334-М43/04-18</t>
  </si>
  <si>
    <t>дог. 79-КН/06-18</t>
  </si>
  <si>
    <t>дог. 327-М44/04-18</t>
  </si>
  <si>
    <t>полис</t>
  </si>
  <si>
    <t>дог. 368-М48/07-18</t>
  </si>
  <si>
    <t>предотделка моп к.1</t>
  </si>
  <si>
    <t>Сити Ойл</t>
  </si>
  <si>
    <t>833</t>
  </si>
  <si>
    <t>арм. 32</t>
  </si>
  <si>
    <t>472</t>
  </si>
  <si>
    <t>дог. 340-САМ1/06-18</t>
  </si>
  <si>
    <t>1053</t>
  </si>
  <si>
    <t>аструм</t>
  </si>
  <si>
    <t>113</t>
  </si>
  <si>
    <t>пени</t>
  </si>
  <si>
    <t>брынцев (ип), галеон</t>
  </si>
  <si>
    <t>дог. 86-КЛ/05-18</t>
  </si>
  <si>
    <t>демонтаж ж/б</t>
  </si>
  <si>
    <t>Что Делать Консалт</t>
  </si>
  <si>
    <t>3957</t>
  </si>
  <si>
    <t>3958</t>
  </si>
  <si>
    <t>542</t>
  </si>
  <si>
    <t>2765</t>
  </si>
  <si>
    <t>дрель</t>
  </si>
  <si>
    <t>ингкома</t>
  </si>
  <si>
    <t>2408</t>
  </si>
  <si>
    <t>5441</t>
  </si>
  <si>
    <t>дог. 372-М48/07-18</t>
  </si>
  <si>
    <t>дог. 80-ТК/07-18</t>
  </si>
  <si>
    <t>к-ции ДОУ</t>
  </si>
  <si>
    <t>дог. 81-ТК/07-18</t>
  </si>
  <si>
    <t>смр инж.сети ДОУ</t>
  </si>
  <si>
    <t>холодпроф</t>
  </si>
  <si>
    <t>дог. 90-Я/07-18</t>
  </si>
  <si>
    <t>балтийская механизация</t>
  </si>
  <si>
    <t>дог. 366-М47/07-18</t>
  </si>
  <si>
    <t>дог. 9-САМ2/09-17</t>
  </si>
  <si>
    <t>дог. 81-ШК/03-18</t>
  </si>
  <si>
    <t xml:space="preserve">смр окно </t>
  </si>
  <si>
    <t>дог. 370-М48/07-18</t>
  </si>
  <si>
    <t>дог. 333-М44/04-18</t>
  </si>
  <si>
    <t>дог. 359-М44/06-18</t>
  </si>
  <si>
    <t>отделка к.2</t>
  </si>
  <si>
    <t>дог. 336-М43/04-18</t>
  </si>
  <si>
    <t>отделка моп к.2</t>
  </si>
  <si>
    <t>дог. 356-М43/06-18</t>
  </si>
  <si>
    <t>дог. 354-М43/08-17</t>
  </si>
  <si>
    <t>1428</t>
  </si>
  <si>
    <t>масло, антифриз, фильтр..</t>
  </si>
  <si>
    <t>520</t>
  </si>
  <si>
    <t>дог. 306-ЛС/03-18</t>
  </si>
  <si>
    <t>936</t>
  </si>
  <si>
    <t>ТМГ северо-запад</t>
  </si>
  <si>
    <t>определение прочности</t>
  </si>
  <si>
    <t>БАРТ</t>
  </si>
  <si>
    <t>851</t>
  </si>
  <si>
    <t>центр высотн.обслуж.</t>
  </si>
  <si>
    <t>смр герметизация стыков</t>
  </si>
  <si>
    <t>дог. 35-К1/06-18</t>
  </si>
  <si>
    <t>отделка моп к.1</t>
  </si>
  <si>
    <t>дог. 262-М47/08-17</t>
  </si>
  <si>
    <t>441</t>
  </si>
  <si>
    <t>443</t>
  </si>
  <si>
    <t>ТО пожарка Невский</t>
  </si>
  <si>
    <t>дог. 83-ТК/07-18</t>
  </si>
  <si>
    <t>смр ДДУ</t>
  </si>
  <si>
    <t>дог. 300-ЛС/06-18</t>
  </si>
  <si>
    <t>СМС (спецмонтажсервис)</t>
  </si>
  <si>
    <t>1286-п9</t>
  </si>
  <si>
    <t>резиновый выбор</t>
  </si>
  <si>
    <t>9856</t>
  </si>
  <si>
    <t>резина тканевая</t>
  </si>
  <si>
    <t>кристалл проект</t>
  </si>
  <si>
    <t>магеллан, колумб</t>
  </si>
  <si>
    <t>шушары йога</t>
  </si>
  <si>
    <t>625</t>
  </si>
  <si>
    <t>4026</t>
  </si>
  <si>
    <t>клей для ЭПП</t>
  </si>
  <si>
    <t>290</t>
  </si>
  <si>
    <t>1407</t>
  </si>
  <si>
    <t>1469</t>
  </si>
  <si>
    <t>нп-проект</t>
  </si>
  <si>
    <t>с сент.18 по авг.19</t>
  </si>
  <si>
    <t>ан созвездие недвижимости</t>
  </si>
  <si>
    <t>до 27-го</t>
  </si>
  <si>
    <t>дог. 38-К1/07-18</t>
  </si>
  <si>
    <t>отделка ОП</t>
  </si>
  <si>
    <t>нпо гидрощитСтрой</t>
  </si>
  <si>
    <t>дог. 30-Ш42/04-18</t>
  </si>
  <si>
    <t>ремстройсервис спб</t>
  </si>
  <si>
    <t>647, 648</t>
  </si>
  <si>
    <t>478</t>
  </si>
  <si>
    <t>кирпич, камень</t>
  </si>
  <si>
    <t>камень</t>
  </si>
  <si>
    <t>Сто Икс</t>
  </si>
  <si>
    <t>ип елькин а.в.</t>
  </si>
  <si>
    <t>дог. 89-МГ/07-18</t>
  </si>
  <si>
    <t>ремонт кровли</t>
  </si>
  <si>
    <t>дог. 110-18</t>
  </si>
  <si>
    <t>сч171</t>
  </si>
  <si>
    <t>дог. 82-Б2/07-18</t>
  </si>
  <si>
    <t>предотделка квартир</t>
  </si>
  <si>
    <t>аренда помещения</t>
  </si>
  <si>
    <t>нпо элита</t>
  </si>
  <si>
    <t>до 3-го тек.</t>
  </si>
  <si>
    <t>опл</t>
  </si>
  <si>
    <t>дог. 83-ШК/07-18</t>
  </si>
  <si>
    <t>регионСтальДверь</t>
  </si>
  <si>
    <t>сч308</t>
  </si>
  <si>
    <t>сч298</t>
  </si>
  <si>
    <t>сч299</t>
  </si>
  <si>
    <t>сч255</t>
  </si>
  <si>
    <t>сч309</t>
  </si>
  <si>
    <t>м-инвест</t>
  </si>
  <si>
    <t>дог. 81-18-ТК</t>
  </si>
  <si>
    <t>дог. 356-ЛС/08-18</t>
  </si>
  <si>
    <t>Альфа банк</t>
  </si>
  <si>
    <t>дог. 78-ЦД/05-18</t>
  </si>
  <si>
    <t>смр мет/к-ции к.2</t>
  </si>
  <si>
    <t>дог. 88-САМ1/08-18</t>
  </si>
  <si>
    <t>497</t>
  </si>
  <si>
    <t>558</t>
  </si>
  <si>
    <t>5074</t>
  </si>
  <si>
    <t>монтаж РИМ</t>
  </si>
  <si>
    <t>норд-сервис</t>
  </si>
  <si>
    <t>дог. 87-ТК/08-18</t>
  </si>
  <si>
    <t>оборудование для ДОУ</t>
  </si>
  <si>
    <t>Рождественская Н.Ю.</t>
  </si>
  <si>
    <t>возврат пиб и переплаты 40б-ВНФ/07-12г</t>
  </si>
  <si>
    <t>дог. 323-М47/03-18</t>
  </si>
  <si>
    <t>петроблок, силта</t>
  </si>
  <si>
    <t>дог. 339-М43/05-18</t>
  </si>
  <si>
    <t>лайтбоксы большие в метро</t>
  </si>
  <si>
    <t>438</t>
  </si>
  <si>
    <t>дог. 377-М48/08-18</t>
  </si>
  <si>
    <t>дог. 360-М44/06-18</t>
  </si>
  <si>
    <t>отделка моп к.3</t>
  </si>
  <si>
    <t>сч310</t>
  </si>
  <si>
    <t>сч311</t>
  </si>
  <si>
    <t>сч312</t>
  </si>
  <si>
    <t>сч313</t>
  </si>
  <si>
    <t>проммаш тест</t>
  </si>
  <si>
    <t>516</t>
  </si>
  <si>
    <t>каркасы</t>
  </si>
  <si>
    <t>3340</t>
  </si>
  <si>
    <t>дог. 39-К2/08-18</t>
  </si>
  <si>
    <t>КФС 11</t>
  </si>
  <si>
    <t>дог. 92-Я/08-18</t>
  </si>
  <si>
    <t>частичный перенос системы отопления</t>
  </si>
  <si>
    <t>сев-зап.представитель</t>
  </si>
  <si>
    <t>арм. 8,12</t>
  </si>
  <si>
    <t>530</t>
  </si>
  <si>
    <t>ажур-медиа</t>
  </si>
  <si>
    <t>медиалогия</t>
  </si>
  <si>
    <t>мониторинг</t>
  </si>
  <si>
    <t>портал</t>
  </si>
  <si>
    <t>КПП 780601001</t>
  </si>
  <si>
    <t>пакет п/э с нанесением</t>
  </si>
  <si>
    <t>экспромТ</t>
  </si>
  <si>
    <t>фонтанка.ру</t>
  </si>
  <si>
    <t>802</t>
  </si>
  <si>
    <t>колумб, магеллан</t>
  </si>
  <si>
    <t>автокран 30т</t>
  </si>
  <si>
    <t>1004</t>
  </si>
  <si>
    <t>3155/1</t>
  </si>
  <si>
    <t>3498/1</t>
  </si>
  <si>
    <t>деталь М-1, МСН2</t>
  </si>
  <si>
    <t>3575/1</t>
  </si>
  <si>
    <t>3595/1</t>
  </si>
  <si>
    <t>3604/1</t>
  </si>
  <si>
    <t>пластина, уголок, швеллер</t>
  </si>
  <si>
    <t>3691/1</t>
  </si>
  <si>
    <t>компенсатор оц.</t>
  </si>
  <si>
    <t>доска, брус</t>
  </si>
  <si>
    <t>пмн-автоматика</t>
  </si>
  <si>
    <t>трансляция Шуш42</t>
  </si>
  <si>
    <t>дог. 375-М43/08-18</t>
  </si>
  <si>
    <t>смр гидроизоляция к.5</t>
  </si>
  <si>
    <t>предотделка квартиры</t>
  </si>
  <si>
    <t>дог. 86-МБ/08-18</t>
  </si>
  <si>
    <t>а, л-ж</t>
  </si>
  <si>
    <t>ип васильев м.в.</t>
  </si>
  <si>
    <t>аэрофотосъемка</t>
  </si>
  <si>
    <t>ремонт автокрана</t>
  </si>
  <si>
    <t>3D-панорамы Гавань капитанов</t>
  </si>
  <si>
    <t>смр двери моп к.2</t>
  </si>
  <si>
    <t>ск аксиома</t>
  </si>
  <si>
    <t>дог. 379-М43/09-18</t>
  </si>
  <si>
    <t>смр полы к.2</t>
  </si>
  <si>
    <t>краска, колеровка</t>
  </si>
  <si>
    <t>суб</t>
  </si>
  <si>
    <t>ВолгаБалт</t>
  </si>
  <si>
    <t>дог. 44-Т/04-18</t>
  </si>
  <si>
    <t>смр генподряд корпус 1</t>
  </si>
  <si>
    <t>выравнивание</t>
  </si>
  <si>
    <t>Корчагина А.В.</t>
  </si>
  <si>
    <t>расторжение дду 5д-ТРИ2/04-18ан</t>
  </si>
  <si>
    <t>бэбиспорт</t>
  </si>
  <si>
    <t>брандмауэр на Моск.вокз.</t>
  </si>
  <si>
    <t>дог. 91-ВГ/09-18</t>
  </si>
  <si>
    <t>Петроблок</t>
  </si>
  <si>
    <t>гавань Кап.</t>
  </si>
  <si>
    <t>весна</t>
  </si>
  <si>
    <t>кижич</t>
  </si>
  <si>
    <t>дог. 360-ЛС/09-18</t>
  </si>
  <si>
    <t>ВИП Балтик Инжиниринг</t>
  </si>
  <si>
    <t>дог. 374-М43/07-18</t>
  </si>
  <si>
    <t>АСЛАМ</t>
  </si>
  <si>
    <t>перевозка песка</t>
  </si>
  <si>
    <t>630</t>
  </si>
  <si>
    <t>Технотрейд С-З</t>
  </si>
  <si>
    <t>810</t>
  </si>
  <si>
    <t>мосфинансхолдинг</t>
  </si>
  <si>
    <t>дог. 96-ВГ/09-18</t>
  </si>
  <si>
    <t>стройподряд</t>
  </si>
  <si>
    <t>дог. 41-К1/08-18</t>
  </si>
  <si>
    <t>рекв ВТБ</t>
  </si>
  <si>
    <t>топливо для генератора</t>
  </si>
  <si>
    <t>мегаполис 21 век</t>
  </si>
  <si>
    <t>дог. 34-БФ/18</t>
  </si>
  <si>
    <t>смр парковочные модули (лягушки)</t>
  </si>
  <si>
    <t>медосмотр 2чел</t>
  </si>
  <si>
    <t>Конташов А.Л.</t>
  </si>
  <si>
    <t>расторжение дду 30т-ТЕР5/04-18ан</t>
  </si>
  <si>
    <t>ремонт</t>
  </si>
  <si>
    <t>алки-сервис</t>
  </si>
  <si>
    <t>ремонт эл.гайковерта</t>
  </si>
  <si>
    <t>511</t>
  </si>
  <si>
    <t>дог. 381-М44/09-18</t>
  </si>
  <si>
    <t>дог. 386-М44/09-18</t>
  </si>
  <si>
    <t>смр 2 ИТП к.2</t>
  </si>
  <si>
    <t>смр 3 ИТП к.3</t>
  </si>
  <si>
    <t>1445</t>
  </si>
  <si>
    <t>3181</t>
  </si>
  <si>
    <t>дог. 101-САМ2/09-18</t>
  </si>
  <si>
    <t>техника</t>
  </si>
  <si>
    <t>сзк инфосвязь</t>
  </si>
  <si>
    <t>смс-рассылка stream telecom</t>
  </si>
  <si>
    <t>дог. 261-САМ1/09-18</t>
  </si>
  <si>
    <t>йога 2/4</t>
  </si>
  <si>
    <t>ок.расчет 50%</t>
  </si>
  <si>
    <t>агентство эколог.аудита и экспертизы</t>
  </si>
  <si>
    <t>дог. 354-ЛС/08-18</t>
  </si>
  <si>
    <t>244</t>
  </si>
  <si>
    <t>ск модуль-плюс</t>
  </si>
  <si>
    <t>дог. 90-М1/09-18</t>
  </si>
  <si>
    <t>смр ремонт фасада</t>
  </si>
  <si>
    <t>ск мега плюс</t>
  </si>
  <si>
    <t>дог. 98-ТК/09-18</t>
  </si>
  <si>
    <t>эргос групп</t>
  </si>
  <si>
    <t>дог. 99-ЛС/09-18</t>
  </si>
  <si>
    <t>смр газ</t>
  </si>
  <si>
    <t>Стрела Петербурга</t>
  </si>
  <si>
    <t>3904/1</t>
  </si>
  <si>
    <t>3905/1</t>
  </si>
  <si>
    <t>деталь, пластина</t>
  </si>
  <si>
    <t>3906/1</t>
  </si>
  <si>
    <t>3908/1</t>
  </si>
  <si>
    <t>труба, уголок, полоса..</t>
  </si>
  <si>
    <t>3916/1</t>
  </si>
  <si>
    <t>3920/1</t>
  </si>
  <si>
    <t>3925/1</t>
  </si>
  <si>
    <t>3998/1</t>
  </si>
  <si>
    <t>труба, уголок</t>
  </si>
  <si>
    <t>3999/1</t>
  </si>
  <si>
    <t>арм. 8,10</t>
  </si>
  <si>
    <t>УШМ, перфоратор, пила диск.</t>
  </si>
  <si>
    <t>краска, штукатурка</t>
  </si>
  <si>
    <t>394</t>
  </si>
  <si>
    <t>399</t>
  </si>
  <si>
    <t>824</t>
  </si>
  <si>
    <t>дог. 99-ТК/09-17</t>
  </si>
  <si>
    <t>Петрошина</t>
  </si>
  <si>
    <t>60731</t>
  </si>
  <si>
    <t>блок</t>
  </si>
  <si>
    <t>дог. 385-М43/09-18</t>
  </si>
  <si>
    <t>смр 2 ИТП к.5</t>
  </si>
  <si>
    <t>мурино 43к.5</t>
  </si>
  <si>
    <t>мурино 43к.4</t>
  </si>
  <si>
    <t>дог. 384-М43/09-18</t>
  </si>
  <si>
    <t>смр 3 ИТП к.4</t>
  </si>
  <si>
    <t>дог. 380-М43/09-18</t>
  </si>
  <si>
    <t>дог. 382-М48/09-18</t>
  </si>
  <si>
    <t>смр 6 ИТП к.4, 5</t>
  </si>
  <si>
    <t>смр двери (ДОУ)</t>
  </si>
  <si>
    <t>дог. ТК-181017</t>
  </si>
  <si>
    <t>мурино 1.4, 2, 48</t>
  </si>
  <si>
    <t>мурино 47, 43, 44</t>
  </si>
  <si>
    <t>лгн за бригантина</t>
  </si>
  <si>
    <t>дог. 97-ВГ/09-18</t>
  </si>
  <si>
    <t>900</t>
  </si>
  <si>
    <t>583</t>
  </si>
  <si>
    <t>2211</t>
  </si>
  <si>
    <t>2212</t>
  </si>
  <si>
    <t>экскаватор</t>
  </si>
  <si>
    <t>2379</t>
  </si>
  <si>
    <t>444</t>
  </si>
  <si>
    <t>накопившийся долг</t>
  </si>
  <si>
    <t>Виноградова В.И.</t>
  </si>
  <si>
    <t>расторжение дду 36л-КАМ3/12-17ан</t>
  </si>
  <si>
    <t>дог. 389-М47/10-18</t>
  </si>
  <si>
    <t>дог. 84-ШК/04-18</t>
  </si>
  <si>
    <t>дог. 392-М48/10-18</t>
  </si>
  <si>
    <t>дог. 127-18</t>
  </si>
  <si>
    <t>дог. 387-М43/09-18</t>
  </si>
  <si>
    <t>дог. 339-ЛС/06-18</t>
  </si>
  <si>
    <t>дог. 348-ЛС/07-18</t>
  </si>
  <si>
    <t>дог. 365-ГОУ/09-18</t>
  </si>
  <si>
    <t>смр хим.отсечка</t>
  </si>
  <si>
    <t>909</t>
  </si>
  <si>
    <t>2304</t>
  </si>
  <si>
    <t>2305</t>
  </si>
  <si>
    <t>2429</t>
  </si>
  <si>
    <t>магеллан, нахимов</t>
  </si>
  <si>
    <t>СКВАД</t>
  </si>
  <si>
    <t>12/10-3</t>
  </si>
  <si>
    <t>12/10-4</t>
  </si>
  <si>
    <t>медрейс.ру</t>
  </si>
  <si>
    <t>ип молчанов а.о.</t>
  </si>
  <si>
    <t>замена фрикц.накладок</t>
  </si>
  <si>
    <t>дог. 357-М44/06-18</t>
  </si>
  <si>
    <t>отделка спец.пом. к.2</t>
  </si>
  <si>
    <t>11у</t>
  </si>
  <si>
    <t>10у</t>
  </si>
  <si>
    <t>ППР БКр</t>
  </si>
  <si>
    <t>НЕН за аквамарин</t>
  </si>
  <si>
    <t>Рижок И.И.</t>
  </si>
  <si>
    <t>расторжение дду 150а-КАМ1/02-18н</t>
  </si>
  <si>
    <t>734/18</t>
  </si>
  <si>
    <t>733/18</t>
  </si>
  <si>
    <t>грунт справки (весь объем)</t>
  </si>
  <si>
    <t>фотосъемка</t>
  </si>
  <si>
    <t>942</t>
  </si>
  <si>
    <t>3433</t>
  </si>
  <si>
    <t>канаты</t>
  </si>
  <si>
    <t>арм. 8,16</t>
  </si>
  <si>
    <t>4324</t>
  </si>
  <si>
    <t>пеноплэкс</t>
  </si>
  <si>
    <t>901</t>
  </si>
  <si>
    <t>904</t>
  </si>
  <si>
    <t>деловые линии</t>
  </si>
  <si>
    <t>18-00082154115</t>
  </si>
  <si>
    <t>345</t>
  </si>
  <si>
    <t>дог. 84-ТК/05-18</t>
  </si>
  <si>
    <t>видеонабл. СирБ, Босф.</t>
  </si>
  <si>
    <t>видеонабл. Тор, Бал, Б3, Йога1,2,3, Шуш42</t>
  </si>
  <si>
    <t>видеонабл. МГ, КЛБ, НХМ, Шуш22, Йога4, Шуш42, Б3</t>
  </si>
  <si>
    <t>дог. 115-ЛС/10-18</t>
  </si>
  <si>
    <t>смр НК</t>
  </si>
  <si>
    <t>Дорохов Л.С.</t>
  </si>
  <si>
    <t>расторжение дду 31н-ТРИ5/12-17АН</t>
  </si>
  <si>
    <t>дог. 361-ЦД/09-18</t>
  </si>
  <si>
    <t>смр снегозадержатели</t>
  </si>
  <si>
    <t>дог. 395-М44/11-18</t>
  </si>
  <si>
    <t>йога 2/2, магеллан, сам.307</t>
  </si>
  <si>
    <t>429</t>
  </si>
  <si>
    <t>йога 1,2/3</t>
  </si>
  <si>
    <t>39613</t>
  </si>
  <si>
    <t>арм. 10,20,32</t>
  </si>
  <si>
    <t>дог. 104-ТК/11-18</t>
  </si>
  <si>
    <t>сз б сити</t>
  </si>
  <si>
    <t>возврат пиб 85л-ТК3/12-14н</t>
  </si>
  <si>
    <t>12у</t>
  </si>
  <si>
    <t>контроль прочности бетона</t>
  </si>
  <si>
    <t>смр стекло в ОП</t>
  </si>
  <si>
    <t>по счету</t>
  </si>
  <si>
    <t>10548</t>
  </si>
  <si>
    <t>стройсбыт</t>
  </si>
  <si>
    <t>Кацер О.Ю., Кацер И.С.</t>
  </si>
  <si>
    <t>расторжение дду 141б-КАМ1/03-18ан</t>
  </si>
  <si>
    <t>Мурино 43</t>
  </si>
  <si>
    <t>эколаб-спб</t>
  </si>
  <si>
    <t>1479</t>
  </si>
  <si>
    <t>спец.оценка условий труда</t>
  </si>
  <si>
    <t>по 50%</t>
  </si>
  <si>
    <t>2387</t>
  </si>
  <si>
    <t>2413</t>
  </si>
  <si>
    <t>2529</t>
  </si>
  <si>
    <t>6162</t>
  </si>
  <si>
    <t>935</t>
  </si>
  <si>
    <t>954</t>
  </si>
  <si>
    <t>10/31/18</t>
  </si>
  <si>
    <t>Технолидер СПб</t>
  </si>
  <si>
    <t>3513</t>
  </si>
  <si>
    <t>4197/1</t>
  </si>
  <si>
    <t>4198/1</t>
  </si>
  <si>
    <t>4237/1</t>
  </si>
  <si>
    <t>деталь МС2</t>
  </si>
  <si>
    <t>4249/1</t>
  </si>
  <si>
    <t>лист</t>
  </si>
  <si>
    <t>4250/1</t>
  </si>
  <si>
    <t>4251/1</t>
  </si>
  <si>
    <t>деталь МСН2</t>
  </si>
  <si>
    <t>4385/1</t>
  </si>
  <si>
    <t>4386/1</t>
  </si>
  <si>
    <t>4406/1</t>
  </si>
  <si>
    <t>4522/1</t>
  </si>
  <si>
    <t>4570/1</t>
  </si>
  <si>
    <t>4689/1</t>
  </si>
  <si>
    <t>14269</t>
  </si>
  <si>
    <t>арм. 8,20,25,28</t>
  </si>
  <si>
    <t>арм. 10,16,20</t>
  </si>
  <si>
    <t>1193</t>
  </si>
  <si>
    <t>182229</t>
  </si>
  <si>
    <t>краска, подоконник, заглушка</t>
  </si>
  <si>
    <t>955</t>
  </si>
  <si>
    <t>959</t>
  </si>
  <si>
    <t>кордщетка, замок, ветошь</t>
  </si>
  <si>
    <t>12/11-1</t>
  </si>
  <si>
    <t>Геомакс</t>
  </si>
  <si>
    <t>дог. 0145-5-17/4703</t>
  </si>
  <si>
    <t>ск новый дом</t>
  </si>
  <si>
    <t>дог. 44-Ш42/09-18</t>
  </si>
  <si>
    <t>знаки Тореза</t>
  </si>
  <si>
    <t>виннер</t>
  </si>
  <si>
    <t>подар.набор (шампанское)</t>
  </si>
  <si>
    <t xml:space="preserve">рег. , выд. </t>
  </si>
  <si>
    <t>1758</t>
  </si>
  <si>
    <t>1447</t>
  </si>
  <si>
    <t>989</t>
  </si>
  <si>
    <t>автокран 40т, 32т</t>
  </si>
  <si>
    <t>6204</t>
  </si>
  <si>
    <t>987</t>
  </si>
  <si>
    <t>1014</t>
  </si>
  <si>
    <t>автокран 25т вездеход</t>
  </si>
  <si>
    <t>11/17/01</t>
  </si>
  <si>
    <t>автокран 130т</t>
  </si>
  <si>
    <t>1003</t>
  </si>
  <si>
    <t>1013</t>
  </si>
  <si>
    <t>БСУ</t>
  </si>
  <si>
    <t>грунт.каток</t>
  </si>
  <si>
    <t>3018</t>
  </si>
  <si>
    <t>3020</t>
  </si>
  <si>
    <t>29206</t>
  </si>
  <si>
    <t>29784</t>
  </si>
  <si>
    <t>30241</t>
  </si>
  <si>
    <t>628114</t>
  </si>
  <si>
    <t>637035</t>
  </si>
  <si>
    <t>42141</t>
  </si>
  <si>
    <t>арм. 8,12,16,20,25</t>
  </si>
  <si>
    <t>Балтпласт</t>
  </si>
  <si>
    <t>1263</t>
  </si>
  <si>
    <t>арм. 12,25</t>
  </si>
  <si>
    <t>арм. 16,25,32</t>
  </si>
  <si>
    <t>19886561</t>
  </si>
  <si>
    <t>труба, коробка</t>
  </si>
  <si>
    <t>29687</t>
  </si>
  <si>
    <t>183636</t>
  </si>
  <si>
    <t>круг, уровень, затирка..</t>
  </si>
  <si>
    <t>2302</t>
  </si>
  <si>
    <t>провод, наконечник</t>
  </si>
  <si>
    <t>вираж-спб</t>
  </si>
  <si>
    <t>печать с монтажом</t>
  </si>
  <si>
    <t>дог. 27-Л/09/2018</t>
  </si>
  <si>
    <t>дог. 26-Л/09/2018</t>
  </si>
  <si>
    <t>дог. 45-К1/10-18</t>
  </si>
  <si>
    <t>промтехнология (за ВИП Балтик Инжиниринг)</t>
  </si>
  <si>
    <t>дог. 95-Н/09-18</t>
  </si>
  <si>
    <t>ППР</t>
  </si>
  <si>
    <t>дог. 94-КЛ/09-18</t>
  </si>
  <si>
    <t>дог. 94-МГ/09-18</t>
  </si>
  <si>
    <t>новый КПП</t>
  </si>
  <si>
    <t>дог. 393-М43/10-18</t>
  </si>
  <si>
    <t>основания под подъемники</t>
  </si>
  <si>
    <t>дт 44700л</t>
  </si>
  <si>
    <t>Питеринструмент</t>
  </si>
  <si>
    <t>1857</t>
  </si>
  <si>
    <t>инструменты</t>
  </si>
  <si>
    <t>1858</t>
  </si>
  <si>
    <t>дог. 319-М48/02-18</t>
  </si>
  <si>
    <t>913</t>
  </si>
  <si>
    <t>Удовиченко А.А.</t>
  </si>
  <si>
    <t>возврат пиб 115л-ТК3/03-14ан</t>
  </si>
  <si>
    <t>Рыбко В.Ю.</t>
  </si>
  <si>
    <t>возврат пиб 16б-ТК3/12-14ан</t>
  </si>
  <si>
    <t>возврат пиб 52г-М298/03-14н</t>
  </si>
  <si>
    <t>Закуреева Ж.Х.</t>
  </si>
  <si>
    <t>возврат пиб 97г-М298/10-14г</t>
  </si>
  <si>
    <t>Бутенко М.Ю.</t>
  </si>
  <si>
    <t>Кукушкина К.И.</t>
  </si>
  <si>
    <t>возврат пиб 203г-М298/09-14ан</t>
  </si>
  <si>
    <t>Прямикова Н.Г.</t>
  </si>
  <si>
    <t>возврат пиб 4в-М298/08-15г (АСС)</t>
  </si>
  <si>
    <t>Ефимова А.В.</t>
  </si>
  <si>
    <t>возврат пиб 78в-М298/12-14г (АСС)</t>
  </si>
  <si>
    <t>щиты в метро</t>
  </si>
  <si>
    <t>772</t>
  </si>
  <si>
    <t>11/14/02</t>
  </si>
  <si>
    <t>11/15/16</t>
  </si>
  <si>
    <t>1008</t>
  </si>
  <si>
    <t>1043</t>
  </si>
  <si>
    <t>1045</t>
  </si>
  <si>
    <t>838</t>
  </si>
  <si>
    <t>аварийный выезд</t>
  </si>
  <si>
    <t>14524</t>
  </si>
  <si>
    <t>14471</t>
  </si>
  <si>
    <t>14589</t>
  </si>
  <si>
    <t>20010527</t>
  </si>
  <si>
    <t>2066</t>
  </si>
  <si>
    <t>8757</t>
  </si>
  <si>
    <t>пеноплэкс, мастика, грунт..</t>
  </si>
  <si>
    <t>перчатки, радиатор, тачка…</t>
  </si>
  <si>
    <t>2245</t>
  </si>
  <si>
    <t>2351</t>
  </si>
  <si>
    <t>смена адреса КПП 780501001</t>
  </si>
  <si>
    <t>баннеры</t>
  </si>
  <si>
    <t>Урецкая С.Г.</t>
  </si>
  <si>
    <t>возврат пиб 5г-М298/12-14ан</t>
  </si>
  <si>
    <t>Овсова Т.Н.</t>
  </si>
  <si>
    <t>возврат пиб 71-72в-12-12/2013 (АСС)</t>
  </si>
  <si>
    <t>Калдышкина Н.И.</t>
  </si>
  <si>
    <t>возврат пиб 56в-21-02-14 (АСС)</t>
  </si>
  <si>
    <t>дог. 351-ГОУ/07-18</t>
  </si>
  <si>
    <t>повт.рассм.паспорта с-мы теплопотребл.</t>
  </si>
  <si>
    <t>тр9445</t>
  </si>
  <si>
    <t>пени за октябрь, декабрь</t>
  </si>
  <si>
    <t>дог. 28-ШК/10-17</t>
  </si>
  <si>
    <t>смр двери (была Петропанель)</t>
  </si>
  <si>
    <t>дог. 371-М44/07-18</t>
  </si>
  <si>
    <t>11/30/12</t>
  </si>
  <si>
    <t>4363</t>
  </si>
  <si>
    <t>1038</t>
  </si>
  <si>
    <t>1056</t>
  </si>
  <si>
    <t>1060</t>
  </si>
  <si>
    <t>автокарн 32т</t>
  </si>
  <si>
    <t>1077</t>
  </si>
  <si>
    <t>6640</t>
  </si>
  <si>
    <t>6650</t>
  </si>
  <si>
    <t>6651</t>
  </si>
  <si>
    <t>6652</t>
  </si>
  <si>
    <t>6653</t>
  </si>
  <si>
    <t>1726/18</t>
  </si>
  <si>
    <t>1728/18</t>
  </si>
  <si>
    <t>1731/18</t>
  </si>
  <si>
    <t>1732/18</t>
  </si>
  <si>
    <t>1733/18</t>
  </si>
  <si>
    <t>1734/18</t>
  </si>
  <si>
    <t>магеллан, колумб, нахимов</t>
  </si>
  <si>
    <t>11/лм</t>
  </si>
  <si>
    <t>11/20/02</t>
  </si>
  <si>
    <t>11/21/06</t>
  </si>
  <si>
    <t>11/23/07</t>
  </si>
  <si>
    <t>11/28/01</t>
  </si>
  <si>
    <t>нахимов, йога 2/2</t>
  </si>
  <si>
    <t>проушина штока</t>
  </si>
  <si>
    <t>Северные Стрелы</t>
  </si>
  <si>
    <t>Анисимова В.Ю.</t>
  </si>
  <si>
    <t>возврат пиб 176в-02-06-14 (АСС)</t>
  </si>
  <si>
    <t>4781</t>
  </si>
  <si>
    <t>ТЭН</t>
  </si>
  <si>
    <t>4834</t>
  </si>
  <si>
    <t>провод, фонарь</t>
  </si>
  <si>
    <t>4886</t>
  </si>
  <si>
    <t>лампа, светильник, розетка..</t>
  </si>
  <si>
    <t>4931</t>
  </si>
  <si>
    <t>4958</t>
  </si>
  <si>
    <t>кабель, наконечник, труба</t>
  </si>
  <si>
    <t>4568</t>
  </si>
  <si>
    <t>УШМ, тепл.пушка</t>
  </si>
  <si>
    <t>4693</t>
  </si>
  <si>
    <t>40712</t>
  </si>
  <si>
    <t>фиброцем.плита, подвес</t>
  </si>
  <si>
    <t>40629</t>
  </si>
  <si>
    <t>пистолет, герметик, анкер..</t>
  </si>
  <si>
    <t>41240</t>
  </si>
  <si>
    <t>уайт-спирит, грунт, краска…</t>
  </si>
  <si>
    <t>69404</t>
  </si>
  <si>
    <t>праймер, краска, профиль..</t>
  </si>
  <si>
    <t>69610</t>
  </si>
  <si>
    <t>мешок, бур, пленка…</t>
  </si>
  <si>
    <t>69533</t>
  </si>
  <si>
    <t>ДВП, петля, гвоздь…</t>
  </si>
  <si>
    <t>8836</t>
  </si>
  <si>
    <t>8862</t>
  </si>
  <si>
    <t>9036</t>
  </si>
  <si>
    <t>ведро, рулетка, пленка…</t>
  </si>
  <si>
    <t>57032</t>
  </si>
  <si>
    <t>круг отр., костюм сварщика</t>
  </si>
  <si>
    <t>замок, топор, плоскогубцы..</t>
  </si>
  <si>
    <t>32839</t>
  </si>
  <si>
    <t>33121</t>
  </si>
  <si>
    <t>2455</t>
  </si>
  <si>
    <t>дог. 362-ТК/11-18</t>
  </si>
  <si>
    <t>смр стекло в ДОУ</t>
  </si>
  <si>
    <t>дог. 398-М47/11-18</t>
  </si>
  <si>
    <t>водопонижение</t>
  </si>
  <si>
    <t>фасад</t>
  </si>
  <si>
    <t>гавань кап.</t>
  </si>
  <si>
    <t>дог. 24/09/2018</t>
  </si>
  <si>
    <t>Бобков В.А.</t>
  </si>
  <si>
    <t>возврат пиб 43-56в-12-12/2013 (АСС)</t>
  </si>
  <si>
    <t>Луковицкая Н.В.</t>
  </si>
  <si>
    <t>возврат пиб 9в-М298/11-15г (АСС)</t>
  </si>
  <si>
    <t>Азизова М.А.</t>
  </si>
  <si>
    <t>возврат пиб 1г-М298/09-14ан</t>
  </si>
  <si>
    <t>Зивановская О.Н.</t>
  </si>
  <si>
    <t>возврат пиб 158г-М298/04-13г</t>
  </si>
  <si>
    <t>99, 100</t>
  </si>
  <si>
    <t>руслайт</t>
  </si>
  <si>
    <t>дюралайт, коннектор, заглушка</t>
  </si>
  <si>
    <t>Максименко А.О.</t>
  </si>
  <si>
    <t>возврат пиб 86л-ТК3/06-16н</t>
  </si>
  <si>
    <t>Балакина Е.К. (на р/с Балакина А.А.)</t>
  </si>
  <si>
    <t>возврат пиб 31б-ТК1/12-14ан</t>
  </si>
  <si>
    <t>фпк</t>
  </si>
  <si>
    <t>1616</t>
  </si>
  <si>
    <t>карты пластиковые 3000шт</t>
  </si>
  <si>
    <t>М10Р</t>
  </si>
  <si>
    <t>питер фм</t>
  </si>
  <si>
    <t>радио для двоих</t>
  </si>
  <si>
    <t>отделка показательных квартир</t>
  </si>
  <si>
    <t>Кузичкина Е.А.</t>
  </si>
  <si>
    <t>возврат пиб 19а-ТК1/06-16г</t>
  </si>
  <si>
    <t>Ларькин А.Ф.</t>
  </si>
  <si>
    <t>возврат пиб 260в-23-12-14 (АСС)</t>
  </si>
  <si>
    <t>Спиркин Е.Ю.</t>
  </si>
  <si>
    <t>возврат пиб 113г-М298/06-13г</t>
  </si>
  <si>
    <t>Козловская Л.А. (на р/с Козловской А.Н.)</t>
  </si>
  <si>
    <t>возврат пиб 257в-М298/12-15н (АСС)</t>
  </si>
  <si>
    <t>Макарова М.М.</t>
  </si>
  <si>
    <t>возврат пиб 10в-ТК1/04-14г</t>
  </si>
  <si>
    <t>Никитина Г.Н.</t>
  </si>
  <si>
    <t>возврат пиб 70л-ТК3/11-13н</t>
  </si>
  <si>
    <t>435</t>
  </si>
  <si>
    <t>1872</t>
  </si>
  <si>
    <t>2181101061</t>
  </si>
  <si>
    <t>Базанова Т.А.</t>
  </si>
  <si>
    <t>возврат пиб 4г-М298/11-16н</t>
  </si>
  <si>
    <t>Чебыкин С.А., А.Н.</t>
  </si>
  <si>
    <t>Шутов А.В.</t>
  </si>
  <si>
    <t>возврат пиб 146л-ТК3/04-16г</t>
  </si>
  <si>
    <t>возврат пиб 66в-ТК1/02-15ан</t>
  </si>
  <si>
    <t>банк санпит</t>
  </si>
  <si>
    <t>ППР каркас</t>
  </si>
  <si>
    <t>1095</t>
  </si>
  <si>
    <t>2620</t>
  </si>
  <si>
    <t>2664</t>
  </si>
  <si>
    <t>2779</t>
  </si>
  <si>
    <t>генератор</t>
  </si>
  <si>
    <t>6709</t>
  </si>
  <si>
    <t>6715</t>
  </si>
  <si>
    <t>6716</t>
  </si>
  <si>
    <t>6717</t>
  </si>
  <si>
    <t>6718</t>
  </si>
  <si>
    <t>11/21/04</t>
  </si>
  <si>
    <t>11/30/17</t>
  </si>
  <si>
    <t>11/30/18</t>
  </si>
  <si>
    <t>1079</t>
  </si>
  <si>
    <t>мурино 43,47,47</t>
  </si>
  <si>
    <t>3795</t>
  </si>
  <si>
    <t>мини-погрузчик, гусен.экскаватор</t>
  </si>
  <si>
    <t>самосвал, каток, гусен.экскаватор</t>
  </si>
  <si>
    <t>самосвал, гусен.экскаватор</t>
  </si>
  <si>
    <t>31301387</t>
  </si>
  <si>
    <t>6641236826</t>
  </si>
  <si>
    <t>44441</t>
  </si>
  <si>
    <t>арм. 6,10,12,8</t>
  </si>
  <si>
    <t>45035</t>
  </si>
  <si>
    <t>3282</t>
  </si>
  <si>
    <t>15382</t>
  </si>
  <si>
    <t>1047</t>
  </si>
  <si>
    <t>4978</t>
  </si>
  <si>
    <t>круг, перчатки, ветошь…</t>
  </si>
  <si>
    <t>5003</t>
  </si>
  <si>
    <t>кабель, вилка, светильник…</t>
  </si>
  <si>
    <t>кабель, наконечник</t>
  </si>
  <si>
    <t>402448</t>
  </si>
  <si>
    <t>штукатурка, грунт, подоконник..</t>
  </si>
  <si>
    <t>692042</t>
  </si>
  <si>
    <t>71384</t>
  </si>
  <si>
    <t>пена, лента, профиль..</t>
  </si>
  <si>
    <t>9166</t>
  </si>
  <si>
    <t>486</t>
  </si>
  <si>
    <t>мешок, лампа, труба..</t>
  </si>
  <si>
    <t>смеситель, сифон, подводка…</t>
  </si>
  <si>
    <t>шпатель, валик, диск..</t>
  </si>
  <si>
    <t>57165</t>
  </si>
  <si>
    <t>57989</t>
  </si>
  <si>
    <t>дюбель, саморез, замок..</t>
  </si>
  <si>
    <t>перчатки, лопата</t>
  </si>
  <si>
    <t>круг, маркер, электрод</t>
  </si>
  <si>
    <t>вилка, розетка</t>
  </si>
  <si>
    <t>форма куба, конвектор</t>
  </si>
  <si>
    <t>дюбель, пика, валик…</t>
  </si>
  <si>
    <t>22/11-3</t>
  </si>
  <si>
    <t>22/11-4</t>
  </si>
  <si>
    <t>22/11-5</t>
  </si>
  <si>
    <t>03/12-2</t>
  </si>
  <si>
    <t>06/12-2</t>
  </si>
  <si>
    <t>33915</t>
  </si>
  <si>
    <t>33916</t>
  </si>
  <si>
    <t>сч681</t>
  </si>
  <si>
    <t>сч685</t>
  </si>
  <si>
    <t>итака-северо-запад</t>
  </si>
  <si>
    <t>Коноплёв И.Н.</t>
  </si>
  <si>
    <t>возврат пиб 159в-28-04-15 (АСС)</t>
  </si>
  <si>
    <t>Мегаполис 21 век</t>
  </si>
  <si>
    <t>дог 110-САМ2/12-18</t>
  </si>
  <si>
    <t>тр127717</t>
  </si>
  <si>
    <t>янтарь за лид-88</t>
  </si>
  <si>
    <t>волна за лид-88</t>
  </si>
  <si>
    <t>3988</t>
  </si>
  <si>
    <t>Якимов В.Н.</t>
  </si>
  <si>
    <t>возврат пиб 92в-М298/06-16г (АСС)</t>
  </si>
  <si>
    <t>Прокудин В.А.</t>
  </si>
  <si>
    <t>возврат пиб 49г-М298/05-13г</t>
  </si>
  <si>
    <t>смс-сз</t>
  </si>
  <si>
    <t>906/18</t>
  </si>
  <si>
    <t>121003</t>
  </si>
  <si>
    <t>Парамонов М.В.</t>
  </si>
  <si>
    <t>расторжение пай 66а-ВИТ1/03-16н</t>
  </si>
  <si>
    <t>Луковенко А.С.</t>
  </si>
  <si>
    <t>возврат пиб 10в-М298/08-15г (АСС)</t>
  </si>
  <si>
    <t>Костюков С.В.</t>
  </si>
  <si>
    <t>возврат пиб 19г-М298/05-13г</t>
  </si>
  <si>
    <t>Лариев А.М.</t>
  </si>
  <si>
    <t>возврат пиб 31в-М298/02-14г (АСС)</t>
  </si>
  <si>
    <t>Федорова М.Н.</t>
  </si>
  <si>
    <t>возврат пиб 45в-ТК1/04-14ан</t>
  </si>
  <si>
    <t>Малютины В.Г., М.Ю.</t>
  </si>
  <si>
    <t>расторжение дду 22ю-МАГ/07-18г</t>
  </si>
  <si>
    <t>тр126233</t>
  </si>
  <si>
    <t>Джуганян А.Э.</t>
  </si>
  <si>
    <t>возврат пиб 287г-М298/04-14г</t>
  </si>
  <si>
    <t>Ланин В.А.</t>
  </si>
  <si>
    <t>возврат пиб 51в-М298/12-14г (АСС)</t>
  </si>
  <si>
    <t>возврат пиб 50в-М298/12-14г (АСС)</t>
  </si>
  <si>
    <t>Цибизов А.С.</t>
  </si>
  <si>
    <t>возврат пиб 171л-ТК3/02-16ан</t>
  </si>
  <si>
    <t>дог. 79-Э2/12-18</t>
  </si>
  <si>
    <t>962</t>
  </si>
  <si>
    <t>Прядко А.А.</t>
  </si>
  <si>
    <t>Козлов Л.А.</t>
  </si>
  <si>
    <t>Конюхов А.Н.</t>
  </si>
  <si>
    <t>возврат пиб 123в-М298/10-15н (АСС)</t>
  </si>
  <si>
    <t>Аксененко Н.П.</t>
  </si>
  <si>
    <t>возврат пиб 45в-М298/02-14г (АСС)</t>
  </si>
  <si>
    <t>Окунев Д.В.</t>
  </si>
  <si>
    <t>возврат пиб 177в-М298/01-15н (АСС)</t>
  </si>
  <si>
    <t>Шарганов А.А.</t>
  </si>
  <si>
    <t>возврат пиб 135в-М298/01-15г (АСС)</t>
  </si>
  <si>
    <t>Кузьмина И.И.</t>
  </si>
  <si>
    <t>возврат пиб 324в-М298/02-16н (АСС)</t>
  </si>
  <si>
    <t>Грибова В.Е.</t>
  </si>
  <si>
    <t>Силаева Т.А.</t>
  </si>
  <si>
    <t>расторжение дду 26ж-ТЕР1/06-16ан</t>
  </si>
  <si>
    <t>расторжение дду 187б-БАЛ/11-17г</t>
  </si>
  <si>
    <t>130011145112</t>
  </si>
  <si>
    <t>130011145129</t>
  </si>
  <si>
    <t>131011018915</t>
  </si>
  <si>
    <t>131011018937</t>
  </si>
  <si>
    <t>308011088233</t>
  </si>
  <si>
    <t>308011088239</t>
  </si>
  <si>
    <t>313011081399</t>
  </si>
  <si>
    <t>313011081411</t>
  </si>
  <si>
    <t>351011081388</t>
  </si>
  <si>
    <t>351011081374</t>
  </si>
  <si>
    <t>Щербакова О.А.</t>
  </si>
  <si>
    <t>возврат пиб 110м-ТК3/07-14г</t>
  </si>
  <si>
    <t>Шмелев М.А.</t>
  </si>
  <si>
    <t>возврат пиб 74а-ТК1/02-16ан</t>
  </si>
  <si>
    <t>Кобылина Е.В.</t>
  </si>
  <si>
    <t>возврат пиб 46а-ТК1/02-14ан</t>
  </si>
  <si>
    <t>Хоменко А.В.</t>
  </si>
  <si>
    <t>возврат пиб 83л-ТК3/10-15ан</t>
  </si>
  <si>
    <t>Сидоров К.Б.</t>
  </si>
  <si>
    <t>возврат пиб 37м-ТК3/08-14н</t>
  </si>
  <si>
    <t>Павловская А.О.</t>
  </si>
  <si>
    <t>возврат пиб 276в-М298/02-16н (АСС)</t>
  </si>
  <si>
    <t>Комарова Ю.В.</t>
  </si>
  <si>
    <t>возврат пиб 17г-М298/04-14г</t>
  </si>
  <si>
    <t>Задорин С.А.</t>
  </si>
  <si>
    <t>возврат пиб 262в-М298/06-16н (АСС)</t>
  </si>
  <si>
    <t>сч283</t>
  </si>
  <si>
    <t>1442</t>
  </si>
  <si>
    <t>1468</t>
  </si>
  <si>
    <t>1480</t>
  </si>
  <si>
    <t>6754</t>
  </si>
  <si>
    <t>6755</t>
  </si>
  <si>
    <t>6756</t>
  </si>
  <si>
    <t>6757</t>
  </si>
  <si>
    <t>6758</t>
  </si>
  <si>
    <t>6759</t>
  </si>
  <si>
    <t>магеллан, нахимов, колумб</t>
  </si>
  <si>
    <t>12/лм</t>
  </si>
  <si>
    <t>автокран вездеход</t>
  </si>
  <si>
    <t>553</t>
  </si>
  <si>
    <t>4020</t>
  </si>
  <si>
    <t>самсовал, гусен.экскаватор</t>
  </si>
  <si>
    <t>7551</t>
  </si>
  <si>
    <t>3574</t>
  </si>
  <si>
    <t>3575</t>
  </si>
  <si>
    <t>3572</t>
  </si>
  <si>
    <t>3573</t>
  </si>
  <si>
    <t>3571</t>
  </si>
  <si>
    <t>3976</t>
  </si>
  <si>
    <t>3983</t>
  </si>
  <si>
    <t>3984</t>
  </si>
  <si>
    <t>305с</t>
  </si>
  <si>
    <t>ремонт РМ 25</t>
  </si>
  <si>
    <t>1030</t>
  </si>
  <si>
    <t>71402</t>
  </si>
  <si>
    <t>подставка в сборе</t>
  </si>
  <si>
    <t>4625/1</t>
  </si>
  <si>
    <t>4723/1</t>
  </si>
  <si>
    <t>4781/1</t>
  </si>
  <si>
    <t>4811/1</t>
  </si>
  <si>
    <t>колпак вент.шахты</t>
  </si>
  <si>
    <t>4919/1</t>
  </si>
  <si>
    <t>4920/1</t>
  </si>
  <si>
    <t>4925/1</t>
  </si>
  <si>
    <t>планка</t>
  </si>
  <si>
    <t>4965/1</t>
  </si>
  <si>
    <t>5122/1</t>
  </si>
  <si>
    <t>5123/1</t>
  </si>
  <si>
    <t>круг, уголок, лист, труба</t>
  </si>
  <si>
    <t>5127/1</t>
  </si>
  <si>
    <t>5178/1</t>
  </si>
  <si>
    <t>полоса, уголок, швеллер, труба..</t>
  </si>
  <si>
    <t>28000</t>
  </si>
  <si>
    <t>3906</t>
  </si>
  <si>
    <t>сетка С1</t>
  </si>
  <si>
    <t>33254</t>
  </si>
  <si>
    <t>15657</t>
  </si>
  <si>
    <t>15661</t>
  </si>
  <si>
    <t>20108324</t>
  </si>
  <si>
    <t>заглушки для труб</t>
  </si>
  <si>
    <t>20161590</t>
  </si>
  <si>
    <t>труба, заглушка, коробка..</t>
  </si>
  <si>
    <t>шайба, болт, кабель…</t>
  </si>
  <si>
    <t>4804</t>
  </si>
  <si>
    <t>кабель, наконечник, вилка..</t>
  </si>
  <si>
    <t>5004</t>
  </si>
  <si>
    <t>5108</t>
  </si>
  <si>
    <t>розетка, вилка, провод..</t>
  </si>
  <si>
    <t>5144</t>
  </si>
  <si>
    <t>5170</t>
  </si>
  <si>
    <t>ящик сил., изолента</t>
  </si>
  <si>
    <t>135344</t>
  </si>
  <si>
    <t>подвес, профиль, гипсокартон…</t>
  </si>
  <si>
    <t>42273</t>
  </si>
  <si>
    <t>электрод, пена, дюбель..</t>
  </si>
  <si>
    <t>42260</t>
  </si>
  <si>
    <t>эмаль аэрозольн.</t>
  </si>
  <si>
    <t>42413</t>
  </si>
  <si>
    <t>скотч, валик, кисть, штукатурка..</t>
  </si>
  <si>
    <t>71385</t>
  </si>
  <si>
    <t>9297</t>
  </si>
  <si>
    <t>провод, наконечник, кабель..</t>
  </si>
  <si>
    <t>пена, пистолет, электрод…</t>
  </si>
  <si>
    <t>тепл.пушка, кабель, розетка</t>
  </si>
  <si>
    <t>саморез, дюбель, конвектор..</t>
  </si>
  <si>
    <t>краги, долото, диск, бур…</t>
  </si>
  <si>
    <t>1078</t>
  </si>
  <si>
    <t>пистолет, очки, респиратор..</t>
  </si>
  <si>
    <t>1083</t>
  </si>
  <si>
    <t>саморез, перчатки, замок..</t>
  </si>
  <si>
    <t>1085</t>
  </si>
  <si>
    <t>пружина, замок, дюбель</t>
  </si>
  <si>
    <t>инъектгидрострой</t>
  </si>
  <si>
    <t>дог. 108-КЛ/12-18</t>
  </si>
  <si>
    <t>смр гидрошпонки</t>
  </si>
  <si>
    <t xml:space="preserve">рег. 17.12, выд. 21.12 </t>
  </si>
  <si>
    <t>дог. 98-МГ/09-18</t>
  </si>
  <si>
    <t>дог. 106-Н/12-18</t>
  </si>
  <si>
    <t>дог. 364-М48/06-18</t>
  </si>
  <si>
    <t>дог. 378-М47/08-18</t>
  </si>
  <si>
    <t>смр приямки</t>
  </si>
  <si>
    <t>аванс -0,9</t>
  </si>
  <si>
    <t>дог. 394-М43/11-18</t>
  </si>
  <si>
    <t>отделка спец.пом. к.1</t>
  </si>
  <si>
    <t>а, м</t>
  </si>
  <si>
    <t xml:space="preserve">рег. 18.12, выд. 21.12 </t>
  </si>
  <si>
    <t>дог. 111-КЛ/12-18</t>
  </si>
  <si>
    <t>дог. 400-М47/11-18</t>
  </si>
  <si>
    <t>дог. 401-М48/11-18</t>
  </si>
  <si>
    <t>Сокол</t>
  </si>
  <si>
    <t>8110</t>
  </si>
  <si>
    <t>008-лг</t>
  </si>
  <si>
    <t>дог. 94-М47/09-18</t>
  </si>
  <si>
    <t>смр благоустройство дорога</t>
  </si>
  <si>
    <t>дог. 78-0919-61801</t>
  </si>
  <si>
    <t>Терра Нова</t>
  </si>
  <si>
    <t>дог ТН-01-10</t>
  </si>
  <si>
    <t>аренда зем.участка (под БСУ)</t>
  </si>
  <si>
    <t>ноябрь-декабрь</t>
  </si>
  <si>
    <t>дог. 326-ТК/04-18</t>
  </si>
  <si>
    <t>Константинова А.А.</t>
  </si>
  <si>
    <t>возврат переплаты 80ж-ТЕР1/02-16г</t>
  </si>
  <si>
    <t>Прокофьева О.Ю.</t>
  </si>
  <si>
    <t>возврат пиб 165в-М298/01-16г (АСС)</t>
  </si>
  <si>
    <t>Саталова Е.В.</t>
  </si>
  <si>
    <t>возврат пиб 228в-03-03-15 (АСС)</t>
  </si>
  <si>
    <t>Новикова Н.В.</t>
  </si>
  <si>
    <t>возврат пиб 297в-20-01-15 (АСС)</t>
  </si>
  <si>
    <t>Седельникова В.Д.</t>
  </si>
  <si>
    <t>возврат пиб 214в-08-05-15 (АСС)</t>
  </si>
  <si>
    <t>Магницкая Т.А.</t>
  </si>
  <si>
    <t>возврат пиб 271в-М298/12-15н (АСС)</t>
  </si>
  <si>
    <t>Мамчур Г.И.</t>
  </si>
  <si>
    <t>возврат пиб 53в-М298/04-15 (АСС)</t>
  </si>
  <si>
    <t>Гасанов Р.А.</t>
  </si>
  <si>
    <t>возврат пиб 5в-М298/04-13н (АСС)</t>
  </si>
  <si>
    <t>Куринова Н.Г.</t>
  </si>
  <si>
    <t>возврат пиб 6в-М298/12-13 (АСС)</t>
  </si>
  <si>
    <t>Пушкин С.Г.</t>
  </si>
  <si>
    <t>возврат пиб 232в-М298/12-14 (АСС)</t>
  </si>
  <si>
    <t>Цветкова Е.А.</t>
  </si>
  <si>
    <t>возврат пиб 52а-ТК1/09-13г</t>
  </si>
  <si>
    <t>Салтыкова Н.М.</t>
  </si>
  <si>
    <t>возврат пиб 67в-ТК1/08-15ан</t>
  </si>
  <si>
    <t>Пестерников И.А.</t>
  </si>
  <si>
    <t>возврат пиб 250г-М298/10-16</t>
  </si>
  <si>
    <t>Бальгаузен А.Н.</t>
  </si>
  <si>
    <t>возврат пиб 164в-М298/10-15н (АСС)</t>
  </si>
  <si>
    <t>967</t>
  </si>
  <si>
    <t>17344</t>
  </si>
  <si>
    <t>теплоизоляция, церезит</t>
  </si>
  <si>
    <t>ип палагнюк п.м.</t>
  </si>
  <si>
    <t>Богданов Г.И.</t>
  </si>
  <si>
    <t>возврат пиб 142л-ТК3/08-15н</t>
  </si>
  <si>
    <t>возврат пиб 22м-ТК3/03-14ан</t>
  </si>
  <si>
    <t>Лобанова Т.А.</t>
  </si>
  <si>
    <t>Петухова В.В.</t>
  </si>
  <si>
    <t>Байков П.А.</t>
  </si>
  <si>
    <t>возврат пиб 11в-М298/10-15г (АСС)</t>
  </si>
  <si>
    <t>Асламова Л.В.</t>
  </si>
  <si>
    <t>возврат пиб 60в-ТК1/12-14г</t>
  </si>
  <si>
    <t>вывоз боя ж/бетона</t>
  </si>
  <si>
    <t>6825</t>
  </si>
  <si>
    <t>6826</t>
  </si>
  <si>
    <t>6827</t>
  </si>
  <si>
    <t>6828</t>
  </si>
  <si>
    <t>6829</t>
  </si>
  <si>
    <t>6832</t>
  </si>
  <si>
    <t>парогенератор 12.12.18</t>
  </si>
  <si>
    <t>605</t>
  </si>
  <si>
    <t>парогенератор 16.12.18</t>
  </si>
  <si>
    <t>парогенератор 22.12.18</t>
  </si>
  <si>
    <t>1119</t>
  </si>
  <si>
    <t>4071</t>
  </si>
  <si>
    <t>вывоз гусен.экскаватора</t>
  </si>
  <si>
    <t>5845</t>
  </si>
  <si>
    <t>строит.пылесос</t>
  </si>
  <si>
    <t>495</t>
  </si>
  <si>
    <t>3851</t>
  </si>
  <si>
    <t>3978</t>
  </si>
  <si>
    <t>3917</t>
  </si>
  <si>
    <t>3933</t>
  </si>
  <si>
    <t>7552</t>
  </si>
  <si>
    <t>переходник, гидрошайба</t>
  </si>
  <si>
    <t>56981</t>
  </si>
  <si>
    <t>67288</t>
  </si>
  <si>
    <t>83672</t>
  </si>
  <si>
    <t>85200</t>
  </si>
  <si>
    <t>85625</t>
  </si>
  <si>
    <t>Нак Машинери</t>
  </si>
  <si>
    <t>29632</t>
  </si>
  <si>
    <t>клапан джойстика упр.</t>
  </si>
  <si>
    <t>дт 10000л</t>
  </si>
  <si>
    <t>1429</t>
  </si>
  <si>
    <t>дт 45800л</t>
  </si>
  <si>
    <t>393596</t>
  </si>
  <si>
    <t>ремонт помпы</t>
  </si>
  <si>
    <t>ЛСР. Стеновые материалы</t>
  </si>
  <si>
    <t>7300</t>
  </si>
  <si>
    <t>7301</t>
  </si>
  <si>
    <t>7364</t>
  </si>
  <si>
    <t>5130/1</t>
  </si>
  <si>
    <t>5173/1</t>
  </si>
  <si>
    <t>фасонное изделие</t>
  </si>
  <si>
    <t>5179/1</t>
  </si>
  <si>
    <t>5196/1</t>
  </si>
  <si>
    <t>памятник</t>
  </si>
  <si>
    <t>5218/1</t>
  </si>
  <si>
    <t>изделие, арматура</t>
  </si>
  <si>
    <t>5319/1</t>
  </si>
  <si>
    <t>5413/1</t>
  </si>
  <si>
    <t>5419/1</t>
  </si>
  <si>
    <t>квадрат, уголок</t>
  </si>
  <si>
    <t>5422/1</t>
  </si>
  <si>
    <t>5463/1</t>
  </si>
  <si>
    <t>46489</t>
  </si>
  <si>
    <t>46490</t>
  </si>
  <si>
    <t>арм. 16,25</t>
  </si>
  <si>
    <t>46628</t>
  </si>
  <si>
    <t>46655</t>
  </si>
  <si>
    <t>3421</t>
  </si>
  <si>
    <t>28275</t>
  </si>
  <si>
    <t>арм. 20,25</t>
  </si>
  <si>
    <t>28327</t>
  </si>
  <si>
    <t>34774</t>
  </si>
  <si>
    <t>34652</t>
  </si>
  <si>
    <t>арм. 8,10,20,проволока</t>
  </si>
  <si>
    <t>34644</t>
  </si>
  <si>
    <t>арм. 6,8,10,проволока</t>
  </si>
  <si>
    <t>16132</t>
  </si>
  <si>
    <t>арм. 10, проволока</t>
  </si>
  <si>
    <t>арм.12,16,проволока</t>
  </si>
  <si>
    <t>4959</t>
  </si>
  <si>
    <t>ТЭН, уровень, крючок</t>
  </si>
  <si>
    <t>5035</t>
  </si>
  <si>
    <t>ТЭН, гайки</t>
  </si>
  <si>
    <t>5147</t>
  </si>
  <si>
    <t>наконечник, кабель, провод…</t>
  </si>
  <si>
    <t>5221</t>
  </si>
  <si>
    <t>лампа галоген.</t>
  </si>
  <si>
    <t>5266</t>
  </si>
  <si>
    <t>светильник, конвектор, лампа..</t>
  </si>
  <si>
    <t>1050</t>
  </si>
  <si>
    <t>опра потолочн.</t>
  </si>
  <si>
    <t>18155</t>
  </si>
  <si>
    <t>32717</t>
  </si>
  <si>
    <t>42615</t>
  </si>
  <si>
    <t>42616</t>
  </si>
  <si>
    <t>ДВП, мастика</t>
  </si>
  <si>
    <t>42746</t>
  </si>
  <si>
    <t>поручень, штукатурка</t>
  </si>
  <si>
    <t>42749</t>
  </si>
  <si>
    <t>плинтус, вагонка, кисть..</t>
  </si>
  <si>
    <t>42906</t>
  </si>
  <si>
    <t>подвес, саморез, дюбель..</t>
  </si>
  <si>
    <t>511/1</t>
  </si>
  <si>
    <t>перчатки, мешок, кабель…</t>
  </si>
  <si>
    <t>доводчик, замок</t>
  </si>
  <si>
    <t>35167</t>
  </si>
  <si>
    <t>ПИК-инжиниринг</t>
  </si>
  <si>
    <t>рег. 17.10, выд. 21.10</t>
  </si>
  <si>
    <t>автокран 130тн</t>
  </si>
  <si>
    <t>противовес консоли</t>
  </si>
  <si>
    <t>иц-4-08-2/397/10</t>
  </si>
  <si>
    <t>Агапова И.В.</t>
  </si>
  <si>
    <t>возврат пиб 167г-М298/06-15н</t>
  </si>
  <si>
    <t>сч294</t>
  </si>
  <si>
    <t>сч295</t>
  </si>
  <si>
    <t>дог. 85-ТК/08-18</t>
  </si>
  <si>
    <t>смр окна, витраж</t>
  </si>
  <si>
    <t>проблемы</t>
  </si>
  <si>
    <t>дог. 101-ТК/10-18</t>
  </si>
  <si>
    <t>смр домофон</t>
  </si>
  <si>
    <t>Дубинина Ю.А.</t>
  </si>
  <si>
    <t>возврат пиб 52в-28-04-15 (АСС)</t>
  </si>
  <si>
    <t>возврат пиб 19в-28-04-15 (АСС)</t>
  </si>
  <si>
    <t>24556, 24657, 24765</t>
  </si>
  <si>
    <t>13-17дек</t>
  </si>
  <si>
    <t>дог. 356-КН/12-18</t>
  </si>
  <si>
    <t>дог. 48-Ш42/11-18</t>
  </si>
  <si>
    <t>дог. 377-ЛС/12-18</t>
  </si>
  <si>
    <t>843</t>
  </si>
  <si>
    <t>акт Егорова, Машурина</t>
  </si>
  <si>
    <t>акт Шилова, Долженко</t>
  </si>
  <si>
    <t>Камарзаев А.А.</t>
  </si>
  <si>
    <t>возврат пиб 139г-М298/06-13г</t>
  </si>
  <si>
    <t>Аннагурбанов М.А.</t>
  </si>
  <si>
    <t>возврат пиб 47в-28-04-15 (АСС)</t>
  </si>
  <si>
    <t>Крыцын В.Е.</t>
  </si>
  <si>
    <t>возврат пиб 52в-ТК1/04-14г</t>
  </si>
  <si>
    <t>тестирование сплошности</t>
  </si>
  <si>
    <t>????</t>
  </si>
  <si>
    <t>не снят резерв</t>
  </si>
  <si>
    <t>101, 102</t>
  </si>
  <si>
    <t>169, 170</t>
  </si>
  <si>
    <t>1000219/9978-3-16/4703</t>
  </si>
  <si>
    <t>рассм.паспорта с-мы теплопотребления</t>
  </si>
  <si>
    <t>дог. 363-М47/11-18</t>
  </si>
  <si>
    <t>портативная техника</t>
  </si>
  <si>
    <t>178439</t>
  </si>
  <si>
    <t>242169</t>
  </si>
  <si>
    <t>130800р.</t>
  </si>
  <si>
    <t>73-00007-19</t>
  </si>
  <si>
    <t>02712.2018</t>
  </si>
  <si>
    <t>606</t>
  </si>
  <si>
    <t>парогенератор 17.12.18</t>
  </si>
  <si>
    <t>190</t>
  </si>
  <si>
    <t>10/алеф</t>
  </si>
  <si>
    <t>13/лм</t>
  </si>
  <si>
    <t>12/04/02</t>
  </si>
  <si>
    <t>12/15/03</t>
  </si>
  <si>
    <t>автокран 60т</t>
  </si>
  <si>
    <t>12/15/15</t>
  </si>
  <si>
    <t>1106</t>
  </si>
  <si>
    <t>531</t>
  </si>
  <si>
    <t>532</t>
  </si>
  <si>
    <t>544</t>
  </si>
  <si>
    <t>2395</t>
  </si>
  <si>
    <t>2411</t>
  </si>
  <si>
    <t>24</t>
  </si>
  <si>
    <t>1220</t>
  </si>
  <si>
    <t>4017</t>
  </si>
  <si>
    <t>16265</t>
  </si>
  <si>
    <t>16264</t>
  </si>
  <si>
    <t>арм. 12,32</t>
  </si>
  <si>
    <t>16320</t>
  </si>
  <si>
    <t>арм. 6,10,12,16,20</t>
  </si>
  <si>
    <t>16276</t>
  </si>
  <si>
    <t>1000</t>
  </si>
  <si>
    <t>1109</t>
  </si>
  <si>
    <t>Сфера</t>
  </si>
  <si>
    <t>01/003859</t>
  </si>
  <si>
    <t>инвертор</t>
  </si>
  <si>
    <t>503</t>
  </si>
  <si>
    <t>решетка</t>
  </si>
  <si>
    <t>512</t>
  </si>
  <si>
    <t>термостат</t>
  </si>
  <si>
    <t>огнезащитн.краска</t>
  </si>
  <si>
    <t>12/19/01</t>
  </si>
  <si>
    <t>12/27/02</t>
  </si>
  <si>
    <t>автокран 50т</t>
  </si>
  <si>
    <t>12/29/04</t>
  </si>
  <si>
    <t>6916</t>
  </si>
  <si>
    <t>6917</t>
  </si>
  <si>
    <t>6918</t>
  </si>
  <si>
    <t>6920</t>
  </si>
  <si>
    <t>6921</t>
  </si>
  <si>
    <t>6922</t>
  </si>
  <si>
    <t>6923</t>
  </si>
  <si>
    <t>6924</t>
  </si>
  <si>
    <t>6925</t>
  </si>
  <si>
    <t>1094</t>
  </si>
  <si>
    <t>13/лк</t>
  </si>
  <si>
    <t>ситилинк</t>
  </si>
  <si>
    <t>1513872</t>
  </si>
  <si>
    <t>Ротарь О.Ю.</t>
  </si>
  <si>
    <t>возврат переплаты 79а-БФ/09-15н</t>
  </si>
  <si>
    <t>возврат пиб 114л-ТК/04-14г</t>
  </si>
  <si>
    <t>180018280</t>
  </si>
  <si>
    <t>156941</t>
  </si>
  <si>
    <t>6062</t>
  </si>
  <si>
    <t>1887</t>
  </si>
  <si>
    <t>баннер, плакат</t>
  </si>
  <si>
    <t>сопровождение дел об адм.правонарушении</t>
  </si>
  <si>
    <t>Йога</t>
  </si>
  <si>
    <t>Балканы</t>
  </si>
  <si>
    <t>181229-157</t>
  </si>
  <si>
    <t>нтв</t>
  </si>
  <si>
    <t>181229-158</t>
  </si>
  <si>
    <t>181229-165</t>
  </si>
  <si>
    <t>181229-167</t>
  </si>
  <si>
    <t>стс</t>
  </si>
  <si>
    <t>181229-168</t>
  </si>
  <si>
    <t>181229-169</t>
  </si>
  <si>
    <t>181229-170</t>
  </si>
  <si>
    <t>181229-171</t>
  </si>
  <si>
    <t>181229-172</t>
  </si>
  <si>
    <t>181229-301</t>
  </si>
  <si>
    <t>181229-302</t>
  </si>
  <si>
    <t>181229-303</t>
  </si>
  <si>
    <t>181229-304</t>
  </si>
  <si>
    <t>ав. Январь</t>
  </si>
  <si>
    <t>2612.18</t>
  </si>
  <si>
    <t>26.12ю.18</t>
  </si>
  <si>
    <t>ок.р декабрь</t>
  </si>
  <si>
    <t>377695/20</t>
  </si>
  <si>
    <t>декабрь доплата</t>
  </si>
  <si>
    <t>377695-1/20</t>
  </si>
  <si>
    <t>374429-1/20</t>
  </si>
  <si>
    <t>союз стр.орг-ций ЛО</t>
  </si>
  <si>
    <t>2198</t>
  </si>
  <si>
    <t>взнос 1кв.2019</t>
  </si>
  <si>
    <t>5/то…57584</t>
  </si>
  <si>
    <t>2</t>
  </si>
  <si>
    <t>018/…213</t>
  </si>
  <si>
    <t>прогресс</t>
  </si>
  <si>
    <t>018/…216</t>
  </si>
  <si>
    <t>ун-плюс</t>
  </si>
  <si>
    <t>018/…215</t>
  </si>
  <si>
    <t>ПФ СКБ Контур</t>
  </si>
  <si>
    <t>1993021772</t>
  </si>
  <si>
    <t>эл.подпись</t>
  </si>
  <si>
    <t>1993021705</t>
  </si>
  <si>
    <t>Инкор Страхование</t>
  </si>
  <si>
    <t>5721</t>
  </si>
  <si>
    <t>Нотариус Тарантова О.Н.</t>
  </si>
  <si>
    <t>268, 2</t>
  </si>
  <si>
    <t>издательство форум медиа</t>
  </si>
  <si>
    <t>42810901</t>
  </si>
  <si>
    <t>справ.ОТ обновление</t>
  </si>
  <si>
    <t>62</t>
  </si>
  <si>
    <t>60</t>
  </si>
  <si>
    <t>1аванс 30%+40%</t>
  </si>
  <si>
    <t>тр1697</t>
  </si>
  <si>
    <t>тр1894</t>
  </si>
  <si>
    <t>тр 570162</t>
  </si>
  <si>
    <t>ВС 16-31.12</t>
  </si>
  <si>
    <t>тр 900121</t>
  </si>
  <si>
    <t>ВО декабрь</t>
  </si>
  <si>
    <t>сч274</t>
  </si>
  <si>
    <t>дог. 33-18</t>
  </si>
  <si>
    <t>шушары 3002</t>
  </si>
  <si>
    <t>сч272</t>
  </si>
  <si>
    <t>дог. 34-18</t>
  </si>
  <si>
    <t>шушары 3004</t>
  </si>
  <si>
    <t>сч273</t>
  </si>
  <si>
    <t>дог 2656/2018</t>
  </si>
  <si>
    <t>сч.229</t>
  </si>
  <si>
    <t>компл.экол.решения</t>
  </si>
  <si>
    <t>дог. 82-795</t>
  </si>
  <si>
    <t>лаб.испытания</t>
  </si>
  <si>
    <t>сч694</t>
  </si>
  <si>
    <t>71</t>
  </si>
  <si>
    <t>70</t>
  </si>
  <si>
    <t>887</t>
  </si>
  <si>
    <t>907</t>
  </si>
  <si>
    <t>908</t>
  </si>
  <si>
    <t>891</t>
  </si>
  <si>
    <t>2/то….45801</t>
  </si>
  <si>
    <t>5,6,7</t>
  </si>
  <si>
    <t>018/…214</t>
  </si>
  <si>
    <t>высотник</t>
  </si>
  <si>
    <t>018/…322</t>
  </si>
  <si>
    <t>087/…3573</t>
  </si>
  <si>
    <t>БИТ.Строительство.Подрядчик.Заказчик. Доп.лицензия 100пользоват.</t>
  </si>
  <si>
    <t>Технологии Результата</t>
  </si>
  <si>
    <t>087/…3531</t>
  </si>
  <si>
    <t>78849/эло</t>
  </si>
  <si>
    <t>обучение 2чел</t>
  </si>
  <si>
    <t>р-системс</t>
  </si>
  <si>
    <t>тр770015</t>
  </si>
  <si>
    <t>автокран 32, 100тн</t>
  </si>
  <si>
    <t>уфк по ЛО (ГУ МВД)</t>
  </si>
  <si>
    <t>мурино 45</t>
  </si>
  <si>
    <t>шк.двор</t>
  </si>
  <si>
    <t>8</t>
  </si>
  <si>
    <t>10132</t>
  </si>
  <si>
    <t>10143</t>
  </si>
  <si>
    <t>10260</t>
  </si>
  <si>
    <t>10261</t>
  </si>
  <si>
    <t>9074</t>
  </si>
  <si>
    <t>7</t>
  </si>
  <si>
    <t>09-25янв</t>
  </si>
  <si>
    <t>6</t>
  </si>
  <si>
    <t>6077</t>
  </si>
  <si>
    <t>6079</t>
  </si>
  <si>
    <t>5418</t>
  </si>
  <si>
    <t>6085</t>
  </si>
  <si>
    <t>6080</t>
  </si>
  <si>
    <t>янв-апрель</t>
  </si>
  <si>
    <t>янв-ноябрь</t>
  </si>
  <si>
    <t>папка 2000шт</t>
  </si>
  <si>
    <t>16, 17</t>
  </si>
  <si>
    <t>2447356759</t>
  </si>
  <si>
    <t>уфк по спб (росприроднадзор)</t>
  </si>
  <si>
    <t>отходы 2018</t>
  </si>
  <si>
    <t>380947_1/20</t>
  </si>
  <si>
    <t>связь январь</t>
  </si>
  <si>
    <t>131212022088</t>
  </si>
  <si>
    <t>131012022081</t>
  </si>
  <si>
    <t>131012022072</t>
  </si>
  <si>
    <t>308212070312</t>
  </si>
  <si>
    <t>308012070297</t>
  </si>
  <si>
    <t>308012070300</t>
  </si>
  <si>
    <t>308712006578</t>
  </si>
  <si>
    <t>130212021542</t>
  </si>
  <si>
    <t>130712007414</t>
  </si>
  <si>
    <t>130012021527</t>
  </si>
  <si>
    <t>130012021531</t>
  </si>
  <si>
    <t>351212045970</t>
  </si>
  <si>
    <t>351012045957</t>
  </si>
  <si>
    <t>351012045951</t>
  </si>
  <si>
    <t>313212046041</t>
  </si>
  <si>
    <t>313012046032</t>
  </si>
  <si>
    <t>313012046027</t>
  </si>
  <si>
    <t>865</t>
  </si>
  <si>
    <t>3328</t>
  </si>
  <si>
    <t>3313</t>
  </si>
  <si>
    <t>2854</t>
  </si>
  <si>
    <t>тр44828</t>
  </si>
  <si>
    <t>тр 1197900040</t>
  </si>
  <si>
    <t>тр 3124790042</t>
  </si>
  <si>
    <t>тр 3123640043</t>
  </si>
  <si>
    <t>тр40557</t>
  </si>
  <si>
    <t>тр40332</t>
  </si>
  <si>
    <t>водоканал спб</t>
  </si>
  <si>
    <t>дог. 156396/14-ВС</t>
  </si>
  <si>
    <t>подключение водоснабжение</t>
  </si>
  <si>
    <t>дог. 156396/14-ВО</t>
  </si>
  <si>
    <t>подключение водоотведение</t>
  </si>
  <si>
    <t>4 кв</t>
  </si>
  <si>
    <t>1</t>
  </si>
  <si>
    <t>5863</t>
  </si>
  <si>
    <t>383436_1/20</t>
  </si>
  <si>
    <t>ратте</t>
  </si>
  <si>
    <t>03-01/19</t>
  </si>
  <si>
    <t>экспертиза пром.безопасности кранов</t>
  </si>
  <si>
    <t>ип герасимов е.ф.</t>
  </si>
  <si>
    <t>услуга хранения БКр</t>
  </si>
  <si>
    <t>сев-евродрайф</t>
  </si>
  <si>
    <t>стропы, крюк</t>
  </si>
  <si>
    <t>строительная компания</t>
  </si>
  <si>
    <t>9552/01</t>
  </si>
  <si>
    <t>ГАЗЕЛЬ масло, антифриз, омывайка</t>
  </si>
  <si>
    <t>цмок</t>
  </si>
  <si>
    <t>922</t>
  </si>
  <si>
    <t>ОТ медосмотр 1чел</t>
  </si>
  <si>
    <t>АСЛАМ выдача разрешений</t>
  </si>
  <si>
    <t>АДМ планшет iPad</t>
  </si>
  <si>
    <t>АДМ маршрутизатор на Витамин</t>
  </si>
  <si>
    <t>АДМ контроллер 2шт (в серверную)</t>
  </si>
  <si>
    <t>ОТ медосмотр 7чел</t>
  </si>
  <si>
    <t>НПК</t>
  </si>
  <si>
    <t>заправка огнетушителей</t>
  </si>
  <si>
    <t>АСЛАМ выдача приглашений</t>
  </si>
  <si>
    <t>дог. 361-БЛ/11-18</t>
  </si>
  <si>
    <t>смр фасад роторн.парковки</t>
  </si>
  <si>
    <t>5759</t>
  </si>
  <si>
    <t>Орлова А.Н.</t>
  </si>
  <si>
    <t>возврат пиб 23г-М298/04-13г</t>
  </si>
  <si>
    <t>ЛСР стеновые</t>
  </si>
  <si>
    <t>Болфа МТ.</t>
  </si>
  <si>
    <t>возврат пиб 435б-БФ/08-17г</t>
  </si>
  <si>
    <t>Касьяненко Н.А.</t>
  </si>
  <si>
    <t>возврат пиб 22г-ВНф/06-12н</t>
  </si>
  <si>
    <t>Бачевский С.В.</t>
  </si>
  <si>
    <t>возврат пиб 282в-М298/07-15н (АСС)</t>
  </si>
  <si>
    <t>Аксаков В.А.</t>
  </si>
  <si>
    <t>возврат пиб 178в-28-04-15 (АСС)</t>
  </si>
  <si>
    <t>Дорофеев П.Н.</t>
  </si>
  <si>
    <t>возврат пиб 107в-15-08-14 (АСС)</t>
  </si>
  <si>
    <t>Кукуричкин К.В.</t>
  </si>
  <si>
    <t>возврат пиб 184г-М298/12-17г</t>
  </si>
  <si>
    <t>Зарубин С.А.</t>
  </si>
  <si>
    <t>возврат пиб 158и-ТК3/06-16ан</t>
  </si>
  <si>
    <t>селектел</t>
  </si>
  <si>
    <t>ЦНС</t>
  </si>
  <si>
    <t>эл.регистрация</t>
  </si>
  <si>
    <t>17327</t>
  </si>
  <si>
    <t>рег. 28.12.18 , выд. 15.01.19</t>
  </si>
  <si>
    <t>АДМ пополнение л/сч (веб сервер)</t>
  </si>
  <si>
    <t>ОП мебель 5эт(ОКС)</t>
  </si>
  <si>
    <t>штамп</t>
  </si>
  <si>
    <t>17292</t>
  </si>
  <si>
    <t>ифнс 11</t>
  </si>
  <si>
    <t>госпошлина Арбитраж (к Теплосети)</t>
  </si>
  <si>
    <t>сч301 помещение</t>
  </si>
  <si>
    <t>сч272 помещение</t>
  </si>
  <si>
    <t>сч273 помещение</t>
  </si>
  <si>
    <t>16370</t>
  </si>
  <si>
    <t>17749</t>
  </si>
  <si>
    <t>16188</t>
  </si>
  <si>
    <t>АДМ картриджи</t>
  </si>
  <si>
    <t>9100</t>
  </si>
  <si>
    <t>АДМ видеокарта в рекламу</t>
  </si>
  <si>
    <t>серф</t>
  </si>
  <si>
    <t>1148</t>
  </si>
  <si>
    <t>АДМ память реклама Рендер</t>
  </si>
  <si>
    <t>Малаховский В.С.</t>
  </si>
  <si>
    <t>возврат переплаты 44в-ВНф/08-14н</t>
  </si>
  <si>
    <t>10116</t>
  </si>
  <si>
    <t>ОП моноблоки 3шт ОКС 5эт</t>
  </si>
  <si>
    <t>Селезнева Н.П.</t>
  </si>
  <si>
    <t>возврат переплаты 235б-БФ/02-14г</t>
  </si>
  <si>
    <t>Соловьева В.В.</t>
  </si>
  <si>
    <t>Тихонова Н.Г.</t>
  </si>
  <si>
    <t>возврат пиб 413б-БФ/11-16н</t>
  </si>
  <si>
    <t>Евменов Е.Д,</t>
  </si>
  <si>
    <t>возврат пиб 99б-БФ/07-17г</t>
  </si>
  <si>
    <t>возврат пиб 94а-БФ/02-14</t>
  </si>
  <si>
    <t>Колчанов А.Б.</t>
  </si>
  <si>
    <t>возврат пиб 23б-БФ/07-16н</t>
  </si>
  <si>
    <t>Гардюта П.Д.</t>
  </si>
  <si>
    <t>возврат пиб 46б-БФ/09-14н</t>
  </si>
  <si>
    <t>Мостович И.С.</t>
  </si>
  <si>
    <t>возврат пиб 207б-БФ/01-15г</t>
  </si>
  <si>
    <t>возврат пиб 151б-БФ/01-17г</t>
  </si>
  <si>
    <t>профессиональное издательство</t>
  </si>
  <si>
    <t>24990</t>
  </si>
  <si>
    <t>справочник эколога 2019</t>
  </si>
  <si>
    <t>балткам</t>
  </si>
  <si>
    <t>9385/я</t>
  </si>
  <si>
    <t>крышка, лампа, ключ и тд</t>
  </si>
  <si>
    <t>ип шевченко в.и.</t>
  </si>
  <si>
    <t>17</t>
  </si>
  <si>
    <t>рапорт о работе ПС</t>
  </si>
  <si>
    <t>46220244/210</t>
  </si>
  <si>
    <t>крыльчатка</t>
  </si>
  <si>
    <t>46220167/140</t>
  </si>
  <si>
    <t>диск нажимной</t>
  </si>
  <si>
    <t>лигал софтвэйв</t>
  </si>
  <si>
    <t>АДМ лицензия Иллюстратор в PR</t>
  </si>
  <si>
    <t>1102</t>
  </si>
  <si>
    <t>1121</t>
  </si>
  <si>
    <t>1147</t>
  </si>
  <si>
    <t>1152</t>
  </si>
  <si>
    <t>1156</t>
  </si>
  <si>
    <t>1170</t>
  </si>
  <si>
    <t>292</t>
  </si>
  <si>
    <t>9174112187</t>
  </si>
  <si>
    <t>118</t>
  </si>
  <si>
    <t>262</t>
  </si>
  <si>
    <t>264</t>
  </si>
  <si>
    <t>1931/18</t>
  </si>
  <si>
    <t>1932/18</t>
  </si>
  <si>
    <t>1939/18</t>
  </si>
  <si>
    <t>1940/18</t>
  </si>
  <si>
    <t>1941/18</t>
  </si>
  <si>
    <t>1942/18</t>
  </si>
  <si>
    <t>1943/18</t>
  </si>
  <si>
    <t>699</t>
  </si>
  <si>
    <t>парогенератор 25.12.18</t>
  </si>
  <si>
    <t>700</t>
  </si>
  <si>
    <t>парогенератор 26.12.18</t>
  </si>
  <si>
    <t>720</t>
  </si>
  <si>
    <t>парогенератор 27.12.18</t>
  </si>
  <si>
    <t>730</t>
  </si>
  <si>
    <t>746</t>
  </si>
  <si>
    <t>парогенератор 29.12.18</t>
  </si>
  <si>
    <t>парогенератор 05.01.19</t>
  </si>
  <si>
    <t>парогенератор 04.01.19</t>
  </si>
  <si>
    <t>19</t>
  </si>
  <si>
    <t>20</t>
  </si>
  <si>
    <t>22</t>
  </si>
  <si>
    <t>парогенератор 06.01.19</t>
  </si>
  <si>
    <t>парогенератор 08.01.19</t>
  </si>
  <si>
    <t>191</t>
  </si>
  <si>
    <t>12/18/02</t>
  </si>
  <si>
    <t>12/21/02</t>
  </si>
  <si>
    <t>12/29/09</t>
  </si>
  <si>
    <t>12/29/10</t>
  </si>
  <si>
    <t>1090</t>
  </si>
  <si>
    <t>1097</t>
  </si>
  <si>
    <t>1165</t>
  </si>
  <si>
    <t>1180</t>
  </si>
  <si>
    <t>1168</t>
  </si>
  <si>
    <t>1144</t>
  </si>
  <si>
    <t>1133</t>
  </si>
  <si>
    <t>1181</t>
  </si>
  <si>
    <t>1183</t>
  </si>
  <si>
    <t>1158</t>
  </si>
  <si>
    <t>1173</t>
  </si>
  <si>
    <t>1182</t>
  </si>
  <si>
    <t>1139</t>
  </si>
  <si>
    <t>1153</t>
  </si>
  <si>
    <t>1154</t>
  </si>
  <si>
    <t>1163</t>
  </si>
  <si>
    <t>6063</t>
  </si>
  <si>
    <t>бензорезчик</t>
  </si>
  <si>
    <t>4142</t>
  </si>
  <si>
    <t>4189</t>
  </si>
  <si>
    <t>4185</t>
  </si>
  <si>
    <t>йога 2/3, шушары 3005</t>
  </si>
  <si>
    <t>7985</t>
  </si>
  <si>
    <t>РВД, рукав</t>
  </si>
  <si>
    <t>РВД</t>
  </si>
  <si>
    <t>385</t>
  </si>
  <si>
    <t>демпферная подушка, кольцо</t>
  </si>
  <si>
    <t>проушина ударной части</t>
  </si>
  <si>
    <t>шайба, болт, гайка, винт..</t>
  </si>
  <si>
    <t>14110</t>
  </si>
  <si>
    <t>ТК Базис</t>
  </si>
  <si>
    <t>переборка молота, замена скользунов..</t>
  </si>
  <si>
    <t>Бенфер</t>
  </si>
  <si>
    <t>34</t>
  </si>
  <si>
    <t>стекло кабины заднее правое</t>
  </si>
  <si>
    <t>Традиция-К</t>
  </si>
  <si>
    <t>1239</t>
  </si>
  <si>
    <t>зуб ковша, палец стальн., коронка..</t>
  </si>
  <si>
    <t>7308660367</t>
  </si>
  <si>
    <t>Кайман-М</t>
  </si>
  <si>
    <t>ком-кт накладок, ком-кт втулок</t>
  </si>
  <si>
    <t>Ферронордик Машины</t>
  </si>
  <si>
    <t>1601046</t>
  </si>
  <si>
    <t>ремонт VOLVO форсунка</t>
  </si>
  <si>
    <t>1601048</t>
  </si>
  <si>
    <t>ремонт VOLVO насос</t>
  </si>
  <si>
    <t>дт 4000л</t>
  </si>
  <si>
    <t>1439</t>
  </si>
  <si>
    <t>1441</t>
  </si>
  <si>
    <t>дт 2800л</t>
  </si>
  <si>
    <t>дт 3300л</t>
  </si>
  <si>
    <t>1448</t>
  </si>
  <si>
    <t>мурино 48, сваебой</t>
  </si>
  <si>
    <t>1459</t>
  </si>
  <si>
    <t>2462</t>
  </si>
  <si>
    <t>дт</t>
  </si>
  <si>
    <t>289</t>
  </si>
  <si>
    <t>394236</t>
  </si>
  <si>
    <t>101</t>
  </si>
  <si>
    <t>авар.выезд, ремонт</t>
  </si>
  <si>
    <t>10</t>
  </si>
  <si>
    <t>4</t>
  </si>
  <si>
    <t>7548</t>
  </si>
  <si>
    <t>28632</t>
  </si>
  <si>
    <t>1111</t>
  </si>
  <si>
    <t>1115</t>
  </si>
  <si>
    <t>1446</t>
  </si>
  <si>
    <t>103</t>
  </si>
  <si>
    <t>перфоратор, лаз.дальномер</t>
  </si>
  <si>
    <t>11798</t>
  </si>
  <si>
    <t>круг, кабель, перчатки..</t>
  </si>
  <si>
    <t>перчатки, эмаль, кисть…</t>
  </si>
  <si>
    <t>лопата, пенополистирол</t>
  </si>
  <si>
    <t>316</t>
  </si>
  <si>
    <t>327</t>
  </si>
  <si>
    <t>пленка, диск, ДВП, саморез…</t>
  </si>
  <si>
    <t>ветошь, грунт, краска..</t>
  </si>
  <si>
    <t>410</t>
  </si>
  <si>
    <t>грунт, сетка, подвес..</t>
  </si>
  <si>
    <t>413</t>
  </si>
  <si>
    <t>1432</t>
  </si>
  <si>
    <t>дюбель, саморез</t>
  </si>
  <si>
    <t>1627</t>
  </si>
  <si>
    <t>200</t>
  </si>
  <si>
    <t>235</t>
  </si>
  <si>
    <t>5</t>
  </si>
  <si>
    <t>замок, долото, краска..</t>
  </si>
  <si>
    <t>лопата снег.</t>
  </si>
  <si>
    <t>щетка, долото, нож, круг..</t>
  </si>
  <si>
    <t>уровень, рулетка, тент..</t>
  </si>
  <si>
    <t>перчатки, гвозди, горелка, валик..</t>
  </si>
  <si>
    <t>рулетка, угольник, радиатор…</t>
  </si>
  <si>
    <t>20/12-1</t>
  </si>
  <si>
    <t>29/12-3</t>
  </si>
  <si>
    <t>436</t>
  </si>
  <si>
    <t>тр 1878000023</t>
  </si>
  <si>
    <t>тр 3542290010</t>
  </si>
  <si>
    <t>тр 7970007</t>
  </si>
  <si>
    <t>тр 8020007</t>
  </si>
  <si>
    <t>строительные машины</t>
  </si>
  <si>
    <t>станок СМЖ-172А, станок СГА-1</t>
  </si>
  <si>
    <t>дог 870.055.13</t>
  </si>
  <si>
    <t>пока не платить</t>
  </si>
  <si>
    <t>рольф эстейт спб</t>
  </si>
  <si>
    <t>48149342</t>
  </si>
  <si>
    <t>дог. 21-К1/11-17</t>
  </si>
  <si>
    <t>7-11</t>
  </si>
  <si>
    <t>12-16</t>
  </si>
  <si>
    <t>1405</t>
  </si>
  <si>
    <t>1403</t>
  </si>
  <si>
    <t>сириус спб</t>
  </si>
  <si>
    <t>сети</t>
  </si>
  <si>
    <t>лен-ж</t>
  </si>
  <si>
    <t>дог. 3372.34.039.2</t>
  </si>
  <si>
    <t>аванс тепло</t>
  </si>
  <si>
    <t>посл.3месяца</t>
  </si>
  <si>
    <t>нвк</t>
  </si>
  <si>
    <t>дог. 49-К1/11-18</t>
  </si>
  <si>
    <t>ГАТИ</t>
  </si>
  <si>
    <t>пост.4153</t>
  </si>
  <si>
    <t>пост.4156</t>
  </si>
  <si>
    <t>чоу уц промстрой</t>
  </si>
  <si>
    <t>50</t>
  </si>
  <si>
    <t>КС 059-25/19-1</t>
  </si>
  <si>
    <t>экспл.обслуж. КЛ 1кв.2019</t>
  </si>
  <si>
    <t>125710/12/2018</t>
  </si>
  <si>
    <t>АДМ связь</t>
  </si>
  <si>
    <t>АДМ резервный канал</t>
  </si>
  <si>
    <t>192</t>
  </si>
  <si>
    <t>193</t>
  </si>
  <si>
    <t>197</t>
  </si>
  <si>
    <t>25279, 25503, 25850, 25578, 25853, 25660, 25852, 25740, 25791, 25851</t>
  </si>
  <si>
    <t>21-28дек</t>
  </si>
  <si>
    <t>договор Л-88/18</t>
  </si>
  <si>
    <t>переустр-во ввода кан-ции</t>
  </si>
  <si>
    <t>41,42,43</t>
  </si>
  <si>
    <t>26, 27</t>
  </si>
  <si>
    <t>18932193424</t>
  </si>
  <si>
    <t>конс.услуги по подготовке администратора КЦР</t>
  </si>
  <si>
    <t>018-2019</t>
  </si>
  <si>
    <t>4204</t>
  </si>
  <si>
    <t>4256</t>
  </si>
  <si>
    <t>4033</t>
  </si>
  <si>
    <t>бадья для бетона 2шт</t>
  </si>
  <si>
    <t>дог. ПРПЗ-31.Э</t>
  </si>
  <si>
    <t>повт.рассм.проектов итп</t>
  </si>
  <si>
    <t>дог. ПР-30.Э</t>
  </si>
  <si>
    <t>дог. 387-М47/09-18</t>
  </si>
  <si>
    <t>дог. 112-САМ2/12-18</t>
  </si>
  <si>
    <t>смр полы встройка</t>
  </si>
  <si>
    <t>стройоптима</t>
  </si>
  <si>
    <t>дог. 399-М47/01-19</t>
  </si>
  <si>
    <t>смр полы паркинг к.5</t>
  </si>
  <si>
    <t>дог. 142/14</t>
  </si>
  <si>
    <t>смр лифт в ресторан</t>
  </si>
  <si>
    <t>дог. 193-Б/10-16</t>
  </si>
  <si>
    <t>403162</t>
  </si>
  <si>
    <t>вода, залог за помпу</t>
  </si>
  <si>
    <t>лг за лид-88</t>
  </si>
  <si>
    <t>РЕСО-Гарантия</t>
  </si>
  <si>
    <t>до-2910327884</t>
  </si>
  <si>
    <t>Сириус СПб</t>
  </si>
  <si>
    <t>П.А.К.Т.</t>
  </si>
  <si>
    <t>смр каб.сеть</t>
  </si>
  <si>
    <t>дог. 113-САМ2/12-18</t>
  </si>
  <si>
    <t>196</t>
  </si>
  <si>
    <t>199</t>
  </si>
  <si>
    <t>дог. 1-705/10-18</t>
  </si>
  <si>
    <t>смр в ОП</t>
  </si>
  <si>
    <t>3602897</t>
  </si>
  <si>
    <t>шкаф 2шт ЮрО.</t>
  </si>
  <si>
    <t>АДМ заправка картриджа</t>
  </si>
  <si>
    <t>5457</t>
  </si>
  <si>
    <t>5369</t>
  </si>
  <si>
    <t>АДМ ремкомплект, торм.площадка</t>
  </si>
  <si>
    <t>1005</t>
  </si>
  <si>
    <t>АДМ ТО 4кв.2018</t>
  </si>
  <si>
    <t>АДМ заправка, восстановление</t>
  </si>
  <si>
    <t>АДМ маршрутизатор на Йогу</t>
  </si>
  <si>
    <t>966</t>
  </si>
  <si>
    <t>АДМ зап.части</t>
  </si>
  <si>
    <t>приводная шестерня подъемника</t>
  </si>
  <si>
    <t>332587/20</t>
  </si>
  <si>
    <t>фанера 190листов</t>
  </si>
  <si>
    <t>308</t>
  </si>
  <si>
    <t>фанера 15,506куб.м</t>
  </si>
  <si>
    <t>тр 1197900041</t>
  </si>
  <si>
    <t>29, 30</t>
  </si>
  <si>
    <t>49</t>
  </si>
  <si>
    <t>СТА за рубеж</t>
  </si>
  <si>
    <t>пост. 3351</t>
  </si>
  <si>
    <t>пост.1799</t>
  </si>
  <si>
    <t>пост.1796</t>
  </si>
  <si>
    <t>пост.1793</t>
  </si>
  <si>
    <t>снрг-строй за Центр физ. культуры</t>
  </si>
  <si>
    <t>подключение объекта к ВС</t>
  </si>
  <si>
    <t>подключение объекта к ВО</t>
  </si>
  <si>
    <t>дог. 461366/18-ВС</t>
  </si>
  <si>
    <t>дог. 461366/18-ВО</t>
  </si>
  <si>
    <t>дог. 165-18</t>
  </si>
  <si>
    <t>сч306</t>
  </si>
  <si>
    <t>автосервис юг</t>
  </si>
  <si>
    <t>6170/01</t>
  </si>
  <si>
    <t>ГАЗЕЛЬ датчик, ремень, насос и тд</t>
  </si>
  <si>
    <t>6154/01</t>
  </si>
  <si>
    <t>ГАЗЕЛЬ шланг, хомут, антифриз и тд</t>
  </si>
  <si>
    <t>син-строй, строй-союз</t>
  </si>
  <si>
    <t>дог. 100-КН/09-18</t>
  </si>
  <si>
    <t>дог. 104-САМ2/10-18</t>
  </si>
  <si>
    <t>камсс-сервис</t>
  </si>
  <si>
    <t>диагностика ДВС</t>
  </si>
  <si>
    <t>35</t>
  </si>
  <si>
    <t>1725</t>
  </si>
  <si>
    <t>дезинсекция</t>
  </si>
  <si>
    <t>18/19</t>
  </si>
  <si>
    <t>73673</t>
  </si>
  <si>
    <t>дог. 7</t>
  </si>
  <si>
    <t>корр.проекта ул. Шувалова</t>
  </si>
  <si>
    <t>витамин, мурино 43</t>
  </si>
  <si>
    <t>дог. 115-МГ/01-19</t>
  </si>
  <si>
    <t>смр окна шоурум</t>
  </si>
  <si>
    <t>3т</t>
  </si>
  <si>
    <t>14-24янв</t>
  </si>
  <si>
    <t>СТА за лид-88</t>
  </si>
  <si>
    <t>14</t>
  </si>
  <si>
    <t>313</t>
  </si>
  <si>
    <t>парогенератор 09.01.19</t>
  </si>
  <si>
    <t>парогенератор 10.01.19</t>
  </si>
  <si>
    <t>парогенератор 11.01.19</t>
  </si>
  <si>
    <t>парогенератор 12.01.19</t>
  </si>
  <si>
    <t>парогенератор 14.01.19</t>
  </si>
  <si>
    <t>парогенератор 13.01.19</t>
  </si>
  <si>
    <t>130</t>
  </si>
  <si>
    <t>1167</t>
  </si>
  <si>
    <t>1145</t>
  </si>
  <si>
    <t>нахимов, школьная, самсон 307</t>
  </si>
  <si>
    <t>248</t>
  </si>
  <si>
    <t>249</t>
  </si>
  <si>
    <t>514</t>
  </si>
  <si>
    <t>15</t>
  </si>
  <si>
    <t>145</t>
  </si>
  <si>
    <t>4175</t>
  </si>
  <si>
    <t>шаланда, манипулятор</t>
  </si>
  <si>
    <t>266</t>
  </si>
  <si>
    <t>4234</t>
  </si>
  <si>
    <t>аренда декабрь</t>
  </si>
  <si>
    <t>4235</t>
  </si>
  <si>
    <t>4242</t>
  </si>
  <si>
    <t>4243</t>
  </si>
  <si>
    <t>4244</t>
  </si>
  <si>
    <t>4253</t>
  </si>
  <si>
    <t>ТО декабрь</t>
  </si>
  <si>
    <t>127</t>
  </si>
  <si>
    <t>ТО декабрь (разморозка)</t>
  </si>
  <si>
    <t>293</t>
  </si>
  <si>
    <t>295</t>
  </si>
  <si>
    <t>Астон</t>
  </si>
  <si>
    <t>18/01-19</t>
  </si>
  <si>
    <t>демонтаж/монтаж сварочн.генератора</t>
  </si>
  <si>
    <t>ремонт наголовника</t>
  </si>
  <si>
    <t>1455</t>
  </si>
  <si>
    <t>перевозка топлива</t>
  </si>
  <si>
    <t>2456</t>
  </si>
  <si>
    <t>ремонт диск.пилы</t>
  </si>
  <si>
    <t>Элмех</t>
  </si>
  <si>
    <t>369</t>
  </si>
  <si>
    <t>394842</t>
  </si>
  <si>
    <t>ремонт бензо (дизель) агрегата</t>
  </si>
  <si>
    <t>1275</t>
  </si>
  <si>
    <t>990</t>
  </si>
  <si>
    <t>991</t>
  </si>
  <si>
    <t>арм. 25,32</t>
  </si>
  <si>
    <t>997</t>
  </si>
  <si>
    <t>3</t>
  </si>
  <si>
    <t>743</t>
  </si>
  <si>
    <t>382</t>
  </si>
  <si>
    <t>433</t>
  </si>
  <si>
    <t>арм. 6,20,25</t>
  </si>
  <si>
    <t>арм. 12,20</t>
  </si>
  <si>
    <t>провод, сжим</t>
  </si>
  <si>
    <t>наконечник, светильник, кабель..</t>
  </si>
  <si>
    <t>54</t>
  </si>
  <si>
    <t>гидроизол.</t>
  </si>
  <si>
    <t>рейка, дюбель, пистолет, герметик..</t>
  </si>
  <si>
    <t>кабель, анкер, грунт…</t>
  </si>
  <si>
    <t>667</t>
  </si>
  <si>
    <t>перчатки, кабель, фонарь…</t>
  </si>
  <si>
    <t>Снабженка</t>
  </si>
  <si>
    <t>электродвигатель, вал гибк…</t>
  </si>
  <si>
    <t>электрод, провод, дюбель…</t>
  </si>
  <si>
    <t>смазка для опалубки</t>
  </si>
  <si>
    <t>2358</t>
  </si>
  <si>
    <t>250</t>
  </si>
  <si>
    <t>перчатки, лента, конвектор…</t>
  </si>
  <si>
    <t>унитаз, герметик, зеркало..</t>
  </si>
  <si>
    <t>2997</t>
  </si>
  <si>
    <t>мешок, саморез, бита, ножовка…</t>
  </si>
  <si>
    <t>круг отр., перчатки, саморез..</t>
  </si>
  <si>
    <t>2660</t>
  </si>
  <si>
    <t>2661</t>
  </si>
  <si>
    <t>щебень</t>
  </si>
  <si>
    <t>2672</t>
  </si>
  <si>
    <t>2662</t>
  </si>
  <si>
    <t>2663</t>
  </si>
  <si>
    <t>фирма опыт</t>
  </si>
  <si>
    <t>ремонт секций ГП аванс50%</t>
  </si>
  <si>
    <t>тр 900120</t>
  </si>
  <si>
    <t>ВО ноябрь</t>
  </si>
  <si>
    <t>тр 570161</t>
  </si>
  <si>
    <t>17.1.218</t>
  </si>
  <si>
    <t>ВС 01-15.12</t>
  </si>
  <si>
    <t>09-18.01</t>
  </si>
  <si>
    <t>187, 516, 271, 517, 355, 515, 471, 518, 591, 513, 514</t>
  </si>
  <si>
    <t>252</t>
  </si>
  <si>
    <t>ОТ психиатр + эл/энцеф. 1+1чел</t>
  </si>
  <si>
    <t>09</t>
  </si>
  <si>
    <t>05</t>
  </si>
  <si>
    <t>сч380</t>
  </si>
  <si>
    <t>сч377</t>
  </si>
  <si>
    <t>сч296</t>
  </si>
  <si>
    <t>сч300</t>
  </si>
  <si>
    <t>24.1.218</t>
  </si>
  <si>
    <t>сч1</t>
  </si>
  <si>
    <t>сч297</t>
  </si>
  <si>
    <t>сч378</t>
  </si>
  <si>
    <t>сч379</t>
  </si>
  <si>
    <t>371714/20</t>
  </si>
  <si>
    <t>371714_1/20</t>
  </si>
  <si>
    <t>дог. 11/19</t>
  </si>
  <si>
    <t>ручки, ароматизаторы</t>
  </si>
  <si>
    <t>681</t>
  </si>
  <si>
    <t xml:space="preserve"> bn.ru</t>
  </si>
  <si>
    <t>НИСП реклама</t>
  </si>
  <si>
    <t>вып. 1-3 январь</t>
  </si>
  <si>
    <t>Мезенцев Е.П.</t>
  </si>
  <si>
    <t>Алиев А. Л-оглы</t>
  </si>
  <si>
    <t>возврат пиб 250б-БФ/02-14г</t>
  </si>
  <si>
    <t>возврат пиб 277б-БФ/09-14г</t>
  </si>
  <si>
    <t>Коваленков О.М.</t>
  </si>
  <si>
    <t>возврат пиб 59а-ТК1/02-15г</t>
  </si>
  <si>
    <t>тр 570163</t>
  </si>
  <si>
    <t>ВС 01-15.01</t>
  </si>
  <si>
    <t>Хусейнов Сахават</t>
  </si>
  <si>
    <t>возврат пиб 278б-БФ/02-14н</t>
  </si>
  <si>
    <t>207, 205</t>
  </si>
  <si>
    <t>вода 27шт 8шт</t>
  </si>
  <si>
    <t>доплата (ндс)</t>
  </si>
  <si>
    <t>дог. 57-САМ2/10-17</t>
  </si>
  <si>
    <t>451</t>
  </si>
  <si>
    <t>15398</t>
  </si>
  <si>
    <t>992</t>
  </si>
  <si>
    <t>Лаптева С.В.</t>
  </si>
  <si>
    <t>расторжение пай 79е-ВИТ3/08-18г</t>
  </si>
  <si>
    <t>стд петрович</t>
  </si>
  <si>
    <t>двери в ДОУ 20шт</t>
  </si>
  <si>
    <t>11404</t>
  </si>
  <si>
    <t>22/2018/9</t>
  </si>
  <si>
    <t>21/2018/10</t>
  </si>
  <si>
    <t>ОП мебель 705</t>
  </si>
  <si>
    <t>202</t>
  </si>
  <si>
    <t>203</t>
  </si>
  <si>
    <t>204</t>
  </si>
  <si>
    <t>дог. 33-САМ2/10-17</t>
  </si>
  <si>
    <t>Звягин С.О.</t>
  </si>
  <si>
    <t>расторжение пай 22д-ВИТ3/03-15г</t>
  </si>
  <si>
    <t>проф кран</t>
  </si>
  <si>
    <t>джойстик</t>
  </si>
  <si>
    <t>33, 34</t>
  </si>
  <si>
    <t>314</t>
  </si>
  <si>
    <t>ассоциация СК ЛО</t>
  </si>
  <si>
    <t>январь-февраль</t>
  </si>
  <si>
    <t>1021</t>
  </si>
  <si>
    <t>СР ремонт L200</t>
  </si>
  <si>
    <t>дог. 321-М48/01-18</t>
  </si>
  <si>
    <t>1304</t>
  </si>
  <si>
    <t>проволока</t>
  </si>
  <si>
    <t>пн-птн</t>
  </si>
  <si>
    <t>М-Инвест</t>
  </si>
  <si>
    <t>21300</t>
  </si>
  <si>
    <t>ГУП ТЭК</t>
  </si>
  <si>
    <t>дог 1656,055,18</t>
  </si>
  <si>
    <t>АДМ замена ПК Платова, Чистосердова</t>
  </si>
  <si>
    <t>Райтмарк груп</t>
  </si>
  <si>
    <t>дог. 06-1/17-юр</t>
  </si>
  <si>
    <t>будут сами продавать квартиры</t>
  </si>
  <si>
    <t>394841</t>
  </si>
  <si>
    <t>профилактика помпы</t>
  </si>
  <si>
    <t>рег.поисковый центр</t>
  </si>
  <si>
    <t>очситка отерритории от ВОП</t>
  </si>
  <si>
    <t>тр1329740003</t>
  </si>
  <si>
    <t>1938047</t>
  </si>
  <si>
    <t>АДМ конференц телефон ОП</t>
  </si>
  <si>
    <t>631, 720, 776</t>
  </si>
  <si>
    <t>17-21.01</t>
  </si>
  <si>
    <t>16174</t>
  </si>
  <si>
    <t>21.1</t>
  </si>
  <si>
    <t>АДМ кабель, коннектор и тд</t>
  </si>
  <si>
    <t>штампы 2шт</t>
  </si>
  <si>
    <t>6570</t>
  </si>
  <si>
    <t>5797</t>
  </si>
  <si>
    <t>гелиос</t>
  </si>
  <si>
    <t>29/кк</t>
  </si>
  <si>
    <t>клин для лесов, заклепки</t>
  </si>
  <si>
    <t>336103235</t>
  </si>
  <si>
    <t>кс спб за лид-88</t>
  </si>
  <si>
    <t>66/19</t>
  </si>
  <si>
    <t>леноблтранс</t>
  </si>
  <si>
    <t>шайба, болт</t>
  </si>
  <si>
    <t>1-027</t>
  </si>
  <si>
    <t>Трак-Центр</t>
  </si>
  <si>
    <t>выключатель массы</t>
  </si>
  <si>
    <t>шланг, фильтр</t>
  </si>
  <si>
    <t>клемма АКБ</t>
  </si>
  <si>
    <t>абтрон</t>
  </si>
  <si>
    <t>стропы</t>
  </si>
  <si>
    <t>73-00107-19</t>
  </si>
  <si>
    <t>82, 83</t>
  </si>
  <si>
    <t>Актион-пресс</t>
  </si>
  <si>
    <t>327566955</t>
  </si>
  <si>
    <t>журнал "упрощенка"</t>
  </si>
  <si>
    <t>Интерфакс</t>
  </si>
  <si>
    <t>с2019-02-4944</t>
  </si>
  <si>
    <t>размещ.сведений в ЕФРСФДЮЛ</t>
  </si>
  <si>
    <t>2811</t>
  </si>
  <si>
    <t>309</t>
  </si>
  <si>
    <t>588</t>
  </si>
  <si>
    <t>589</t>
  </si>
  <si>
    <t>591</t>
  </si>
  <si>
    <t>592</t>
  </si>
  <si>
    <t>593</t>
  </si>
  <si>
    <t>594</t>
  </si>
  <si>
    <t>парогенератор 16.01.19</t>
  </si>
  <si>
    <t>парогенератор 17.01.19</t>
  </si>
  <si>
    <t>парогенератор 18.01.19</t>
  </si>
  <si>
    <t>парогенератор 19.01.19</t>
  </si>
  <si>
    <t>парогенератор 20.01.19</t>
  </si>
  <si>
    <t>239</t>
  </si>
  <si>
    <t>258</t>
  </si>
  <si>
    <t>298</t>
  </si>
  <si>
    <t>парогенератор 23.01.19</t>
  </si>
  <si>
    <t>1/лм</t>
  </si>
  <si>
    <t>48</t>
  </si>
  <si>
    <t>типанова, самсон 307, магеллан</t>
  </si>
  <si>
    <t>самсон 307, типанова</t>
  </si>
  <si>
    <t>395645</t>
  </si>
  <si>
    <t>Практик СПб</t>
  </si>
  <si>
    <t>винт, гайка</t>
  </si>
  <si>
    <t>8148941371</t>
  </si>
  <si>
    <t>300119</t>
  </si>
  <si>
    <t>серв.обслуж.прибора безопасности</t>
  </si>
  <si>
    <t>153</t>
  </si>
  <si>
    <t>1363</t>
  </si>
  <si>
    <t>арм. 8,10,12,16,25</t>
  </si>
  <si>
    <t>огражд.лестниц</t>
  </si>
  <si>
    <t>косоуры</t>
  </si>
  <si>
    <t xml:space="preserve">запчасти станок </t>
  </si>
  <si>
    <t>кабель, дюбель, светильник..</t>
  </si>
  <si>
    <t>конвектор, светильник, выкл….</t>
  </si>
  <si>
    <t>269</t>
  </si>
  <si>
    <t>пылесос</t>
  </si>
  <si>
    <t>2618</t>
  </si>
  <si>
    <t>мешок, перчатки, растворитель..</t>
  </si>
  <si>
    <t>сетка штукат., ремсостав</t>
  </si>
  <si>
    <t>927</t>
  </si>
  <si>
    <t>пленка, пенополистирол, клей</t>
  </si>
  <si>
    <t>провод, маркер, гибк.вал..</t>
  </si>
  <si>
    <t>бур, грунт, эмаль, электрод…</t>
  </si>
  <si>
    <t>ДВП, пленка, профиль..</t>
  </si>
  <si>
    <t>522</t>
  </si>
  <si>
    <t>респиратор, ветошь, уайт-спирит..</t>
  </si>
  <si>
    <t>1266</t>
  </si>
  <si>
    <t>149344/10725/1901</t>
  </si>
  <si>
    <t>1680/13334/1901</t>
  </si>
  <si>
    <t>дог. 391-М43/10-18</t>
  </si>
  <si>
    <t>отделка моп к.1 с.5-7</t>
  </si>
  <si>
    <t>дог. ПРПЗ-89.Э</t>
  </si>
  <si>
    <t>повт.рассм.проектов узлов учета</t>
  </si>
  <si>
    <t>альп-сервис</t>
  </si>
  <si>
    <t>дог. 369-ТК/01-19</t>
  </si>
  <si>
    <t>мытье помещений ДОУ</t>
  </si>
  <si>
    <t>27111</t>
  </si>
  <si>
    <t>АДМ салазки, накопитель для 1С</t>
  </si>
  <si>
    <t>точка роста</t>
  </si>
  <si>
    <t>018/…1025</t>
  </si>
  <si>
    <t>онлайн-касса</t>
  </si>
  <si>
    <t>018/…1041</t>
  </si>
  <si>
    <t>формула ИТ</t>
  </si>
  <si>
    <t>018/…1044</t>
  </si>
  <si>
    <t>АДМ 1С: фреш</t>
  </si>
  <si>
    <t>96, 97</t>
  </si>
  <si>
    <t>Альфа Страхование</t>
  </si>
  <si>
    <t>78885/906/00004/0119</t>
  </si>
  <si>
    <t>ун.плюс</t>
  </si>
  <si>
    <t>78885/906/00003/0119</t>
  </si>
  <si>
    <t>78885/906/00001/0119</t>
  </si>
  <si>
    <t>АВАНС</t>
  </si>
  <si>
    <t>?????</t>
  </si>
  <si>
    <t>018/…1045</t>
  </si>
  <si>
    <t>АДМ 1С: ЗУП переход на 3.1</t>
  </si>
  <si>
    <t>ремонт  КЛ 10</t>
  </si>
  <si>
    <t>12091</t>
  </si>
  <si>
    <t>10153</t>
  </si>
  <si>
    <t>вивас</t>
  </si>
  <si>
    <t>почт.ящики</t>
  </si>
  <si>
    <t>жалюзи сейл</t>
  </si>
  <si>
    <t>ОП жалюзи вертикальные</t>
  </si>
  <si>
    <t>1035, 919, 1037, 941, 1036</t>
  </si>
  <si>
    <t>21-23.01</t>
  </si>
  <si>
    <t>нпк</t>
  </si>
  <si>
    <t>579</t>
  </si>
  <si>
    <t>огнетушители 7шт</t>
  </si>
  <si>
    <t>РТС</t>
  </si>
  <si>
    <t>019/0061</t>
  </si>
  <si>
    <t>сухая смесь В30П2</t>
  </si>
  <si>
    <t>а</t>
  </si>
  <si>
    <t>возврат переплаты 80а-ВНф/12-11г</t>
  </si>
  <si>
    <t>дг 5</t>
  </si>
  <si>
    <t>демонтаж крышн.установки Смоленская</t>
  </si>
  <si>
    <t>2555511492</t>
  </si>
  <si>
    <t>смм-сопровождение ок.р.</t>
  </si>
  <si>
    <t>смм-сопровождение аванс</t>
  </si>
  <si>
    <t>аванс 30+40%</t>
  </si>
  <si>
    <t>тр44801, 44795</t>
  </si>
  <si>
    <t>Романенко Е.И.</t>
  </si>
  <si>
    <t>расторжение дду 107л-ТЕР4/08-18Н</t>
  </si>
  <si>
    <t>Коробов И.С.</t>
  </si>
  <si>
    <t>расторжение ОУ 4ч-ТЕР6</t>
  </si>
  <si>
    <t>Соколова М.В.</t>
  </si>
  <si>
    <t>возврат пиб 268в-М298/12-14Г (АСС)</t>
  </si>
  <si>
    <t>тр502</t>
  </si>
  <si>
    <t>нет реквизитов</t>
  </si>
  <si>
    <t>Манович П.В.</t>
  </si>
  <si>
    <t>возврат пиб 131а-ВНф/07-12г</t>
  </si>
  <si>
    <t>Прокофьева И.В.</t>
  </si>
  <si>
    <t>возврат пиб 62е-ВНф/09-12н</t>
  </si>
  <si>
    <t>Кузьменко Е.Ф. (на р/с Кузьменко Я.С.)</t>
  </si>
  <si>
    <t>возврат пиб 36в-М298/12-14Г (АСС)</t>
  </si>
  <si>
    <t>Кузнецова И.В.</t>
  </si>
  <si>
    <t>возврат пиб 142г-М298/02-15г</t>
  </si>
  <si>
    <t>Бочаров И.С.</t>
  </si>
  <si>
    <t>возврат пиб 279в-04-03-14 (АСС)</t>
  </si>
  <si>
    <t>Жилинская Е.В.</t>
  </si>
  <si>
    <t>возврат пиб 65в-ТК1/12-14г</t>
  </si>
  <si>
    <t>Алексеева И.А.</t>
  </si>
  <si>
    <t>возврат пиб 79в-30-09-14 (АСС)</t>
  </si>
  <si>
    <t>Кузнецова И.Г.</t>
  </si>
  <si>
    <t>возврат пиб 8г-М298/07-14г</t>
  </si>
  <si>
    <t>Смирнова С.В.</t>
  </si>
  <si>
    <t>возврат пиб 73-ТК1/04-14ан</t>
  </si>
  <si>
    <t>возврат пиб 187в-23-12-15 (АСС)</t>
  </si>
  <si>
    <t>возврат пиб 130а-ВНф/07-12г</t>
  </si>
  <si>
    <t>Карабаш В.А.</t>
  </si>
  <si>
    <t>возврат пиб 31е-ВНф/09-12г</t>
  </si>
  <si>
    <t>Худяков Д.В.</t>
  </si>
  <si>
    <t>возврат пиб 332в-М298/11-15Г (АСС)</t>
  </si>
  <si>
    <t>до 20.03</t>
  </si>
  <si>
    <t>пост. 18912/18</t>
  </si>
  <si>
    <t>Смоленская</t>
  </si>
  <si>
    <t>ремонт ДВС (копер)</t>
  </si>
  <si>
    <t>тр468</t>
  </si>
  <si>
    <t>тр327</t>
  </si>
  <si>
    <t>29688</t>
  </si>
  <si>
    <t>АДМ копм 2шт в ОП</t>
  </si>
  <si>
    <t>дог. 114-МГ/01-19</t>
  </si>
  <si>
    <t>ППР монолит, прогрев</t>
  </si>
  <si>
    <t>бензолидер</t>
  </si>
  <si>
    <t>болт шнека 10комплектов</t>
  </si>
  <si>
    <t>дог. 159-18</t>
  </si>
  <si>
    <t>сч293</t>
  </si>
  <si>
    <t>ИП Осипов М.К.</t>
  </si>
  <si>
    <t>бой</t>
  </si>
  <si>
    <t>АДМ картридж Kyocera в 708</t>
  </si>
  <si>
    <t>дог 2144/2017</t>
  </si>
  <si>
    <t>965</t>
  </si>
  <si>
    <t>проверка проектной док-ции</t>
  </si>
  <si>
    <t>КНС нева</t>
  </si>
  <si>
    <t>АДМ мфу А4 в СДО</t>
  </si>
  <si>
    <t>Баталова Е.В.</t>
  </si>
  <si>
    <t>возврат пиб 29а-БФ/03-14г</t>
  </si>
  <si>
    <t>Каровацкая Ю.Н.</t>
  </si>
  <si>
    <t>возврат пиб 434б-БФ/04-17г</t>
  </si>
  <si>
    <t>Королева Г.Г.</t>
  </si>
  <si>
    <t>возврат пиб 179б-БФ/08-15г</t>
  </si>
  <si>
    <t>Петрова Е.С.</t>
  </si>
  <si>
    <t>возврат пиб 439б-БФ/03-15г</t>
  </si>
  <si>
    <t>Коновалова В.В.</t>
  </si>
  <si>
    <t>расторжение пай 60б-БФ/02-14г</t>
  </si>
  <si>
    <t>дог. 344-ЛС/07-18</t>
  </si>
  <si>
    <t>смр гидроиз.</t>
  </si>
  <si>
    <t>Молочков Р.А.</t>
  </si>
  <si>
    <t>возврат пиб 94б-БФ/02-16г</t>
  </si>
  <si>
    <t>Волкова О.А.</t>
  </si>
  <si>
    <t>возврат пиб 305б-БФ/03-16ан</t>
  </si>
  <si>
    <t>Исаева Л.М.</t>
  </si>
  <si>
    <t>Великородная И.И.</t>
  </si>
  <si>
    <t>возврат пиб 226б-БФ/04-15ан</t>
  </si>
  <si>
    <t>возврат пиб 176б-БФ/03-14г</t>
  </si>
  <si>
    <t>Мясникова Г.Г.</t>
  </si>
  <si>
    <t>возврат пиб 383б-БФ/04-14г</t>
  </si>
  <si>
    <t>Тарасова М.А.</t>
  </si>
  <si>
    <t>возврат пиб 67а-БФ/02-14н</t>
  </si>
  <si>
    <t>3550</t>
  </si>
  <si>
    <t>разарботка пром.безопасности</t>
  </si>
  <si>
    <t>190000069</t>
  </si>
  <si>
    <t>11642</t>
  </si>
  <si>
    <t>31.21</t>
  </si>
  <si>
    <t>23-02960-18</t>
  </si>
  <si>
    <t>перем-ж. видеоролика</t>
  </si>
  <si>
    <t>ОРП</t>
  </si>
  <si>
    <t>плакат</t>
  </si>
  <si>
    <t>39программ</t>
  </si>
  <si>
    <t>6146</t>
  </si>
  <si>
    <t>13157943</t>
  </si>
  <si>
    <t>лайтбоксы Маяковская</t>
  </si>
  <si>
    <t>а2</t>
  </si>
  <si>
    <t>а1</t>
  </si>
  <si>
    <t>вып. 4-7 февр</t>
  </si>
  <si>
    <t>а97</t>
  </si>
  <si>
    <t>23-00089-19</t>
  </si>
  <si>
    <t>закрыт</t>
  </si>
  <si>
    <t>GPMD Instream</t>
  </si>
  <si>
    <t>04-17 февр</t>
  </si>
  <si>
    <t>190129-1289</t>
  </si>
  <si>
    <t>190129-1209</t>
  </si>
  <si>
    <t>190129-1235</t>
  </si>
  <si>
    <t>190129-1241</t>
  </si>
  <si>
    <t>190129-1242</t>
  </si>
  <si>
    <t>190129-1288</t>
  </si>
  <si>
    <t>190129-1259</t>
  </si>
  <si>
    <t>190129-1260</t>
  </si>
  <si>
    <t>190129-1261</t>
  </si>
  <si>
    <t>190129-1283</t>
  </si>
  <si>
    <t>Че</t>
  </si>
  <si>
    <t>190129-1284</t>
  </si>
  <si>
    <t>190129-1285</t>
  </si>
  <si>
    <t>190129-1286</t>
  </si>
  <si>
    <t>190129-1287</t>
  </si>
  <si>
    <t>Сотникова Е.С.</t>
  </si>
  <si>
    <t>возврат пиб 74б-ТК1/05-14г</t>
  </si>
  <si>
    <t>Мелюх С.В.</t>
  </si>
  <si>
    <t>возврат пиб 82г-М298/08-14ан</t>
  </si>
  <si>
    <t>Бабак А.Ю.</t>
  </si>
  <si>
    <t>возврат пиб 77г-М298/12-14ан</t>
  </si>
  <si>
    <t>петроблок (за ВИП Балтик Инжиниринг)</t>
  </si>
  <si>
    <t>по письму 293/2 счет 1276 плитка тротуарная</t>
  </si>
  <si>
    <t>а98</t>
  </si>
  <si>
    <t>416330</t>
  </si>
  <si>
    <t>вода, замена помпы</t>
  </si>
  <si>
    <t>почт.ящики ДОПЛАТА</t>
  </si>
  <si>
    <t>1000271/9952-3-17/4703</t>
  </si>
  <si>
    <t>рассм.изменений ПД</t>
  </si>
  <si>
    <t>13523</t>
  </si>
  <si>
    <t>дог. 368-ТК/01-19</t>
  </si>
  <si>
    <t>смр двери ДОУ</t>
  </si>
  <si>
    <t>103, 104</t>
  </si>
  <si>
    <t>171, 172</t>
  </si>
  <si>
    <t>14161</t>
  </si>
  <si>
    <t>20452760</t>
  </si>
  <si>
    <t>упд 071/384</t>
  </si>
  <si>
    <t>втулка, заглушка, коробка…</t>
  </si>
  <si>
    <t>20455049</t>
  </si>
  <si>
    <t>труба, коробка, втулка..</t>
  </si>
  <si>
    <t>176</t>
  </si>
  <si>
    <t>35, 36</t>
  </si>
  <si>
    <t>117, 118</t>
  </si>
  <si>
    <t>снегоуборочник</t>
  </si>
  <si>
    <t>хранение БКр</t>
  </si>
  <si>
    <t>Афанасьев А.А.</t>
  </si>
  <si>
    <t>мировое соглашение по делу 2-990-2019</t>
  </si>
  <si>
    <t>компенсация</t>
  </si>
  <si>
    <t>16131</t>
  </si>
  <si>
    <t>34715</t>
  </si>
  <si>
    <t>доп.камеры для охраны</t>
  </si>
  <si>
    <t>715</t>
  </si>
  <si>
    <t>716</t>
  </si>
  <si>
    <t>717</t>
  </si>
  <si>
    <t>719</t>
  </si>
  <si>
    <t>721</t>
  </si>
  <si>
    <t>724</t>
  </si>
  <si>
    <t>725</t>
  </si>
  <si>
    <t>90/19</t>
  </si>
  <si>
    <t>91/19</t>
  </si>
  <si>
    <t>93/19</t>
  </si>
  <si>
    <t>94/19</t>
  </si>
  <si>
    <t>95/19</t>
  </si>
  <si>
    <t>97/19</t>
  </si>
  <si>
    <t>100/19</t>
  </si>
  <si>
    <t>101/19</t>
  </si>
  <si>
    <t>парогенератор 25.01.19</t>
  </si>
  <si>
    <t>367</t>
  </si>
  <si>
    <t>парогенератор 28.01.19</t>
  </si>
  <si>
    <t>парогенератор 30.01.19</t>
  </si>
  <si>
    <t>395</t>
  </si>
  <si>
    <t>парогенератор 30/31.01.19</t>
  </si>
  <si>
    <t>420</t>
  </si>
  <si>
    <t>парогенератор 01.02.19</t>
  </si>
  <si>
    <t>парогенератор 02.02.19</t>
  </si>
  <si>
    <t>428</t>
  </si>
  <si>
    <t>парогенератор 03.02.19</t>
  </si>
  <si>
    <t>2/лм</t>
  </si>
  <si>
    <t>магеллан, шушары 3005</t>
  </si>
  <si>
    <t>53</t>
  </si>
  <si>
    <t>2520</t>
  </si>
  <si>
    <t>2903</t>
  </si>
  <si>
    <t>2861</t>
  </si>
  <si>
    <t>ремонт экскаватора-погрузчика</t>
  </si>
  <si>
    <t>дт 36400л</t>
  </si>
  <si>
    <t>СТС-Рент</t>
  </si>
  <si>
    <t>диагностика параметров ЕОС</t>
  </si>
  <si>
    <t>10219</t>
  </si>
  <si>
    <t>сервисн.облуж.прибора безопасности типа ОГМ</t>
  </si>
  <si>
    <t>661</t>
  </si>
  <si>
    <t>мурино 48, газель</t>
  </si>
  <si>
    <t>6778</t>
  </si>
  <si>
    <t>бензин 1500л</t>
  </si>
  <si>
    <t>2417</t>
  </si>
  <si>
    <t>3022</t>
  </si>
  <si>
    <t>2161</t>
  </si>
  <si>
    <t>арм. 8,12,16,20</t>
  </si>
  <si>
    <t>88</t>
  </si>
  <si>
    <t>арм. 8,20,25</t>
  </si>
  <si>
    <t>284</t>
  </si>
  <si>
    <t>реле, изолента, провод, кабель..</t>
  </si>
  <si>
    <t>286</t>
  </si>
  <si>
    <t>светильник, кабель, бур…</t>
  </si>
  <si>
    <t>рубильник, фонарь, прожектор..</t>
  </si>
  <si>
    <t>фиксатор, эмульсол, провод</t>
  </si>
  <si>
    <t>42944</t>
  </si>
  <si>
    <t>люк ревиз.</t>
  </si>
  <si>
    <t>1237</t>
  </si>
  <si>
    <t>сверло, ветошь, саморез, пена..</t>
  </si>
  <si>
    <t>пенополистирол, клей</t>
  </si>
  <si>
    <t>3767</t>
  </si>
  <si>
    <t>612</t>
  </si>
  <si>
    <t>болт, гайка, кабель..</t>
  </si>
  <si>
    <t>бур, электрод, зубило…</t>
  </si>
  <si>
    <t>рулетка, гвоздь, круг, кабель..</t>
  </si>
  <si>
    <t>конвектор, пена, лопата</t>
  </si>
  <si>
    <t>мастика, дюбель, саморез</t>
  </si>
  <si>
    <t>739</t>
  </si>
  <si>
    <t>саморез, пленка</t>
  </si>
  <si>
    <t>11/01-1</t>
  </si>
  <si>
    <t>19/01-1</t>
  </si>
  <si>
    <t>24/01-1</t>
  </si>
  <si>
    <t>24/01-2</t>
  </si>
  <si>
    <t>24/01-3</t>
  </si>
  <si>
    <t>ОТ соловьев</t>
  </si>
  <si>
    <t>сч400</t>
  </si>
  <si>
    <t>сч19</t>
  </si>
  <si>
    <t>радиатор, антифриз, масло и тд</t>
  </si>
  <si>
    <t>кратер</t>
  </si>
  <si>
    <t>очиститель, размораживатель</t>
  </si>
  <si>
    <t>115585/3, 117673/5</t>
  </si>
  <si>
    <t>11.01, 28.01</t>
  </si>
  <si>
    <t>стройторговля</t>
  </si>
  <si>
    <t>1685</t>
  </si>
  <si>
    <t>дог. 1109-17</t>
  </si>
  <si>
    <t>лидерТелеком</t>
  </si>
  <si>
    <t>170912/20/3</t>
  </si>
  <si>
    <t>АДМ сертификат на сайт lidgroup.ru</t>
  </si>
  <si>
    <t>ип буш т.м.</t>
  </si>
  <si>
    <t>тр770016</t>
  </si>
  <si>
    <t>тр 570164</t>
  </si>
  <si>
    <t>ВС 16-31.01</t>
  </si>
  <si>
    <t>тр 1878000024</t>
  </si>
  <si>
    <t>панк-принт</t>
  </si>
  <si>
    <t>70202</t>
  </si>
  <si>
    <t>журналы работ, материалов</t>
  </si>
  <si>
    <t>70201</t>
  </si>
  <si>
    <t>7235/20</t>
  </si>
  <si>
    <t>4009/20</t>
  </si>
  <si>
    <t>тр 900122</t>
  </si>
  <si>
    <t>ВО январь</t>
  </si>
  <si>
    <t>акт Косюк, Климентов</t>
  </si>
  <si>
    <t>АСТ - наименование банка</t>
  </si>
  <si>
    <t>1066</t>
  </si>
  <si>
    <t>тр 3123640044</t>
  </si>
  <si>
    <t>тр 3124790043</t>
  </si>
  <si>
    <t>686</t>
  </si>
  <si>
    <t>коврик диэл., сапоги, перчатки, огнетушитель</t>
  </si>
  <si>
    <t>возврат пиб 20б-БФ/05-16г</t>
  </si>
  <si>
    <t>возврат пиб 159а-БФ/10-14г</t>
  </si>
  <si>
    <t>Мацяс С.И.</t>
  </si>
  <si>
    <t>Рагимов В.А-оглы</t>
  </si>
  <si>
    <t>Павлов П.П.</t>
  </si>
  <si>
    <t>возврат пиб 137г-М298/02-15ан</t>
  </si>
  <si>
    <t>Веселова Е.М.</t>
  </si>
  <si>
    <t>возврат пиб 24в-М298/10-15Г (АСС)</t>
  </si>
  <si>
    <t>Мишагина Е.Ю.</t>
  </si>
  <si>
    <t>возврат пиб 337б-БФ/08-15г</t>
  </si>
  <si>
    <t>Багрова Г.И.</t>
  </si>
  <si>
    <t>Бабурина О.Д.</t>
  </si>
  <si>
    <t>возврат пиб 225б-БФ/08-16ан</t>
  </si>
  <si>
    <t>возврат пиб 306б-БФ/08-15ан</t>
  </si>
  <si>
    <t>Аветисова А.Г.</t>
  </si>
  <si>
    <t>возврат пиб 429б-БФ/04-15ан</t>
  </si>
  <si>
    <t>Острожинская О.С.</t>
  </si>
  <si>
    <t>возврат пиб 430б-БФ/04-17г</t>
  </si>
  <si>
    <t>Ненько А.В.</t>
  </si>
  <si>
    <t>возврат пиб 149в-23-12-14 (АСС)</t>
  </si>
  <si>
    <t>Марцева Е.В.</t>
  </si>
  <si>
    <t>возврат пиб 97б-БФ/04-14н</t>
  </si>
  <si>
    <t>Бойкова Д.Н.</t>
  </si>
  <si>
    <t>возврат пиб 299б-БФ/05-15ан</t>
  </si>
  <si>
    <t>Летникова Л.Г.</t>
  </si>
  <si>
    <t>возврат пиб 179в-03-08-16 (АСС)</t>
  </si>
  <si>
    <t>Стегачев П.Б.</t>
  </si>
  <si>
    <t>возврат пиб 102а-ВНф/08-12г</t>
  </si>
  <si>
    <t>Вализер Т.В.</t>
  </si>
  <si>
    <t>возврат пиб 143м-ТК3/03-15ан</t>
  </si>
  <si>
    <t>дог. 103-М47/01-19</t>
  </si>
  <si>
    <t>смр инж.сети к.3 ДОУ</t>
  </si>
  <si>
    <t>СР</t>
  </si>
  <si>
    <t>51</t>
  </si>
  <si>
    <t>дог 715.055.12</t>
  </si>
  <si>
    <t>13105</t>
  </si>
  <si>
    <t>АДМ картридж</t>
  </si>
  <si>
    <t>АДМ ремонт мфу А4</t>
  </si>
  <si>
    <t>видеонаблюд. Вит., ТК3, Терр. (2шт), Терр2, Терр3, ТК2</t>
  </si>
  <si>
    <t>видеонабл. Босфор</t>
  </si>
  <si>
    <t>10444/20</t>
  </si>
  <si>
    <t>связь февраль</t>
  </si>
  <si>
    <t>590</t>
  </si>
  <si>
    <t>38239</t>
  </si>
  <si>
    <t>АДМ накопитель, память в 708</t>
  </si>
  <si>
    <t>4996</t>
  </si>
  <si>
    <t>285</t>
  </si>
  <si>
    <t>ОТ спецодежда геодезист Мур48</t>
  </si>
  <si>
    <t>АДМ картридж 2шт СДО</t>
  </si>
  <si>
    <t>1794073</t>
  </si>
  <si>
    <t xml:space="preserve">АДМ пополнение л/с </t>
  </si>
  <si>
    <t>ремонт кулера</t>
  </si>
  <si>
    <t>01</t>
  </si>
  <si>
    <t>сч18</t>
  </si>
  <si>
    <t>сч413</t>
  </si>
  <si>
    <t>сч398</t>
  </si>
  <si>
    <t>сч418</t>
  </si>
  <si>
    <t>гор.центр недвижимости</t>
  </si>
  <si>
    <t>356</t>
  </si>
  <si>
    <t>153, 154</t>
  </si>
  <si>
    <t>71, 72</t>
  </si>
  <si>
    <t>сч399</t>
  </si>
  <si>
    <t>сч414</t>
  </si>
  <si>
    <t>сч395</t>
  </si>
  <si>
    <t>сч397</t>
  </si>
  <si>
    <t>сч416</t>
  </si>
  <si>
    <t>сч417</t>
  </si>
  <si>
    <t>сч396</t>
  </si>
  <si>
    <t>палец</t>
  </si>
  <si>
    <t>удлинитель крепления подъемника</t>
  </si>
  <si>
    <t>акт 21</t>
  </si>
  <si>
    <t>ремонт секций ГП ок.р.50%</t>
  </si>
  <si>
    <t>1/лк</t>
  </si>
  <si>
    <t>8669</t>
  </si>
  <si>
    <t>Тиунов</t>
  </si>
  <si>
    <t>проекс</t>
  </si>
  <si>
    <t>дог. 04/19-РД</t>
  </si>
  <si>
    <t>дог. 102-К2/11-18</t>
  </si>
  <si>
    <t>дог. 21-1317</t>
  </si>
  <si>
    <t>сч51</t>
  </si>
  <si>
    <t>1073</t>
  </si>
  <si>
    <t>вода 23шт 8шт</t>
  </si>
  <si>
    <t>442, 451</t>
  </si>
  <si>
    <t>7196/20</t>
  </si>
  <si>
    <t>227</t>
  </si>
  <si>
    <t>ремень, масло</t>
  </si>
  <si>
    <t>1003980/9940-3-18/4703</t>
  </si>
  <si>
    <t>рассм.проекта УУТЭ</t>
  </si>
  <si>
    <t>1102018</t>
  </si>
  <si>
    <t>ремонт L220F</t>
  </si>
  <si>
    <t>ип смирнов а.н.</t>
  </si>
  <si>
    <t>диагностика РАН</t>
  </si>
  <si>
    <t>вира</t>
  </si>
  <si>
    <t>сборка гидронасоса</t>
  </si>
  <si>
    <t>свайтех</t>
  </si>
  <si>
    <t>диагностика, замена джойстика</t>
  </si>
  <si>
    <t>двк триплекс</t>
  </si>
  <si>
    <t>стекло триплекс</t>
  </si>
  <si>
    <t>155, 156</t>
  </si>
  <si>
    <t>63-66</t>
  </si>
  <si>
    <t>78885/906/00006/0219</t>
  </si>
  <si>
    <t>78885/906/00005/0219</t>
  </si>
  <si>
    <t>стройпроект</t>
  </si>
  <si>
    <t>018/…1526</t>
  </si>
  <si>
    <t>3267</t>
  </si>
  <si>
    <t>3268</t>
  </si>
  <si>
    <t>1339</t>
  </si>
  <si>
    <t>дог. 46-К1/10-18</t>
  </si>
  <si>
    <t>28.01-01.02</t>
  </si>
  <si>
    <t>1458, 1459, 1410, 1460, 1367, 1461, 1988</t>
  </si>
  <si>
    <t>разные</t>
  </si>
  <si>
    <t>Астрал-отчетность на год</t>
  </si>
  <si>
    <t>тэ_183</t>
  </si>
  <si>
    <t>тепловые потери</t>
  </si>
  <si>
    <t>274</t>
  </si>
  <si>
    <t>276</t>
  </si>
  <si>
    <t>АСК СРО ВСК</t>
  </si>
  <si>
    <t>чл.взносы 4 кв 2018, 1кв 2019</t>
  </si>
  <si>
    <t>пожсинтез</t>
  </si>
  <si>
    <t>расчет оценки пож.риска (ДОУ)</t>
  </si>
  <si>
    <t>дог. 75-18</t>
  </si>
  <si>
    <t>сч5</t>
  </si>
  <si>
    <t>424249</t>
  </si>
  <si>
    <t>СР вода</t>
  </si>
  <si>
    <t xml:space="preserve">удостоверения </t>
  </si>
  <si>
    <t>9233/01/2019</t>
  </si>
  <si>
    <t>дог. 160-18</t>
  </si>
  <si>
    <t>Екатерининская ул. инж-геолог.изыскания</t>
  </si>
  <si>
    <t>017/199618</t>
  </si>
  <si>
    <t>разраб. Битрикс24</t>
  </si>
  <si>
    <t>сз цаи</t>
  </si>
  <si>
    <t>оценка влияния (авиация)</t>
  </si>
  <si>
    <t>тр3928</t>
  </si>
  <si>
    <t>тр 1197900042</t>
  </si>
  <si>
    <t>Коновалова Н.И.</t>
  </si>
  <si>
    <t>возврат пиб 31а-ТК1/12-13г</t>
  </si>
  <si>
    <t>Явкин А.В.</t>
  </si>
  <si>
    <t>возврат пиб 7г-М298/07-14н</t>
  </si>
  <si>
    <t>АДМ восстановление</t>
  </si>
  <si>
    <t>выбросы 2018</t>
  </si>
  <si>
    <t>Алюмстрой</t>
  </si>
  <si>
    <t>дог 164-ШК/04-16</t>
  </si>
  <si>
    <t>Стройтек</t>
  </si>
  <si>
    <t>соглашение</t>
  </si>
  <si>
    <t>возмещ.затрат на стр-во дороги</t>
  </si>
  <si>
    <t>726</t>
  </si>
  <si>
    <t>762</t>
  </si>
  <si>
    <t>763</t>
  </si>
  <si>
    <t>764</t>
  </si>
  <si>
    <t>769</t>
  </si>
  <si>
    <t>774</t>
  </si>
  <si>
    <t>парогенератор 05.02.19</t>
  </si>
  <si>
    <t>473</t>
  </si>
  <si>
    <t>525</t>
  </si>
  <si>
    <t>парогенератор 09.02.19</t>
  </si>
  <si>
    <t>1/ср</t>
  </si>
  <si>
    <t>1/18/03</t>
  </si>
  <si>
    <t>кран РДК</t>
  </si>
  <si>
    <t>72</t>
  </si>
  <si>
    <t>67</t>
  </si>
  <si>
    <t>52</t>
  </si>
  <si>
    <t>горяч.тех.вода</t>
  </si>
  <si>
    <t>колумб, нахимов</t>
  </si>
  <si>
    <t>129</t>
  </si>
  <si>
    <t>375</t>
  </si>
  <si>
    <t>674</t>
  </si>
  <si>
    <t>дт 4500л</t>
  </si>
  <si>
    <t>87</t>
  </si>
  <si>
    <t>5012/10725/1902</t>
  </si>
  <si>
    <t>5015/13334/1902</t>
  </si>
  <si>
    <t>3557</t>
  </si>
  <si>
    <t>4316</t>
  </si>
  <si>
    <t>4317</t>
  </si>
  <si>
    <t>2047</t>
  </si>
  <si>
    <t>ограждения лестниц</t>
  </si>
  <si>
    <t>полоса, арм. 6</t>
  </si>
  <si>
    <t>ограждения лестниц, полоса, арм.6</t>
  </si>
  <si>
    <t>2803</t>
  </si>
  <si>
    <t>арм. 12,16,20,32</t>
  </si>
  <si>
    <t>3166</t>
  </si>
  <si>
    <t>1125</t>
  </si>
  <si>
    <t>1175</t>
  </si>
  <si>
    <t>арм. 10,12,20</t>
  </si>
  <si>
    <t>заглушки</t>
  </si>
  <si>
    <t>кабель, наконечник, светильник..</t>
  </si>
  <si>
    <t>411</t>
  </si>
  <si>
    <t>УШМ</t>
  </si>
  <si>
    <t>клей для мин.ваты</t>
  </si>
  <si>
    <t>1443</t>
  </si>
  <si>
    <t>1474</t>
  </si>
  <si>
    <t>пленка, стремянка, ведро..</t>
  </si>
  <si>
    <t>4930</t>
  </si>
  <si>
    <t>сетка, маркер, канистра..</t>
  </si>
  <si>
    <t>стул, нож, светильник..</t>
  </si>
  <si>
    <t>клещи, штанга…</t>
  </si>
  <si>
    <t>803</t>
  </si>
  <si>
    <t>69</t>
  </si>
  <si>
    <t>замок, нож, ветошь..</t>
  </si>
  <si>
    <t>ветошь, пистолет, лопата..</t>
  </si>
  <si>
    <t>пленка, горелка, тент..</t>
  </si>
  <si>
    <t>колодка, кабель, нож..</t>
  </si>
  <si>
    <t>337</t>
  </si>
  <si>
    <t>Лидер Пром</t>
  </si>
  <si>
    <t>13у</t>
  </si>
  <si>
    <t>31609</t>
  </si>
  <si>
    <t>АДМ камеры Шушары (восстановление после кражи)</t>
  </si>
  <si>
    <t>тр1910</t>
  </si>
  <si>
    <t>1582</t>
  </si>
  <si>
    <t>1643</t>
  </si>
  <si>
    <t>81т</t>
  </si>
  <si>
    <t>04-15фев</t>
  </si>
  <si>
    <t>6184</t>
  </si>
  <si>
    <t>6190</t>
  </si>
  <si>
    <t>1583</t>
  </si>
  <si>
    <t>дог. СП-НВК-4/Л</t>
  </si>
  <si>
    <t>соглас.проектов сетей ВК</t>
  </si>
  <si>
    <t>1620</t>
  </si>
  <si>
    <t>1609</t>
  </si>
  <si>
    <t>13159679</t>
  </si>
  <si>
    <t>40программ</t>
  </si>
  <si>
    <t>дог. 151/14</t>
  </si>
  <si>
    <t>смр итп, уутэ</t>
  </si>
  <si>
    <t>дог. 50-К1/02-19</t>
  </si>
  <si>
    <t>дог. 51-К1/02-19</t>
  </si>
  <si>
    <t>смр нтс</t>
  </si>
  <si>
    <t>019/0168</t>
  </si>
  <si>
    <t>АДМ ноуты 3шт для геодезистов</t>
  </si>
  <si>
    <t>отделка квартиры</t>
  </si>
  <si>
    <t>87, 159</t>
  </si>
  <si>
    <t>28.01, 14.02</t>
  </si>
  <si>
    <t xml:space="preserve">рег. 11.02 , выд. 14.02 </t>
  </si>
  <si>
    <t>комус</t>
  </si>
  <si>
    <t>23648421</t>
  </si>
  <si>
    <t>502397</t>
  </si>
  <si>
    <t>электрика</t>
  </si>
  <si>
    <t>бки-групп</t>
  </si>
  <si>
    <t>программа эколог.контроля</t>
  </si>
  <si>
    <t>программа эколог.контроля ДОУ</t>
  </si>
  <si>
    <t>обучение монтажник</t>
  </si>
  <si>
    <t>петербург аудит</t>
  </si>
  <si>
    <t>аудит 2018</t>
  </si>
  <si>
    <t>3779000/опр-о/311218</t>
  </si>
  <si>
    <t>система гарант февраль-апрель</t>
  </si>
  <si>
    <t>4085</t>
  </si>
  <si>
    <t>насос топливоподкач.</t>
  </si>
  <si>
    <t>44267</t>
  </si>
  <si>
    <t>5100</t>
  </si>
  <si>
    <t>разработка пром.безопасности</t>
  </si>
  <si>
    <t>мир чая и кофе</t>
  </si>
  <si>
    <t>кржки, яайники и тд</t>
  </si>
  <si>
    <t>130201119383</t>
  </si>
  <si>
    <t>130001119366</t>
  </si>
  <si>
    <t>130001119347</t>
  </si>
  <si>
    <t>313201052236</t>
  </si>
  <si>
    <t>в Альбатрос (142л-КАМ3)</t>
  </si>
  <si>
    <t>313001051592</t>
  </si>
  <si>
    <t>313001051727</t>
  </si>
  <si>
    <t>131201025757</t>
  </si>
  <si>
    <t>131001025652</t>
  </si>
  <si>
    <t>1310010256778</t>
  </si>
  <si>
    <t>308201058172</t>
  </si>
  <si>
    <t>308001057861</t>
  </si>
  <si>
    <t>308001057732</t>
  </si>
  <si>
    <t>351201052259</t>
  </si>
  <si>
    <t>351001051857</t>
  </si>
  <si>
    <t>351001051587</t>
  </si>
  <si>
    <t>регтайм</t>
  </si>
  <si>
    <t>42758</t>
  </si>
  <si>
    <t>АДМ разное в ОП Мурино</t>
  </si>
  <si>
    <t>24.01-08.02</t>
  </si>
  <si>
    <t>1090, 1140, 2084, 2085, 2086, 2178, 2087, 2257, 2088, 2373</t>
  </si>
  <si>
    <t>Алнек Е.В.</t>
  </si>
  <si>
    <t>возврат пиб 200в-26-01-15 (АСС)</t>
  </si>
  <si>
    <t>Тимофеева М.А.</t>
  </si>
  <si>
    <t>возврат пиб 289г-М298/04-14н</t>
  </si>
  <si>
    <t>346</t>
  </si>
  <si>
    <t>279-282</t>
  </si>
  <si>
    <t>Выст.Пав</t>
  </si>
  <si>
    <t>дог. 116-МГ/02-19</t>
  </si>
  <si>
    <t xml:space="preserve">мытье помещений </t>
  </si>
  <si>
    <t>Потапова Н.Ф.</t>
  </si>
  <si>
    <t>расторжение дду 91г-ТРИ2/05-18ан</t>
  </si>
  <si>
    <t>19/01/17</t>
  </si>
  <si>
    <t>19/01/47</t>
  </si>
  <si>
    <t>19/02/12</t>
  </si>
  <si>
    <t>308706004943</t>
  </si>
  <si>
    <t>130706004427</t>
  </si>
  <si>
    <t>кровля и изоляция (за ВИП Балтик Инжиниринг)</t>
  </si>
  <si>
    <t>по письму 44 счет 1439 керамзит</t>
  </si>
  <si>
    <t>авалон (за ВИП Балтик Инжиниринг)</t>
  </si>
  <si>
    <t>по письму 43 счет 19013101 сетка базальтовая</t>
  </si>
  <si>
    <t>фактум с-з (за ВИП Балтик Инжиниринг)</t>
  </si>
  <si>
    <t>по письму 46 счет 79 икопал, вилла текс, мембрана</t>
  </si>
  <si>
    <t>талан (за ВИП Балтик Инжиниринг)</t>
  </si>
  <si>
    <t>по письму 45 счет 1121 роквул</t>
  </si>
  <si>
    <t>по письму 47 счет 031 расходка</t>
  </si>
  <si>
    <t>по письму 48 счет 62 плитка тротуарная</t>
  </si>
  <si>
    <t>абт-групп (за ВИП Балтик Инжиниринг)</t>
  </si>
  <si>
    <t>по письму 49 счет 336/1 арм8</t>
  </si>
  <si>
    <t>север (за ВИП Балтик Инжиниринг)</t>
  </si>
  <si>
    <t>по письму 50 счет1 цпс</t>
  </si>
  <si>
    <t>Петрова Н.В.</t>
  </si>
  <si>
    <t>возврат пиб 43б-БФ/01-17г</t>
  </si>
  <si>
    <t>Турлянская Н.М.</t>
  </si>
  <si>
    <t>возврат пиб 434б-БФ/03-15г</t>
  </si>
  <si>
    <t>Егоров И.А.</t>
  </si>
  <si>
    <t>возврат пиб 44б-БФ/02-14г</t>
  </si>
  <si>
    <t>Комиссаров Р.В.</t>
  </si>
  <si>
    <t>возврат пиб 199б-БФ/09-14г</t>
  </si>
  <si>
    <t>возврат пиб 120б-БФ/12-14г</t>
  </si>
  <si>
    <t>Иванова К.А.</t>
  </si>
  <si>
    <t>Дятлова О.В.</t>
  </si>
  <si>
    <t>возврат пиб 205б-БФ/08-14г</t>
  </si>
  <si>
    <t>тэ_308</t>
  </si>
  <si>
    <t>43690</t>
  </si>
  <si>
    <t>АДМ мфу kyocera в ОКС 5эт</t>
  </si>
  <si>
    <t>43691</t>
  </si>
  <si>
    <t>АДМ мфу принтер ОП секретари</t>
  </si>
  <si>
    <t>дог. 78-1523-37608</t>
  </si>
  <si>
    <t>дог. 78-15-0006/с</t>
  </si>
  <si>
    <t>дог. 366-ТК/01-19</t>
  </si>
  <si>
    <t>дог. 345-М43/05-18</t>
  </si>
  <si>
    <t>тр 3542290011</t>
  </si>
  <si>
    <t xml:space="preserve">мурино </t>
  </si>
  <si>
    <t>ОП хоз.товары</t>
  </si>
  <si>
    <t>5/то…02178</t>
  </si>
  <si>
    <t>Ильченко О.В.</t>
  </si>
  <si>
    <t>Георгиев Г.Р.</t>
  </si>
  <si>
    <t>возврат пиб 95б-БФ/03-14н</t>
  </si>
  <si>
    <t>возврат пиб 224б-БФ/06-16ан</t>
  </si>
  <si>
    <t>Иванов С.Б.</t>
  </si>
  <si>
    <t>возврат пиб 333б-БФ/04-14н</t>
  </si>
  <si>
    <t>Александров А.А.</t>
  </si>
  <si>
    <t>возврат пиб 96е-ВНф/06-12г</t>
  </si>
  <si>
    <t>352</t>
  </si>
  <si>
    <t>техноиндустрия</t>
  </si>
  <si>
    <t>насос 2шт</t>
  </si>
  <si>
    <t>+ типанова</t>
  </si>
  <si>
    <t>февраль, март</t>
  </si>
  <si>
    <t>6522729</t>
  </si>
  <si>
    <t>рег-ция домена Дефанс… (типанова)</t>
  </si>
  <si>
    <t>1423</t>
  </si>
  <si>
    <t>тр 570165</t>
  </si>
  <si>
    <t>ВС 01-15.02</t>
  </si>
  <si>
    <t>прометей</t>
  </si>
  <si>
    <t>28009</t>
  </si>
  <si>
    <t>выдача ТУ РАСЦО</t>
  </si>
  <si>
    <t>28010</t>
  </si>
  <si>
    <t>энергорегионразвития</t>
  </si>
  <si>
    <t>выдача заключения по энергоустановкам</t>
  </si>
  <si>
    <t>дог.579/L-317-30/10</t>
  </si>
  <si>
    <t>дог.577/L-317-30/10</t>
  </si>
  <si>
    <t>проект ремонта фасада аванс</t>
  </si>
  <si>
    <t>дог. ОБ-622</t>
  </si>
  <si>
    <t>дог. 149-18</t>
  </si>
  <si>
    <t>сч14</t>
  </si>
  <si>
    <t>357, 358</t>
  </si>
  <si>
    <t>дог. 405-М36/02-19</t>
  </si>
  <si>
    <t>ремонт дверей</t>
  </si>
  <si>
    <t>шушары 2990</t>
  </si>
  <si>
    <t>дог. 35-18</t>
  </si>
  <si>
    <t>сч17</t>
  </si>
  <si>
    <t>812</t>
  </si>
  <si>
    <t>813</t>
  </si>
  <si>
    <t>814</t>
  </si>
  <si>
    <t>815</t>
  </si>
  <si>
    <t>816</t>
  </si>
  <si>
    <t>818</t>
  </si>
  <si>
    <t>820</t>
  </si>
  <si>
    <t>549</t>
  </si>
  <si>
    <t>парогенератор 13.02.19</t>
  </si>
  <si>
    <t>парогенератор 14.02.19</t>
  </si>
  <si>
    <t>1/алеф</t>
  </si>
  <si>
    <t>3/лм</t>
  </si>
  <si>
    <t>1/15/09</t>
  </si>
  <si>
    <t>1/22/01</t>
  </si>
  <si>
    <t>1/31/13</t>
  </si>
  <si>
    <t>1/31/19</t>
  </si>
  <si>
    <t>2/09/01</t>
  </si>
  <si>
    <t>2/11/01</t>
  </si>
  <si>
    <t>2/12/05</t>
  </si>
  <si>
    <t>автокран 70т</t>
  </si>
  <si>
    <t>2/14/02</t>
  </si>
  <si>
    <t>2/15/07</t>
  </si>
  <si>
    <t>2/15/14</t>
  </si>
  <si>
    <t>шушары 3005, йога 2/2</t>
  </si>
  <si>
    <t>парогенератор</t>
  </si>
  <si>
    <t>шушары 3005, колумб</t>
  </si>
  <si>
    <t>246</t>
  </si>
  <si>
    <t>9152016330</t>
  </si>
  <si>
    <t>3980</t>
  </si>
  <si>
    <t>6452</t>
  </si>
  <si>
    <t>13с</t>
  </si>
  <si>
    <t>ремонт РМ25</t>
  </si>
  <si>
    <t>дт 1500л</t>
  </si>
  <si>
    <t>дт 2700л</t>
  </si>
  <si>
    <t>5468/1</t>
  </si>
  <si>
    <t>закладн.деталь, арм. 6</t>
  </si>
  <si>
    <t>91/1</t>
  </si>
  <si>
    <t>пластина, уголок</t>
  </si>
  <si>
    <t>123/1</t>
  </si>
  <si>
    <t>136/1</t>
  </si>
  <si>
    <t>137/1</t>
  </si>
  <si>
    <t>189/1</t>
  </si>
  <si>
    <t>218/1</t>
  </si>
  <si>
    <t>лист ПВЛ</t>
  </si>
  <si>
    <t>260/1</t>
  </si>
  <si>
    <t>пандус</t>
  </si>
  <si>
    <t>330</t>
  </si>
  <si>
    <t>ограждение лестниц</t>
  </si>
  <si>
    <t>арм. 3,16, проволока 1,2</t>
  </si>
  <si>
    <t>3768</t>
  </si>
  <si>
    <t>1236</t>
  </si>
  <si>
    <t>1235</t>
  </si>
  <si>
    <t>1345</t>
  </si>
  <si>
    <t>1368</t>
  </si>
  <si>
    <t>арм. 10,25</t>
  </si>
  <si>
    <t>1370</t>
  </si>
  <si>
    <t>1371</t>
  </si>
  <si>
    <t>1402</t>
  </si>
  <si>
    <t>арм. 12,16,20, проволока</t>
  </si>
  <si>
    <t>арм. 16,20,25</t>
  </si>
  <si>
    <t>ТЭНы</t>
  </si>
  <si>
    <t>507</t>
  </si>
  <si>
    <t>провод, вибронаконечник</t>
  </si>
  <si>
    <t>кабель, рубильник, светильник..</t>
  </si>
  <si>
    <t>светильник, УЗО, розетка..</t>
  </si>
  <si>
    <t>599</t>
  </si>
  <si>
    <t>3821</t>
  </si>
  <si>
    <t>бетоносмеситель</t>
  </si>
  <si>
    <t>2024</t>
  </si>
  <si>
    <t>клей для плитки</t>
  </si>
  <si>
    <t>1918</t>
  </si>
  <si>
    <t>краска, диск, зубило..</t>
  </si>
  <si>
    <t>2033</t>
  </si>
  <si>
    <t>пена, дюбель, пленка..</t>
  </si>
  <si>
    <t>6364</t>
  </si>
  <si>
    <t>саморез, пленка, рулетка..</t>
  </si>
  <si>
    <t>760</t>
  </si>
  <si>
    <t>778</t>
  </si>
  <si>
    <t>бирка, шпингалет, эмаль..</t>
  </si>
  <si>
    <t>лопата</t>
  </si>
  <si>
    <t>щетки, саморез, электрод..</t>
  </si>
  <si>
    <t>пленка, тепл.пушка, профиль..</t>
  </si>
  <si>
    <t>вагонка, стул, плинтус</t>
  </si>
  <si>
    <t>стремянка, герметик, сверло..</t>
  </si>
  <si>
    <t>6914</t>
  </si>
  <si>
    <t>6982</t>
  </si>
  <si>
    <t>7568</t>
  </si>
  <si>
    <t>272</t>
  </si>
  <si>
    <t>2477</t>
  </si>
  <si>
    <t xml:space="preserve">сетка </t>
  </si>
  <si>
    <t>366</t>
  </si>
  <si>
    <t>822, 1664</t>
  </si>
  <si>
    <t>дог.578/L-317-30/10</t>
  </si>
  <si>
    <t>русьстрой</t>
  </si>
  <si>
    <t>авт.насосная станция в комплекте</t>
  </si>
  <si>
    <t>582/до</t>
  </si>
  <si>
    <t>обучение ОТ, пожарка 2чел</t>
  </si>
  <si>
    <t>07-02/19</t>
  </si>
  <si>
    <t>1308/20</t>
  </si>
  <si>
    <t>327681776</t>
  </si>
  <si>
    <t>Главбух эл.ж-л июль19-июнь20</t>
  </si>
  <si>
    <t>Нотариус Русакова Л.А.</t>
  </si>
  <si>
    <t>СК Сбербанк Страхование</t>
  </si>
  <si>
    <t>…5922/1</t>
  </si>
  <si>
    <t>страх.взнос</t>
  </si>
  <si>
    <t>1993349235</t>
  </si>
  <si>
    <t>обслуживание 12мес</t>
  </si>
  <si>
    <t>Бюро Инвестиц.Оценки</t>
  </si>
  <si>
    <t>фон-истэйт</t>
  </si>
  <si>
    <t>оценка</t>
  </si>
  <si>
    <t>фильтр, клапан, РВД..</t>
  </si>
  <si>
    <t>вырица</t>
  </si>
  <si>
    <t>121475/8</t>
  </si>
  <si>
    <t>дог. 90/11, дог. 91/11</t>
  </si>
  <si>
    <t>05.11.12, 08.07.13</t>
  </si>
  <si>
    <t>дог 05/05/ТП-2017</t>
  </si>
  <si>
    <t>дог. 01-ПД/19</t>
  </si>
  <si>
    <t>компл.уборка дорог</t>
  </si>
  <si>
    <t>февраль март апрель</t>
  </si>
  <si>
    <t>астра-техно СЗ</t>
  </si>
  <si>
    <t>выезд спец-та, запчасти</t>
  </si>
  <si>
    <t>21601</t>
  </si>
  <si>
    <t>автокран 25, 130тн</t>
  </si>
  <si>
    <t>4678</t>
  </si>
  <si>
    <t>гайковерт в комплекте</t>
  </si>
  <si>
    <t>4677</t>
  </si>
  <si>
    <t>перфоратор, термопистолет, кувалда, щупы</t>
  </si>
  <si>
    <t>ремстройсервис ЛО (за ремстройсервис спб)</t>
  </si>
  <si>
    <t>шпунт смр</t>
  </si>
  <si>
    <t>дог. 143-Т/10-15</t>
  </si>
  <si>
    <t>шпунтовая компания</t>
  </si>
  <si>
    <t>дог. 33-Б3/12-17</t>
  </si>
  <si>
    <t>дог. 26-Б3/08-17</t>
  </si>
  <si>
    <t>смр трубная разводка</t>
  </si>
  <si>
    <t>дог. 37-Б3/02-18</t>
  </si>
  <si>
    <t>СМУ-07</t>
  </si>
  <si>
    <t>смр котлован, срубка свай</t>
  </si>
  <si>
    <t>дог. 56-Б3/09-18</t>
  </si>
  <si>
    <t>сириус</t>
  </si>
  <si>
    <t>дог. 43-БУ/04-18</t>
  </si>
  <si>
    <t>дог. 17-Б3/03-17</t>
  </si>
  <si>
    <t>росшпунт</t>
  </si>
  <si>
    <t>шпунт аренда</t>
  </si>
  <si>
    <t>дог. 16-Б3/03-17</t>
  </si>
  <si>
    <t>дог. 22-Б3/06-17</t>
  </si>
  <si>
    <t>пск геострой</t>
  </si>
  <si>
    <t>дог. 1-Т/08-16</t>
  </si>
  <si>
    <t>дог. 17-БУ/04-17</t>
  </si>
  <si>
    <t>дог. 9-БУ/01-17</t>
  </si>
  <si>
    <t xml:space="preserve">смр </t>
  </si>
  <si>
    <t>дог. 4-БУ/09-16</t>
  </si>
  <si>
    <t>резерв 678тр</t>
  </si>
  <si>
    <t>смр ограждающие с. 5-8, дду</t>
  </si>
  <si>
    <t>дог. 52-Б3/07-18</t>
  </si>
  <si>
    <t>дог. 23-Т/07-17</t>
  </si>
  <si>
    <t>дог. 3-БУ/09-16</t>
  </si>
  <si>
    <t>дог. 27-Б3/09-17</t>
  </si>
  <si>
    <t>дог. 62-БУ/11-18</t>
  </si>
  <si>
    <t>смр гидроизоляция бет.подг.</t>
  </si>
  <si>
    <t>дог. 28-Т/09-17</t>
  </si>
  <si>
    <t>смр гидроизоляция фунд.плиты</t>
  </si>
  <si>
    <t>дог. 02-Т/08-16</t>
  </si>
  <si>
    <t>смр каркас с. 6-7</t>
  </si>
  <si>
    <t>дог. 51-Т/06-18</t>
  </si>
  <si>
    <t>дог. 63-Б3/12-18</t>
  </si>
  <si>
    <t>БСК</t>
  </si>
  <si>
    <t>дог. 58-Т/10-18</t>
  </si>
  <si>
    <t>дог. 29-Б3/09-17</t>
  </si>
  <si>
    <t>Арти</t>
  </si>
  <si>
    <t>дог. 46-БУ/05-18</t>
  </si>
  <si>
    <t>дог. 53-БУ/07-18</t>
  </si>
  <si>
    <t>дог. 64-Т/01-19</t>
  </si>
  <si>
    <t>фосса</t>
  </si>
  <si>
    <t>дог. ПС-01/17</t>
  </si>
  <si>
    <t>дог. 31-БУ/12-17</t>
  </si>
  <si>
    <t>вынос наружной связи</t>
  </si>
  <si>
    <t>дог. 38-Б3/03-18</t>
  </si>
  <si>
    <t>орбита</t>
  </si>
  <si>
    <t>дог. 41-БУ/04-18</t>
  </si>
  <si>
    <t>дог. 45-Т/05-18</t>
  </si>
  <si>
    <t>вынос ТС</t>
  </si>
  <si>
    <t>дог. 40-БУ/03-18</t>
  </si>
  <si>
    <t>дог. 39-БУ/03-18</t>
  </si>
  <si>
    <t>смр ИТП, УУТЭ</t>
  </si>
  <si>
    <t>дог. 34-БУ/01-18</t>
  </si>
  <si>
    <t>дог. 49-Т/06-18</t>
  </si>
  <si>
    <t>смр внутр.сети с. 1-4</t>
  </si>
  <si>
    <t>дог. 59-Т/10-18</t>
  </si>
  <si>
    <t>смр внутр.сети с. 5-7</t>
  </si>
  <si>
    <t>дог. 60-Т/10-18</t>
  </si>
  <si>
    <t>смр КЛ 0,4</t>
  </si>
  <si>
    <t>дог. 57-Т/10-18</t>
  </si>
  <si>
    <t>дог. 42-Т/04-18</t>
  </si>
  <si>
    <t>дог. 32-БУ/11-17</t>
  </si>
  <si>
    <t>ПГС-групп</t>
  </si>
  <si>
    <t>350499828</t>
  </si>
  <si>
    <t>6531621</t>
  </si>
  <si>
    <t>свид-во о регистрации домена</t>
  </si>
  <si>
    <t>КМД</t>
  </si>
  <si>
    <t>дог. 47-К1/11-18</t>
  </si>
  <si>
    <t>мурино  2</t>
  </si>
  <si>
    <t>спарта</t>
  </si>
  <si>
    <t>технадзор стр-во дороги (Грант)</t>
  </si>
  <si>
    <t>ОЭК</t>
  </si>
  <si>
    <t>эл/энергия расчет (01.08-21.02)</t>
  </si>
  <si>
    <t>тр2370</t>
  </si>
  <si>
    <t>петрошина</t>
  </si>
  <si>
    <t>8363</t>
  </si>
  <si>
    <t>ГАЗЕЛЬ шиномонтаж</t>
  </si>
  <si>
    <t>ГЕОД отражатели</t>
  </si>
  <si>
    <t>единый стр.портал</t>
  </si>
  <si>
    <t>семинар Чумиков</t>
  </si>
  <si>
    <t>???</t>
  </si>
  <si>
    <t>Мусатов Д.А.</t>
  </si>
  <si>
    <t>расторжение пай 94в-ВИТ2/02-18г</t>
  </si>
  <si>
    <t>дата расторжения</t>
  </si>
  <si>
    <t>Горбунов Д.Д.</t>
  </si>
  <si>
    <t>расторжение пай 141е-ВИТ3/07-16г</t>
  </si>
  <si>
    <t>Шапошник Д.В.</t>
  </si>
  <si>
    <t>возврат переплаты 404б-БФ/12-16ан</t>
  </si>
  <si>
    <t>тр 3123640045</t>
  </si>
  <si>
    <t>тр 3124790044</t>
  </si>
  <si>
    <t>тр100</t>
  </si>
  <si>
    <t>ГЕОД ремонт эл.тахеометра</t>
  </si>
  <si>
    <t>Рег.С-З межотрасл. Аттест.центр</t>
  </si>
  <si>
    <t>69/02сп</t>
  </si>
  <si>
    <t>тр3918</t>
  </si>
  <si>
    <t>тр2345</t>
  </si>
  <si>
    <t>ск-строй</t>
  </si>
  <si>
    <t>дог. 370-М47/02-19</t>
  </si>
  <si>
    <t>чист.отделка квартиры</t>
  </si>
  <si>
    <t>автокран 25, 32, 130тн</t>
  </si>
  <si>
    <t>20904</t>
  </si>
  <si>
    <t>дог. П-130.Э</t>
  </si>
  <si>
    <t>рассм.паспортов тепл.с-м и ИТП</t>
  </si>
  <si>
    <t>0102-4</t>
  </si>
  <si>
    <t>04-22фев</t>
  </si>
  <si>
    <t>0102-2</t>
  </si>
  <si>
    <t>0102-23</t>
  </si>
  <si>
    <t>0102-5</t>
  </si>
  <si>
    <t>экспертиза пром.безопасности ГП</t>
  </si>
  <si>
    <t>ремонт редуктора гайковерта</t>
  </si>
  <si>
    <t>диагностика гайковерта</t>
  </si>
  <si>
    <t>714</t>
  </si>
  <si>
    <t>альтаир проект</t>
  </si>
  <si>
    <t>дог. 204-Т/11-16 от 08.11.2016 г. (РД внеш.ЭС Тореза)</t>
  </si>
  <si>
    <t>дог. 315-Т/04-18 от 04.04.2018 г. (РД инженерия Тореза)</t>
  </si>
  <si>
    <t>дог. 189-М47/10-16 от 05.10.2016 г. (Мурино-47 к.3 Инженерия РД)</t>
  </si>
  <si>
    <t>дог. 190-М47/10-16 от 05.10.2016 г. (Мурино-47 к.4 Инженерия РД)</t>
  </si>
  <si>
    <t>дог. 191-М47/10-16 от 05.10.2016 г. (Мурино-47 к.5 Инженерия РД)</t>
  </si>
  <si>
    <t>дог. 114-М47/11-15 от 20.11.2016 г. (РД ИР Мурино-47 к.1)</t>
  </si>
  <si>
    <t>лсу-проект</t>
  </si>
  <si>
    <t>богатырь 3</t>
  </si>
  <si>
    <t>шушары 22</t>
  </si>
  <si>
    <t>мур43, мур48</t>
  </si>
  <si>
    <t>12021204</t>
  </si>
  <si>
    <t>ДОПЛАТА</t>
  </si>
  <si>
    <t>Изотенко Т.Н.</t>
  </si>
  <si>
    <t>возврат пиб 124-БФ/02-14н</t>
  </si>
  <si>
    <t>Жук В.С.</t>
  </si>
  <si>
    <t>Дорофеева С.И.</t>
  </si>
  <si>
    <t>возврат пиб 18а-БФ/02-17г</t>
  </si>
  <si>
    <t>Гришанова Д.С.</t>
  </si>
  <si>
    <t>возврат пиб 146б-БФ/04-16г</t>
  </si>
  <si>
    <t>Плехванов Е.И.</t>
  </si>
  <si>
    <t>возврат пиб 40б-БФ/04-14г</t>
  </si>
  <si>
    <t>Скороходова Е.Е.</t>
  </si>
  <si>
    <t>возврат пиб 10а-ТК1/02-14ан</t>
  </si>
  <si>
    <t>возврат пиб 97к-ТК2/02-14г</t>
  </si>
  <si>
    <t>Лаптев С.Е.</t>
  </si>
  <si>
    <t>возврат пиб 356б-БФ/11-14н</t>
  </si>
  <si>
    <t>Балакай Н.С.</t>
  </si>
  <si>
    <t>возврат пиб 56а-БФ/03-14г</t>
  </si>
  <si>
    <t>Вдовенко С.В.</t>
  </si>
  <si>
    <t>возврат пиб 173б-БФ/03-14г</t>
  </si>
  <si>
    <t>Шеставин А.А.</t>
  </si>
  <si>
    <t>возврат пиб 121б-БФ/09-15ан</t>
  </si>
  <si>
    <t>Щеголев И.А.</t>
  </si>
  <si>
    <t>возврат пиб 54в-М298/04-15н (АСС)</t>
  </si>
  <si>
    <t>Шихова Н.Ю.</t>
  </si>
  <si>
    <t>возврат пиб 257в-БФ/04-14г</t>
  </si>
  <si>
    <t>Казаченок Г.Б.</t>
  </si>
  <si>
    <t>возврат пиб 254б-БФ/12-14г</t>
  </si>
  <si>
    <t>Комлева Е.В.</t>
  </si>
  <si>
    <t>возврат переплаты 44е-БГТ/09-16н</t>
  </si>
  <si>
    <t>Лохматов А.С.</t>
  </si>
  <si>
    <t>возврат пиб 284в-М298/09-14н (АСС)</t>
  </si>
  <si>
    <t>Лазарян А.В.</t>
  </si>
  <si>
    <t>возврат пиб 136е-ВНф/09-16ан</t>
  </si>
  <si>
    <t>Семенов К.М.</t>
  </si>
  <si>
    <t>возврат пиб 303б-БФ/12-15г</t>
  </si>
  <si>
    <t>Филатова Е.П.</t>
  </si>
  <si>
    <t>возврат пиб 124а-БФ/02-14г</t>
  </si>
  <si>
    <t>Романов В.Г.</t>
  </si>
  <si>
    <t>возврат пиб 279б-БФ/10-14ан</t>
  </si>
  <si>
    <t>Соколов Д.Е.</t>
  </si>
  <si>
    <t>возврат пиб 131л-ТК3/12-14г</t>
  </si>
  <si>
    <t>облстройинвест</t>
  </si>
  <si>
    <t>строит.контроль</t>
  </si>
  <si>
    <t>Шопенко М.П.</t>
  </si>
  <si>
    <t>возврат пиб 3в-08-07-15 (АСС)</t>
  </si>
  <si>
    <t>Пакулина Е.В.</t>
  </si>
  <si>
    <t>возврат пиб 69б-БФ/02-14г</t>
  </si>
  <si>
    <t>Родионова И.И.</t>
  </si>
  <si>
    <t>возврат пиб 26л-ТК3/02-14г</t>
  </si>
  <si>
    <t>398</t>
  </si>
  <si>
    <t>179, 180</t>
  </si>
  <si>
    <t>188, 189</t>
  </si>
  <si>
    <t>87, 88</t>
  </si>
  <si>
    <t>1993363222</t>
  </si>
  <si>
    <t>эви-строй</t>
  </si>
  <si>
    <t>1993363258</t>
  </si>
  <si>
    <t>1993363343</t>
  </si>
  <si>
    <t>1993363434</t>
  </si>
  <si>
    <t>122</t>
  </si>
  <si>
    <t>тр1329740004</t>
  </si>
  <si>
    <t xml:space="preserve">дт </t>
  </si>
  <si>
    <t>инструментПрофСервис</t>
  </si>
  <si>
    <t>спб6</t>
  </si>
  <si>
    <t>ремонт АБН</t>
  </si>
  <si>
    <t>дог. 165/15-РД</t>
  </si>
  <si>
    <t>дог. 06819/лк</t>
  </si>
  <si>
    <t>использование трубопр-да для врезки</t>
  </si>
  <si>
    <t>12026271</t>
  </si>
  <si>
    <t>дог. 16/01/ТП-2019</t>
  </si>
  <si>
    <t>присоединение эл.сети (времянка)</t>
  </si>
  <si>
    <t>645, 663</t>
  </si>
  <si>
    <t>вода 21шт 7шт</t>
  </si>
  <si>
    <t>1993363328</t>
  </si>
  <si>
    <t>1993363413</t>
  </si>
  <si>
    <t>1993363390</t>
  </si>
  <si>
    <t>1993363354</t>
  </si>
  <si>
    <t>аудит.проверка за 2018г</t>
  </si>
  <si>
    <t>151тр штраф</t>
  </si>
  <si>
    <t>жду отмашку Витя З.</t>
  </si>
  <si>
    <t>не платить (проблемы с налоговой)</t>
  </si>
  <si>
    <t xml:space="preserve">рег. 21.02, выд. 27.02 </t>
  </si>
  <si>
    <t>ПС</t>
  </si>
  <si>
    <t>дг 14</t>
  </si>
  <si>
    <t>демонтаж логотипа НЕМО</t>
  </si>
  <si>
    <t>Запорожченко Я.С.</t>
  </si>
  <si>
    <t>возврат пиб 100б-БФ/03-14г</t>
  </si>
  <si>
    <t>Банник О.И.</t>
  </si>
  <si>
    <t>возврат пиб 166в-м298/12-13г (АСС)</t>
  </si>
  <si>
    <t>Лазутин Е.И.</t>
  </si>
  <si>
    <t>возврат пиб 143в-23-08-13 (АСС)</t>
  </si>
  <si>
    <t>Пайо А.А., А.М.</t>
  </si>
  <si>
    <t>возврат пиб 53б-ТК1/07-14г</t>
  </si>
  <si>
    <t>Дрейман И.А.</t>
  </si>
  <si>
    <t>возврат пиб 47а-ТК1/03-16н</t>
  </si>
  <si>
    <t>ГЕОД ремонт тахеометра</t>
  </si>
  <si>
    <t>97531</t>
  </si>
  <si>
    <t>ано петербургские сезоны</t>
  </si>
  <si>
    <t>спонс.помощь (Эрмитажный театр)</t>
  </si>
  <si>
    <t>дог. 404-М48/02-19</t>
  </si>
  <si>
    <t>смр внутр.сети к. 1-3</t>
  </si>
  <si>
    <t>автокран 25, 32тн</t>
  </si>
  <si>
    <t>21903</t>
  </si>
  <si>
    <t>дока рус, филиал СПб</t>
  </si>
  <si>
    <t>несущая скоба (опалубка)</t>
  </si>
  <si>
    <t>опалубкастройкомплект</t>
  </si>
  <si>
    <t>замок удлиненный (опалубка)</t>
  </si>
  <si>
    <t>тестирование сплошности стволов</t>
  </si>
  <si>
    <t>сз</t>
  </si>
  <si>
    <t>маяк</t>
  </si>
  <si>
    <t>018/…1517</t>
  </si>
  <si>
    <t>контргрузы</t>
  </si>
  <si>
    <t>519349</t>
  </si>
  <si>
    <t>кабель КГ</t>
  </si>
  <si>
    <t>8888</t>
  </si>
  <si>
    <t>8942</t>
  </si>
  <si>
    <t>8303</t>
  </si>
  <si>
    <t>8300</t>
  </si>
  <si>
    <t>1112</t>
  </si>
  <si>
    <t>1113</t>
  </si>
  <si>
    <t>1114</t>
  </si>
  <si>
    <t>1116</t>
  </si>
  <si>
    <t>1117</t>
  </si>
  <si>
    <t>1/09/04</t>
  </si>
  <si>
    <t>1/10/03</t>
  </si>
  <si>
    <t>1/31/20</t>
  </si>
  <si>
    <t>2/02/02</t>
  </si>
  <si>
    <t>9198615008</t>
  </si>
  <si>
    <t>280</t>
  </si>
  <si>
    <t>фара, соледолонагнетатель..</t>
  </si>
  <si>
    <t>НАК Машинери</t>
  </si>
  <si>
    <t>5446</t>
  </si>
  <si>
    <t>база топл.фильтра</t>
  </si>
  <si>
    <t>Автостартер</t>
  </si>
  <si>
    <t>450</t>
  </si>
  <si>
    <t>компл.ремонт груз.генератора</t>
  </si>
  <si>
    <t>газобетон</t>
  </si>
  <si>
    <t>4420</t>
  </si>
  <si>
    <t>6035</t>
  </si>
  <si>
    <t>6283</t>
  </si>
  <si>
    <t>арм. 16,25,28,36</t>
  </si>
  <si>
    <t>1404</t>
  </si>
  <si>
    <t>1449</t>
  </si>
  <si>
    <t>1374</t>
  </si>
  <si>
    <t>1681</t>
  </si>
  <si>
    <t>1679</t>
  </si>
  <si>
    <t>арм. 12,16, проволока</t>
  </si>
  <si>
    <t>арм.16</t>
  </si>
  <si>
    <t>566</t>
  </si>
  <si>
    <t>электрод, пика, рулетка..</t>
  </si>
  <si>
    <t>638</t>
  </si>
  <si>
    <t>кабель, рубильник</t>
  </si>
  <si>
    <t>639</t>
  </si>
  <si>
    <t>изолента, розетка, рубильник..</t>
  </si>
  <si>
    <t>645</t>
  </si>
  <si>
    <t>634</t>
  </si>
  <si>
    <t>пила дисковая</t>
  </si>
  <si>
    <t>704</t>
  </si>
  <si>
    <t>50155</t>
  </si>
  <si>
    <t>линолеум, пена, профиль..</t>
  </si>
  <si>
    <t>1445666</t>
  </si>
  <si>
    <t>раковина, пьедестал, сифон</t>
  </si>
  <si>
    <t>51226</t>
  </si>
  <si>
    <t>потолки, плитка, профиль..</t>
  </si>
  <si>
    <t>56878</t>
  </si>
  <si>
    <t>подоконник, затирка, крестики..</t>
  </si>
  <si>
    <t>2104</t>
  </si>
  <si>
    <t>8088</t>
  </si>
  <si>
    <t>круг, перчатки, зажим..</t>
  </si>
  <si>
    <t>щетки, электроды</t>
  </si>
  <si>
    <t>насос, рукав, лестница..</t>
  </si>
  <si>
    <t>насос, рукав, кабель, изолента…</t>
  </si>
  <si>
    <t>щетка, полукомбинезон</t>
  </si>
  <si>
    <t>насос, нож, отвертка…</t>
  </si>
  <si>
    <t>8749</t>
  </si>
  <si>
    <t>лента перф., дюбель-гвоздь</t>
  </si>
  <si>
    <t>маска, дюбель, маркер, круг..</t>
  </si>
  <si>
    <t>131</t>
  </si>
  <si>
    <t>сверла, перчатки, нож..</t>
  </si>
  <si>
    <t>2476</t>
  </si>
  <si>
    <t>2909</t>
  </si>
  <si>
    <t>2912</t>
  </si>
  <si>
    <t>сетка для армирования</t>
  </si>
  <si>
    <t>274, 284</t>
  </si>
  <si>
    <t>Киричук Р.Ю. и  Т.А.</t>
  </si>
  <si>
    <t>Верхоносцев П.А.</t>
  </si>
  <si>
    <t>расторжение пай 167д-ВИТ3/01-16ан</t>
  </si>
  <si>
    <t>4908/8</t>
  </si>
  <si>
    <t>сч39</t>
  </si>
  <si>
    <t>сч40</t>
  </si>
  <si>
    <t>сч31</t>
  </si>
  <si>
    <t>сч38</t>
  </si>
  <si>
    <t>сч37</t>
  </si>
  <si>
    <t>сч41</t>
  </si>
  <si>
    <t>сч32</t>
  </si>
  <si>
    <t>сч415</t>
  </si>
  <si>
    <t>сч412</t>
  </si>
  <si>
    <t>сч36</t>
  </si>
  <si>
    <t>сч35</t>
  </si>
  <si>
    <t>лг аз лид-88</t>
  </si>
  <si>
    <t>1993375519</t>
  </si>
  <si>
    <t>…3377</t>
  </si>
  <si>
    <t>267</t>
  </si>
  <si>
    <t>эксперт авто</t>
  </si>
  <si>
    <t>акт Кузьмийчук</t>
  </si>
  <si>
    <t>апис</t>
  </si>
  <si>
    <t>ножницы секторные</t>
  </si>
  <si>
    <t>217</t>
  </si>
  <si>
    <t>ОТ психиатр + эл/энцеф. 3+3чел</t>
  </si>
  <si>
    <t>Архипова Е.В.</t>
  </si>
  <si>
    <t>возврат пиб 191а-БФ/03-14г</t>
  </si>
  <si>
    <t>Удачин И.В.</t>
  </si>
  <si>
    <t>расторжение пай 49е-ВИТ3/04-15н</t>
  </si>
  <si>
    <t>дог. 24-Б3/07-17</t>
  </si>
  <si>
    <t>дог. 409-М44/02-19</t>
  </si>
  <si>
    <t xml:space="preserve">смр НВК </t>
  </si>
  <si>
    <t>тех.подключение к тепл.сетям</t>
  </si>
  <si>
    <t>дог 02/17-32</t>
  </si>
  <si>
    <t>дог 02/18-02</t>
  </si>
  <si>
    <t>СР ОТ обучение</t>
  </si>
  <si>
    <t>дог 02/18-03</t>
  </si>
  <si>
    <t>СР страх.премия</t>
  </si>
  <si>
    <t>11-20.02</t>
  </si>
  <si>
    <t>2698, 2699, 2700, 2743, 2701, 2872, 3064</t>
  </si>
  <si>
    <t>646</t>
  </si>
  <si>
    <t>АДМ картридж kyocera в ОКС 5эт</t>
  </si>
  <si>
    <t>61056</t>
  </si>
  <si>
    <t>АДМ ж.диски 6 шт</t>
  </si>
  <si>
    <t>647</t>
  </si>
  <si>
    <t xml:space="preserve">АДМ картридж </t>
  </si>
  <si>
    <t>СПБ Вода</t>
  </si>
  <si>
    <t>дог 244-САМ2/10-16</t>
  </si>
  <si>
    <t>чл.взносы 4кв 2018, 1кв 2019</t>
  </si>
  <si>
    <t>погружение шпунта</t>
  </si>
  <si>
    <t>23863286</t>
  </si>
  <si>
    <t>кресло оф. (708)</t>
  </si>
  <si>
    <t>пф скб контур</t>
  </si>
  <si>
    <t>1993415096</t>
  </si>
  <si>
    <t>дог. 183-Б/09-16</t>
  </si>
  <si>
    <t>корректировка паспортов систем</t>
  </si>
  <si>
    <t>подарок в квадрате</t>
  </si>
  <si>
    <t>карты 3шт по 10тр</t>
  </si>
  <si>
    <t>Виноградов А.В. (на р/с Чуховой Д.С.)</t>
  </si>
  <si>
    <t>расторжение ОУ 151л-ТРИ5</t>
  </si>
  <si>
    <t>дог. 93-МГ/09-18</t>
  </si>
  <si>
    <t>1993417307</t>
  </si>
  <si>
    <t>бтк</t>
  </si>
  <si>
    <t>1993375341</t>
  </si>
  <si>
    <t>1993375438</t>
  </si>
  <si>
    <t>1993375555</t>
  </si>
  <si>
    <t>1993375494</t>
  </si>
  <si>
    <t>1993375386</t>
  </si>
  <si>
    <t>Плешков Л.В.</t>
  </si>
  <si>
    <t>расторжение дду 48к-ТЕР3/01-17г</t>
  </si>
  <si>
    <t>односторон.расторжение</t>
  </si>
  <si>
    <t>испытание грунтов</t>
  </si>
  <si>
    <t>смр врем.эл/снабжение</t>
  </si>
  <si>
    <t>перерасчет июнь2018-январь2019</t>
  </si>
  <si>
    <t>долги</t>
  </si>
  <si>
    <t>РАЙТ юр.услуги</t>
  </si>
  <si>
    <t>мех.помпа</t>
  </si>
  <si>
    <t>83662</t>
  </si>
  <si>
    <t>штифт</t>
  </si>
  <si>
    <t>обучение стропальщик</t>
  </si>
  <si>
    <t>шестерня редуктора</t>
  </si>
  <si>
    <t>опорное крепление баш.крана</t>
  </si>
  <si>
    <t>психиатр + эл/энцеф. 11+11чел</t>
  </si>
  <si>
    <t>медосмотр 7чел</t>
  </si>
  <si>
    <t>буревестник</t>
  </si>
  <si>
    <t>жск смол</t>
  </si>
  <si>
    <t>Ай-Эл-Эм Эдвайзорс</t>
  </si>
  <si>
    <t>поиск клиентов на аренду нежелых помещений</t>
  </si>
  <si>
    <t>10778</t>
  </si>
  <si>
    <t>поддержка сайта</t>
  </si>
  <si>
    <t>190221-654</t>
  </si>
  <si>
    <t>Ютуб</t>
  </si>
  <si>
    <t>11-23март</t>
  </si>
  <si>
    <t>пром</t>
  </si>
  <si>
    <t>дог. 374-САМ2/03-19</t>
  </si>
  <si>
    <t>ОТ (ОТ 11чел)</t>
  </si>
  <si>
    <t>ОТ промбезоп., подъемники 4чел</t>
  </si>
  <si>
    <t>424, 425</t>
  </si>
  <si>
    <t>смоленское</t>
  </si>
  <si>
    <t>дог. 383-М44/09-18</t>
  </si>
  <si>
    <t>отделка спец.пом. к.3</t>
  </si>
  <si>
    <t>йога 2/2, типанова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</si>
  <si>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</si>
  <si>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</si>
  <si>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</si>
  <si>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</si>
  <si>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</si>
  <si>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</si>
  <si>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</si>
  <si>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</si>
  <si>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</si>
  <si>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ЛенОблТранс</t>
  </si>
  <si>
    <t>178/19</t>
  </si>
  <si>
    <t>179/19</t>
  </si>
  <si>
    <t>180/19</t>
  </si>
  <si>
    <t>181/19</t>
  </si>
  <si>
    <t>182/19</t>
  </si>
  <si>
    <t>183/19</t>
  </si>
  <si>
    <t>184/19</t>
  </si>
  <si>
    <t>185/19</t>
  </si>
  <si>
    <t>573</t>
  </si>
  <si>
    <t>парогенератор 15.02.19</t>
  </si>
  <si>
    <t>парогенератор 27.02.19</t>
  </si>
  <si>
    <t>парогенератор 28.02.19</t>
  </si>
  <si>
    <t>парогенератор 01.03.19</t>
  </si>
  <si>
    <t>640</t>
  </si>
  <si>
    <t>654</t>
  </si>
  <si>
    <t>парогенератор 02.03.19</t>
  </si>
  <si>
    <t>660</t>
  </si>
  <si>
    <t>парогенератор 03.03.19</t>
  </si>
  <si>
    <t>парогенератор 04.03.19</t>
  </si>
  <si>
    <t>669</t>
  </si>
  <si>
    <t>2/алеф</t>
  </si>
  <si>
    <t>4/лм</t>
  </si>
  <si>
    <t>2/16/05</t>
  </si>
  <si>
    <t>2/19/05</t>
  </si>
  <si>
    <t>2/21/06</t>
  </si>
  <si>
    <t>2/27/04</t>
  </si>
  <si>
    <t>Сириус</t>
  </si>
  <si>
    <t>СТК-Альянс</t>
  </si>
  <si>
    <t>ПС/ВС/01</t>
  </si>
  <si>
    <t>вывоз снега</t>
  </si>
  <si>
    <t>СтройНерудКомпани</t>
  </si>
  <si>
    <t>299</t>
  </si>
  <si>
    <t>акт 526</t>
  </si>
  <si>
    <t>ТО январь 2018</t>
  </si>
  <si>
    <t>акт 6097</t>
  </si>
  <si>
    <t>ТО июль 2018</t>
  </si>
  <si>
    <t>1223</t>
  </si>
  <si>
    <t>аренда август 2018</t>
  </si>
  <si>
    <t>4236</t>
  </si>
  <si>
    <t>гавань Кап</t>
  </si>
  <si>
    <t>аренда январь</t>
  </si>
  <si>
    <t>912</t>
  </si>
  <si>
    <t>ТО январь (разморозка)</t>
  </si>
  <si>
    <t>ТО январь</t>
  </si>
  <si>
    <t>7481160885</t>
  </si>
  <si>
    <t>дт 38700л</t>
  </si>
  <si>
    <t>Стартер</t>
  </si>
  <si>
    <t>ремонт генератора</t>
  </si>
  <si>
    <t>МашСервис</t>
  </si>
  <si>
    <t>щетка дисковая</t>
  </si>
  <si>
    <t>ЛСР.Стеновые материалы</t>
  </si>
  <si>
    <t>2874</t>
  </si>
  <si>
    <t>2943</t>
  </si>
  <si>
    <t>33028</t>
  </si>
  <si>
    <t>30122</t>
  </si>
  <si>
    <t>261/1</t>
  </si>
  <si>
    <t>пандус подъемный</t>
  </si>
  <si>
    <t>276/1</t>
  </si>
  <si>
    <t>изделия</t>
  </si>
  <si>
    <t>277/1</t>
  </si>
  <si>
    <t>289/1</t>
  </si>
  <si>
    <t>290/1</t>
  </si>
  <si>
    <t>341/1</t>
  </si>
  <si>
    <t>453/1</t>
  </si>
  <si>
    <t>471/1</t>
  </si>
  <si>
    <t xml:space="preserve">деталь </t>
  </si>
  <si>
    <t>576/1</t>
  </si>
  <si>
    <t>577/1</t>
  </si>
  <si>
    <t>578/1</t>
  </si>
  <si>
    <t>579/1</t>
  </si>
  <si>
    <t>617/1</t>
  </si>
  <si>
    <t>арм. 6, деталь</t>
  </si>
  <si>
    <t>618/1</t>
  </si>
  <si>
    <t>полоса, арм. 6,8</t>
  </si>
  <si>
    <t>7048</t>
  </si>
  <si>
    <t>труба э/св</t>
  </si>
  <si>
    <t>4636</t>
  </si>
  <si>
    <t>арм. 36</t>
  </si>
  <si>
    <t>1854</t>
  </si>
  <si>
    <t>1962</t>
  </si>
  <si>
    <t>арм. 8,12,20</t>
  </si>
  <si>
    <t>2058</t>
  </si>
  <si>
    <t>арм. 6,10</t>
  </si>
  <si>
    <t>розетка, вилка, коробка…</t>
  </si>
  <si>
    <t>696</t>
  </si>
  <si>
    <t>кабель, труба, муфта</t>
  </si>
  <si>
    <t>кабель, вилка, изолента..</t>
  </si>
  <si>
    <t>229</t>
  </si>
  <si>
    <t>гидроизол, праймер..</t>
  </si>
  <si>
    <t>57514</t>
  </si>
  <si>
    <t>профиль, сетка, клей..</t>
  </si>
  <si>
    <t>2424</t>
  </si>
  <si>
    <t>Система</t>
  </si>
  <si>
    <t>867</t>
  </si>
  <si>
    <t>930</t>
  </si>
  <si>
    <t>982</t>
  </si>
  <si>
    <t>1099</t>
  </si>
  <si>
    <t>1101</t>
  </si>
  <si>
    <t>1221</t>
  </si>
  <si>
    <t>провод, плоскогубцы, бокорезы…</t>
  </si>
  <si>
    <t>саморез, пленка, насос..</t>
  </si>
  <si>
    <t>10167</t>
  </si>
  <si>
    <t>пистолет, щетки</t>
  </si>
  <si>
    <t>06/02-1</t>
  </si>
  <si>
    <t>брус</t>
  </si>
  <si>
    <t>12/02-1</t>
  </si>
  <si>
    <t>13/02-3</t>
  </si>
  <si>
    <t>18/02-1</t>
  </si>
  <si>
    <t>3497</t>
  </si>
  <si>
    <t>3783</t>
  </si>
  <si>
    <t>3769</t>
  </si>
  <si>
    <t>песок, бой бетона</t>
  </si>
  <si>
    <t>474</t>
  </si>
  <si>
    <t>подписка учетналогиправо 04.19-06.20</t>
  </si>
  <si>
    <t>дог. 55/17/ВО</t>
  </si>
  <si>
    <t>тех.подключение ВО</t>
  </si>
  <si>
    <t>769, 780</t>
  </si>
  <si>
    <t>вода 5шт 24шт</t>
  </si>
  <si>
    <t>дог. 375-М43/05-18</t>
  </si>
  <si>
    <t>дог. 47-ШК/10-17</t>
  </si>
  <si>
    <t>ПНР НВ</t>
  </si>
  <si>
    <t>РЕМАРК субподрядчики</t>
  </si>
  <si>
    <t>дог. 358-Ш42/08-18  (РД врем.ЭС Шуш42)</t>
  </si>
  <si>
    <t>дог. 03-П/17 (РД НВК  Немо)</t>
  </si>
  <si>
    <t>дог. 06-П/17 (РД НВК  Мурино 2)</t>
  </si>
  <si>
    <t>дог. 10-П/16 (РД НВК  Мурино 47)</t>
  </si>
  <si>
    <t>дог. 199/01-18 (РД Тореза)</t>
  </si>
  <si>
    <t>дог. 201/01-18 (РД перекладка Балканы)</t>
  </si>
  <si>
    <t>дог. 147/07-17 (РД Балканы)</t>
  </si>
  <si>
    <t>РД Босфор</t>
  </si>
  <si>
    <t>РД Мурино 47</t>
  </si>
  <si>
    <t>РД Мурино 48</t>
  </si>
  <si>
    <t>РД Мурино 43 к.2</t>
  </si>
  <si>
    <t>РД Мурино 43 к.1</t>
  </si>
  <si>
    <t>РД Вр.Года</t>
  </si>
  <si>
    <t>РД Балканы</t>
  </si>
  <si>
    <t>РД Йога 1</t>
  </si>
  <si>
    <t>РД вынос СС Богатырь3</t>
  </si>
  <si>
    <t>РД Самсон 307</t>
  </si>
  <si>
    <t>РД Мурино 48 к.5</t>
  </si>
  <si>
    <t>РД Шушары 22</t>
  </si>
  <si>
    <t>РД Витамин</t>
  </si>
  <si>
    <t>РД НВК Балканы</t>
  </si>
  <si>
    <t>ск крона, ПГС групп</t>
  </si>
  <si>
    <t>а, пс</t>
  </si>
  <si>
    <t>смр НТС, ИТП, УУТЭ</t>
  </si>
  <si>
    <t>дог. 67-Т/02-19</t>
  </si>
  <si>
    <t>дог. 66-Б/02-19</t>
  </si>
  <si>
    <t>звонить</t>
  </si>
  <si>
    <t>а, л, пс</t>
  </si>
  <si>
    <t>нет</t>
  </si>
  <si>
    <t>АК Электро</t>
  </si>
  <si>
    <t>1312</t>
  </si>
  <si>
    <t>мелочевка</t>
  </si>
  <si>
    <t>м</t>
  </si>
  <si>
    <t>да</t>
  </si>
  <si>
    <t>Инструмент Северо-Запад</t>
  </si>
  <si>
    <t>диски пильные</t>
  </si>
  <si>
    <t>инструмент</t>
  </si>
  <si>
    <t>вибраторы</t>
  </si>
  <si>
    <t>19/02-1</t>
  </si>
  <si>
    <t>27/02-1</t>
  </si>
  <si>
    <t>ЛСР Стеновые</t>
  </si>
  <si>
    <t>фев 2019</t>
  </si>
  <si>
    <t>жб</t>
  </si>
  <si>
    <t>ОГАСТУС</t>
  </si>
  <si>
    <t>т</t>
  </si>
  <si>
    <t>576</t>
  </si>
  <si>
    <t>Римейс</t>
  </si>
  <si>
    <t>19-682</t>
  </si>
  <si>
    <t>19-1181</t>
  </si>
  <si>
    <t>буры</t>
  </si>
  <si>
    <t>19-688</t>
  </si>
  <si>
    <t>С/ПСт/ТУ/08</t>
  </si>
  <si>
    <t>С/ПСт/ТУ/06</t>
  </si>
  <si>
    <t>СНК</t>
  </si>
  <si>
    <t>УАСН0000087</t>
  </si>
  <si>
    <t>УАСН0000055</t>
  </si>
  <si>
    <t>ЮЭ00042422</t>
  </si>
  <si>
    <t>ЮЭ00051098</t>
  </si>
  <si>
    <t>дюбели</t>
  </si>
  <si>
    <t>ЯЭ00040903</t>
  </si>
  <si>
    <t>Паронит</t>
  </si>
  <si>
    <t>ЭкоСан сервис</t>
  </si>
  <si>
    <t>4240</t>
  </si>
  <si>
    <t>аренда МТК</t>
  </si>
  <si>
    <t>п</t>
  </si>
  <si>
    <t>332</t>
  </si>
  <si>
    <t>ТО МТК</t>
  </si>
  <si>
    <t>Энерго-Снаб СПб</t>
  </si>
  <si>
    <t>ЦБ-90</t>
  </si>
  <si>
    <t>кабели</t>
  </si>
  <si>
    <t>арм 20</t>
  </si>
  <si>
    <t>4991</t>
  </si>
  <si>
    <t>5110</t>
  </si>
  <si>
    <t>44511</t>
  </si>
  <si>
    <t>арм 12,28</t>
  </si>
  <si>
    <t>арм 16</t>
  </si>
  <si>
    <t>4465</t>
  </si>
  <si>
    <t>279</t>
  </si>
  <si>
    <t>БЛОК</t>
  </si>
  <si>
    <t>вентблоки</t>
  </si>
  <si>
    <t>пила диск+диски пильные</t>
  </si>
  <si>
    <t>Компания ППШ</t>
  </si>
  <si>
    <t>фанера</t>
  </si>
  <si>
    <t>герметик</t>
  </si>
  <si>
    <t>811</t>
  </si>
  <si>
    <t>09/04-1</t>
  </si>
  <si>
    <t>08/02-1</t>
  </si>
  <si>
    <t>МГСЗ</t>
  </si>
  <si>
    <t>УТ-4002</t>
  </si>
  <si>
    <t>арм 12</t>
  </si>
  <si>
    <t>УТ-93</t>
  </si>
  <si>
    <t>УТ-322</t>
  </si>
  <si>
    <t>арм 10,25,28</t>
  </si>
  <si>
    <t>УТ-415</t>
  </si>
  <si>
    <t>УТ-418</t>
  </si>
  <si>
    <t>арм 16,20</t>
  </si>
  <si>
    <t>3397</t>
  </si>
  <si>
    <t>494</t>
  </si>
  <si>
    <t>513</t>
  </si>
  <si>
    <t>571</t>
  </si>
  <si>
    <t>Пери</t>
  </si>
  <si>
    <t>договор пр. №2</t>
  </si>
  <si>
    <t>15444</t>
  </si>
  <si>
    <t>арм 12,16</t>
  </si>
  <si>
    <t>15912</t>
  </si>
  <si>
    <t>арм 8</t>
  </si>
  <si>
    <t>15168</t>
  </si>
  <si>
    <t>1036</t>
  </si>
  <si>
    <t>арм 6, проволка</t>
  </si>
  <si>
    <t>1375</t>
  </si>
  <si>
    <t>арм 10</t>
  </si>
  <si>
    <t>1399</t>
  </si>
  <si>
    <t>С/ПСт/НМ/04</t>
  </si>
  <si>
    <t>С/ПСт/ТУ/15</t>
  </si>
  <si>
    <t>С/ПСт/ТУ/13</t>
  </si>
  <si>
    <t>С/ПСт/ТУ/28</t>
  </si>
  <si>
    <t>С/ПСт/ТУ/27</t>
  </si>
  <si>
    <t>С/ПСт/ТУ/24/1</t>
  </si>
  <si>
    <t>С/ПСт/ТУ/01</t>
  </si>
  <si>
    <t>С/ПСт/ТУ/03</t>
  </si>
  <si>
    <t>С/ПСт/УЭ/03</t>
  </si>
  <si>
    <t>ЮЭ00153631</t>
  </si>
  <si>
    <t>ДЭ00351421</t>
  </si>
  <si>
    <t>ОЭ00025254</t>
  </si>
  <si>
    <t xml:space="preserve">клей д/блоков </t>
  </si>
  <si>
    <t>ОЭ00025530</t>
  </si>
  <si>
    <t>дюбель д/теплоизоляции</t>
  </si>
  <si>
    <t>ЯЭ00510486</t>
  </si>
  <si>
    <t>УЭ01334908</t>
  </si>
  <si>
    <t>СЭ00653954</t>
  </si>
  <si>
    <t>ЯЭ00521421</t>
  </si>
  <si>
    <t>перчатки</t>
  </si>
  <si>
    <t>ЮЭ00163833</t>
  </si>
  <si>
    <t>ВЭ00625883</t>
  </si>
  <si>
    <t>анкер-шуруп</t>
  </si>
  <si>
    <t>ЯЭ00499385</t>
  </si>
  <si>
    <t>ДЭ00399874</t>
  </si>
  <si>
    <t>геотекстиль</t>
  </si>
  <si>
    <t>УЭ01369613</t>
  </si>
  <si>
    <t>ЯЭ00007409</t>
  </si>
  <si>
    <t>УЭ01401518</t>
  </si>
  <si>
    <t>антифриз</t>
  </si>
  <si>
    <t>ЮЭ00044817</t>
  </si>
  <si>
    <t>ДЭ00028380</t>
  </si>
  <si>
    <t>ДЭ00027548</t>
  </si>
  <si>
    <t>СТК Альянс</t>
  </si>
  <si>
    <t>ПС/ВС/04</t>
  </si>
  <si>
    <t>ПС/ВС/05</t>
  </si>
  <si>
    <t>1096</t>
  </si>
  <si>
    <t>арм 10,16,32</t>
  </si>
  <si>
    <t>арм 10,8,25,28</t>
  </si>
  <si>
    <t>проволка</t>
  </si>
  <si>
    <t>ТК Биоэкология</t>
  </si>
  <si>
    <t>1936</t>
  </si>
  <si>
    <t>разморозка МТК</t>
  </si>
  <si>
    <t>ТНК айс</t>
  </si>
  <si>
    <t>1258</t>
  </si>
  <si>
    <t>соль техническая</t>
  </si>
  <si>
    <t>арм 16, 12</t>
  </si>
  <si>
    <t>735</t>
  </si>
  <si>
    <t>пнсв</t>
  </si>
  <si>
    <t>коробки</t>
  </si>
  <si>
    <t>опора кубик</t>
  </si>
  <si>
    <t>тех.вода</t>
  </si>
  <si>
    <t>723</t>
  </si>
  <si>
    <t>768</t>
  </si>
  <si>
    <t>1110</t>
  </si>
  <si>
    <t>4239</t>
  </si>
  <si>
    <t>336</t>
  </si>
  <si>
    <t>ЭлектроТрейд</t>
  </si>
  <si>
    <t>провод пав 1-10</t>
  </si>
  <si>
    <t>5123</t>
  </si>
  <si>
    <t>1505</t>
  </si>
  <si>
    <t>1790</t>
  </si>
  <si>
    <t>1791</t>
  </si>
  <si>
    <t>1792</t>
  </si>
  <si>
    <t>1793</t>
  </si>
  <si>
    <t>1794</t>
  </si>
  <si>
    <t>19-429</t>
  </si>
  <si>
    <t>диски отрезные</t>
  </si>
  <si>
    <t>19-290</t>
  </si>
  <si>
    <t>У00068885</t>
  </si>
  <si>
    <t>СЭ00551325</t>
  </si>
  <si>
    <t>пленка сантех</t>
  </si>
  <si>
    <t>СЭ00797734</t>
  </si>
  <si>
    <t>гайки</t>
  </si>
  <si>
    <t>СЭ00773055</t>
  </si>
  <si>
    <t>4241</t>
  </si>
  <si>
    <t>а, л, ср, пс</t>
  </si>
  <si>
    <t>2162</t>
  </si>
  <si>
    <t>арм 10 40тн</t>
  </si>
  <si>
    <t>5324</t>
  </si>
  <si>
    <t>5323</t>
  </si>
  <si>
    <t>прокат арматурный в прутках 20тн</t>
  </si>
  <si>
    <t>проект восстановления горизонт-ти опорных площадок</t>
  </si>
  <si>
    <t>инвертер тележки</t>
  </si>
  <si>
    <t>торговый дом амсет</t>
  </si>
  <si>
    <t>диагностика, ремонт</t>
  </si>
  <si>
    <t>промстройсевер</t>
  </si>
  <si>
    <t>13535</t>
  </si>
  <si>
    <t>921</t>
  </si>
  <si>
    <t>1783</t>
  </si>
  <si>
    <t>25-28.02</t>
  </si>
  <si>
    <t>3575, 3576, 3469, 3533, 3577</t>
  </si>
  <si>
    <t>уфк по СПб (СГСНиЭ)</t>
  </si>
  <si>
    <t>статус</t>
  </si>
  <si>
    <t>до 31.07.19</t>
  </si>
  <si>
    <t>дог. 32756/Ч1</t>
  </si>
  <si>
    <t>54926/20</t>
  </si>
  <si>
    <t>49782/20</t>
  </si>
  <si>
    <t>52975/20</t>
  </si>
  <si>
    <t>53014/20</t>
  </si>
  <si>
    <t>1369980127</t>
  </si>
  <si>
    <t>Вахрамеев С.А.</t>
  </si>
  <si>
    <t>возврат пиб 74б-БФ/06-14г</t>
  </si>
  <si>
    <t>доплата разница НДС</t>
  </si>
  <si>
    <t>ОТ обуч.ОТ Юля Ч., Гольцов</t>
  </si>
  <si>
    <t>дог. ТН-4</t>
  </si>
  <si>
    <t>технадзор за стр-вом ТС</t>
  </si>
  <si>
    <t>Аль-Джиджакли Ф.Д.</t>
  </si>
  <si>
    <t>возврат переплаты 51а-ТК1/12-13г</t>
  </si>
  <si>
    <t>ОТ медосмотр</t>
  </si>
  <si>
    <t>роскапстрой</t>
  </si>
  <si>
    <t>повыш.квалиф-ции ЧуНИ</t>
  </si>
  <si>
    <t>173, 174</t>
  </si>
  <si>
    <t>710</t>
  </si>
  <si>
    <t>АДМ ремонт цветного HP</t>
  </si>
  <si>
    <t>Реш. суда от 19.02.19 дело А56-143698/2018</t>
  </si>
  <si>
    <t>дог. ТП-223.Э</t>
  </si>
  <si>
    <t>рассм.проектов итп</t>
  </si>
  <si>
    <t>дог. УУТЭ-224.Э</t>
  </si>
  <si>
    <t>рассм.проектов уутэ</t>
  </si>
  <si>
    <t>дог. ЗД-52</t>
  </si>
  <si>
    <t>измерение электропотенциалов</t>
  </si>
  <si>
    <t>108</t>
  </si>
  <si>
    <t>д13</t>
  </si>
  <si>
    <t>190221-655</t>
  </si>
  <si>
    <t>190221-784</t>
  </si>
  <si>
    <t>190221-785</t>
  </si>
  <si>
    <t>190221-788</t>
  </si>
  <si>
    <t>190221-786</t>
  </si>
  <si>
    <t>190221-790</t>
  </si>
  <si>
    <t>190221-796</t>
  </si>
  <si>
    <t>190221-792</t>
  </si>
  <si>
    <t>190221-793</t>
  </si>
  <si>
    <t>190221-794</t>
  </si>
  <si>
    <t>190221-795</t>
  </si>
  <si>
    <t>190221-797</t>
  </si>
  <si>
    <t>2/лк</t>
  </si>
  <si>
    <t>ТЕХНОЙЛ - изменение реквизитов (альфа-банк)</t>
  </si>
  <si>
    <t>105, 106</t>
  </si>
  <si>
    <t>комсом.правда в СПб</t>
  </si>
  <si>
    <t>spb.kp.ru</t>
  </si>
  <si>
    <t>73-00255-19</t>
  </si>
  <si>
    <t>аргументы и факты петербург</t>
  </si>
  <si>
    <t>44и/19</t>
  </si>
  <si>
    <t>spb.aif.ru</t>
  </si>
  <si>
    <t>ГЕОД сумка для GPS-станции</t>
  </si>
  <si>
    <t>ГЕОД рейка нивелирная</t>
  </si>
  <si>
    <t>тр770017</t>
  </si>
  <si>
    <t>пп радиант</t>
  </si>
  <si>
    <t>межевание уч.612</t>
  </si>
  <si>
    <t>долг 0,22</t>
  </si>
  <si>
    <t>019/0257</t>
  </si>
  <si>
    <t>дог. 19-08/16 СМ</t>
  </si>
  <si>
    <t>1476</t>
  </si>
  <si>
    <t>1979</t>
  </si>
  <si>
    <t>ситимаркет</t>
  </si>
  <si>
    <t>15136</t>
  </si>
  <si>
    <t>АДМ  для ноута</t>
  </si>
  <si>
    <t>5/то…04738</t>
  </si>
  <si>
    <t>190001712</t>
  </si>
  <si>
    <t>25058</t>
  </si>
  <si>
    <t>печать А4</t>
  </si>
  <si>
    <t>радиоград</t>
  </si>
  <si>
    <t>бизнес фм</t>
  </si>
  <si>
    <t>11-22март</t>
  </si>
  <si>
    <t>вып. 8-11 март</t>
  </si>
  <si>
    <t>240т</t>
  </si>
  <si>
    <t>04-15март</t>
  </si>
  <si>
    <t>286, 287</t>
  </si>
  <si>
    <t>78885/906/00010/0319</t>
  </si>
  <si>
    <t>смр двери ДДУ</t>
  </si>
  <si>
    <t>дог. 367-ТК/01-19</t>
  </si>
  <si>
    <t>56259/20</t>
  </si>
  <si>
    <t>106</t>
  </si>
  <si>
    <t>36программ</t>
  </si>
  <si>
    <t>5599</t>
  </si>
  <si>
    <t>6270</t>
  </si>
  <si>
    <t>изг., изм.радиоролика</t>
  </si>
  <si>
    <t>6262</t>
  </si>
  <si>
    <t>13161422</t>
  </si>
  <si>
    <t>гав.капитанов</t>
  </si>
  <si>
    <t>15731</t>
  </si>
  <si>
    <t>30603</t>
  </si>
  <si>
    <t>тр 1878000025</t>
  </si>
  <si>
    <t>тр 7970023</t>
  </si>
  <si>
    <t>тр 8020016</t>
  </si>
  <si>
    <t>тр 900123</t>
  </si>
  <si>
    <t>ВО февраль</t>
  </si>
  <si>
    <t>Реш. суда от 04.02.19 дело А56-137352/2018</t>
  </si>
  <si>
    <t>сверка за 2018</t>
  </si>
  <si>
    <t>2514</t>
  </si>
  <si>
    <t>сч85</t>
  </si>
  <si>
    <t>дог. 40-1319</t>
  </si>
  <si>
    <t>тр1329740005</t>
  </si>
  <si>
    <t>теплосеть спб</t>
  </si>
  <si>
    <t>согласование проекта частичной рек-ции ИТП</t>
  </si>
  <si>
    <t>тр2372</t>
  </si>
  <si>
    <t>тр 570166</t>
  </si>
  <si>
    <t>ВС 16-28.02</t>
  </si>
  <si>
    <t>Вениаминов Г.В.</t>
  </si>
  <si>
    <t>возврат пиб 173г-м298/04-13н</t>
  </si>
  <si>
    <t>Ефанова Н.В.</t>
  </si>
  <si>
    <t>возврат пиб 48а-БФ/05-14г</t>
  </si>
  <si>
    <t>Корнет О.В.</t>
  </si>
  <si>
    <t>возврат пиб 195б-БФ/06-16ан</t>
  </si>
  <si>
    <t>Санковский А.И.</t>
  </si>
  <si>
    <t>возврат пиб 16в-ТК1/04-14г</t>
  </si>
  <si>
    <t>Силаков А.В.</t>
  </si>
  <si>
    <t>возврат пиб 53г-м298/06-13г</t>
  </si>
  <si>
    <t>Орлов И.С.</t>
  </si>
  <si>
    <t>возврат пиб 304б-БФ/10-14г</t>
  </si>
  <si>
    <t>Ушакова В.И.</t>
  </si>
  <si>
    <t>возврат пиб 178б-БФ/06-17г</t>
  </si>
  <si>
    <t>Хохлов С.Н.</t>
  </si>
  <si>
    <t>возврат пиб 23б-БФ/09-17г</t>
  </si>
  <si>
    <t>Сафронова Г.Н.</t>
  </si>
  <si>
    <t>возврат пиб159м-ТК3/06-14г</t>
  </si>
  <si>
    <t>Кудрявцева Н.А.</t>
  </si>
  <si>
    <t>возврат пиб 179б-БФ/09-17г</t>
  </si>
  <si>
    <t>Перевезенцев А.В.</t>
  </si>
  <si>
    <t>возврат пиб 126б-БФ/04-14г</t>
  </si>
  <si>
    <t>Голубева О.Н.</t>
  </si>
  <si>
    <t>возврат пиб 329б-БФ/10-14г</t>
  </si>
  <si>
    <t>Додул А.В.</t>
  </si>
  <si>
    <t>возврат пиб 38а-ТК1/03-15г</t>
  </si>
  <si>
    <t>Шадиева О.В.</t>
  </si>
  <si>
    <t>возврат пиб 20м-ТК3/08-14г</t>
  </si>
  <si>
    <t>Филатова М.П.</t>
  </si>
  <si>
    <t>возврат пиб 96б-БФ/12-14н</t>
  </si>
  <si>
    <t>Сухарев В.Г.</t>
  </si>
  <si>
    <t>возврат пиб 432б-БФ/02-15г</t>
  </si>
  <si>
    <t>Ачкасов В.Ю.</t>
  </si>
  <si>
    <t>возврат пиб 159л-ТК3/09-16г</t>
  </si>
  <si>
    <t>Вишнякова С.Ф.</t>
  </si>
  <si>
    <t>возврат пиб 160л-ТК3/09-16г</t>
  </si>
  <si>
    <t>Мацкевич И.Ю.</t>
  </si>
  <si>
    <t>возврат пиб 55г-м298/03-15ан</t>
  </si>
  <si>
    <t>АДМ ремонт, профилактика мфу</t>
  </si>
  <si>
    <t>23322</t>
  </si>
  <si>
    <t>мтз-сервис</t>
  </si>
  <si>
    <t>1138</t>
  </si>
  <si>
    <t>то, ремонт сварочника</t>
  </si>
  <si>
    <t>Тужиков И.М.</t>
  </si>
  <si>
    <t>возврат пиб 116е-ВНФ/10-12г</t>
  </si>
  <si>
    <t>0203/03св</t>
  </si>
  <si>
    <t>24-29.01, 18-26.02</t>
  </si>
  <si>
    <t>1034, 1228, 1284, 3184, 3185, 3319, 3390</t>
  </si>
  <si>
    <t>щиты ЩС 10шт</t>
  </si>
  <si>
    <t>20дн с рег.</t>
  </si>
  <si>
    <t>Лукас А.А.</t>
  </si>
  <si>
    <t>расторжение дду 203а-БАЛ/10-16г</t>
  </si>
  <si>
    <t>112, 113</t>
  </si>
  <si>
    <t>442, 443</t>
  </si>
  <si>
    <t>ФБК Право</t>
  </si>
  <si>
    <t>юр.сопровождение</t>
  </si>
  <si>
    <t>282</t>
  </si>
  <si>
    <t>май-июнь 2018</t>
  </si>
  <si>
    <t>август-октябрь 2018</t>
  </si>
  <si>
    <t>ноябрь 2018</t>
  </si>
  <si>
    <t>декабрь 2018</t>
  </si>
  <si>
    <t>сч428</t>
  </si>
  <si>
    <t>сч3</t>
  </si>
  <si>
    <t>сч52</t>
  </si>
  <si>
    <t>сч429</t>
  </si>
  <si>
    <t>сч430</t>
  </si>
  <si>
    <t>сч2</t>
  </si>
  <si>
    <t>АСК Нева-Холдинг</t>
  </si>
  <si>
    <t>Благоустройство</t>
  </si>
  <si>
    <t>фронт.погрузчик</t>
  </si>
  <si>
    <t>ИП Осипов</t>
  </si>
  <si>
    <t>1244</t>
  </si>
  <si>
    <t>1245</t>
  </si>
  <si>
    <t>1246</t>
  </si>
  <si>
    <t>1247</t>
  </si>
  <si>
    <t>1249</t>
  </si>
  <si>
    <t>1250</t>
  </si>
  <si>
    <t>1251</t>
  </si>
  <si>
    <t>1252</t>
  </si>
  <si>
    <t>685</t>
  </si>
  <si>
    <t>парогенератор 05.03.19</t>
  </si>
  <si>
    <t>701</t>
  </si>
  <si>
    <t>парогенератор 06.03.19</t>
  </si>
  <si>
    <t>708</t>
  </si>
  <si>
    <t>парогенератор 07.03.19</t>
  </si>
  <si>
    <t>729</t>
  </si>
  <si>
    <t>2/28/16</t>
  </si>
  <si>
    <t>2/28/17</t>
  </si>
  <si>
    <t>2/28/18</t>
  </si>
  <si>
    <t>С/ПСт/ТУ/09</t>
  </si>
  <si>
    <t>С/ПСт/ТУ/10</t>
  </si>
  <si>
    <t>шушары 3005, типанова</t>
  </si>
  <si>
    <t>137</t>
  </si>
  <si>
    <t>шушары 3005, магеллан</t>
  </si>
  <si>
    <t>ПС/ВС/02</t>
  </si>
  <si>
    <t>йога 2/2, колумб, шушары 3005</t>
  </si>
  <si>
    <t>ПС 45, балканы</t>
  </si>
  <si>
    <t>75</t>
  </si>
  <si>
    <t>самосвал, гусен.экскаватор, мини-погрузчик</t>
  </si>
  <si>
    <t>380</t>
  </si>
  <si>
    <t>хомут, ниппель, фитинг..</t>
  </si>
  <si>
    <t>Астра-Техно С-З</t>
  </si>
  <si>
    <t>натяжка цепей привода</t>
  </si>
  <si>
    <t>восстановл.функц.джойстика</t>
  </si>
  <si>
    <t>палец, втулка</t>
  </si>
  <si>
    <t>дт 3850л</t>
  </si>
  <si>
    <t>325</t>
  </si>
  <si>
    <t>381</t>
  </si>
  <si>
    <t>68874</t>
  </si>
  <si>
    <t>7270</t>
  </si>
  <si>
    <t>4040</t>
  </si>
  <si>
    <t>2260</t>
  </si>
  <si>
    <t>провод, трубка, розетка..</t>
  </si>
  <si>
    <t>пила диск., УШМ, щетка</t>
  </si>
  <si>
    <t>2441</t>
  </si>
  <si>
    <t>35376</t>
  </si>
  <si>
    <t>пленка тех.</t>
  </si>
  <si>
    <t>2418</t>
  </si>
  <si>
    <t>затирка, ср-во для послестроит.уборки</t>
  </si>
  <si>
    <t>2844</t>
  </si>
  <si>
    <t>соль тех.</t>
  </si>
  <si>
    <t>клей для ЭПП, стеллаж</t>
  </si>
  <si>
    <t>фанера, пена, лента..</t>
  </si>
  <si>
    <t>провод, лампа</t>
  </si>
  <si>
    <t>11023</t>
  </si>
  <si>
    <t>11024</t>
  </si>
  <si>
    <t>11029</t>
  </si>
  <si>
    <t>дюбель, отвес, бур, шпатель…</t>
  </si>
  <si>
    <t>бур, кран, гвоздь..</t>
  </si>
  <si>
    <t>3905</t>
  </si>
  <si>
    <t>Авалон</t>
  </si>
  <si>
    <t>19030703</t>
  </si>
  <si>
    <t>сетка базальт.</t>
  </si>
  <si>
    <t>сч431</t>
  </si>
  <si>
    <t>сч53</t>
  </si>
  <si>
    <t>сч46</t>
  </si>
  <si>
    <t>782</t>
  </si>
  <si>
    <t>598</t>
  </si>
  <si>
    <t>тр 3124790045</t>
  </si>
  <si>
    <t>тр 3123640046</t>
  </si>
  <si>
    <t>01-07.03</t>
  </si>
  <si>
    <t>4170, 4269, 4213, 4270, 4271, 4307, 4272</t>
  </si>
  <si>
    <t>Алексеева Г.А.</t>
  </si>
  <si>
    <t>возврат пиб 439б-БФ03-17г</t>
  </si>
  <si>
    <t>Рейнберг (была Кострюкина) Е.М.</t>
  </si>
  <si>
    <t>дог 63/18</t>
  </si>
  <si>
    <t>дог. 372-М47/03-19</t>
  </si>
  <si>
    <t>предчист.отделка квартир</t>
  </si>
  <si>
    <t>дог. 408-М48/03-19</t>
  </si>
  <si>
    <t>смр КЛ 0,4, БКТП</t>
  </si>
  <si>
    <t>ПК ПрофБетон</t>
  </si>
  <si>
    <t>возврат пиб 436б-БФ/07-15г</t>
  </si>
  <si>
    <t>возврат пиб 145л-ТК3/10-15ан</t>
  </si>
  <si>
    <t>Крат О.В. ( на р/с Крат М.А.)</t>
  </si>
  <si>
    <t>СР ОТ медосмотр 3чел</t>
  </si>
  <si>
    <t>акрилтек</t>
  </si>
  <si>
    <t>краска акрилтек</t>
  </si>
  <si>
    <t>дог. ЗК-69</t>
  </si>
  <si>
    <t>согласование раздела Коррозия</t>
  </si>
  <si>
    <t>дог. ТС-64</t>
  </si>
  <si>
    <t>рассм.проектов ТС</t>
  </si>
  <si>
    <t>Таранов А.Ф.</t>
  </si>
  <si>
    <t>возврат пиб 335б-БФ/04-14г</t>
  </si>
  <si>
    <t>ЦАКР</t>
  </si>
  <si>
    <t>дог. ТК-190203</t>
  </si>
  <si>
    <t>121, 219</t>
  </si>
  <si>
    <t>Прогресс</t>
  </si>
  <si>
    <t>дог ПРС36/18</t>
  </si>
  <si>
    <t>Катушкина М.В.</t>
  </si>
  <si>
    <t>возврат пиб 403б-БФ/05-13г</t>
  </si>
  <si>
    <t>Сернюк П.Д.</t>
  </si>
  <si>
    <t>возврат пиб 231б-БФ/08-16г</t>
  </si>
  <si>
    <t>тр6007</t>
  </si>
  <si>
    <t>275</t>
  </si>
  <si>
    <t>6827/01</t>
  </si>
  <si>
    <t>ГАЗЕЛЬ масло, фильтр, антифриз и тд</t>
  </si>
  <si>
    <t>инж-эколог.изыскания ДОУ (аммиак)</t>
  </si>
  <si>
    <t>легион (…6161)</t>
  </si>
  <si>
    <t>дог. 266/у</t>
  </si>
  <si>
    <t>корректировка проекта КНС</t>
  </si>
  <si>
    <t>дог. 36/19</t>
  </si>
  <si>
    <t>инж-эколог.изыскания (Инфр-ра)</t>
  </si>
  <si>
    <t>сч58</t>
  </si>
  <si>
    <t>8,4</t>
  </si>
  <si>
    <t>14,4</t>
  </si>
  <si>
    <t>18,84</t>
  </si>
  <si>
    <t>вектор</t>
  </si>
  <si>
    <t>УЗ отпугиватель грызунов</t>
  </si>
  <si>
    <t>401</t>
  </si>
  <si>
    <t>714, 72</t>
  </si>
  <si>
    <t>469, 470</t>
  </si>
  <si>
    <t>452</t>
  </si>
  <si>
    <t>Д.Г.С.</t>
  </si>
  <si>
    <t>ремонт форсунок</t>
  </si>
  <si>
    <t>цезарь сателлит системы безопасности</t>
  </si>
  <si>
    <t>2517</t>
  </si>
  <si>
    <t>охрана ОП Немо монтаж и пнр</t>
  </si>
  <si>
    <t>Боков Е.В.</t>
  </si>
  <si>
    <t>возврат пиб 361б-БФ/04-14г</t>
  </si>
  <si>
    <t>Гунько Л.П.</t>
  </si>
  <si>
    <t>возврат пиб 122б-БФ/02-14г</t>
  </si>
  <si>
    <t>Гущин А.В.</t>
  </si>
  <si>
    <t>возврат пиб 23в-м298/04-15г (АСС)</t>
  </si>
  <si>
    <t>74210</t>
  </si>
  <si>
    <t>АДМ процессор</t>
  </si>
  <si>
    <t>74163</t>
  </si>
  <si>
    <t>АДМ мат.плата, корпус</t>
  </si>
  <si>
    <t>атлас копко</t>
  </si>
  <si>
    <t>503470737</t>
  </si>
  <si>
    <t>ТО компрессоров</t>
  </si>
  <si>
    <t>НАДО</t>
  </si>
  <si>
    <t>79566</t>
  </si>
  <si>
    <t>замена сист.блока кладовщик</t>
  </si>
  <si>
    <t>тр4204</t>
  </si>
  <si>
    <t>тр3264</t>
  </si>
  <si>
    <t>1542</t>
  </si>
  <si>
    <t>огнетушители</t>
  </si>
  <si>
    <t>454</t>
  </si>
  <si>
    <t>281</t>
  </si>
  <si>
    <t>302202076161</t>
  </si>
  <si>
    <t>302002075928</t>
  </si>
  <si>
    <t>302002075966</t>
  </si>
  <si>
    <t>347202078324</t>
  </si>
  <si>
    <t>347002078053</t>
  </si>
  <si>
    <t>347002078003</t>
  </si>
  <si>
    <t>131202023312</t>
  </si>
  <si>
    <t>131002023181</t>
  </si>
  <si>
    <t>131002023230</t>
  </si>
  <si>
    <t>313202076186</t>
  </si>
  <si>
    <t>313002075980</t>
  </si>
  <si>
    <t>313002075912</t>
  </si>
  <si>
    <t>130202117067</t>
  </si>
  <si>
    <t>130002117026</t>
  </si>
  <si>
    <t>130002117040</t>
  </si>
  <si>
    <t>дог. 20-19</t>
  </si>
  <si>
    <t>вынос осей</t>
  </si>
  <si>
    <t>дог. ППНР-236.Э</t>
  </si>
  <si>
    <t>выезд инспектора приемка пнр</t>
  </si>
  <si>
    <t>дог. ППНР-235.Э</t>
  </si>
  <si>
    <t>легион (…5136)</t>
  </si>
  <si>
    <t>РСО Евроинс</t>
  </si>
  <si>
    <t>ОСАГО Газель (в578ум47)</t>
  </si>
  <si>
    <t>дог. 411-М47/03-19</t>
  </si>
  <si>
    <t>противопож.отсечки</t>
  </si>
  <si>
    <t>дог. 383-ГДЦ/03-19</t>
  </si>
  <si>
    <t>перегородки ОП оф.701</t>
  </si>
  <si>
    <t>договор на 310 304,00</t>
  </si>
  <si>
    <t>489</t>
  </si>
  <si>
    <t>476</t>
  </si>
  <si>
    <t>130, 131</t>
  </si>
  <si>
    <t>121</t>
  </si>
  <si>
    <t>РЭК</t>
  </si>
  <si>
    <t>услуги по дог. ПД-3/19</t>
  </si>
  <si>
    <t>ампир эвент</t>
  </si>
  <si>
    <t>кофе-брейк 22.03.19</t>
  </si>
  <si>
    <t>ИНО разрешения</t>
  </si>
  <si>
    <t>287</t>
  </si>
  <si>
    <t>31402</t>
  </si>
  <si>
    <t>19714/02/2019</t>
  </si>
  <si>
    <t>созидание</t>
  </si>
  <si>
    <t>ЛОСы</t>
  </si>
  <si>
    <t>дог. ЛОС2/02-17</t>
  </si>
  <si>
    <t>ндс 18%</t>
  </si>
  <si>
    <t>ндс 20%</t>
  </si>
  <si>
    <t>1260</t>
  </si>
  <si>
    <t>вилка, лампа, патрон, шина и тд</t>
  </si>
  <si>
    <t>Юдина Е.А.</t>
  </si>
  <si>
    <t>возврат пиб38м-ТК3/05-14г</t>
  </si>
  <si>
    <t>Ходырева А.А.</t>
  </si>
  <si>
    <t>возврат пиб 123а-ВНФ/12-16ан</t>
  </si>
  <si>
    <t>СР аудит.проверка за 2018г</t>
  </si>
  <si>
    <t>1728</t>
  </si>
  <si>
    <t>крюк, звено</t>
  </si>
  <si>
    <t>19/02/25</t>
  </si>
  <si>
    <t>940, 942, 944</t>
  </si>
  <si>
    <t>серв.обслуж., вода 5шт 10шт 7шт</t>
  </si>
  <si>
    <t>ано дпо СЗРЦОТ</t>
  </si>
  <si>
    <t>ОТ спец.оценка условий труда</t>
  </si>
  <si>
    <t>Шушары, Йога</t>
  </si>
  <si>
    <t>СР ОТ подготовка, атт-ция 2 сварщика</t>
  </si>
  <si>
    <t>СР чл.взносы 1кв 2019</t>
  </si>
  <si>
    <t>СР ОТ подготовка, атт-ция 1чел</t>
  </si>
  <si>
    <t>СР астрал-отчетность 12 мес</t>
  </si>
  <si>
    <t>СР ОТ охр.труда, пожарка Архипов</t>
  </si>
  <si>
    <t>Куринова Л.Г.</t>
  </si>
  <si>
    <t>возврат пиб 191в-м298/09-14г (АСС)</t>
  </si>
  <si>
    <t>Алексеева О.В.</t>
  </si>
  <si>
    <t>возврат пиб 70б-БФ/02-14г</t>
  </si>
  <si>
    <t>Середа С.А. (на р/с Барановой Е.И.)</t>
  </si>
  <si>
    <t>возврат пиб 106а-БФ/11-16г</t>
  </si>
  <si>
    <t>яндекс.вертикали</t>
  </si>
  <si>
    <t>1598513710-1</t>
  </si>
  <si>
    <t>яндекс.недвижимость</t>
  </si>
  <si>
    <t>арт стайл</t>
  </si>
  <si>
    <t>банер 120*200 с печатью</t>
  </si>
  <si>
    <t>печать сертификатов</t>
  </si>
  <si>
    <t>дог. 0340-5-18/4703</t>
  </si>
  <si>
    <t>дог. 0341-5-18/4703</t>
  </si>
  <si>
    <t>дог. 0342-5-18/4703</t>
  </si>
  <si>
    <t>дог. 0344-5-18/4703</t>
  </si>
  <si>
    <t>дог. 0343-5-18/4703</t>
  </si>
  <si>
    <t>Антонов В.В.</t>
  </si>
  <si>
    <t>возврат пиб 380б-БФ/03-14г</t>
  </si>
  <si>
    <t>Таразанов И.С. (на р/с Таразанова В.И.)</t>
  </si>
  <si>
    <t>возврат пиб 255а-БФ/06-14г</t>
  </si>
  <si>
    <t>Филина Г.Н.</t>
  </si>
  <si>
    <t>возврат пиб 37а-БФ/11-14г</t>
  </si>
  <si>
    <t>Дингес В.В.</t>
  </si>
  <si>
    <t>возврат пиб 163в-м298/02-15г (АСС)</t>
  </si>
  <si>
    <t>медведь за лид-88</t>
  </si>
  <si>
    <t>159</t>
  </si>
  <si>
    <t>181-195</t>
  </si>
  <si>
    <t>СР ОТ от Зоя</t>
  </si>
  <si>
    <t>453</t>
  </si>
  <si>
    <t>СР ОТ эл/газосварщик 2чел</t>
  </si>
  <si>
    <t>ОТ от, пожарка Пархоменко</t>
  </si>
  <si>
    <t>07-15.03</t>
  </si>
  <si>
    <t>тр 570167</t>
  </si>
  <si>
    <t>ВС 01-15.03</t>
  </si>
  <si>
    <t>216</t>
  </si>
  <si>
    <t>дог. 362-М43/06-18</t>
  </si>
  <si>
    <t>1267</t>
  </si>
  <si>
    <t>1268</t>
  </si>
  <si>
    <t>1269</t>
  </si>
  <si>
    <t>1270</t>
  </si>
  <si>
    <t>1271</t>
  </si>
  <si>
    <t>1273</t>
  </si>
  <si>
    <t>1274</t>
  </si>
  <si>
    <t>353</t>
  </si>
  <si>
    <t>парогенератор 26.01.19</t>
  </si>
  <si>
    <t>775</t>
  </si>
  <si>
    <t>парогенератор 13.03.19</t>
  </si>
  <si>
    <t>790</t>
  </si>
  <si>
    <t>парогенератор 14.03.19</t>
  </si>
  <si>
    <t>792</t>
  </si>
  <si>
    <t>парогенератор 15.03.19</t>
  </si>
  <si>
    <t>799</t>
  </si>
  <si>
    <t>парогенератор 16.03.19</t>
  </si>
  <si>
    <t>парогенератор 18.03.19</t>
  </si>
  <si>
    <t>5/лм</t>
  </si>
  <si>
    <t>2/02/04</t>
  </si>
  <si>
    <t>3/09/01</t>
  </si>
  <si>
    <t>3/12/03</t>
  </si>
  <si>
    <t>3/15/02</t>
  </si>
  <si>
    <t>3/15/12</t>
  </si>
  <si>
    <t>214</t>
  </si>
  <si>
    <t>магеллан, йога 2/2</t>
  </si>
  <si>
    <t>колумб, шуш. 3005, йога 2/2</t>
  </si>
  <si>
    <t>шуш.3005, колумб</t>
  </si>
  <si>
    <t>81</t>
  </si>
  <si>
    <t>Лидер-Авто</t>
  </si>
  <si>
    <t>аренда трансп.ср-ва Гендугов</t>
  </si>
  <si>
    <t>Амсет</t>
  </si>
  <si>
    <t>кап.ремонт двигателя VOLVO 220</t>
  </si>
  <si>
    <t>Стройкран-СПб</t>
  </si>
  <si>
    <t>звено гусен., каток опорный…</t>
  </si>
  <si>
    <t>дт 2000л</t>
  </si>
  <si>
    <t>дт 4300л</t>
  </si>
  <si>
    <t>дт 2900л</t>
  </si>
  <si>
    <t>1264</t>
  </si>
  <si>
    <t>1265</t>
  </si>
  <si>
    <t>10959</t>
  </si>
  <si>
    <t>8519</t>
  </si>
  <si>
    <t>614</t>
  </si>
  <si>
    <t>4160</t>
  </si>
  <si>
    <t>арм. 12,16,20,25</t>
  </si>
  <si>
    <t>5430</t>
  </si>
  <si>
    <t>арм. 8,10,20,25</t>
  </si>
  <si>
    <t>2607</t>
  </si>
  <si>
    <t>арм. 6,8,10,12</t>
  </si>
  <si>
    <t>2681</t>
  </si>
  <si>
    <t>2805</t>
  </si>
  <si>
    <t>822</t>
  </si>
  <si>
    <t>вилка стац.</t>
  </si>
  <si>
    <t>830</t>
  </si>
  <si>
    <t>перчатки, кабель</t>
  </si>
  <si>
    <t>871</t>
  </si>
  <si>
    <t>кабель, вилка, нож, саморез..</t>
  </si>
  <si>
    <t>923</t>
  </si>
  <si>
    <t>розетка, вилка, кабель, наконечник..</t>
  </si>
  <si>
    <t>937</t>
  </si>
  <si>
    <t>кабель, извещатель, розетка, светильник..</t>
  </si>
  <si>
    <t>фиксаторы, провод, бур, электрод..</t>
  </si>
  <si>
    <t>перфоратор, УШМ, дрель</t>
  </si>
  <si>
    <t>2944</t>
  </si>
  <si>
    <t>3033</t>
  </si>
  <si>
    <t>3214</t>
  </si>
  <si>
    <t>74129</t>
  </si>
  <si>
    <t>штукатурка, крестики</t>
  </si>
  <si>
    <t>238</t>
  </si>
  <si>
    <t>воронка кров., надст.эл-т, переход</t>
  </si>
  <si>
    <t>3102</t>
  </si>
  <si>
    <t>3105</t>
  </si>
  <si>
    <t>очиститель, перчатки, ремсостав</t>
  </si>
  <si>
    <t>смазка для опалубки, рулетка, бур..</t>
  </si>
  <si>
    <t>11188</t>
  </si>
  <si>
    <t>затирка для плитки</t>
  </si>
  <si>
    <t>11145</t>
  </si>
  <si>
    <t>подоконник, гипрок, саморез, краска..</t>
  </si>
  <si>
    <t>11239</t>
  </si>
  <si>
    <t>сетка фасадн., дюбель, грунт…</t>
  </si>
  <si>
    <t>11370</t>
  </si>
  <si>
    <t>клей для мин.плит, техноэласт</t>
  </si>
  <si>
    <t>1391</t>
  </si>
  <si>
    <t>праймер, мастика</t>
  </si>
  <si>
    <t>мастика, гидроизол.</t>
  </si>
  <si>
    <t>1463</t>
  </si>
  <si>
    <t>1491</t>
  </si>
  <si>
    <t>сетка стеклотк., дюбель, ветошь</t>
  </si>
  <si>
    <t>ножовка, сверло, герметик, бур..</t>
  </si>
  <si>
    <t>вилка, розетка, кабель, замок..</t>
  </si>
  <si>
    <t>изолента, болт, гайка…</t>
  </si>
  <si>
    <t>перчатки, ведро, рулетка, дюбель..</t>
  </si>
  <si>
    <t>гидравл.пресс, изолента, лампа..</t>
  </si>
  <si>
    <t>12553</t>
  </si>
  <si>
    <t>дюбель для теплоизол.</t>
  </si>
  <si>
    <t>12909</t>
  </si>
  <si>
    <t>комплект для инжекции</t>
  </si>
  <si>
    <t>клещи, утконосы, отвертки, тент</t>
  </si>
  <si>
    <t>колесо, пленка, соль тех.</t>
  </si>
  <si>
    <t>саморез, пленка, шпатель…</t>
  </si>
  <si>
    <t>713</t>
  </si>
  <si>
    <t>752</t>
  </si>
  <si>
    <t>05/03-3</t>
  </si>
  <si>
    <t>12/03-1</t>
  </si>
  <si>
    <t>12/03-2</t>
  </si>
  <si>
    <t>13/03-1</t>
  </si>
  <si>
    <t>14/03-2</t>
  </si>
  <si>
    <t>15/03-2</t>
  </si>
  <si>
    <t>15/03-3</t>
  </si>
  <si>
    <t>4685</t>
  </si>
  <si>
    <t>4752</t>
  </si>
  <si>
    <t>Ингкома</t>
  </si>
  <si>
    <t>2841</t>
  </si>
  <si>
    <t>смс.ру</t>
  </si>
  <si>
    <t>заварка трещин в раскосах</t>
  </si>
  <si>
    <t>125640/6</t>
  </si>
  <si>
    <t>трейдер групп</t>
  </si>
  <si>
    <t>доплата НДС 18-20%</t>
  </si>
  <si>
    <t>барс-гидравлик групп</t>
  </si>
  <si>
    <t>5264</t>
  </si>
  <si>
    <t>паста Molykote</t>
  </si>
  <si>
    <t>Шадрикова Н.В.</t>
  </si>
  <si>
    <t>возврат пиб 28г-м298/06-13г</t>
  </si>
  <si>
    <t>16182</t>
  </si>
  <si>
    <t>унтц сварка</t>
  </si>
  <si>
    <t>62/03-СА/пк</t>
  </si>
  <si>
    <t>СР сварщик Дорофеев</t>
  </si>
  <si>
    <t>дог. 412-М47/03-19</t>
  </si>
  <si>
    <t>дог. 69-БУ/03-19</t>
  </si>
  <si>
    <t>смр двери моп с.1</t>
  </si>
  <si>
    <t>управление эколог.рисками</t>
  </si>
  <si>
    <t>дог. 23-18-уэр</t>
  </si>
  <si>
    <t>размер окончат. СЗЗ</t>
  </si>
  <si>
    <t>1671</t>
  </si>
  <si>
    <t>Шайхайдарова Л.И.</t>
  </si>
  <si>
    <t>расторжение дду 97д-БГТ/08-16г</t>
  </si>
  <si>
    <t>теперь ООО</t>
  </si>
  <si>
    <t>85689</t>
  </si>
  <si>
    <t>АДМ мфу А3 в ОП В.О.</t>
  </si>
  <si>
    <t>ЦКБ</t>
  </si>
  <si>
    <t>к-190303</t>
  </si>
  <si>
    <t>кадастр.работы</t>
  </si>
  <si>
    <t>АНО ДПО СИПКС</t>
  </si>
  <si>
    <t>112-1/ОП</t>
  </si>
  <si>
    <t>предаттестац.подготовка</t>
  </si>
  <si>
    <t>4470, 4582, 4631, 4676, 4725, 4726, 4767, 4727, 4728, 4845</t>
  </si>
  <si>
    <t>294</t>
  </si>
  <si>
    <t>гидромир</t>
  </si>
  <si>
    <t>смазка</t>
  </si>
  <si>
    <t>чоп цезарь секьюрити</t>
  </si>
  <si>
    <t>1062315</t>
  </si>
  <si>
    <t>охрана ОП Немо аванс</t>
  </si>
  <si>
    <t>тр2536</t>
  </si>
  <si>
    <t>1190208775/100</t>
  </si>
  <si>
    <t>Росэл</t>
  </si>
  <si>
    <t>2137</t>
  </si>
  <si>
    <t>хоз.товары ОП В.О.</t>
  </si>
  <si>
    <t>2169</t>
  </si>
  <si>
    <t>северные стрелы</t>
  </si>
  <si>
    <t>927163</t>
  </si>
  <si>
    <t>401347</t>
  </si>
  <si>
    <t>401345</t>
  </si>
  <si>
    <t>ремонт мотопомпы</t>
  </si>
  <si>
    <t>ск стронег</t>
  </si>
  <si>
    <t>дог. 115-Ш42/02-19</t>
  </si>
  <si>
    <t>омз грузметиз</t>
  </si>
  <si>
    <t>230</t>
  </si>
  <si>
    <t>навесная площадка 8шт</t>
  </si>
  <si>
    <t>1-я опалубочная компания</t>
  </si>
  <si>
    <t>3947</t>
  </si>
  <si>
    <t>стойка, балка, унивилка, тренога</t>
  </si>
  <si>
    <t>пери</t>
  </si>
  <si>
    <t>20104/001</t>
  </si>
  <si>
    <t>дог 04/09-17</t>
  </si>
  <si>
    <t>разраб.программы экол.контроля</t>
  </si>
  <si>
    <t>дог. 60-1410/э</t>
  </si>
  <si>
    <t>сч129</t>
  </si>
  <si>
    <t>350513912</t>
  </si>
  <si>
    <t>сити формат</t>
  </si>
  <si>
    <t>согалсование инф.конструкции</t>
  </si>
  <si>
    <t>-20,5</t>
  </si>
  <si>
    <t>47070/20</t>
  </si>
  <si>
    <t>12117332</t>
  </si>
  <si>
    <t>канц., хоз.товары</t>
  </si>
  <si>
    <t>смр эл/м</t>
  </si>
  <si>
    <t>697</t>
  </si>
  <si>
    <t>23-00537-19</t>
  </si>
  <si>
    <t>изг.радиоролика</t>
  </si>
  <si>
    <t>6303</t>
  </si>
  <si>
    <t>6306</t>
  </si>
  <si>
    <t>1403-5</t>
  </si>
  <si>
    <t>18-27март</t>
  </si>
  <si>
    <t>1403-6</t>
  </si>
  <si>
    <t>1403-7</t>
  </si>
  <si>
    <t>1403-8</t>
  </si>
  <si>
    <t>а6</t>
  </si>
  <si>
    <t>а7</t>
  </si>
  <si>
    <t>а8</t>
  </si>
  <si>
    <t>а9</t>
  </si>
  <si>
    <t>868</t>
  </si>
  <si>
    <t>CallRealty</t>
  </si>
  <si>
    <t>18-31март</t>
  </si>
  <si>
    <t>04-22март</t>
  </si>
  <si>
    <t>1492</t>
  </si>
  <si>
    <t>ручки</t>
  </si>
  <si>
    <t>центр печати группа м</t>
  </si>
  <si>
    <t>30515</t>
  </si>
  <si>
    <t>доплата</t>
  </si>
  <si>
    <t>печати 2шт</t>
  </si>
  <si>
    <t>деруфа-урал</t>
  </si>
  <si>
    <t>краска интерьерная</t>
  </si>
  <si>
    <t>дог. ППНР-241.Э</t>
  </si>
  <si>
    <t>регион-вилс</t>
  </si>
  <si>
    <t>автошина</t>
  </si>
  <si>
    <t>тр4299</t>
  </si>
  <si>
    <t>тр4998</t>
  </si>
  <si>
    <t>Соловьев С.В.</t>
  </si>
  <si>
    <t>расторжение дду 57л-ТРИ5/10-16н</t>
  </si>
  <si>
    <t>субаренда зем.участка на 11мес.</t>
  </si>
  <si>
    <t>Горынина Г.А.</t>
  </si>
  <si>
    <t>возврат пиб 280б-БФ/06-14г</t>
  </si>
  <si>
    <t>Павлов А.В.</t>
  </si>
  <si>
    <t>возврат пиб 271а-БФ/08-17г</t>
  </si>
  <si>
    <t>дог. 03/19-РД</t>
  </si>
  <si>
    <t>тд Амсет</t>
  </si>
  <si>
    <t>выезд специалиста, диагностика</t>
  </si>
  <si>
    <t>доплата янв-апрель</t>
  </si>
  <si>
    <t>609</t>
  </si>
  <si>
    <t>ОТ спецодежда геодезисты лето</t>
  </si>
  <si>
    <t>608</t>
  </si>
  <si>
    <t>610</t>
  </si>
  <si>
    <t>9751</t>
  </si>
  <si>
    <t>Пермяков Е.С.</t>
  </si>
  <si>
    <t>возврат пиб 61а-ТК1/12-15г</t>
  </si>
  <si>
    <t>возврат пиб 326б-БФ/09-15г</t>
  </si>
  <si>
    <t>Майстренко Н.А, (на р/с Майстренко А.А.)</t>
  </si>
  <si>
    <t>Мусиенко В.А.</t>
  </si>
  <si>
    <t>возврат пиб 354б-БФ/03-14н</t>
  </si>
  <si>
    <t>Голубева О.В.</t>
  </si>
  <si>
    <t>возврат пиб 25б-БФ/07-17г</t>
  </si>
  <si>
    <t>Кузнецова Г.Г.</t>
  </si>
  <si>
    <t>возврат пиб 207аБФ/06-14г</t>
  </si>
  <si>
    <t>дог. ТН-ВК-4/Л</t>
  </si>
  <si>
    <t>контроль за стр-вом сетей ВК</t>
  </si>
  <si>
    <t>доплата НДС</t>
  </si>
  <si>
    <t>31902</t>
  </si>
  <si>
    <t>технологии сми - пресса, интернет, события</t>
  </si>
  <si>
    <t>Момчян Л.Л.</t>
  </si>
  <si>
    <t>возврат пиб 62в-16-02-17 (АСС)</t>
  </si>
  <si>
    <t>Тодырко Н.Ф.</t>
  </si>
  <si>
    <t>возврат пиб 21б-БФ/12-16н</t>
  </si>
  <si>
    <t>331</t>
  </si>
  <si>
    <t>вода, ТО кулера</t>
  </si>
  <si>
    <t>сч447</t>
  </si>
  <si>
    <t>сч449</t>
  </si>
  <si>
    <t>сч460</t>
  </si>
  <si>
    <t>сч57</t>
  </si>
  <si>
    <t>акт Шилов</t>
  </si>
  <si>
    <t>Петий В.В.</t>
  </si>
  <si>
    <t>расторжение дду 19я-ТЕР6/11-18ан</t>
  </si>
  <si>
    <t>сч445</t>
  </si>
  <si>
    <t>сч459</t>
  </si>
  <si>
    <t>сч443</t>
  </si>
  <si>
    <t>сч458</t>
  </si>
  <si>
    <t>сч444</t>
  </si>
  <si>
    <t>сч448</t>
  </si>
  <si>
    <t>смр полы моп к.1, 4, 5</t>
  </si>
  <si>
    <t>ип симутин д.с.</t>
  </si>
  <si>
    <t>885</t>
  </si>
  <si>
    <t>кофемашина в ОП В.О.</t>
  </si>
  <si>
    <t>90554</t>
  </si>
  <si>
    <t>АДМ клавиатура, батарея</t>
  </si>
  <si>
    <t>1272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</si>
  <si>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</si>
  <si>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</si>
  <si>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</si>
  <si>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</si>
  <si>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</si>
  <si>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</si>
  <si>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</si>
  <si>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</si>
  <si>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</si>
  <si>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</si>
  <si>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805</t>
  </si>
  <si>
    <t>парогенератор 20.03.19</t>
  </si>
  <si>
    <t>806</t>
  </si>
  <si>
    <t>809</t>
  </si>
  <si>
    <t>парогенератор 22.03.19</t>
  </si>
  <si>
    <t>2/22/04</t>
  </si>
  <si>
    <t>доставка крана РДК</t>
  </si>
  <si>
    <t>СК Стронег</t>
  </si>
  <si>
    <t>борт 12м</t>
  </si>
  <si>
    <t>143</t>
  </si>
  <si>
    <t>аренда февраль</t>
  </si>
  <si>
    <t>1613</t>
  </si>
  <si>
    <t>1614</t>
  </si>
  <si>
    <t>1652</t>
  </si>
  <si>
    <t>1653</t>
  </si>
  <si>
    <t>1654</t>
  </si>
  <si>
    <t>1655</t>
  </si>
  <si>
    <t>1714</t>
  </si>
  <si>
    <t>ТО февраль</t>
  </si>
  <si>
    <t>1698</t>
  </si>
  <si>
    <t>1699</t>
  </si>
  <si>
    <t>1700</t>
  </si>
  <si>
    <t>ТО февраль (разморозка)</t>
  </si>
  <si>
    <t>1718</t>
  </si>
  <si>
    <t>1719</t>
  </si>
  <si>
    <t>1720</t>
  </si>
  <si>
    <t>1759</t>
  </si>
  <si>
    <t>1754</t>
  </si>
  <si>
    <t>1755</t>
  </si>
  <si>
    <t>1756</t>
  </si>
  <si>
    <t>Свайтех</t>
  </si>
  <si>
    <t>восстановление работы молота</t>
  </si>
  <si>
    <t>ИП Румянцев</t>
  </si>
  <si>
    <t>ремонт Газель</t>
  </si>
  <si>
    <t>Стройсбыт</t>
  </si>
  <si>
    <t>2879</t>
  </si>
  <si>
    <t>эл.двигатель</t>
  </si>
  <si>
    <t>Гидроснаб Сервис</t>
  </si>
  <si>
    <t>з/ч для ремонта насосов</t>
  </si>
  <si>
    <t>ЭкоПром СПб</t>
  </si>
  <si>
    <t>848</t>
  </si>
  <si>
    <t>ремонт+ пусконаладка мойки колес</t>
  </si>
  <si>
    <t>3922</t>
  </si>
  <si>
    <t>1581</t>
  </si>
  <si>
    <t>1588</t>
  </si>
  <si>
    <t>9658</t>
  </si>
  <si>
    <t>арм. 16, проволока</t>
  </si>
  <si>
    <t>712</t>
  </si>
  <si>
    <t>6797</t>
  </si>
  <si>
    <t>6875</t>
  </si>
  <si>
    <t>арм. 10,12,16</t>
  </si>
  <si>
    <t>2927</t>
  </si>
  <si>
    <t>2538</t>
  </si>
  <si>
    <t>3019</t>
  </si>
  <si>
    <t>кабель, светильник, розетка…</t>
  </si>
  <si>
    <t>УШМ, масло</t>
  </si>
  <si>
    <t>82262</t>
  </si>
  <si>
    <t>пленка, перчатки, плитка..</t>
  </si>
  <si>
    <t>3204</t>
  </si>
  <si>
    <t>перчатки, рулетка, эмаль..</t>
  </si>
  <si>
    <t>3264</t>
  </si>
  <si>
    <t>насос, рукав, замок</t>
  </si>
  <si>
    <t>профиль, сетка, кисть, круг…</t>
  </si>
  <si>
    <t>диск, кабель, лампа</t>
  </si>
  <si>
    <t>сетка</t>
  </si>
  <si>
    <t>141</t>
  </si>
  <si>
    <t>эпоксидн.смола, отвердитель</t>
  </si>
  <si>
    <t>крюк, круг, хомут, чашка..</t>
  </si>
  <si>
    <t>4962</t>
  </si>
  <si>
    <t>688</t>
  </si>
  <si>
    <t>691</t>
  </si>
  <si>
    <t>дог. 87-МГ/06-18</t>
  </si>
  <si>
    <t>шоурум благоустройство</t>
  </si>
  <si>
    <t>пмк снаб</t>
  </si>
  <si>
    <t>бахилы, шапки ОП</t>
  </si>
  <si>
    <t>дог. 373-М47/03-19</t>
  </si>
  <si>
    <t>0499/01</t>
  </si>
  <si>
    <t>откр/закр задвижки, промывка</t>
  </si>
  <si>
    <t>Лигал Софтвэйв</t>
  </si>
  <si>
    <t>АДМ программка для управления сетью</t>
  </si>
  <si>
    <t>1587</t>
  </si>
  <si>
    <t>каталог А4 печать 2шт</t>
  </si>
  <si>
    <t>дог. 402-М47/01-19</t>
  </si>
  <si>
    <t>дог. 366-ЛС/10-18</t>
  </si>
  <si>
    <t>СтройМонолит</t>
  </si>
  <si>
    <t>дог. 116-Ш42/02-19</t>
  </si>
  <si>
    <t>дог. 117-Ш42/02-19</t>
  </si>
  <si>
    <t>дог. 114-Ш42/01-19</t>
  </si>
  <si>
    <t>дог. 388-М47/10-18</t>
  </si>
  <si>
    <t>дог. 390-М47/11-18</t>
  </si>
  <si>
    <t xml:space="preserve">ограждение территории </t>
  </si>
  <si>
    <t>восстановление а/б покрытия</t>
  </si>
  <si>
    <t>дог. ППНР/пр-184.Э</t>
  </si>
  <si>
    <t>дог. 61-Б3/11-18</t>
  </si>
  <si>
    <t>смр бет.подготовка</t>
  </si>
  <si>
    <t>ресо-гарантия</t>
  </si>
  <si>
    <t>3 счета</t>
  </si>
  <si>
    <t>29897-42120</t>
  </si>
  <si>
    <t>насос подкачки топлива</t>
  </si>
  <si>
    <t>дог. 371-ТК/02-19</t>
  </si>
  <si>
    <t>смр дв.блоки ДОУ</t>
  </si>
  <si>
    <t>февр март апр</t>
  </si>
  <si>
    <t>18-25.03</t>
  </si>
  <si>
    <t>5028, 5205, 5206, 5218, 5207, 5295, 5208, 5478</t>
  </si>
  <si>
    <t>2451</t>
  </si>
  <si>
    <t>бадья д/бетона 2шт</t>
  </si>
  <si>
    <t>1560</t>
  </si>
  <si>
    <t>516/14</t>
  </si>
  <si>
    <t>отбор проб, анализ воды</t>
  </si>
  <si>
    <t>Денисова Е.В.</t>
  </si>
  <si>
    <t>возврат пиб 49б-БФ/09-16г</t>
  </si>
  <si>
    <t>632</t>
  </si>
  <si>
    <t>агентство экол.аудита и экспертизы</t>
  </si>
  <si>
    <t>все объекты</t>
  </si>
  <si>
    <t>ГЕОД то, поверка тахеометра</t>
  </si>
  <si>
    <t>505</t>
  </si>
  <si>
    <t>506</t>
  </si>
  <si>
    <t>по письму 57 счет 153 аэратор Поливент</t>
  </si>
  <si>
    <t>Трифонова Ю.В.</t>
  </si>
  <si>
    <t>возврат пиб 177б-БФ/02-14н</t>
  </si>
  <si>
    <t>529</t>
  </si>
  <si>
    <t>дератизация, дезинсекция</t>
  </si>
  <si>
    <t>СР ОТ спецодежда геодезист лето</t>
  </si>
  <si>
    <t>СР ОТ психиатр + эл/энцеф. 2чел</t>
  </si>
  <si>
    <t>338168</t>
  </si>
  <si>
    <t>линкор за лид-88</t>
  </si>
  <si>
    <t>337-339</t>
  </si>
  <si>
    <t>48,49</t>
  </si>
  <si>
    <t>27,28.03.19</t>
  </si>
  <si>
    <t>кофе-брейк 05.04.19</t>
  </si>
  <si>
    <t>сч47</t>
  </si>
  <si>
    <t>сч43</t>
  </si>
  <si>
    <t>дог. 29-19</t>
  </si>
  <si>
    <t>исп.съемка</t>
  </si>
  <si>
    <t>197, 341, 483</t>
  </si>
  <si>
    <t>ориент</t>
  </si>
  <si>
    <t>Фэй</t>
  </si>
  <si>
    <t>медв</t>
  </si>
  <si>
    <t>квартиры</t>
  </si>
  <si>
    <t>металл</t>
  </si>
  <si>
    <t>сч442</t>
  </si>
  <si>
    <t>сч446</t>
  </si>
  <si>
    <t>сч456</t>
  </si>
  <si>
    <t>сч457</t>
  </si>
  <si>
    <t>сч68</t>
  </si>
  <si>
    <t>7351267370</t>
  </si>
  <si>
    <t>2490</t>
  </si>
  <si>
    <t>хоз.товары ОП Невский</t>
  </si>
  <si>
    <t>мурино 43, 48</t>
  </si>
  <si>
    <t>24229347</t>
  </si>
  <si>
    <t>каски, жилеты (для дольщиков)</t>
  </si>
  <si>
    <t>24202514</t>
  </si>
  <si>
    <t>СР канц.товары</t>
  </si>
  <si>
    <t>психиатр + эл/энцеф. 9чел</t>
  </si>
  <si>
    <t>408</t>
  </si>
  <si>
    <t>К-190303/1</t>
  </si>
  <si>
    <t>таблички 30шт (для БКр))</t>
  </si>
  <si>
    <t>хэдхантер</t>
  </si>
  <si>
    <t>150294/78</t>
  </si>
  <si>
    <t>пополнение л/с (500 вакансий)</t>
  </si>
  <si>
    <t>дог. 31-19</t>
  </si>
  <si>
    <t>сч44</t>
  </si>
  <si>
    <t>Щербакова Л.А.</t>
  </si>
  <si>
    <t>возврат пиб 98б-БФ/06-14г</t>
  </si>
  <si>
    <t>Смирнов С.Н.</t>
  </si>
  <si>
    <t>возврат пиб 330б-БФ/02-14г</t>
  </si>
  <si>
    <t>нии эколог.и ген.проектирования</t>
  </si>
  <si>
    <t>дог. 2694/2019</t>
  </si>
  <si>
    <t>исследования</t>
  </si>
  <si>
    <t>Дубинский Н.С.</t>
  </si>
  <si>
    <t>возврат пиб 16б-БФ/05-16ан</t>
  </si>
  <si>
    <t>вода 10шт</t>
  </si>
  <si>
    <t>Максимкина Н.А.</t>
  </si>
  <si>
    <t>возврат пиб 12б-БФ/08-17г</t>
  </si>
  <si>
    <t>Майорова Г.В. (на р/с Майоровой М.А.)</t>
  </si>
  <si>
    <t>возврат пиб 125б-БФ/05-14г</t>
  </si>
  <si>
    <t>дог. 40-1319 д.с.1</t>
  </si>
  <si>
    <t>сч166</t>
  </si>
  <si>
    <t>1000261/9978-3-16/4703</t>
  </si>
  <si>
    <t>замок, тяж, гайка (опалубка)</t>
  </si>
  <si>
    <t>дет.площадка ШОУРУМ</t>
  </si>
  <si>
    <t>РТМ</t>
  </si>
  <si>
    <t>дог. 52-ЯН/10-17</t>
  </si>
  <si>
    <t>дог. 355-ГОУ/08-18</t>
  </si>
  <si>
    <t>ремонт отделки</t>
  </si>
  <si>
    <t>Огастус - 21кд отсрочка</t>
  </si>
  <si>
    <t>212, 213</t>
  </si>
  <si>
    <t>подписка упрощенка 12мес</t>
  </si>
  <si>
    <t>Андреев О.И., Маниева Д.В.</t>
  </si>
  <si>
    <t>расторжение дду 153м-ТЕР4/12-18ан</t>
  </si>
  <si>
    <t>автокран 25т, 32т</t>
  </si>
  <si>
    <t>тепл.пушка</t>
  </si>
  <si>
    <t>1686</t>
  </si>
  <si>
    <t>1687</t>
  </si>
  <si>
    <t>1688</t>
  </si>
  <si>
    <t>1693</t>
  </si>
  <si>
    <t>1694</t>
  </si>
  <si>
    <t>1695</t>
  </si>
  <si>
    <t>321/19</t>
  </si>
  <si>
    <t>322/19</t>
  </si>
  <si>
    <t>323/19</t>
  </si>
  <si>
    <t>324/19</t>
  </si>
  <si>
    <t>326/19</t>
  </si>
  <si>
    <t>327/19</t>
  </si>
  <si>
    <t>328/19</t>
  </si>
  <si>
    <t>329/19</t>
  </si>
  <si>
    <t>парогенератор 26.03.19</t>
  </si>
  <si>
    <t>парогенератор 27.03.19</t>
  </si>
  <si>
    <t>3/алеф</t>
  </si>
  <si>
    <t>6/лм</t>
  </si>
  <si>
    <t>3/22/05</t>
  </si>
  <si>
    <t>3/22/06</t>
  </si>
  <si>
    <t>3/27/02</t>
  </si>
  <si>
    <t>3/28/04</t>
  </si>
  <si>
    <t>3/30/07</t>
  </si>
  <si>
    <t>3/31/04</t>
  </si>
  <si>
    <t>3/31/05</t>
  </si>
  <si>
    <t>3/31/06</t>
  </si>
  <si>
    <t>223</t>
  </si>
  <si>
    <t>297</t>
  </si>
  <si>
    <t>296</t>
  </si>
  <si>
    <t>мурино 48, витамин</t>
  </si>
  <si>
    <t>мурино 43, витамин</t>
  </si>
  <si>
    <t>йога 2/2, шушары 3005</t>
  </si>
  <si>
    <t>аренда ноябрь 2018</t>
  </si>
  <si>
    <t>3174</t>
  </si>
  <si>
    <t>ТО ноябрь 2018</t>
  </si>
  <si>
    <t>3837</t>
  </si>
  <si>
    <t>3985</t>
  </si>
  <si>
    <t>ТО ноябрь 2018 (выгр.яма)</t>
  </si>
  <si>
    <t>3176</t>
  </si>
  <si>
    <t>ТО октябрь 2018</t>
  </si>
  <si>
    <t>3944</t>
  </si>
  <si>
    <t>ТО декабрь 2018</t>
  </si>
  <si>
    <t>906</t>
  </si>
  <si>
    <t>1656</t>
  </si>
  <si>
    <t>1615</t>
  </si>
  <si>
    <t>956</t>
  </si>
  <si>
    <t>972</t>
  </si>
  <si>
    <t>970</t>
  </si>
  <si>
    <t>969</t>
  </si>
  <si>
    <t>13605</t>
  </si>
  <si>
    <t>Вира</t>
  </si>
  <si>
    <t>1231</t>
  </si>
  <si>
    <t>ремонт штока</t>
  </si>
  <si>
    <t>Спецодежда</t>
  </si>
  <si>
    <t>1048</t>
  </si>
  <si>
    <t>1015</t>
  </si>
  <si>
    <t>радиостанции</t>
  </si>
  <si>
    <t>20577</t>
  </si>
  <si>
    <t>бензин 1000л</t>
  </si>
  <si>
    <t>переключатель, фильтр, выезд</t>
  </si>
  <si>
    <t>88978</t>
  </si>
  <si>
    <t>1502365</t>
  </si>
  <si>
    <t>757</t>
  </si>
  <si>
    <t>4675</t>
  </si>
  <si>
    <t>845</t>
  </si>
  <si>
    <t>арм. 12,20,25</t>
  </si>
  <si>
    <t>7454</t>
  </si>
  <si>
    <t>арм. 8,10,12,16</t>
  </si>
  <si>
    <t>7560</t>
  </si>
  <si>
    <t>7967</t>
  </si>
  <si>
    <t>3294</t>
  </si>
  <si>
    <t>арм. 6,8,12,16</t>
  </si>
  <si>
    <t>3515</t>
  </si>
  <si>
    <t>150126/10725/1903</t>
  </si>
  <si>
    <t>150129/13334/1903</t>
  </si>
  <si>
    <t>Что Делать Информ</t>
  </si>
  <si>
    <t>150132/18705/1903</t>
  </si>
  <si>
    <t>щит, выкл., шина, кабель</t>
  </si>
  <si>
    <t>1054</t>
  </si>
  <si>
    <t>клещи, кабель, лампа..</t>
  </si>
  <si>
    <t>1088</t>
  </si>
  <si>
    <t>кабель, прожектор, труба</t>
  </si>
  <si>
    <t>фиксаторы, антиадгезив</t>
  </si>
  <si>
    <t>опора потолочн.</t>
  </si>
  <si>
    <t>434</t>
  </si>
  <si>
    <t>1198</t>
  </si>
  <si>
    <t>3638</t>
  </si>
  <si>
    <t>3812</t>
  </si>
  <si>
    <t>87298</t>
  </si>
  <si>
    <t>88289</t>
  </si>
  <si>
    <t>профиль, сетка, затирка…</t>
  </si>
  <si>
    <t>130760</t>
  </si>
  <si>
    <t>гипсокартон, профиль, лента…</t>
  </si>
  <si>
    <t>90213</t>
  </si>
  <si>
    <t>заклепкм, гипсокартон, профиль..</t>
  </si>
  <si>
    <t>4521</t>
  </si>
  <si>
    <t>3443</t>
  </si>
  <si>
    <t>профиль, сетка</t>
  </si>
  <si>
    <t>пенополистирол, фанера</t>
  </si>
  <si>
    <t>3715</t>
  </si>
  <si>
    <t>штукатурка, лопата, тачка..</t>
  </si>
  <si>
    <t>провод АПВ</t>
  </si>
  <si>
    <t>148</t>
  </si>
  <si>
    <t>вал гибк., пистолет монтажн.</t>
  </si>
  <si>
    <t>Системы и Технологии</t>
  </si>
  <si>
    <t>340</t>
  </si>
  <si>
    <t>370</t>
  </si>
  <si>
    <t>14174</t>
  </si>
  <si>
    <t>затирка</t>
  </si>
  <si>
    <t>14166</t>
  </si>
  <si>
    <t>1646</t>
  </si>
  <si>
    <t>кальматрон</t>
  </si>
  <si>
    <t>1647</t>
  </si>
  <si>
    <t>эмаль, масло, тачка, пленка..</t>
  </si>
  <si>
    <t>провод, болт, гайка, круг…</t>
  </si>
  <si>
    <t>эмаль, пена, электрод..</t>
  </si>
  <si>
    <t>насос, рукав</t>
  </si>
  <si>
    <t>кран шаров.</t>
  </si>
  <si>
    <t>перчатки, круг, хомут..</t>
  </si>
  <si>
    <t>13818</t>
  </si>
  <si>
    <t>14378</t>
  </si>
  <si>
    <t>дюбель, сверло</t>
  </si>
  <si>
    <t>14423</t>
  </si>
  <si>
    <t>анкер, дюбель</t>
  </si>
  <si>
    <t>14337</t>
  </si>
  <si>
    <t>14650</t>
  </si>
  <si>
    <t>14901</t>
  </si>
  <si>
    <t>14826</t>
  </si>
  <si>
    <t>анкер, дюбель, саморез, лента..</t>
  </si>
  <si>
    <t>15148</t>
  </si>
  <si>
    <t>комплект для инжекции, пистолет..</t>
  </si>
  <si>
    <t>15712</t>
  </si>
  <si>
    <t>по сверке</t>
  </si>
  <si>
    <t>5595</t>
  </si>
  <si>
    <t>5698</t>
  </si>
  <si>
    <t>5696</t>
  </si>
  <si>
    <t>мин.плиты, пенополистирол</t>
  </si>
  <si>
    <t>5999</t>
  </si>
  <si>
    <t>пенополистирол, мастика</t>
  </si>
  <si>
    <t>6177</t>
  </si>
  <si>
    <t>6116</t>
  </si>
  <si>
    <t>6161</t>
  </si>
  <si>
    <t>6232</t>
  </si>
  <si>
    <t>рейка краевая, планка</t>
  </si>
  <si>
    <t>3392</t>
  </si>
  <si>
    <t>3738</t>
  </si>
  <si>
    <t>электроды</t>
  </si>
  <si>
    <t>звездочка КС-4572</t>
  </si>
  <si>
    <t>цср доктрина</t>
  </si>
  <si>
    <t>исо19.04.80010/пю</t>
  </si>
  <si>
    <t>сертификация ИСО</t>
  </si>
  <si>
    <t>5658, 5754, 5824, 5825</t>
  </si>
  <si>
    <t>27-29.03</t>
  </si>
  <si>
    <t>38530</t>
  </si>
  <si>
    <t>новосистем (вымпелКом)</t>
  </si>
  <si>
    <t>1903506</t>
  </si>
  <si>
    <t>190003372</t>
  </si>
  <si>
    <t>470878</t>
  </si>
  <si>
    <t>470875</t>
  </si>
  <si>
    <t>150</t>
  </si>
  <si>
    <t>6254</t>
  </si>
  <si>
    <t>6346</t>
  </si>
  <si>
    <t>вычесть из след.счета</t>
  </si>
  <si>
    <t>880</t>
  </si>
  <si>
    <t>Недозимованный И.Ф.</t>
  </si>
  <si>
    <t>возврат пиб 48в-м298/01-14г (АСС)</t>
  </si>
  <si>
    <t>Евдокимова Л.А.</t>
  </si>
  <si>
    <t>возврат пиб 86а-БФ/04-14г</t>
  </si>
  <si>
    <t>Боровикова И.А.</t>
  </si>
  <si>
    <t>возврат пиб 251б-БФ/04-16н</t>
  </si>
  <si>
    <t>Ильин А.В.</t>
  </si>
  <si>
    <t>возврат пиб 387б-БФ/04-14г</t>
  </si>
  <si>
    <t>34014</t>
  </si>
  <si>
    <t>190326-1012</t>
  </si>
  <si>
    <t>190326-835</t>
  </si>
  <si>
    <t>190326-836</t>
  </si>
  <si>
    <t>190326-837</t>
  </si>
  <si>
    <t>190326-839</t>
  </si>
  <si>
    <t>190326-840</t>
  </si>
  <si>
    <t>190326-841</t>
  </si>
  <si>
    <t>190326-842</t>
  </si>
  <si>
    <t>190326-843</t>
  </si>
  <si>
    <t>190326-844</t>
  </si>
  <si>
    <t>190326-845</t>
  </si>
  <si>
    <t>190326-846</t>
  </si>
  <si>
    <t>190326-847</t>
  </si>
  <si>
    <t>190326-849</t>
  </si>
  <si>
    <t>190329-006</t>
  </si>
  <si>
    <t>вести фм</t>
  </si>
  <si>
    <t>VideoNetwork, СТС-медиа</t>
  </si>
  <si>
    <t>08-21апр</t>
  </si>
  <si>
    <t>брошюра Ленинград</t>
  </si>
  <si>
    <t>1548</t>
  </si>
  <si>
    <t>13162950</t>
  </si>
  <si>
    <t>375т</t>
  </si>
  <si>
    <t>01-14апр</t>
  </si>
  <si>
    <t>вып. Апр 12-16</t>
  </si>
  <si>
    <t>6356</t>
  </si>
  <si>
    <t>6366</t>
  </si>
  <si>
    <t>2935</t>
  </si>
  <si>
    <t>215, 323</t>
  </si>
  <si>
    <t>фев, март</t>
  </si>
  <si>
    <t>СР ОТ медосмотр 5+2чел</t>
  </si>
  <si>
    <t>ВИП-Систем</t>
  </si>
  <si>
    <t>тестирование свай</t>
  </si>
  <si>
    <t>дог. ТК-190406</t>
  </si>
  <si>
    <t>дог. 120-Ш42/04-19</t>
  </si>
  <si>
    <t>Ширина Е.В.</t>
  </si>
  <si>
    <t>возврат пиб 131а-БФ/02-16г</t>
  </si>
  <si>
    <t>ОТ медосмотр 3чел</t>
  </si>
  <si>
    <t>вывоз грунта</t>
  </si>
  <si>
    <t>дог. 92-КН/02-18</t>
  </si>
  <si>
    <t>подъездная дорога</t>
  </si>
  <si>
    <t>3051</t>
  </si>
  <si>
    <t>1648</t>
  </si>
  <si>
    <t>3211</t>
  </si>
  <si>
    <t>парус за сз б сити</t>
  </si>
  <si>
    <t>Русак Л.Ш.</t>
  </si>
  <si>
    <t>дог 132к-ТК2/06-14г</t>
  </si>
  <si>
    <t>мировое согл.</t>
  </si>
  <si>
    <t>1993658255</t>
  </si>
  <si>
    <t>206</t>
  </si>
  <si>
    <t>РРЦ</t>
  </si>
  <si>
    <t>дог 05-2503/19</t>
  </si>
  <si>
    <t>дог 02-1102/19</t>
  </si>
  <si>
    <t>дог 07-2503/19</t>
  </si>
  <si>
    <t>дог 03-2503/19</t>
  </si>
  <si>
    <t>дог 06-2503/19</t>
  </si>
  <si>
    <t>дог 04-2503/19</t>
  </si>
  <si>
    <t>эл.регистрация ДДУ</t>
  </si>
  <si>
    <t>Технопарк №1</t>
  </si>
  <si>
    <t>дог ТП1-ЯК/Ш-2018-4</t>
  </si>
  <si>
    <t>подключение к тепл.сетям</t>
  </si>
  <si>
    <t>19/03/38</t>
  </si>
  <si>
    <t>ППР подъемник</t>
  </si>
  <si>
    <t>565337</t>
  </si>
  <si>
    <t>кабель КГ, прожектор</t>
  </si>
  <si>
    <t>тр 1878000026</t>
  </si>
  <si>
    <t>кровля и изоляция</t>
  </si>
  <si>
    <t>1146</t>
  </si>
  <si>
    <t>почтовые ящики 1584шт</t>
  </si>
  <si>
    <t>5568</t>
  </si>
  <si>
    <t>26.3</t>
  </si>
  <si>
    <t>долг 0,8</t>
  </si>
  <si>
    <t>смр ограждающие, каркас</t>
  </si>
  <si>
    <t>анодпо исс</t>
  </si>
  <si>
    <t>1900468</t>
  </si>
  <si>
    <t>ОТ повыш.квалиф. Юля Ч.</t>
  </si>
  <si>
    <t>дог. 54-19-ТК</t>
  </si>
  <si>
    <t>103191</t>
  </si>
  <si>
    <t>103238</t>
  </si>
  <si>
    <t>АДМ замена комп Истомина</t>
  </si>
  <si>
    <t>АДМ накопитель</t>
  </si>
  <si>
    <t>103481</t>
  </si>
  <si>
    <t>АДМ замена комп Анна Петровна</t>
  </si>
  <si>
    <t>148/19</t>
  </si>
  <si>
    <t>грунт справки доплата</t>
  </si>
  <si>
    <t>вода 36шт</t>
  </si>
  <si>
    <t>Андреев А.Ю.</t>
  </si>
  <si>
    <t>возврат пиб 300б-БФ/12-15ан</t>
  </si>
  <si>
    <t>возврат пиб 42б-БФ/07-17н</t>
  </si>
  <si>
    <t>Гуль П.Н.</t>
  </si>
  <si>
    <t>Крупенина Н.В.</t>
  </si>
  <si>
    <t>возврат пиб 331б-БФ/05-14г</t>
  </si>
  <si>
    <t>2255</t>
  </si>
  <si>
    <t>взнос 2кв.2019</t>
  </si>
  <si>
    <t>уфк по спб (МЧС)</t>
  </si>
  <si>
    <t>постановление</t>
  </si>
  <si>
    <t>штраф за невыполнение предписания об устранении недостатков</t>
  </si>
  <si>
    <t>536</t>
  </si>
  <si>
    <t>тр 570168</t>
  </si>
  <si>
    <t>ВС 16-31.03</t>
  </si>
  <si>
    <t>ВО март</t>
  </si>
  <si>
    <t>Олейник Я.А.</t>
  </si>
  <si>
    <t>возврат пиб 255в-м298/10-14н (АСС)</t>
  </si>
  <si>
    <t>Дудин А.М.</t>
  </si>
  <si>
    <t>возврат пиб 9а-ТК1/06-14г</t>
  </si>
  <si>
    <t>техноавиа-спб</t>
  </si>
  <si>
    <t>3884</t>
  </si>
  <si>
    <t>спецодежда лето</t>
  </si>
  <si>
    <t>3744</t>
  </si>
  <si>
    <t>3760</t>
  </si>
  <si>
    <t>3840</t>
  </si>
  <si>
    <t>3567</t>
  </si>
  <si>
    <t>3565</t>
  </si>
  <si>
    <t>3564</t>
  </si>
  <si>
    <t>3765</t>
  </si>
  <si>
    <t>3539</t>
  </si>
  <si>
    <t>3611</t>
  </si>
  <si>
    <t>3779</t>
  </si>
  <si>
    <t>3856</t>
  </si>
  <si>
    <t>4012</t>
  </si>
  <si>
    <t>879</t>
  </si>
  <si>
    <t>Facebook, Instagram</t>
  </si>
  <si>
    <t>21-31март</t>
  </si>
  <si>
    <t>087/…0558</t>
  </si>
  <si>
    <t>БИТ.Строительство.Управл.учет, Упр-ние данными</t>
  </si>
  <si>
    <t>вентблоки, металлопрокат</t>
  </si>
  <si>
    <t>3526</t>
  </si>
  <si>
    <t>4029</t>
  </si>
  <si>
    <t>105207</t>
  </si>
  <si>
    <t>АДМ ноуты 4шт для геодезистов</t>
  </si>
  <si>
    <t>920</t>
  </si>
  <si>
    <t>Майдаков С.А.</t>
  </si>
  <si>
    <t>возврат переплаты 65а-КАМ1/11-16н</t>
  </si>
  <si>
    <t>1914610160</t>
  </si>
  <si>
    <t>контур-фокус 1год</t>
  </si>
  <si>
    <t>чл.взнос 2кв 2019</t>
  </si>
  <si>
    <t>стеновые, жби</t>
  </si>
  <si>
    <t>80731</t>
  </si>
  <si>
    <t>3163 (по сверке)</t>
  </si>
  <si>
    <t>кофе-брейк 12.04.19</t>
  </si>
  <si>
    <t>175, 176</t>
  </si>
  <si>
    <t>3753081</t>
  </si>
  <si>
    <t>12184005</t>
  </si>
  <si>
    <t>2919</t>
  </si>
  <si>
    <t>4423</t>
  </si>
  <si>
    <t>съели резерв</t>
  </si>
  <si>
    <t>звонить съели резерв</t>
  </si>
  <si>
    <t>кредит</t>
  </si>
  <si>
    <t>Агапова А.А.</t>
  </si>
  <si>
    <t>возврат пиб 33а-ТК1/01-14г</t>
  </si>
  <si>
    <t>Барихина Г.Е.</t>
  </si>
  <si>
    <t>возврат пиб 15б-ВНФ/03-13г</t>
  </si>
  <si>
    <t>дог. 271/у</t>
  </si>
  <si>
    <t>поставка и монтаж КНС</t>
  </si>
  <si>
    <t>датчик угла поворота</t>
  </si>
  <si>
    <t>дог. 33-19</t>
  </si>
  <si>
    <t>сч60</t>
  </si>
  <si>
    <t>тр6191</t>
  </si>
  <si>
    <t>158/19</t>
  </si>
  <si>
    <t>справки на грунт доплата</t>
  </si>
  <si>
    <t>тр770018</t>
  </si>
  <si>
    <t>388, 389</t>
  </si>
  <si>
    <t>дог. С/ПСт/ВГ/01/03/2019</t>
  </si>
  <si>
    <t>СМТ</t>
  </si>
  <si>
    <t>дог 346-Б3/07-18</t>
  </si>
  <si>
    <t>смр газопровод</t>
  </si>
  <si>
    <t>сервисные работы (замена батареек)</t>
  </si>
  <si>
    <t>контраст</t>
  </si>
  <si>
    <t>допечатная обработка (буклеты)</t>
  </si>
  <si>
    <t>линия</t>
  </si>
  <si>
    <t>баннер</t>
  </si>
  <si>
    <t>Степанов В.К.</t>
  </si>
  <si>
    <t>возврат переплаты 73б-БКЛ/02-14г</t>
  </si>
  <si>
    <t>Яковлев И.В.</t>
  </si>
  <si>
    <t>возврат пиб 283б-БФ/03-14г</t>
  </si>
  <si>
    <t>Архипов Д.И.</t>
  </si>
  <si>
    <t>возврат пиб 239а-БФ/03-14г</t>
  </si>
  <si>
    <t>3/лк</t>
  </si>
  <si>
    <t>евро-тент</t>
  </si>
  <si>
    <t>ремонт тента и бротов</t>
  </si>
  <si>
    <t>телескопич.погрузчик</t>
  </si>
  <si>
    <t>колумб, магеллан, шуш.3005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</si>
  <si>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</si>
  <si>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</si>
  <si>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</si>
  <si>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</si>
  <si>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</si>
  <si>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</si>
  <si>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</si>
  <si>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</si>
  <si>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</si>
  <si>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2/ср</t>
  </si>
  <si>
    <t>3/18/03</t>
  </si>
  <si>
    <t>3/20/02</t>
  </si>
  <si>
    <t>3/21/02</t>
  </si>
  <si>
    <t>3/22/08</t>
  </si>
  <si>
    <t>3/22/10</t>
  </si>
  <si>
    <t>3/27/04</t>
  </si>
  <si>
    <t>3/30/03</t>
  </si>
  <si>
    <t>С/ПСт/ТУ/11/1</t>
  </si>
  <si>
    <t>323</t>
  </si>
  <si>
    <t>324</t>
  </si>
  <si>
    <t>326</t>
  </si>
  <si>
    <t>колумб, шушары 3005</t>
  </si>
  <si>
    <t>длиннорук.экскаватор, доставка</t>
  </si>
  <si>
    <t>длиннорук.экскаватор</t>
  </si>
  <si>
    <t>706</t>
  </si>
  <si>
    <t>вывоз длиннорук.экскаватора</t>
  </si>
  <si>
    <t>йога 2/2, колумб</t>
  </si>
  <si>
    <t>523</t>
  </si>
  <si>
    <t>отбойный молоток</t>
  </si>
  <si>
    <t>магеллан, типанова</t>
  </si>
  <si>
    <t>самосвал, бульдозер</t>
  </si>
  <si>
    <t>гусен.экскаватор, вывоз</t>
  </si>
  <si>
    <t>замена топл.фильтра РДК</t>
  </si>
  <si>
    <t>РВД, ниппель, гидрошайба..</t>
  </si>
  <si>
    <t>2032236447</t>
  </si>
  <si>
    <t>664</t>
  </si>
  <si>
    <t>выезд специалиста (мойка колес)</t>
  </si>
  <si>
    <t>1177</t>
  </si>
  <si>
    <t>шланг высок.давления</t>
  </si>
  <si>
    <t>12337</t>
  </si>
  <si>
    <t>2084</t>
  </si>
  <si>
    <t>ГБ</t>
  </si>
  <si>
    <t>4531/1</t>
  </si>
  <si>
    <t>712/1</t>
  </si>
  <si>
    <t>полоса. Арм. 6</t>
  </si>
  <si>
    <t>958/1</t>
  </si>
  <si>
    <t>1004/1</t>
  </si>
  <si>
    <t>1020/1</t>
  </si>
  <si>
    <t>1008/1</t>
  </si>
  <si>
    <t>1109/1</t>
  </si>
  <si>
    <t>деталь МС-1, уголок</t>
  </si>
  <si>
    <t>1140/1</t>
  </si>
  <si>
    <t>1160/1</t>
  </si>
  <si>
    <t>закладн.деталь, труба</t>
  </si>
  <si>
    <t>1398/1</t>
  </si>
  <si>
    <t>10962</t>
  </si>
  <si>
    <t>801</t>
  </si>
  <si>
    <t>3659</t>
  </si>
  <si>
    <t>3552</t>
  </si>
  <si>
    <t>3693</t>
  </si>
  <si>
    <t>Юнистроп</t>
  </si>
  <si>
    <t>выкл.авт.</t>
  </si>
  <si>
    <t>лампа, кабель, бита…</t>
  </si>
  <si>
    <t>1150</t>
  </si>
  <si>
    <t>кабель, розетка, вилка..</t>
  </si>
  <si>
    <t>1189</t>
  </si>
  <si>
    <t>1190</t>
  </si>
  <si>
    <t>коробка рожковая</t>
  </si>
  <si>
    <t>448</t>
  </si>
  <si>
    <t>1222</t>
  </si>
  <si>
    <t>1309</t>
  </si>
  <si>
    <t>3956</t>
  </si>
  <si>
    <t>4156</t>
  </si>
  <si>
    <t>4374</t>
  </si>
  <si>
    <t>125227</t>
  </si>
  <si>
    <t>клей для блоков</t>
  </si>
  <si>
    <t>98596</t>
  </si>
  <si>
    <t>профиль, крестики, гипрок…</t>
  </si>
  <si>
    <t>1510111</t>
  </si>
  <si>
    <t>профиль, краска, саморез..</t>
  </si>
  <si>
    <t>154894</t>
  </si>
  <si>
    <t>воронка</t>
  </si>
  <si>
    <t>пена монтажн.</t>
  </si>
  <si>
    <t>3860</t>
  </si>
  <si>
    <t>пена, пистолет</t>
  </si>
  <si>
    <t>профиль, саморез, дюбель</t>
  </si>
  <si>
    <t>электродвигатель</t>
  </si>
  <si>
    <t>Системы и технологии</t>
  </si>
  <si>
    <t>432</t>
  </si>
  <si>
    <t>15910</t>
  </si>
  <si>
    <t>краска, профиль, клей..</t>
  </si>
  <si>
    <t>1799</t>
  </si>
  <si>
    <t>1848</t>
  </si>
  <si>
    <t>перчатки, вилка, розетка..</t>
  </si>
  <si>
    <t>сетка, эпоксидн.смола, отвердитель</t>
  </si>
  <si>
    <t>гвоздь, замок, рукав..</t>
  </si>
  <si>
    <t>провод, зубило, электрод…</t>
  </si>
  <si>
    <t>бита, саморез, молоток..</t>
  </si>
  <si>
    <t>выкл., кабель, горелка..</t>
  </si>
  <si>
    <t>перчатки, ключ, труба..</t>
  </si>
  <si>
    <t>16577</t>
  </si>
  <si>
    <t>дюбель, анкер</t>
  </si>
  <si>
    <t>16850</t>
  </si>
  <si>
    <t>колесо, изолента, саморез..</t>
  </si>
  <si>
    <t>патрон, шнур, замок, рулетка..</t>
  </si>
  <si>
    <t>861</t>
  </si>
  <si>
    <t>6337</t>
  </si>
  <si>
    <t>6660</t>
  </si>
  <si>
    <t>6642</t>
  </si>
  <si>
    <t>6736</t>
  </si>
  <si>
    <t>3929</t>
  </si>
  <si>
    <t>4003</t>
  </si>
  <si>
    <t>568</t>
  </si>
  <si>
    <t>дог. 8, д.с. 1</t>
  </si>
  <si>
    <t>корр. ПД Петровский б-р</t>
  </si>
  <si>
    <t>дог.142/А-317-30/10</t>
  </si>
  <si>
    <t>выдача заключения по энергоустановкам (жилье)</t>
  </si>
  <si>
    <t>д1-19-05540</t>
  </si>
  <si>
    <t>дог.141/А-317-30/10</t>
  </si>
  <si>
    <t>выдача заключения по энергоустановкам (встройка)</t>
  </si>
  <si>
    <t>дог.143/А-317-30/10</t>
  </si>
  <si>
    <t>РМС</t>
  </si>
  <si>
    <t>замеры целостности проводников</t>
  </si>
  <si>
    <t>ОТ, от, пожарка, пром.безоп. Бадалов</t>
  </si>
  <si>
    <t>энтикс</t>
  </si>
  <si>
    <t>восстановление видеонаблюдения</t>
  </si>
  <si>
    <t>мумрино 43</t>
  </si>
  <si>
    <t>подключение раб.места Геодезист</t>
  </si>
  <si>
    <t>АДМ подключ.раб.мест ОКС</t>
  </si>
  <si>
    <t xml:space="preserve">АДМ контроль доступа, доводчики ОП В.О. </t>
  </si>
  <si>
    <t>Петров М.И.</t>
  </si>
  <si>
    <t>возврат пиб 253б-БФ/04-14г</t>
  </si>
  <si>
    <t>Перекрасов А.О.</t>
  </si>
  <si>
    <t>возврат пиб 19б-БФ/09-16г</t>
  </si>
  <si>
    <t>Мкртчян П.А.</t>
  </si>
  <si>
    <t>возврат пиб 12Н-м298/06-15г</t>
  </si>
  <si>
    <t>100226/20</t>
  </si>
  <si>
    <t>98284/20</t>
  </si>
  <si>
    <t>95074820</t>
  </si>
  <si>
    <t>с мая будет Ленмонтаж</t>
  </si>
  <si>
    <t>98320/20</t>
  </si>
  <si>
    <t>рекл.агентство проспект</t>
  </si>
  <si>
    <t>2179</t>
  </si>
  <si>
    <t>постер А2</t>
  </si>
  <si>
    <t>а11</t>
  </si>
  <si>
    <t>наружка в Пулково</t>
  </si>
  <si>
    <t>2177</t>
  </si>
  <si>
    <t>постер в метро</t>
  </si>
  <si>
    <t>15апр - 14мая</t>
  </si>
  <si>
    <t>924</t>
  </si>
  <si>
    <t>925</t>
  </si>
  <si>
    <t>Criteo</t>
  </si>
  <si>
    <t>1553</t>
  </si>
  <si>
    <t>буклет Витамин</t>
  </si>
  <si>
    <t>зонты 100шт</t>
  </si>
  <si>
    <t>11215</t>
  </si>
  <si>
    <t>5644</t>
  </si>
  <si>
    <t>дг25</t>
  </si>
  <si>
    <t>демонтаж</t>
  </si>
  <si>
    <t>1549</t>
  </si>
  <si>
    <t>брошюра Отделка</t>
  </si>
  <si>
    <t>5009</t>
  </si>
  <si>
    <t>авторадио</t>
  </si>
  <si>
    <t>6374</t>
  </si>
  <si>
    <t>14068</t>
  </si>
  <si>
    <t>перемонтаж видеоролика</t>
  </si>
  <si>
    <t>Б-1647128033-1</t>
  </si>
  <si>
    <t>тр 7970024</t>
  </si>
  <si>
    <t>тр 8020017</t>
  </si>
  <si>
    <t>546</t>
  </si>
  <si>
    <t>1082</t>
  </si>
  <si>
    <t>2019г</t>
  </si>
  <si>
    <t>946</t>
  </si>
  <si>
    <t>1 кв</t>
  </si>
  <si>
    <t>АДМ розетки 709каб</t>
  </si>
  <si>
    <t>штампы</t>
  </si>
  <si>
    <t>дог. 410-М44/03-19</t>
  </si>
  <si>
    <t>смр полы к.3</t>
  </si>
  <si>
    <t>дог. 414-М44/04-19</t>
  </si>
  <si>
    <t>733</t>
  </si>
  <si>
    <t>АДМ замена роликов HP</t>
  </si>
  <si>
    <t>АДМ ремонт HP</t>
  </si>
  <si>
    <t>адрес, КПП</t>
  </si>
  <si>
    <t>3134</t>
  </si>
  <si>
    <t>фанера лам. 336листов</t>
  </si>
  <si>
    <t>517</t>
  </si>
  <si>
    <t>6573579512</t>
  </si>
  <si>
    <t>терр.фонд геолог.инф-ции</t>
  </si>
  <si>
    <t>справ.инф-ция (недра)</t>
  </si>
  <si>
    <t>102, 103</t>
  </si>
  <si>
    <t>302</t>
  </si>
  <si>
    <t>дог. 16-19</t>
  </si>
  <si>
    <t>сч59</t>
  </si>
  <si>
    <t>5875, 6530, 6584, 6634, 6585, 6586</t>
  </si>
  <si>
    <t>29.03-05.04</t>
  </si>
  <si>
    <t>сч466</t>
  </si>
  <si>
    <t>сч468</t>
  </si>
  <si>
    <t>сч82</t>
  </si>
  <si>
    <t>сч81</t>
  </si>
  <si>
    <t>сч80</t>
  </si>
  <si>
    <t>Зайков В.Н.</t>
  </si>
  <si>
    <t>расторжение дду 3д-АЭР42/01-19ан</t>
  </si>
  <si>
    <t>3592/1</t>
  </si>
  <si>
    <t>приемка объекта доплата НДС</t>
  </si>
  <si>
    <t>44355/03/2019</t>
  </si>
  <si>
    <t>магеллагн</t>
  </si>
  <si>
    <t>734</t>
  </si>
  <si>
    <t>5/то…07371</t>
  </si>
  <si>
    <t>ав.обслуживание, то</t>
  </si>
  <si>
    <t>фанера береза 28,296куб.м</t>
  </si>
  <si>
    <t>контакт-транс</t>
  </si>
  <si>
    <t>731</t>
  </si>
  <si>
    <t>декталь ДК-1</t>
  </si>
  <si>
    <t>4125</t>
  </si>
  <si>
    <t>арм22 (65тн), 28 (15тн)</t>
  </si>
  <si>
    <t>Оптима Металл</t>
  </si>
  <si>
    <t>арм 10 (40тн), 20 (10тн), 32 (30тн)</t>
  </si>
  <si>
    <t>2192</t>
  </si>
  <si>
    <t>кирпич рядовой полнотелый 81500шт</t>
  </si>
  <si>
    <t>488</t>
  </si>
  <si>
    <t>камень перегородочный СКЦ 25200шт</t>
  </si>
  <si>
    <t>камень перегородочный ПОЛИГРАН 15840шт, камень стеновой КПР 2016шт</t>
  </si>
  <si>
    <t>319</t>
  </si>
  <si>
    <t>111630</t>
  </si>
  <si>
    <t>АДМ мфу А3 в ОП</t>
  </si>
  <si>
    <t>6773</t>
  </si>
  <si>
    <t>5.4</t>
  </si>
  <si>
    <t>зеркалов</t>
  </si>
  <si>
    <t>2038</t>
  </si>
  <si>
    <t>зеркала в ОП В.О.</t>
  </si>
  <si>
    <t>463</t>
  </si>
  <si>
    <t>405, 408</t>
  </si>
  <si>
    <t>406, 409</t>
  </si>
  <si>
    <t>407, 410</t>
  </si>
  <si>
    <t>355</t>
  </si>
  <si>
    <t>К-190303/2</t>
  </si>
  <si>
    <t>1816</t>
  </si>
  <si>
    <t>брошюра А4</t>
  </si>
  <si>
    <t>лента с логотипом</t>
  </si>
  <si>
    <t>шокобрэнд</t>
  </si>
  <si>
    <t>леденцы с логотипом 20кг</t>
  </si>
  <si>
    <t>СГСНиЭ (УГСН)</t>
  </si>
  <si>
    <t>пост. 1/306Пс7-19</t>
  </si>
  <si>
    <t>ип хасанов х.х.</t>
  </si>
  <si>
    <t>7337197</t>
  </si>
  <si>
    <t>ремонт кофемашины (711)</t>
  </si>
  <si>
    <t>дог. 3130.34.039.2</t>
  </si>
  <si>
    <t>469</t>
  </si>
  <si>
    <t>741</t>
  </si>
  <si>
    <t>131003025269</t>
  </si>
  <si>
    <t>131003025317</t>
  </si>
  <si>
    <t>131203025492</t>
  </si>
  <si>
    <t>347003057475</t>
  </si>
  <si>
    <t>347003057416</t>
  </si>
  <si>
    <t>347203057666</t>
  </si>
  <si>
    <t>313003051109</t>
  </si>
  <si>
    <t>313003051168</t>
  </si>
  <si>
    <t>302003051121</t>
  </si>
  <si>
    <t>302003051049</t>
  </si>
  <si>
    <t>302203051541</t>
  </si>
  <si>
    <t>130003119515</t>
  </si>
  <si>
    <t>130003119533</t>
  </si>
  <si>
    <t>130203119561</t>
  </si>
  <si>
    <t>тр7985</t>
  </si>
  <si>
    <t>101554/20</t>
  </si>
  <si>
    <t>лампа, замок, выкл., кабель..</t>
  </si>
  <si>
    <t>светильник, трансформатор</t>
  </si>
  <si>
    <t>накл 4524</t>
  </si>
  <si>
    <t>санкт-петербургский учебный коллектор</t>
  </si>
  <si>
    <t>тумба классной доски (ОП)</t>
  </si>
  <si>
    <t>мбм-дизайн</t>
  </si>
  <si>
    <t>стаканчики</t>
  </si>
  <si>
    <t>сампо-лимитед</t>
  </si>
  <si>
    <t>ремонт вентилятор, эл/дв-ля</t>
  </si>
  <si>
    <t>3779000/опр-о/29032019</t>
  </si>
  <si>
    <t>система гарант май-июль</t>
  </si>
  <si>
    <t>скат</t>
  </si>
  <si>
    <t>аренда ГП 12-31.03</t>
  </si>
  <si>
    <t>кофе-брейк 19.04.19</t>
  </si>
  <si>
    <t>Аблаев Ю.М.</t>
  </si>
  <si>
    <t>возврат пиб 200б-БФ/11-14г</t>
  </si>
  <si>
    <t>Кривошапкина О.Ю.</t>
  </si>
  <si>
    <t>возврат пиб 355б-БФ/12-14г</t>
  </si>
  <si>
    <t>Бостан С.В.</t>
  </si>
  <si>
    <t>возврат пиб 25в-м298/08-15н (АСС)</t>
  </si>
  <si>
    <t>419</t>
  </si>
  <si>
    <t>бастион</t>
  </si>
  <si>
    <t>кристалл</t>
  </si>
  <si>
    <t>флагман</t>
  </si>
  <si>
    <t>арм 10, арм 12</t>
  </si>
  <si>
    <t xml:space="preserve">проволока отоженная </t>
  </si>
  <si>
    <t>компания традиция-К</t>
  </si>
  <si>
    <t>19471</t>
  </si>
  <si>
    <t>гидрозамок с установкой и настройкой</t>
  </si>
  <si>
    <t>трак-центр</t>
  </si>
  <si>
    <t>1739</t>
  </si>
  <si>
    <t>что-то для рем.двиг.</t>
  </si>
  <si>
    <t>гк атлет</t>
  </si>
  <si>
    <t>1547</t>
  </si>
  <si>
    <t>шайба, сальник, вал и тд</t>
  </si>
  <si>
    <t>техмаш</t>
  </si>
  <si>
    <t>4-005</t>
  </si>
  <si>
    <t>ремонт ковша 2шт</t>
  </si>
  <si>
    <t>нак машинери</t>
  </si>
  <si>
    <t>6931</t>
  </si>
  <si>
    <t>палей+шайба стопорные</t>
  </si>
  <si>
    <t>выплачен</t>
  </si>
  <si>
    <t>019/0428</t>
  </si>
  <si>
    <t>484</t>
  </si>
  <si>
    <t>487</t>
  </si>
  <si>
    <t>636</t>
  </si>
  <si>
    <t>пай 28г-М298/06-13г</t>
  </si>
  <si>
    <t>неустойка</t>
  </si>
  <si>
    <t>альпми</t>
  </si>
  <si>
    <t>монтаж ЗУС</t>
  </si>
  <si>
    <t>титан-монолит</t>
  </si>
  <si>
    <t>ЗУСы в комплекте 64шт</t>
  </si>
  <si>
    <t>24574</t>
  </si>
  <si>
    <t>1360</t>
  </si>
  <si>
    <t>вода 3шт</t>
  </si>
  <si>
    <t>СР чл.взнос 2кв 2019</t>
  </si>
  <si>
    <t>471901</t>
  </si>
  <si>
    <t>12971383</t>
  </si>
  <si>
    <t>12185</t>
  </si>
  <si>
    <t>ГАЗЕЛЬ борт на газель</t>
  </si>
  <si>
    <t>ориент спб за лид-88</t>
  </si>
  <si>
    <t>дог. 79-Т/04-19</t>
  </si>
  <si>
    <t>АДМ ремонт мониторов</t>
  </si>
  <si>
    <t>АДМ ТО 1кв.2019</t>
  </si>
  <si>
    <t>АДМ восстановление, диагностика</t>
  </si>
  <si>
    <t>1124</t>
  </si>
  <si>
    <t>АДМ ремонт картриджа</t>
  </si>
  <si>
    <t>КС 059-25/19-2</t>
  </si>
  <si>
    <t>экспл.обслуж. КЛ 2кв.2019</t>
  </si>
  <si>
    <t>0530/04-19</t>
  </si>
  <si>
    <t>стр.контроль канализ.сеть</t>
  </si>
  <si>
    <t>0531/04-19</t>
  </si>
  <si>
    <t>присоединение канализация</t>
  </si>
  <si>
    <t>0532/04-19</t>
  </si>
  <si>
    <t>Еремина Т.В.</t>
  </si>
  <si>
    <t>возврат пиб 38г-м298/12-14ан</t>
  </si>
  <si>
    <t>Полукаров И.В.</t>
  </si>
  <si>
    <t>возврат пиб 202б-БФ/11-14г</t>
  </si>
  <si>
    <t>Коршунов М.С.</t>
  </si>
  <si>
    <t>возврат пиб 287а-БФ/07-16ан</t>
  </si>
  <si>
    <t>Бабушкина О.А.</t>
  </si>
  <si>
    <t>возврат пиб 328б-БФ/10-16г</t>
  </si>
  <si>
    <t>1784</t>
  </si>
  <si>
    <t>1787</t>
  </si>
  <si>
    <t>1788</t>
  </si>
  <si>
    <t>1789</t>
  </si>
  <si>
    <t>парогенератор 11.04.19</t>
  </si>
  <si>
    <t>илосос</t>
  </si>
  <si>
    <t>7/лм</t>
  </si>
  <si>
    <t>фрон.погрузчик</t>
  </si>
  <si>
    <t>211</t>
  </si>
  <si>
    <t>витамин, сваебой</t>
  </si>
  <si>
    <t>134</t>
  </si>
  <si>
    <t xml:space="preserve">экскаватор </t>
  </si>
  <si>
    <t>тореза, балканы</t>
  </si>
  <si>
    <t>самосвал, мини-погрузчик</t>
  </si>
  <si>
    <t>Трак-Строй</t>
  </si>
  <si>
    <t>210</t>
  </si>
  <si>
    <t>318</t>
  </si>
  <si>
    <t>дт 38200л</t>
  </si>
  <si>
    <t>3968414614</t>
  </si>
  <si>
    <t>377</t>
  </si>
  <si>
    <t>Строительные Машины</t>
  </si>
  <si>
    <t>343</t>
  </si>
  <si>
    <t>дефектация станка СМЖ-172</t>
  </si>
  <si>
    <t>шланг, распылитель для мойки колес</t>
  </si>
  <si>
    <t>ремонт сварочн.аппарата</t>
  </si>
  <si>
    <t>8190/10725/1904</t>
  </si>
  <si>
    <t>8193/13334/1904</t>
  </si>
  <si>
    <t>8202/18705/1904</t>
  </si>
  <si>
    <t>2085</t>
  </si>
  <si>
    <t>2086</t>
  </si>
  <si>
    <t>арм. 6,8,16,20</t>
  </si>
  <si>
    <t>Плитстрой</t>
  </si>
  <si>
    <t>арм. 6,12,16, проволока</t>
  </si>
  <si>
    <t>1255</t>
  </si>
  <si>
    <t>замок, лампа, провод, кабель..</t>
  </si>
  <si>
    <t>шина, рубильник, провод..</t>
  </si>
  <si>
    <t>1279</t>
  </si>
  <si>
    <t>светильник, шина</t>
  </si>
  <si>
    <t>1302</t>
  </si>
  <si>
    <t>кабель, саморез, наконечник..</t>
  </si>
  <si>
    <t>1422</t>
  </si>
  <si>
    <t>дрель, бита, сверла</t>
  </si>
  <si>
    <t>4839</t>
  </si>
  <si>
    <t>4523</t>
  </si>
  <si>
    <t>108034</t>
  </si>
  <si>
    <t>гипсокартон, профиль, штукатурка..</t>
  </si>
  <si>
    <t>116079</t>
  </si>
  <si>
    <t>грунт, растворитель, профиль..</t>
  </si>
  <si>
    <t>149326</t>
  </si>
  <si>
    <t>клей для кладки</t>
  </si>
  <si>
    <t>воронка, переход..</t>
  </si>
  <si>
    <t>аэратор</t>
  </si>
  <si>
    <t>414</t>
  </si>
  <si>
    <t>вилла текс</t>
  </si>
  <si>
    <t>4079</t>
  </si>
  <si>
    <t>пленка, круг, диск, сетка</t>
  </si>
  <si>
    <t>4080</t>
  </si>
  <si>
    <t>лента, гипсокартон, пленка..</t>
  </si>
  <si>
    <t>4179</t>
  </si>
  <si>
    <t>пленка, геотекстиль</t>
  </si>
  <si>
    <t>4271</t>
  </si>
  <si>
    <t>4306</t>
  </si>
  <si>
    <t>провод, замок</t>
  </si>
  <si>
    <t>эл.двигатель, вибронаконечник, вал</t>
  </si>
  <si>
    <t>550</t>
  </si>
  <si>
    <t>1942</t>
  </si>
  <si>
    <t>15525</t>
  </si>
  <si>
    <t>17311</t>
  </si>
  <si>
    <t>17911</t>
  </si>
  <si>
    <t>1960</t>
  </si>
  <si>
    <t>2049</t>
  </si>
  <si>
    <t>круг, шнур, шпатель..</t>
  </si>
  <si>
    <t>задвижка, прокладка</t>
  </si>
  <si>
    <t>маркер, маска, электрод</t>
  </si>
  <si>
    <t>кувалда, стремянка, лента…</t>
  </si>
  <si>
    <t>цилиндр.механизм, вилка</t>
  </si>
  <si>
    <t>саморез, розетка, щетка..</t>
  </si>
  <si>
    <t>17703</t>
  </si>
  <si>
    <t>дюбель, лента</t>
  </si>
  <si>
    <t>18456</t>
  </si>
  <si>
    <t>18583</t>
  </si>
  <si>
    <t>18613</t>
  </si>
  <si>
    <t>18673</t>
  </si>
  <si>
    <t>2539</t>
  </si>
  <si>
    <t>тех.газы, резак, редуктор</t>
  </si>
  <si>
    <t>ведро, замок, лопата..</t>
  </si>
  <si>
    <t>отвертки, самлорез, изолента..</t>
  </si>
  <si>
    <t>лопата, мешок, тачка..</t>
  </si>
  <si>
    <t>6966</t>
  </si>
  <si>
    <t>7670</t>
  </si>
  <si>
    <t>7776</t>
  </si>
  <si>
    <t>КМК-Строй</t>
  </si>
  <si>
    <t>керамзит</t>
  </si>
  <si>
    <t>клещи, электрод, рулетка..</t>
  </si>
  <si>
    <t>ТД Электротехмонтаж</t>
  </si>
  <si>
    <t>104/3502496-2</t>
  </si>
  <si>
    <t>труба гофр., коробка уст.</t>
  </si>
  <si>
    <t>104/3502496-3</t>
  </si>
  <si>
    <t>104/3502647</t>
  </si>
  <si>
    <t>втулка</t>
  </si>
  <si>
    <t>...999-999</t>
  </si>
  <si>
    <t>труба гофр., заглушка</t>
  </si>
  <si>
    <t>104/3502768</t>
  </si>
  <si>
    <t>104/3502496-999</t>
  </si>
  <si>
    <t>коробка, заглушка</t>
  </si>
  <si>
    <t>вега</t>
  </si>
  <si>
    <t>ИП Сергеев</t>
  </si>
  <si>
    <t>компрессор, шланг, домкрат..</t>
  </si>
  <si>
    <t>сч87</t>
  </si>
  <si>
    <t>12211584</t>
  </si>
  <si>
    <t>каски, бахилы</t>
  </si>
  <si>
    <t>101584</t>
  </si>
  <si>
    <t>сверло, болт, гайка, шайба</t>
  </si>
  <si>
    <t>16389</t>
  </si>
  <si>
    <t>рекв.ББР</t>
  </si>
  <si>
    <t>ук лидер мурино за лид-88</t>
  </si>
  <si>
    <t>йота СВАЕБОЙ</t>
  </si>
  <si>
    <t>357757402</t>
  </si>
  <si>
    <t>до 21-го</t>
  </si>
  <si>
    <t>тр4792</t>
  </si>
  <si>
    <t>Зяблов Р.Г.</t>
  </si>
  <si>
    <t>возврат переплаты 71б-ЛЕН/11-17н</t>
  </si>
  <si>
    <t>Плеханова М.В.</t>
  </si>
  <si>
    <t>возврат пиб 9а-БФ/04-17г</t>
  </si>
  <si>
    <t>анако</t>
  </si>
  <si>
    <t>13327</t>
  </si>
  <si>
    <t>магнитный винил с клеевым слоем</t>
  </si>
  <si>
    <t>доработка коннектора АТС-Битрикс</t>
  </si>
  <si>
    <t>розетка, кабель с монтажом</t>
  </si>
  <si>
    <t>химмарт</t>
  </si>
  <si>
    <t>26/0419</t>
  </si>
  <si>
    <t>08-11.04</t>
  </si>
  <si>
    <t>6889, 7074, 6991, 7075, 7115, 7076</t>
  </si>
  <si>
    <t xml:space="preserve">рег. 10.04.19, выд. 17.04.19 </t>
  </si>
  <si>
    <t>180419</t>
  </si>
  <si>
    <t>проушина плиты</t>
  </si>
  <si>
    <t>сч27</t>
  </si>
  <si>
    <t>дог. 68-Т/03-19</t>
  </si>
  <si>
    <t>смр металлоконструкции</t>
  </si>
  <si>
    <t>тэ_559</t>
  </si>
  <si>
    <t>тэ_738</t>
  </si>
  <si>
    <t>Пятаев Н.Г., Фалин Д.В, (на р/с Фалина Д.В.)</t>
  </si>
  <si>
    <t>возврат пиб 37г-м298/03-14н</t>
  </si>
  <si>
    <t>Гульцев Д.В.</t>
  </si>
  <si>
    <t>возврат пиб 302г-м298/12-14г</t>
  </si>
  <si>
    <t>Шевченко Л.В.</t>
  </si>
  <si>
    <t>возврат пиб 127г-м298/09-14г</t>
  </si>
  <si>
    <t>Лифтстройупраление</t>
  </si>
  <si>
    <t>возврат пиб 85-86в-12-12/2013 (АСС)</t>
  </si>
  <si>
    <t>возврат пиб 29-30в-12-12/2013 (АСС)</t>
  </si>
  <si>
    <t>возврат пиб 57-58в-12-12/2013 (АСС)</t>
  </si>
  <si>
    <t>Ускова Т.М.</t>
  </si>
  <si>
    <t>возврат пиб 31г-м298/04-17г</t>
  </si>
  <si>
    <t>маркерная пленка белая</t>
  </si>
  <si>
    <t>испытательный центр АЛМИР</t>
  </si>
  <si>
    <t>дог. 17-004/19</t>
  </si>
  <si>
    <t>оценка тех.сосотояния свайного поля</t>
  </si>
  <si>
    <t>сч411-04/19</t>
  </si>
  <si>
    <t>А27</t>
  </si>
  <si>
    <t>2458</t>
  </si>
  <si>
    <t>проект ремонта фасада ок.р</t>
  </si>
  <si>
    <t>119193</t>
  </si>
  <si>
    <t>АДМ замена 3 мониторов в ОП</t>
  </si>
  <si>
    <t>прайм (цессия от Риопрома)</t>
  </si>
  <si>
    <t>дог.уступки 2 по дог. 08/13</t>
  </si>
  <si>
    <t>дог.уступки 2 по дог. 150-М43/03-16</t>
  </si>
  <si>
    <t>дог.уступки 2 по дог.  178-М48/06-16</t>
  </si>
  <si>
    <t>ам-групп</t>
  </si>
  <si>
    <t>12918</t>
  </si>
  <si>
    <t>анкерный болт</t>
  </si>
  <si>
    <t>Амилен-Консалтинг</t>
  </si>
  <si>
    <t>абонентское обслуж. 1С: (ОП)</t>
  </si>
  <si>
    <t>1кв.2019</t>
  </si>
  <si>
    <t>пока ждем</t>
  </si>
  <si>
    <t>2кв.2019</t>
  </si>
  <si>
    <t>кредит для окон (ограждения)</t>
  </si>
  <si>
    <t>металлопрокат</t>
  </si>
  <si>
    <t>оптима металл</t>
  </si>
  <si>
    <t>49841</t>
  </si>
  <si>
    <t>труба, рулетка, отвертка и тд</t>
  </si>
  <si>
    <t>40802</t>
  </si>
  <si>
    <t>сервисное обслуживание</t>
  </si>
  <si>
    <t>Черкашина Г.Н.</t>
  </si>
  <si>
    <t>возврат ошиб.уплаченных 42г-М298/11-14г</t>
  </si>
  <si>
    <t>Окунев Г.Г.</t>
  </si>
  <si>
    <t>возврат пиб 228б-БФ/06-16г</t>
  </si>
  <si>
    <t>Дмитриев О.Р. (на р/с Петровой Д.В.)</t>
  </si>
  <si>
    <t>возврат пиб 143а-БФ/09-14н</t>
  </si>
  <si>
    <t>Емельянова И.Н.</t>
  </si>
  <si>
    <t>возврат пиб 381б-БФ/03-14г</t>
  </si>
  <si>
    <t>4065</t>
  </si>
  <si>
    <t>384</t>
  </si>
  <si>
    <t>кофе-брейк 26.04.19</t>
  </si>
  <si>
    <t>интернет проекты</t>
  </si>
  <si>
    <t>пакет Премиум в рамках Urban Awards 2019</t>
  </si>
  <si>
    <t>ип волков п.г.</t>
  </si>
  <si>
    <t>дорожные указатели</t>
  </si>
  <si>
    <t>Три кита</t>
  </si>
  <si>
    <t>дог. 53-К1/04-19</t>
  </si>
  <si>
    <t>пост. 2120</t>
  </si>
  <si>
    <t>реклама на маршрутках</t>
  </si>
  <si>
    <t>13мая-04авг</t>
  </si>
  <si>
    <t>май - октябрь</t>
  </si>
  <si>
    <t>Инструмент С-З</t>
  </si>
  <si>
    <t>кулачок, выкл.</t>
  </si>
  <si>
    <t>диск, электрод, перчатки..</t>
  </si>
  <si>
    <t>виста</t>
  </si>
  <si>
    <t>потерян</t>
  </si>
  <si>
    <t>парогенератор 21.02.19</t>
  </si>
  <si>
    <t>элементы опалубки</t>
  </si>
  <si>
    <t>охрана ОП Мурино монтаж и пнр</t>
  </si>
  <si>
    <t>русбизнесгруп</t>
  </si>
  <si>
    <t>склад пирамида 6шт, строп</t>
  </si>
  <si>
    <t>(Т-консульт)</t>
  </si>
  <si>
    <t>дог. 110/12-5</t>
  </si>
  <si>
    <t>Ленэнерго</t>
  </si>
  <si>
    <t>дог. ОД-СПб-32680-18/46381-Э-18</t>
  </si>
  <si>
    <t>подключение объекта к эл.сетям</t>
  </si>
  <si>
    <t>Черкашина Т.В.</t>
  </si>
  <si>
    <t>491, 492</t>
  </si>
  <si>
    <t>4541</t>
  </si>
  <si>
    <t>1690/1</t>
  </si>
  <si>
    <t>1689/1</t>
  </si>
  <si>
    <t>волгабалт за лид-88</t>
  </si>
  <si>
    <t>ремонт + материалы</t>
  </si>
  <si>
    <t>124699</t>
  </si>
  <si>
    <t>АДМ монитор, кабель</t>
  </si>
  <si>
    <t>зачтено кредитом</t>
  </si>
  <si>
    <t>док-ты на 720 443,60 - Оплачены кредитом 22.10.18</t>
  </si>
  <si>
    <t>819613</t>
  </si>
  <si>
    <t>пенополистирол, ЦПС</t>
  </si>
  <si>
    <t>831145</t>
  </si>
  <si>
    <t>анкер, растворитель, ЦПС..</t>
  </si>
  <si>
    <t>ОСТАТОК ЮЭ00071735</t>
  </si>
  <si>
    <t>прессинформ</t>
  </si>
  <si>
    <t>96326/52</t>
  </si>
  <si>
    <t>гарвард бизнес ревью 07-12.2019</t>
  </si>
  <si>
    <t>фирма световая реклама</t>
  </si>
  <si>
    <t>тр6444</t>
  </si>
  <si>
    <t>тр7977</t>
  </si>
  <si>
    <t>рекв Сбер</t>
  </si>
  <si>
    <t>1357</t>
  </si>
  <si>
    <t>вода 8шт</t>
  </si>
  <si>
    <t>586</t>
  </si>
  <si>
    <t>627</t>
  </si>
  <si>
    <t>5613236411</t>
  </si>
  <si>
    <t>1841</t>
  </si>
  <si>
    <t>1842</t>
  </si>
  <si>
    <t>1843</t>
  </si>
  <si>
    <t>1844</t>
  </si>
  <si>
    <t>1845</t>
  </si>
  <si>
    <t>1846</t>
  </si>
  <si>
    <t>1847</t>
  </si>
  <si>
    <t>4/02/03</t>
  </si>
  <si>
    <t>4/05/02</t>
  </si>
  <si>
    <t>4/06/02</t>
  </si>
  <si>
    <t>4/10/05</t>
  </si>
  <si>
    <t>4/13/03</t>
  </si>
  <si>
    <t>4/14/03</t>
  </si>
  <si>
    <t>4/15/11</t>
  </si>
  <si>
    <t>333</t>
  </si>
  <si>
    <t>1017</t>
  </si>
  <si>
    <t>акт 3038</t>
  </si>
  <si>
    <t>ТО апрель 2018</t>
  </si>
  <si>
    <t>1721</t>
  </si>
  <si>
    <t>порча кабины (по дог.аренды)</t>
  </si>
  <si>
    <t>1716</t>
  </si>
  <si>
    <t>1717</t>
  </si>
  <si>
    <t>1761</t>
  </si>
  <si>
    <t>1760</t>
  </si>
  <si>
    <t>1757</t>
  </si>
  <si>
    <t>1951</t>
  </si>
  <si>
    <t>аренда март</t>
  </si>
  <si>
    <t>1953</t>
  </si>
  <si>
    <t>1952</t>
  </si>
  <si>
    <t>1948</t>
  </si>
  <si>
    <t>1945</t>
  </si>
  <si>
    <t>2154</t>
  </si>
  <si>
    <t>2239</t>
  </si>
  <si>
    <t>2240</t>
  </si>
  <si>
    <t>2241</t>
  </si>
  <si>
    <t>2242</t>
  </si>
  <si>
    <t>ТО март</t>
  </si>
  <si>
    <t>2412</t>
  </si>
  <si>
    <t>2405</t>
  </si>
  <si>
    <t>2406</t>
  </si>
  <si>
    <t>2394</t>
  </si>
  <si>
    <t>2409</t>
  </si>
  <si>
    <t>2410</t>
  </si>
  <si>
    <t>2303992415</t>
  </si>
  <si>
    <t>548</t>
  </si>
  <si>
    <t>фара</t>
  </si>
  <si>
    <t>рукав, муфта, фитинг</t>
  </si>
  <si>
    <t>2381</t>
  </si>
  <si>
    <t>датчик, насос, топливопривод РДК</t>
  </si>
  <si>
    <t>17333</t>
  </si>
  <si>
    <t>17223</t>
  </si>
  <si>
    <t>диск колесный</t>
  </si>
  <si>
    <t>1780</t>
  </si>
  <si>
    <t>ремонт гидронасоса</t>
  </si>
  <si>
    <t>18187</t>
  </si>
  <si>
    <t>19606</t>
  </si>
  <si>
    <t>БКД</t>
  </si>
  <si>
    <t>2089</t>
  </si>
  <si>
    <t>1677/1</t>
  </si>
  <si>
    <t>арм. 6,8,10,12,16,25</t>
  </si>
  <si>
    <t>918</t>
  </si>
  <si>
    <t>944</t>
  </si>
  <si>
    <t>945</t>
  </si>
  <si>
    <t>арм.20</t>
  </si>
  <si>
    <t>971</t>
  </si>
  <si>
    <t>994</t>
  </si>
  <si>
    <t>магеллан колумб</t>
  </si>
  <si>
    <t>5859</t>
  </si>
  <si>
    <t>7392</t>
  </si>
  <si>
    <t>8463</t>
  </si>
  <si>
    <t>арм. 6,8,12,16,25,32</t>
  </si>
  <si>
    <t>8462</t>
  </si>
  <si>
    <t>9938</t>
  </si>
  <si>
    <t>арм. 6,10,16,20,25</t>
  </si>
  <si>
    <t>10227</t>
  </si>
  <si>
    <t>арм. 6,8,10,12,16,20</t>
  </si>
  <si>
    <t>4064</t>
  </si>
  <si>
    <t>4390</t>
  </si>
  <si>
    <t>4391</t>
  </si>
  <si>
    <t>арм. 8,25</t>
  </si>
  <si>
    <t>4433</t>
  </si>
  <si>
    <t>4449</t>
  </si>
  <si>
    <t>арм. 22</t>
  </si>
  <si>
    <t>4446</t>
  </si>
  <si>
    <t>арм. 22,28</t>
  </si>
  <si>
    <t>4452</t>
  </si>
  <si>
    <t>4417</t>
  </si>
  <si>
    <t>4443</t>
  </si>
  <si>
    <t>4633</t>
  </si>
  <si>
    <t>арм. 8,25,36</t>
  </si>
  <si>
    <t>4841</t>
  </si>
  <si>
    <t>349</t>
  </si>
  <si>
    <t>1349</t>
  </si>
  <si>
    <t>труба, смазка, круг…</t>
  </si>
  <si>
    <t>1352</t>
  </si>
  <si>
    <t>пленка, труба, провод, лампа..</t>
  </si>
  <si>
    <t>1388</t>
  </si>
  <si>
    <t>провод, кабель, изолента</t>
  </si>
  <si>
    <t>кабель, розетка</t>
  </si>
  <si>
    <t>534</t>
  </si>
  <si>
    <t>552</t>
  </si>
  <si>
    <t>560</t>
  </si>
  <si>
    <t>561</t>
  </si>
  <si>
    <t>коробка рожк.</t>
  </si>
  <si>
    <t>572</t>
  </si>
  <si>
    <t>…2496-123</t>
  </si>
  <si>
    <t>коробка, труба</t>
  </si>
  <si>
    <t>4840</t>
  </si>
  <si>
    <t>151932</t>
  </si>
  <si>
    <t>мешок, пленка, профиль..</t>
  </si>
  <si>
    <t>153574</t>
  </si>
  <si>
    <t>клей для ЭПП, пистолет</t>
  </si>
  <si>
    <t>415</t>
  </si>
  <si>
    <t>воронка парапетн.</t>
  </si>
  <si>
    <t>4342</t>
  </si>
  <si>
    <t>4445</t>
  </si>
  <si>
    <t>2068</t>
  </si>
  <si>
    <t>19018</t>
  </si>
  <si>
    <t>профиль, саморез, плита..</t>
  </si>
  <si>
    <t>20265</t>
  </si>
  <si>
    <t>профиль, лента, эмаль</t>
  </si>
  <si>
    <t>20414</t>
  </si>
  <si>
    <t>профиль, пленка, дюбель..</t>
  </si>
  <si>
    <t>2095</t>
  </si>
  <si>
    <t>2097</t>
  </si>
  <si>
    <t>2107</t>
  </si>
  <si>
    <t>герметик, дюбель, саморез</t>
  </si>
  <si>
    <t>2194</t>
  </si>
  <si>
    <t>круг, маска, сверло..</t>
  </si>
  <si>
    <t>рукав</t>
  </si>
  <si>
    <t>клей для ЭПП, дюбель, провод</t>
  </si>
  <si>
    <t>перчатки, мешок, бур..</t>
  </si>
  <si>
    <t>маска, перчатки, сетка..</t>
  </si>
  <si>
    <t>236</t>
  </si>
  <si>
    <t>дренажн.насос</t>
  </si>
  <si>
    <t>переход</t>
  </si>
  <si>
    <t>18847</t>
  </si>
  <si>
    <t>19342</t>
  </si>
  <si>
    <t>19619</t>
  </si>
  <si>
    <t>20173</t>
  </si>
  <si>
    <t>чашка алм., отвертки</t>
  </si>
  <si>
    <t>кран, изолента, шайба..</t>
  </si>
  <si>
    <t>1195</t>
  </si>
  <si>
    <t>7983</t>
  </si>
  <si>
    <t>8320</t>
  </si>
  <si>
    <t>8493</t>
  </si>
  <si>
    <t>4845</t>
  </si>
  <si>
    <t>4846</t>
  </si>
  <si>
    <t>медведь за линкор</t>
  </si>
  <si>
    <t>521</t>
  </si>
  <si>
    <t>жск айваз лид-88</t>
  </si>
  <si>
    <t>7295, 7483</t>
  </si>
  <si>
    <t>12-16.04</t>
  </si>
  <si>
    <t>а11 ДОПЛАТА</t>
  </si>
  <si>
    <t>6393</t>
  </si>
  <si>
    <t>флаги 9шт</t>
  </si>
  <si>
    <t>15-24апр</t>
  </si>
  <si>
    <t>ип деревлев н.ф.</t>
  </si>
  <si>
    <t>целевые звонки</t>
  </si>
  <si>
    <t>Андреева А.Э.</t>
  </si>
  <si>
    <t>возврат пиб 11а-ТК1/02-14ан</t>
  </si>
  <si>
    <t>Габриелян М.А.</t>
  </si>
  <si>
    <t>возврат пиб 406б-БФ/02-17г</t>
  </si>
  <si>
    <t>Драгомир Олеся</t>
  </si>
  <si>
    <t>возврат пиб 90б-БФ/12-14г</t>
  </si>
  <si>
    <t>Атюшова Н.В.</t>
  </si>
  <si>
    <t>возврат пиб 408б-БФ/07-16н</t>
  </si>
  <si>
    <t>Шинкарева Т.В.</t>
  </si>
  <si>
    <t>возврат пиб 47б-БФ/10-15ан</t>
  </si>
  <si>
    <t>Цекоев А.А.</t>
  </si>
  <si>
    <t>возврат пиб 309б-БФ/04-14г</t>
  </si>
  <si>
    <t>Сидорова Е.Н.</t>
  </si>
  <si>
    <t>возврат пиб 68б-БФ/08-15г</t>
  </si>
  <si>
    <t>ГЕОД поверка 2 тахеометров</t>
  </si>
  <si>
    <t>ВелестопливоСервис</t>
  </si>
  <si>
    <t>2072</t>
  </si>
  <si>
    <t>ремонт стартера</t>
  </si>
  <si>
    <t>ремень, клапан, датчик…</t>
  </si>
  <si>
    <t>тепло расчет</t>
  </si>
  <si>
    <t>дог. 22584.34.037.7</t>
  </si>
  <si>
    <t>психиатр + эл/энцеф. 7чел</t>
  </si>
  <si>
    <t>12261</t>
  </si>
  <si>
    <t>пополнение л/с</t>
  </si>
  <si>
    <t>кристалайт, бэклит, монтаж</t>
  </si>
  <si>
    <t>283</t>
  </si>
  <si>
    <t>ремонт эл/дв-ля</t>
  </si>
  <si>
    <t>медосмотр 5чел</t>
  </si>
  <si>
    <t>рег. 22.04, выд. 23.04.19</t>
  </si>
  <si>
    <t>вып. Нед.17-19</t>
  </si>
  <si>
    <t>2018</t>
  </si>
  <si>
    <t>папки 2000шт</t>
  </si>
  <si>
    <t>2178</t>
  </si>
  <si>
    <t>ип жуков а.в.</t>
  </si>
  <si>
    <t>ж1398145</t>
  </si>
  <si>
    <t>цв. ш/ф печать, ламинат</t>
  </si>
  <si>
    <t>1-15апр</t>
  </si>
  <si>
    <t>2118</t>
  </si>
  <si>
    <t>зонт с логотипом 30шт</t>
  </si>
  <si>
    <t>1910</t>
  </si>
  <si>
    <t>образец тиснения</t>
  </si>
  <si>
    <t>дог. 90/11</t>
  </si>
  <si>
    <t>несущая скоба (для опалубки)</t>
  </si>
  <si>
    <t>60% 14дн с поставки</t>
  </si>
  <si>
    <t>стойка, балка (опалубка)</t>
  </si>
  <si>
    <t>ип перцев а.и.</t>
  </si>
  <si>
    <t>залог за леса строительные (клиновые)</t>
  </si>
  <si>
    <t>доставка лесов</t>
  </si>
  <si>
    <t>метротел</t>
  </si>
  <si>
    <t>12487</t>
  </si>
  <si>
    <t>ОП что-то для рассылки СМС клиентам</t>
  </si>
  <si>
    <t>аренда леса строительные (клиновые) 30дн</t>
  </si>
  <si>
    <t>Григ и Ко</t>
  </si>
  <si>
    <t>дог. 419-М48/04-19</t>
  </si>
  <si>
    <t>Грант</t>
  </si>
  <si>
    <t>расчет встройка</t>
  </si>
  <si>
    <t>бездоговорное</t>
  </si>
  <si>
    <t>дог. 0398-5-19/4703</t>
  </si>
  <si>
    <t>расчет встройка к.1</t>
  </si>
  <si>
    <t>расчет встройка к.2</t>
  </si>
  <si>
    <t>расчет встройка к.3</t>
  </si>
  <si>
    <t>дог. 0399-5-19/4703</t>
  </si>
  <si>
    <t>дог. 0400-5-19/4703</t>
  </si>
  <si>
    <t>25го</t>
  </si>
  <si>
    <t>10го</t>
  </si>
  <si>
    <t>18го</t>
  </si>
  <si>
    <t>785</t>
  </si>
  <si>
    <t>784</t>
  </si>
  <si>
    <t>783/1</t>
  </si>
  <si>
    <t>02-1159565</t>
  </si>
  <si>
    <t>Avito 3 месяца</t>
  </si>
  <si>
    <t>15-19апр</t>
  </si>
  <si>
    <t>01-12апр</t>
  </si>
  <si>
    <t>2067</t>
  </si>
  <si>
    <t>буклет Гавань</t>
  </si>
  <si>
    <t>нац.пож.компания</t>
  </si>
  <si>
    <t>2559</t>
  </si>
  <si>
    <t>15-19.04</t>
  </si>
  <si>
    <t>7647, 7578, 7648, 7649</t>
  </si>
  <si>
    <t>464</t>
  </si>
  <si>
    <t>дог. 78-Т/04-19</t>
  </si>
  <si>
    <t>смр облицовка фасада</t>
  </si>
  <si>
    <t>пополнение баланса для смс-рассылок</t>
  </si>
  <si>
    <t>дог. 2-К2/01-17</t>
  </si>
  <si>
    <t>ртд-инжиниринг</t>
  </si>
  <si>
    <t>дог. 377-М47/03-19</t>
  </si>
  <si>
    <t>кофе-брейк 15-16-17мая</t>
  </si>
  <si>
    <t>Гавань</t>
  </si>
  <si>
    <t>2602</t>
  </si>
  <si>
    <t>КЕХ еКоммерц</t>
  </si>
  <si>
    <t>1431</t>
  </si>
  <si>
    <t>АДМ картриджи 2шт</t>
  </si>
  <si>
    <t>экспертиза</t>
  </si>
  <si>
    <t>538</t>
  </si>
  <si>
    <t>018/…3772</t>
  </si>
  <si>
    <t>нотариальные услуги</t>
  </si>
  <si>
    <t>аванс изм.КПП</t>
  </si>
  <si>
    <t>Ракша Ю.М.</t>
  </si>
  <si>
    <t>возврат пиб 127б-БФ/05-14г</t>
  </si>
  <si>
    <t>592135</t>
  </si>
  <si>
    <t>кабель, инструменты</t>
  </si>
  <si>
    <t>ип журавлев с.а.</t>
  </si>
  <si>
    <t>наклейка</t>
  </si>
  <si>
    <t>тр1329740006</t>
  </si>
  <si>
    <t>аренда ГП 1мес.</t>
  </si>
  <si>
    <t>230419-0006F</t>
  </si>
  <si>
    <t>фортрент</t>
  </si>
  <si>
    <t>смр каркас с.1-6</t>
  </si>
  <si>
    <t>дог. 118-КЛ/03-19</t>
  </si>
  <si>
    <t>ИСК ЛСК</t>
  </si>
  <si>
    <t>750</t>
  </si>
  <si>
    <t>315</t>
  </si>
  <si>
    <t>поиск клиентов на аренду неж.помещ.</t>
  </si>
  <si>
    <t>Теплосеть СПб</t>
  </si>
  <si>
    <t>консультац.услуги по подготовке объекта к пост.эксплуатации Ленсовета 43</t>
  </si>
  <si>
    <t>1563, 1559</t>
  </si>
  <si>
    <t>вода 7шт 26шт</t>
  </si>
  <si>
    <t>резерв 2,5</t>
  </si>
  <si>
    <t>дог. 73-БУ/03-19</t>
  </si>
  <si>
    <t>смр ограждающие с.7</t>
  </si>
  <si>
    <t>дог. 75-Б3/04-19</t>
  </si>
  <si>
    <t>дог. 76-Б3/04-19</t>
  </si>
  <si>
    <t>ЭКР Система</t>
  </si>
  <si>
    <t>дог. 77-Б3/04-19</t>
  </si>
  <si>
    <t>+ резерв690тр</t>
  </si>
  <si>
    <t>владион-строй</t>
  </si>
  <si>
    <t>дог. 52-К2.3/03-19</t>
  </si>
  <si>
    <t>дог. 119-К2/03-19</t>
  </si>
  <si>
    <t>мс корп</t>
  </si>
  <si>
    <t>1993833114</t>
  </si>
  <si>
    <t>лицензия на 1 год</t>
  </si>
  <si>
    <t>177, 178</t>
  </si>
  <si>
    <t>дог. 81-Б/04-19</t>
  </si>
  <si>
    <t>Маркеева Г.Г.</t>
  </si>
  <si>
    <t>расторжение пай 194а-ВИТ1/04-18ан</t>
  </si>
  <si>
    <t>а16</t>
  </si>
  <si>
    <t>а17</t>
  </si>
  <si>
    <t>а19</t>
  </si>
  <si>
    <t>а18</t>
  </si>
  <si>
    <t>панно пластик 3шт</t>
  </si>
  <si>
    <t>109, 110</t>
  </si>
  <si>
    <t>консоль у офиса ОП Мурино</t>
  </si>
  <si>
    <t>Гурбо В.С.</t>
  </si>
  <si>
    <t>возврат пиб 433б-БФ/12-16ан</t>
  </si>
  <si>
    <t>БЕСТ, ооо</t>
  </si>
  <si>
    <t>возврат пиб 1.10н-ВНФ/12-15г</t>
  </si>
  <si>
    <t>Шварёв Н.Г.</t>
  </si>
  <si>
    <t>возврат пиб 67г-м298/12-14г</t>
  </si>
  <si>
    <t>Чернова Е.С.</t>
  </si>
  <si>
    <t>возврат пиб 18в-ТК1/05-15г</t>
  </si>
  <si>
    <t>Орлорв А.В.</t>
  </si>
  <si>
    <t>возврат пиб 98л-ТК3/03-14н</t>
  </si>
  <si>
    <t>8330423812</t>
  </si>
  <si>
    <t>1000257/9940-3-18/4703</t>
  </si>
  <si>
    <t>рассм.проекта итп</t>
  </si>
  <si>
    <t>абр спецтехника</t>
  </si>
  <si>
    <t>7703, 7754, 7865, 7920</t>
  </si>
  <si>
    <t>18-23.04</t>
  </si>
  <si>
    <t>1667</t>
  </si>
  <si>
    <t>ОТ эл/безопасн. 8чел</t>
  </si>
  <si>
    <t>1666</t>
  </si>
  <si>
    <t>СР ОТ эл/безопасн. 6чел</t>
  </si>
  <si>
    <t>тр 3415830005</t>
  </si>
  <si>
    <t>тр 3413010005</t>
  </si>
  <si>
    <t>тр 3124790046</t>
  </si>
  <si>
    <t>тр 3123640047</t>
  </si>
  <si>
    <t>Шишков С.Л.</t>
  </si>
  <si>
    <t>возврат пиб 21к-ТК2/03-14г</t>
  </si>
  <si>
    <t>Голотенко А.В.</t>
  </si>
  <si>
    <t>возврат пиб 204б-БФ/05-17ан</t>
  </si>
  <si>
    <t>Русских М.Б.</t>
  </si>
  <si>
    <t>возврат пиб 152б-БФ/11-16ан</t>
  </si>
  <si>
    <t>Макаров Е.А.</t>
  </si>
  <si>
    <t>возврат пиб 122г-м298/04-16г</t>
  </si>
  <si>
    <t>Богуславская А.А</t>
  </si>
  <si>
    <t>возврат пиб 62г-м298/04-16н</t>
  </si>
  <si>
    <t>Самойлов А.В.</t>
  </si>
  <si>
    <t>возврат пиб 34г-м298/03-15ан</t>
  </si>
  <si>
    <t>Кириллов А.В.</t>
  </si>
  <si>
    <t>возврат пиб 68г-м298/11-16ан</t>
  </si>
  <si>
    <t>март апр май</t>
  </si>
  <si>
    <t>ОТ спец.оценка усл.труда</t>
  </si>
  <si>
    <t>ОТ от, пожарка Фукалов мл.</t>
  </si>
  <si>
    <t>ОТ ОТ Фукалов мл.</t>
  </si>
  <si>
    <t>дог. 388-ГДЦ/03-19</t>
  </si>
  <si>
    <t>отделка ОП 7эт</t>
  </si>
  <si>
    <t>44387</t>
  </si>
  <si>
    <t>019/0475</t>
  </si>
  <si>
    <t>8009, 8098</t>
  </si>
  <si>
    <t>смр НТС, дренаж</t>
  </si>
  <si>
    <t>а, л, п, с</t>
  </si>
  <si>
    <t>отделочные работы</t>
  </si>
  <si>
    <t>взнос в компенсац.фонд</t>
  </si>
  <si>
    <t>дог ПД-3/19</t>
  </si>
  <si>
    <t>дог. 19/02/ТП-2019</t>
  </si>
  <si>
    <t>присоединение эл.сети</t>
  </si>
  <si>
    <t>5896</t>
  </si>
  <si>
    <t>5473</t>
  </si>
  <si>
    <t>4940</t>
  </si>
  <si>
    <t>4478</t>
  </si>
  <si>
    <t>1ю.5</t>
  </si>
  <si>
    <t>рекв СБЕР</t>
  </si>
  <si>
    <t>цезарь регионы</t>
  </si>
  <si>
    <t>1062474</t>
  </si>
  <si>
    <t>охрана ОП мурино</t>
  </si>
  <si>
    <t>сч485</t>
  </si>
  <si>
    <t>сч467</t>
  </si>
  <si>
    <t>сч496</t>
  </si>
  <si>
    <t>сч483</t>
  </si>
  <si>
    <t>сч484</t>
  </si>
  <si>
    <t>сч497</t>
  </si>
  <si>
    <t>сч487</t>
  </si>
  <si>
    <t>сч486</t>
  </si>
  <si>
    <t>565</t>
  </si>
  <si>
    <t>78885/906/00013/0519</t>
  </si>
  <si>
    <t>пож-контрольсервис</t>
  </si>
  <si>
    <t>гидроманипулятор</t>
  </si>
  <si>
    <t>4/лк</t>
  </si>
  <si>
    <t>неоформ</t>
  </si>
  <si>
    <t>844</t>
  </si>
  <si>
    <t>акв-авто</t>
  </si>
  <si>
    <t>857</t>
  </si>
  <si>
    <t>автошины</t>
  </si>
  <si>
    <t>акт Ковальска</t>
  </si>
  <si>
    <t>акт Лангинен</t>
  </si>
  <si>
    <t>автокран 32тн, 100тн</t>
  </si>
  <si>
    <t>42701</t>
  </si>
  <si>
    <t>143569/20</t>
  </si>
  <si>
    <t>140360/20</t>
  </si>
  <si>
    <t>143607/20</t>
  </si>
  <si>
    <t>ЛОЭСК, ао</t>
  </si>
  <si>
    <t>дог. 17-130/005-псф-19</t>
  </si>
  <si>
    <t>технолог.присоединение (наружное освещение)</t>
  </si>
  <si>
    <t>Алексеев Г.О.</t>
  </si>
  <si>
    <t>возврат пиб 172б-БФ/03-14г</t>
  </si>
  <si>
    <t>29-н</t>
  </si>
  <si>
    <t>2156</t>
  </si>
  <si>
    <t>2157</t>
  </si>
  <si>
    <t>2158</t>
  </si>
  <si>
    <t>2159</t>
  </si>
  <si>
    <t>2160</t>
  </si>
  <si>
    <t>2163</t>
  </si>
  <si>
    <t>2164</t>
  </si>
  <si>
    <t>2165</t>
  </si>
  <si>
    <t>1/ПрС</t>
  </si>
  <si>
    <t>8/лм</t>
  </si>
  <si>
    <t>4/14/04</t>
  </si>
  <si>
    <t>…/03</t>
  </si>
  <si>
    <t>…/04</t>
  </si>
  <si>
    <t>…/13</t>
  </si>
  <si>
    <t>311</t>
  </si>
  <si>
    <t>ПС 45, тореза</t>
  </si>
  <si>
    <t>…/01</t>
  </si>
  <si>
    <t>…/02</t>
  </si>
  <si>
    <t>Комус</t>
  </si>
  <si>
    <t>24533418</t>
  </si>
  <si>
    <t>каски</t>
  </si>
  <si>
    <t>4062</t>
  </si>
  <si>
    <t>топл.фильтр</t>
  </si>
  <si>
    <t>4063</t>
  </si>
  <si>
    <t>7360715884</t>
  </si>
  <si>
    <t>ИнструментПрофСервис</t>
  </si>
  <si>
    <t>венец зубчатый</t>
  </si>
  <si>
    <t>авар.выезд</t>
  </si>
  <si>
    <t>2087</t>
  </si>
  <si>
    <t>2093</t>
  </si>
  <si>
    <t>1460/1</t>
  </si>
  <si>
    <t>1461/1</t>
  </si>
  <si>
    <t>1641/1</t>
  </si>
  <si>
    <t>1817/1</t>
  </si>
  <si>
    <t>1843/1</t>
  </si>
  <si>
    <t>1850/1</t>
  </si>
  <si>
    <t>13993</t>
  </si>
  <si>
    <t>арм. 8,20</t>
  </si>
  <si>
    <t>13985</t>
  </si>
  <si>
    <t>13983</t>
  </si>
  <si>
    <t>13982</t>
  </si>
  <si>
    <t>13979</t>
  </si>
  <si>
    <t>13977</t>
  </si>
  <si>
    <t>13976</t>
  </si>
  <si>
    <t>1037</t>
  </si>
  <si>
    <t>1091</t>
  </si>
  <si>
    <t>1201</t>
  </si>
  <si>
    <t>арм. 10,12,16,20, проволока</t>
  </si>
  <si>
    <t>11174</t>
  </si>
  <si>
    <t>11301</t>
  </si>
  <si>
    <t>арм. 16,32</t>
  </si>
  <si>
    <t>11302</t>
  </si>
  <si>
    <t>арм. 16,20,25,28</t>
  </si>
  <si>
    <t>4067</t>
  </si>
  <si>
    <t>4680</t>
  </si>
  <si>
    <t>арм. 16,25,28, проволока</t>
  </si>
  <si>
    <t>4811</t>
  </si>
  <si>
    <t>4878</t>
  </si>
  <si>
    <t>арм. 20,28</t>
  </si>
  <si>
    <t>4883</t>
  </si>
  <si>
    <t>417</t>
  </si>
  <si>
    <t>арм. 6,12</t>
  </si>
  <si>
    <t>1672</t>
  </si>
  <si>
    <t>теплоизол</t>
  </si>
  <si>
    <t>5068</t>
  </si>
  <si>
    <t>5455</t>
  </si>
  <si>
    <t>5794</t>
  </si>
  <si>
    <t>5852</t>
  </si>
  <si>
    <t>клей для мин.плит</t>
  </si>
  <si>
    <t>126716</t>
  </si>
  <si>
    <t>фиброволокно, дюбель, грунт..</t>
  </si>
  <si>
    <t>126725</t>
  </si>
  <si>
    <t>ЦПС</t>
  </si>
  <si>
    <t>135413</t>
  </si>
  <si>
    <t>пояс монтажн., круг, электрод</t>
  </si>
  <si>
    <t>958829</t>
  </si>
  <si>
    <t>перчатки, мешок, гвоздь..</t>
  </si>
  <si>
    <t>71066</t>
  </si>
  <si>
    <t>профиль, гипсокартон, штукатурка..</t>
  </si>
  <si>
    <t>14230</t>
  </si>
  <si>
    <t>217295</t>
  </si>
  <si>
    <t>клей для пенополистирола</t>
  </si>
  <si>
    <t>2251</t>
  </si>
  <si>
    <t>2341</t>
  </si>
  <si>
    <t>2377</t>
  </si>
  <si>
    <t>21035</t>
  </si>
  <si>
    <t>профиль, сетка, подвес..</t>
  </si>
  <si>
    <t>20864</t>
  </si>
  <si>
    <t>21250</t>
  </si>
  <si>
    <t>21731</t>
  </si>
  <si>
    <t>крестики, профиль, грунт..</t>
  </si>
  <si>
    <t>21938</t>
  </si>
  <si>
    <t>очки, пена, гвоздь..</t>
  </si>
  <si>
    <t>22288</t>
  </si>
  <si>
    <t>краска, грунтовка</t>
  </si>
  <si>
    <t>22715</t>
  </si>
  <si>
    <t>22959</t>
  </si>
  <si>
    <t>ЦПС, клей, цемент</t>
  </si>
  <si>
    <t>2327</t>
  </si>
  <si>
    <t>мастика, кальматрон..</t>
  </si>
  <si>
    <t>2328</t>
  </si>
  <si>
    <t>2356</t>
  </si>
  <si>
    <t>1372</t>
  </si>
  <si>
    <t>гидроизол.состав</t>
  </si>
  <si>
    <t>2382</t>
  </si>
  <si>
    <t>воронка, труба, колено..</t>
  </si>
  <si>
    <t>праймер, заклепки, мембрана</t>
  </si>
  <si>
    <t>грунт, пленка..</t>
  </si>
  <si>
    <t>сетка клад.</t>
  </si>
  <si>
    <t>изоспан</t>
  </si>
  <si>
    <t>20810</t>
  </si>
  <si>
    <t>21057</t>
  </si>
  <si>
    <t>краги, перчатки, кисть, маска…</t>
  </si>
  <si>
    <t>317</t>
  </si>
  <si>
    <t>бур, саморез, кисть, рулетка..</t>
  </si>
  <si>
    <t>электрод, круг, саморез..</t>
  </si>
  <si>
    <t>8992</t>
  </si>
  <si>
    <t>9199</t>
  </si>
  <si>
    <t>9320</t>
  </si>
  <si>
    <t>9343</t>
  </si>
  <si>
    <t>9543</t>
  </si>
  <si>
    <t>9519</t>
  </si>
  <si>
    <t>мин.плиты, дюбель</t>
  </si>
  <si>
    <t>9631</t>
  </si>
  <si>
    <t>рег. 26.04, выд. 08.05</t>
  </si>
  <si>
    <t>тр 900125</t>
  </si>
  <si>
    <t>ВО апрель</t>
  </si>
  <si>
    <t>тр 570170</t>
  </si>
  <si>
    <t>ВС 16-30.04</t>
  </si>
  <si>
    <t>617, 619</t>
  </si>
  <si>
    <t>дог. 54-К1/05-19</t>
  </si>
  <si>
    <t>согласование проекта итп</t>
  </si>
  <si>
    <t>73-00392-19</t>
  </si>
  <si>
    <t>73-00511-19</t>
  </si>
  <si>
    <t>ук лидер за рубеж</t>
  </si>
  <si>
    <t>503086</t>
  </si>
  <si>
    <t>плащ влагозащитный 20шт</t>
  </si>
  <si>
    <t>тр 1878000027</t>
  </si>
  <si>
    <t>7ю.5</t>
  </si>
  <si>
    <t>ЛОЭКСП, ао</t>
  </si>
  <si>
    <t>1-я опалуб.компания</t>
  </si>
  <si>
    <t>балка фанер-деревян. (опалубка)</t>
  </si>
  <si>
    <t>7938</t>
  </si>
  <si>
    <t>упд 1231</t>
  </si>
  <si>
    <t>аванком+</t>
  </si>
  <si>
    <t>щебень, песок</t>
  </si>
  <si>
    <t>Лидер Бетон (за ВИП Балтик Инжиниринг)</t>
  </si>
  <si>
    <t>по письму 362 счет 3148 бетон</t>
  </si>
  <si>
    <t>1993718451</t>
  </si>
  <si>
    <t>1993696487</t>
  </si>
  <si>
    <t>1993694774</t>
  </si>
  <si>
    <t>арсенал</t>
  </si>
  <si>
    <t>1993693484</t>
  </si>
  <si>
    <t>корвет</t>
  </si>
  <si>
    <t>1993678001</t>
  </si>
  <si>
    <t>1993677890</t>
  </si>
  <si>
    <t>капитан</t>
  </si>
  <si>
    <t>1993724485</t>
  </si>
  <si>
    <t>ип мальвинов в.а.</t>
  </si>
  <si>
    <t>80509-01</t>
  </si>
  <si>
    <t>аренда оборудования (бизнес-завтраки)</t>
  </si>
  <si>
    <t>блокноты</t>
  </si>
  <si>
    <t>1155</t>
  </si>
  <si>
    <t>киспытания тепл.с-м Ленсовета 43</t>
  </si>
  <si>
    <t>Витамин</t>
  </si>
  <si>
    <t>019/0518</t>
  </si>
  <si>
    <t>24-30.04</t>
  </si>
  <si>
    <t>8286, 8169, 8228, 8287, 8288, 8333, 8378</t>
  </si>
  <si>
    <t>12269411</t>
  </si>
  <si>
    <t>581</t>
  </si>
  <si>
    <t>584, 585</t>
  </si>
  <si>
    <t>банкОткрытие</t>
  </si>
  <si>
    <t>862</t>
  </si>
  <si>
    <t>до 23-го</t>
  </si>
  <si>
    <t>тр1856770019</t>
  </si>
  <si>
    <t>тр 1768020018</t>
  </si>
  <si>
    <t>тр 1767970025</t>
  </si>
  <si>
    <t>507899</t>
  </si>
  <si>
    <t>507918</t>
  </si>
  <si>
    <t>507908</t>
  </si>
  <si>
    <t>дог. 6, д.с. 1</t>
  </si>
  <si>
    <t>РД Екатерининская ул.</t>
  </si>
  <si>
    <t>1024664/9978-3-16/4703</t>
  </si>
  <si>
    <t>тр1329740007</t>
  </si>
  <si>
    <t>профэксп</t>
  </si>
  <si>
    <t>экспертиза пром.безопасности</t>
  </si>
  <si>
    <t>пост. 2457</t>
  </si>
  <si>
    <t>блок-контейнер 1шт</t>
  </si>
  <si>
    <t>балка фанер-деревян., тренога, унивлка, замок, подкос (опалубка)</t>
  </si>
  <si>
    <t>Бабкина Е.А.</t>
  </si>
  <si>
    <t>возврат переплаты 98л-ТК3/03-14н</t>
  </si>
  <si>
    <t>98991</t>
  </si>
  <si>
    <t>Кондратюк О.Г.</t>
  </si>
  <si>
    <t>возврат пиб 43г-м298/02-15ан</t>
  </si>
  <si>
    <t>Шимченко И.Н.</t>
  </si>
  <si>
    <t>возврат пиб 65в-04-09-14 (АСС)</t>
  </si>
  <si>
    <t>Русина С.А.</t>
  </si>
  <si>
    <t>возврат пиб 124г-м298/12-14ан</t>
  </si>
  <si>
    <t>Куц В.В.</t>
  </si>
  <si>
    <t>возврат пиб 110е-ВНФ/12-11г</t>
  </si>
  <si>
    <t>Сипавин Е.И.</t>
  </si>
  <si>
    <t>возврат пиб 101б-БФ/06-16г</t>
  </si>
  <si>
    <t>Меркулов А.В.</t>
  </si>
  <si>
    <t>возврат пиб 75б-БФ/04-16ан</t>
  </si>
  <si>
    <t>возврат переплаты 75б-БФ/04-16ан</t>
  </si>
  <si>
    <t>Гартованная К.В.</t>
  </si>
  <si>
    <t>Петренко Н.А.</t>
  </si>
  <si>
    <t>компенсация электроэнергии корпус 1, кв.29</t>
  </si>
  <si>
    <t>компенсация электроэнергии корпус 2, кв.29</t>
  </si>
  <si>
    <t>347204057714</t>
  </si>
  <si>
    <t>переплата</t>
  </si>
  <si>
    <t xml:space="preserve">АДМ </t>
  </si>
  <si>
    <t>переходник, шайба, фара</t>
  </si>
  <si>
    <t>2035</t>
  </si>
  <si>
    <t>ремонт гидроцилиндров</t>
  </si>
  <si>
    <t>8154/01</t>
  </si>
  <si>
    <t>ГАЗЕЛЬ запчасти, ремонт</t>
  </si>
  <si>
    <t>347004057432</t>
  </si>
  <si>
    <t>347004057359</t>
  </si>
  <si>
    <t>131004024034</t>
  </si>
  <si>
    <t>131004024003</t>
  </si>
  <si>
    <t>130004120399</t>
  </si>
  <si>
    <t>130004120391</t>
  </si>
  <si>
    <t>313204018618</t>
  </si>
  <si>
    <t>313004018584</t>
  </si>
  <si>
    <t>313004018576</t>
  </si>
  <si>
    <t>302204051496</t>
  </si>
  <si>
    <t>302004051219</t>
  </si>
  <si>
    <t>302004051279</t>
  </si>
  <si>
    <t>607</t>
  </si>
  <si>
    <t>АДМ ремонт 2 мфу</t>
  </si>
  <si>
    <t>140439</t>
  </si>
  <si>
    <t>АДМ батарейки для бесперебойников</t>
  </si>
  <si>
    <t>центр инженерных экспертиз</t>
  </si>
  <si>
    <t>негос.экспертиза инж.изысканий</t>
  </si>
  <si>
    <t>1993885945</t>
  </si>
  <si>
    <t>строй-мастер</t>
  </si>
  <si>
    <t>1993716018</t>
  </si>
  <si>
    <t>магеллан, нах., шуш. 3005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</si>
  <si>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</si>
  <si>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</si>
  <si>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</si>
  <si>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</si>
  <si>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</si>
  <si>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</si>
  <si>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</si>
  <si>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</si>
  <si>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</si>
  <si>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2326</t>
  </si>
  <si>
    <t>2329</t>
  </si>
  <si>
    <t>2330</t>
  </si>
  <si>
    <t>2331</t>
  </si>
  <si>
    <t>2332</t>
  </si>
  <si>
    <t>2333</t>
  </si>
  <si>
    <t>2334</t>
  </si>
  <si>
    <t>494/19</t>
  </si>
  <si>
    <t>495/19</t>
  </si>
  <si>
    <t>496/19</t>
  </si>
  <si>
    <t>497/19</t>
  </si>
  <si>
    <t>498/19</t>
  </si>
  <si>
    <t>499/19</t>
  </si>
  <si>
    <t>500/19</t>
  </si>
  <si>
    <t>502/19</t>
  </si>
  <si>
    <t>504/19</t>
  </si>
  <si>
    <t>4/18/04</t>
  </si>
  <si>
    <t>4/25/08</t>
  </si>
  <si>
    <t>4/27/02</t>
  </si>
  <si>
    <t>4/28/01</t>
  </si>
  <si>
    <t>4/29/06</t>
  </si>
  <si>
    <t>4/30/14</t>
  </si>
  <si>
    <t>4/30/15</t>
  </si>
  <si>
    <t>4/30/18</t>
  </si>
  <si>
    <t>4/30/19</t>
  </si>
  <si>
    <t>4/30/20</t>
  </si>
  <si>
    <t>376</t>
  </si>
  <si>
    <t>372</t>
  </si>
  <si>
    <t>мурино 43, 47</t>
  </si>
  <si>
    <t>мурино 43, 47, витамин</t>
  </si>
  <si>
    <t>магел., колумб., йога 2/2, шуш.3005</t>
  </si>
  <si>
    <t>йога 2/3, нахимов, шушары 3005</t>
  </si>
  <si>
    <t>диз.виброплита</t>
  </si>
  <si>
    <t>446</t>
  </si>
  <si>
    <t>ЭКС24</t>
  </si>
  <si>
    <t>инжиниринговая компания союз</t>
  </si>
  <si>
    <t>СР копировальные работы</t>
  </si>
  <si>
    <t>дог. ПВ-422.Э</t>
  </si>
  <si>
    <t>дог. ПУУТЭ-420.Э</t>
  </si>
  <si>
    <t>выезд инспектора приемка смр уутэ</t>
  </si>
  <si>
    <t>выезд инспектора приемка испытаний итп</t>
  </si>
  <si>
    <t>дог. ПИТП-421.Э</t>
  </si>
  <si>
    <t>выезд инспектора приемка смр итп</t>
  </si>
  <si>
    <t>тр 3415830006</t>
  </si>
  <si>
    <t>первое кадастр. бюро</t>
  </si>
  <si>
    <t>дог. 314-ДЗК-2019</t>
  </si>
  <si>
    <t>раздел зем.участка</t>
  </si>
  <si>
    <t>сч.71</t>
  </si>
  <si>
    <t>КЦ ПИБ Юго-Восточное</t>
  </si>
  <si>
    <t>с83-2656</t>
  </si>
  <si>
    <t>справка об отсутствии строений на зем.уч.</t>
  </si>
  <si>
    <t>12277069</t>
  </si>
  <si>
    <t>мебель в СДО (709)</t>
  </si>
  <si>
    <t>Юниойл</t>
  </si>
  <si>
    <t>51402</t>
  </si>
  <si>
    <t>дт 31100л</t>
  </si>
  <si>
    <t>Юниойл Групп</t>
  </si>
  <si>
    <t>50403</t>
  </si>
  <si>
    <t>дт 13000л</t>
  </si>
  <si>
    <t>92834</t>
  </si>
  <si>
    <t>палец, штифт, стопор..</t>
  </si>
  <si>
    <t>шток, проушина, прокладка..</t>
  </si>
  <si>
    <t>ИП Шевченко</t>
  </si>
  <si>
    <t>журналы</t>
  </si>
  <si>
    <t>ремонт мойки</t>
  </si>
  <si>
    <t>4371</t>
  </si>
  <si>
    <t>122220</t>
  </si>
  <si>
    <t>1165/1</t>
  </si>
  <si>
    <t>1194/1</t>
  </si>
  <si>
    <t>1218/1</t>
  </si>
  <si>
    <t>1222/1</t>
  </si>
  <si>
    <t>1315/1</t>
  </si>
  <si>
    <t>труба, изделие</t>
  </si>
  <si>
    <t>1301/1</t>
  </si>
  <si>
    <t>фасон.изделие</t>
  </si>
  <si>
    <t>1316/1</t>
  </si>
  <si>
    <t>1320/1</t>
  </si>
  <si>
    <t>1418/1</t>
  </si>
  <si>
    <t>1445/1</t>
  </si>
  <si>
    <t>труба</t>
  </si>
  <si>
    <t>1444/1</t>
  </si>
  <si>
    <t>полоса</t>
  </si>
  <si>
    <t>1447/1</t>
  </si>
  <si>
    <t>швеллер, уголок</t>
  </si>
  <si>
    <t>1467/1</t>
  </si>
  <si>
    <t>1502/1</t>
  </si>
  <si>
    <t>ИСО</t>
  </si>
  <si>
    <t>1569/1</t>
  </si>
  <si>
    <t>полоса, профнастил, труба..</t>
  </si>
  <si>
    <t>1684/1</t>
  </si>
  <si>
    <t>1685/1</t>
  </si>
  <si>
    <t>1291</t>
  </si>
  <si>
    <t>4056</t>
  </si>
  <si>
    <t>арм. 8,10,16,20,25</t>
  </si>
  <si>
    <t>5372</t>
  </si>
  <si>
    <t>5392</t>
  </si>
  <si>
    <t>5426</t>
  </si>
  <si>
    <t>арм. 10,36</t>
  </si>
  <si>
    <t>5510</t>
  </si>
  <si>
    <t>5417</t>
  </si>
  <si>
    <t>Сталепромышленная Компания</t>
  </si>
  <si>
    <t>10677</t>
  </si>
  <si>
    <t>1566</t>
  </si>
  <si>
    <t>вилка, наконечник, кабель..</t>
  </si>
  <si>
    <t>1568</t>
  </si>
  <si>
    <t>изолента, розетка, лампа..</t>
  </si>
  <si>
    <t>637</t>
  </si>
  <si>
    <t>642</t>
  </si>
  <si>
    <t>672</t>
  </si>
  <si>
    <t>бур, зубило, фиксатор</t>
  </si>
  <si>
    <t>677</t>
  </si>
  <si>
    <t>фиксатор, антиадгезив</t>
  </si>
  <si>
    <t>6048</t>
  </si>
  <si>
    <t>184227</t>
  </si>
  <si>
    <t>184185</t>
  </si>
  <si>
    <t>ДВП, саморез, пленка</t>
  </si>
  <si>
    <t>144718</t>
  </si>
  <si>
    <t>профиль, подвес, плита</t>
  </si>
  <si>
    <t>145088</t>
  </si>
  <si>
    <t>профиль, штукатурка</t>
  </si>
  <si>
    <t>184707</t>
  </si>
  <si>
    <t>224093</t>
  </si>
  <si>
    <t>штукатурка, профиль, грунт</t>
  </si>
  <si>
    <t>193373</t>
  </si>
  <si>
    <t>1575087</t>
  </si>
  <si>
    <t>герметик, пистолет, профиль..</t>
  </si>
  <si>
    <t>193108</t>
  </si>
  <si>
    <t>192714</t>
  </si>
  <si>
    <t>556</t>
  </si>
  <si>
    <t>гидроизол</t>
  </si>
  <si>
    <t>смазка для опалубки, мешок, щетка..</t>
  </si>
  <si>
    <t>смазка для опалубки, электроды..</t>
  </si>
  <si>
    <t>бур, доска</t>
  </si>
  <si>
    <t>герметик, клей, гидроизол</t>
  </si>
  <si>
    <t>23100</t>
  </si>
  <si>
    <t>профиль, подвес, сетка, пленка…</t>
  </si>
  <si>
    <t>23391</t>
  </si>
  <si>
    <t>24461</t>
  </si>
  <si>
    <t>24356</t>
  </si>
  <si>
    <t>фиброцем.плита</t>
  </si>
  <si>
    <t>2482</t>
  </si>
  <si>
    <t>воронка, заглушка</t>
  </si>
  <si>
    <t>электрод, замок, рулетка…</t>
  </si>
  <si>
    <t>провод, кабель</t>
  </si>
  <si>
    <t>277</t>
  </si>
  <si>
    <t>бирки, перчатки</t>
  </si>
  <si>
    <t>278</t>
  </si>
  <si>
    <t>перчатки, диск, крестики..</t>
  </si>
  <si>
    <t>саморез, хомут, праймер..</t>
  </si>
  <si>
    <t>профиль, изолента, отвертка..</t>
  </si>
  <si>
    <t>щетка, лента, сетка..</t>
  </si>
  <si>
    <t>21531</t>
  </si>
  <si>
    <t>шуруп, дюбель</t>
  </si>
  <si>
    <t>21756</t>
  </si>
  <si>
    <t>21995</t>
  </si>
  <si>
    <t>дюбель, шуруп, саморез..</t>
  </si>
  <si>
    <t>22049</t>
  </si>
  <si>
    <t>23052</t>
  </si>
  <si>
    <t>лестница, пистолет, гвоздь..</t>
  </si>
  <si>
    <t>плоскагубцы, мешок, нож..</t>
  </si>
  <si>
    <t>крестики, саморез, перчатки</t>
  </si>
  <si>
    <t>1293</t>
  </si>
  <si>
    <t>1435</t>
  </si>
  <si>
    <t>02/04-2</t>
  </si>
  <si>
    <t>04/04-2</t>
  </si>
  <si>
    <t>18/04-2</t>
  </si>
  <si>
    <t>24/04-1</t>
  </si>
  <si>
    <t>24/04-2</t>
  </si>
  <si>
    <t>25/04-1</t>
  </si>
  <si>
    <t>06/05-2</t>
  </si>
  <si>
    <t>07/05-3</t>
  </si>
  <si>
    <t>9840</t>
  </si>
  <si>
    <t>10152</t>
  </si>
  <si>
    <t>10216</t>
  </si>
  <si>
    <t>10326</t>
  </si>
  <si>
    <t>10428</t>
  </si>
  <si>
    <t>Аванком+</t>
  </si>
  <si>
    <t>бой кирпича, песок</t>
  </si>
  <si>
    <t>онлайн трейд</t>
  </si>
  <si>
    <t>20117419</t>
  </si>
  <si>
    <t>АДМ мышь в рекламу</t>
  </si>
  <si>
    <t>дог. 378-ТК/03-19</t>
  </si>
  <si>
    <t>чоу до триумф лингв.центр</t>
  </si>
  <si>
    <t>перевод презентации на испанский</t>
  </si>
  <si>
    <t>457, 458</t>
  </si>
  <si>
    <t>462</t>
  </si>
  <si>
    <t>Первое Кадастровое Бюро</t>
  </si>
  <si>
    <t>дог 275/19-ДКР</t>
  </si>
  <si>
    <t>заключ.о степени готовности</t>
  </si>
  <si>
    <t>540</t>
  </si>
  <si>
    <t>дог 274/19-ДКР</t>
  </si>
  <si>
    <t>дог 273/19-ДКР</t>
  </si>
  <si>
    <t>3346</t>
  </si>
  <si>
    <t>хоз.товары ОП Мурино</t>
  </si>
  <si>
    <t>133607/8</t>
  </si>
  <si>
    <t>3339</t>
  </si>
  <si>
    <t>трафареты</t>
  </si>
  <si>
    <t>142855</t>
  </si>
  <si>
    <t>АДМ мониторы в ПТО 6шт</t>
  </si>
  <si>
    <t>190508</t>
  </si>
  <si>
    <t>1024693/9978-3-16/4703</t>
  </si>
  <si>
    <t>рассм.проекта уутэ</t>
  </si>
  <si>
    <t>тр6424</t>
  </si>
  <si>
    <t>аперль</t>
  </si>
  <si>
    <t>тр 3124790047</t>
  </si>
  <si>
    <t>тр 3123640048</t>
  </si>
  <si>
    <t>горздрав</t>
  </si>
  <si>
    <t>1493</t>
  </si>
  <si>
    <t>медосмотр 15чел</t>
  </si>
  <si>
    <t>экопром спб</t>
  </si>
  <si>
    <t>выезд специалиста</t>
  </si>
  <si>
    <t>дважды был оплачен счет 848 от 20.03.19</t>
  </si>
  <si>
    <t>ГЕОД поверка тахеометра</t>
  </si>
  <si>
    <t>23-00736-19</t>
  </si>
  <si>
    <t>11355</t>
  </si>
  <si>
    <t>6446</t>
  </si>
  <si>
    <t>13165035</t>
  </si>
  <si>
    <t>15мая</t>
  </si>
  <si>
    <t>переозвучивание и перемонтаж ролика</t>
  </si>
  <si>
    <t>6450</t>
  </si>
  <si>
    <t>радио шансон, дача, любовь</t>
  </si>
  <si>
    <t>13-24май</t>
  </si>
  <si>
    <t>190005069</t>
  </si>
  <si>
    <t>52084</t>
  </si>
  <si>
    <t>новосистем (вымпелком)</t>
  </si>
  <si>
    <t>1904816</t>
  </si>
  <si>
    <t>внутризоновая связь</t>
  </si>
  <si>
    <t>ип новоявчева е.а.</t>
  </si>
  <si>
    <t>08/05/19</t>
  </si>
  <si>
    <t>реклама вконтакте Тихвин</t>
  </si>
  <si>
    <t>3939</t>
  </si>
  <si>
    <t>14350</t>
  </si>
  <si>
    <t>20-24май</t>
  </si>
  <si>
    <t>ж-л Лучше поездом</t>
  </si>
  <si>
    <t>1039</t>
  </si>
  <si>
    <t>268</t>
  </si>
  <si>
    <t>13-31май</t>
  </si>
  <si>
    <t>1034</t>
  </si>
  <si>
    <t>VideoNetwork</t>
  </si>
  <si>
    <t>13-26май</t>
  </si>
  <si>
    <t>1035</t>
  </si>
  <si>
    <t>яндекс.видео</t>
  </si>
  <si>
    <t>190429-1245</t>
  </si>
  <si>
    <t>190429-1246</t>
  </si>
  <si>
    <t>1 канал</t>
  </si>
  <si>
    <t>190429-1247</t>
  </si>
  <si>
    <t>а35</t>
  </si>
  <si>
    <t>а34</t>
  </si>
  <si>
    <t>а36</t>
  </si>
  <si>
    <t>а37</t>
  </si>
  <si>
    <t>дг32</t>
  </si>
  <si>
    <t>оформление ОП</t>
  </si>
  <si>
    <t>дг31</t>
  </si>
  <si>
    <t>таблички для ОП</t>
  </si>
  <si>
    <t>898</t>
  </si>
  <si>
    <t>журнал R FLIGHT</t>
  </si>
  <si>
    <t>тр 3413010007</t>
  </si>
  <si>
    <t>ип агроник а.ю.</t>
  </si>
  <si>
    <t>2363</t>
  </si>
  <si>
    <t>2 кресла ОП Мурино</t>
  </si>
  <si>
    <t>разраб.фида для сервиса Авито</t>
  </si>
  <si>
    <t>дг30</t>
  </si>
  <si>
    <t>промтехнология</t>
  </si>
  <si>
    <t>дог. 389-К2/04-19</t>
  </si>
  <si>
    <t>ремонт опалубки</t>
  </si>
  <si>
    <t>смр 5 ИТП к.1</t>
  </si>
  <si>
    <t>дог. 415-М43/04-19</t>
  </si>
  <si>
    <t>Зотикова И.Е</t>
  </si>
  <si>
    <t>возврат пиб 64г-м298/11-14г</t>
  </si>
  <si>
    <t>Шалюта А.Н.</t>
  </si>
  <si>
    <t>возврат пиб 212в-М298/08-15г (АСС)</t>
  </si>
  <si>
    <t>1763, 1752, 1776</t>
  </si>
  <si>
    <t>12296629</t>
  </si>
  <si>
    <t>кресло в 715</t>
  </si>
  <si>
    <t>12291680</t>
  </si>
  <si>
    <t>кресло в 709 (снаб.)</t>
  </si>
  <si>
    <t>профлингва спб</t>
  </si>
  <si>
    <t>перевод буклета на китайский</t>
  </si>
  <si>
    <t>541, 542</t>
  </si>
  <si>
    <t>вода 5шт 7шт 5шт, стаканодержатели</t>
  </si>
  <si>
    <t>волна за линкор</t>
  </si>
  <si>
    <t>846</t>
  </si>
  <si>
    <t>828</t>
  </si>
  <si>
    <t>831</t>
  </si>
  <si>
    <t>018/…4211</t>
  </si>
  <si>
    <t>493</t>
  </si>
  <si>
    <t>465</t>
  </si>
  <si>
    <t>аудит 2018г</t>
  </si>
  <si>
    <t>упр.недвиж</t>
  </si>
  <si>
    <t>397</t>
  </si>
  <si>
    <t>автокран 30тн</t>
  </si>
  <si>
    <t>51001</t>
  </si>
  <si>
    <t>цифра он-лайн</t>
  </si>
  <si>
    <t>354</t>
  </si>
  <si>
    <t>печать каталогов</t>
  </si>
  <si>
    <t>ремонт,запчасти двигателя</t>
  </si>
  <si>
    <t>тр290004</t>
  </si>
  <si>
    <t>ВС пени</t>
  </si>
  <si>
    <t>проектный институт инж.инфраструктуры</t>
  </si>
  <si>
    <t>дог. 136-01/2019</t>
  </si>
  <si>
    <t>РД врем.дорога</t>
  </si>
  <si>
    <t>сч.13</t>
  </si>
  <si>
    <t>дог. 123-1318</t>
  </si>
  <si>
    <t>лаб-инструм.исследования</t>
  </si>
  <si>
    <t>сч.255</t>
  </si>
  <si>
    <t>АДМ ремонт ноутбука (ГЕОД)</t>
  </si>
  <si>
    <t>АДМ ремонт моноблока</t>
  </si>
  <si>
    <t>сч137</t>
  </si>
  <si>
    <t>ип некрасова а.а.</t>
  </si>
  <si>
    <t>группы вконтакте</t>
  </si>
  <si>
    <t>СТА за сс</t>
  </si>
  <si>
    <t>перевод презентации на английчский, итальянский</t>
  </si>
  <si>
    <t>132, 133</t>
  </si>
  <si>
    <t>капитал</t>
  </si>
  <si>
    <t>атлант</t>
  </si>
  <si>
    <t>1993716122</t>
  </si>
  <si>
    <t>гидрозащита</t>
  </si>
  <si>
    <t>гидроиз.</t>
  </si>
  <si>
    <t>тр 570169</t>
  </si>
  <si>
    <t>ВС 01-15.04</t>
  </si>
  <si>
    <t>тр 570171</t>
  </si>
  <si>
    <t>ВС 01-15.05</t>
  </si>
  <si>
    <t>611729</t>
  </si>
  <si>
    <t>измеритель ифн-300</t>
  </si>
  <si>
    <t>анкера для баш.крана</t>
  </si>
  <si>
    <t>бумага, скобы</t>
  </si>
  <si>
    <t>ип курбаков в.п.</t>
  </si>
  <si>
    <t>аренда поломоечной машины 30дн</t>
  </si>
  <si>
    <t>гарант.депозит по машине</t>
  </si>
  <si>
    <t>дог. 152-18</t>
  </si>
  <si>
    <t>дог 10-17</t>
  </si>
  <si>
    <t>инж-геологич.изыскания</t>
  </si>
  <si>
    <t>сч.83</t>
  </si>
  <si>
    <t>дог 10-17, д.с. 2</t>
  </si>
  <si>
    <t>сч.84</t>
  </si>
  <si>
    <t>ук лидер мурино за жск вр.года</t>
  </si>
  <si>
    <t>арматура 60тн</t>
  </si>
  <si>
    <t>фанера облиц.пленками 28,326куб.м</t>
  </si>
  <si>
    <t>1006</t>
  </si>
  <si>
    <t>ограждения окон ОК1 1142шт</t>
  </si>
  <si>
    <t>2058/1</t>
  </si>
  <si>
    <t>арм. 20  60тн</t>
  </si>
  <si>
    <t>арм. 12   40тн</t>
  </si>
  <si>
    <t>234</t>
  </si>
  <si>
    <t>арм. 16   20тн</t>
  </si>
  <si>
    <t>арм. 20   60тн</t>
  </si>
  <si>
    <t>арм. 10 (30тн), 20 (10тн)</t>
  </si>
  <si>
    <t>камень перег. СКЦ 2Р-15 ПГ 30240шт</t>
  </si>
  <si>
    <t>камень перег. СКЦ 2Р-15 ПГ 25200шт</t>
  </si>
  <si>
    <t>22381</t>
  </si>
  <si>
    <t>камень Полигран 80    38640шт</t>
  </si>
  <si>
    <t>23671</t>
  </si>
  <si>
    <t>камень Полигран 80    47520шт</t>
  </si>
  <si>
    <t>газобетон, кирпич, камень</t>
  </si>
  <si>
    <t>2964</t>
  </si>
  <si>
    <t>2966</t>
  </si>
  <si>
    <t>газобетон, кирпич</t>
  </si>
  <si>
    <t>ск адст (за СК Стронег)</t>
  </si>
  <si>
    <t>смр каркас (по письму от 01.04.19)</t>
  </si>
  <si>
    <t>налоги</t>
  </si>
  <si>
    <t>монолит</t>
  </si>
  <si>
    <t>1292</t>
  </si>
  <si>
    <t>бахилы ОП</t>
  </si>
  <si>
    <t>692</t>
  </si>
  <si>
    <t>1348</t>
  </si>
  <si>
    <t>тех.приемка инж.систем</t>
  </si>
  <si>
    <t>дог. 56-К1/05-19</t>
  </si>
  <si>
    <t>1993929983</t>
  </si>
  <si>
    <t>1831, 1834, 1842</t>
  </si>
  <si>
    <t>вода 9шт 18шт 5шт</t>
  </si>
  <si>
    <t>Дудина Е.М.</t>
  </si>
  <si>
    <t>возврат пиб 172г-м298/02-18г</t>
  </si>
  <si>
    <t>1905</t>
  </si>
  <si>
    <t>ОТ ОТ Торубаров</t>
  </si>
  <si>
    <t>ОТ краны, промбезоп-ть Манохин</t>
  </si>
  <si>
    <t>1190412951/100</t>
  </si>
  <si>
    <t>648</t>
  </si>
  <si>
    <t>1596</t>
  </si>
  <si>
    <t>почтовые ящики 220шт</t>
  </si>
  <si>
    <t>тэ_958</t>
  </si>
  <si>
    <t>тр2137</t>
  </si>
  <si>
    <t>тр5269</t>
  </si>
  <si>
    <t>тр8268</t>
  </si>
  <si>
    <t>смр каркас с.1, 2</t>
  </si>
  <si>
    <t>54869/04/2019</t>
  </si>
  <si>
    <t>2359</t>
  </si>
  <si>
    <t>2360</t>
  </si>
  <si>
    <t>2361</t>
  </si>
  <si>
    <t>2362</t>
  </si>
  <si>
    <t>2364</t>
  </si>
  <si>
    <t>2365</t>
  </si>
  <si>
    <t>2366</t>
  </si>
  <si>
    <t>2367</t>
  </si>
  <si>
    <t>9/лм</t>
  </si>
  <si>
    <t>4/22/06</t>
  </si>
  <si>
    <t>5/02/01</t>
  </si>
  <si>
    <t>5/04/01</t>
  </si>
  <si>
    <t>5/05/02</t>
  </si>
  <si>
    <t>5/12/01</t>
  </si>
  <si>
    <t>5/15/08</t>
  </si>
  <si>
    <t>5/15/12</t>
  </si>
  <si>
    <t>5/15/13</t>
  </si>
  <si>
    <t>…/05</t>
  </si>
  <si>
    <t>437</t>
  </si>
  <si>
    <t>374</t>
  </si>
  <si>
    <t>мгеллан</t>
  </si>
  <si>
    <t>3030</t>
  </si>
  <si>
    <t>аренда апрель</t>
  </si>
  <si>
    <t>3028</t>
  </si>
  <si>
    <t>2977</t>
  </si>
  <si>
    <t>2869</t>
  </si>
  <si>
    <t>2666</t>
  </si>
  <si>
    <t>3665</t>
  </si>
  <si>
    <t>2636</t>
  </si>
  <si>
    <t>2947</t>
  </si>
  <si>
    <t>ТО апрель</t>
  </si>
  <si>
    <t>2946</t>
  </si>
  <si>
    <t>2945</t>
  </si>
  <si>
    <t>2950</t>
  </si>
  <si>
    <t>2907</t>
  </si>
  <si>
    <t>2910</t>
  </si>
  <si>
    <t>ТО апрель (мойка)</t>
  </si>
  <si>
    <t>2908</t>
  </si>
  <si>
    <t>акт 2527</t>
  </si>
  <si>
    <t>2942</t>
  </si>
  <si>
    <t>2952</t>
  </si>
  <si>
    <t>2960</t>
  </si>
  <si>
    <t>2961</t>
  </si>
  <si>
    <t>2959</t>
  </si>
  <si>
    <t>2962</t>
  </si>
  <si>
    <t>391646068</t>
  </si>
  <si>
    <t>23937</t>
  </si>
  <si>
    <t>16310</t>
  </si>
  <si>
    <t>16308</t>
  </si>
  <si>
    <t>16306</t>
  </si>
  <si>
    <t>16301</t>
  </si>
  <si>
    <t>16330</t>
  </si>
  <si>
    <t>арм. 8, проволока</t>
  </si>
  <si>
    <t>1392</t>
  </si>
  <si>
    <t>7842</t>
  </si>
  <si>
    <t>1212</t>
  </si>
  <si>
    <t>арм. 8,10,12,20,25</t>
  </si>
  <si>
    <t>1313</t>
  </si>
  <si>
    <t>арм. 32, проволока</t>
  </si>
  <si>
    <t>арм. 8, 12</t>
  </si>
  <si>
    <t>5913</t>
  </si>
  <si>
    <t>5882</t>
  </si>
  <si>
    <t>5918</t>
  </si>
  <si>
    <t>ПКФ САНК</t>
  </si>
  <si>
    <t>5579</t>
  </si>
  <si>
    <t>арм. 20,25,36</t>
  </si>
  <si>
    <t>5581</t>
  </si>
  <si>
    <t>арм. 10,12,16,20,25</t>
  </si>
  <si>
    <t>5593</t>
  </si>
  <si>
    <t>арм. 25, проволока</t>
  </si>
  <si>
    <t>431</t>
  </si>
  <si>
    <t>703</t>
  </si>
  <si>
    <t>370, 371</t>
  </si>
  <si>
    <t>1993937844</t>
  </si>
  <si>
    <t>1993925885</t>
  </si>
  <si>
    <t>солион</t>
  </si>
  <si>
    <t>1354</t>
  </si>
  <si>
    <t>головка торцевая</t>
  </si>
  <si>
    <t>545</t>
  </si>
  <si>
    <t>разраб.баз данных (Битрикс24)</t>
  </si>
  <si>
    <t>017/…1212196</t>
  </si>
  <si>
    <t>сасон 307</t>
  </si>
  <si>
    <t>радиофрид системы</t>
  </si>
  <si>
    <t>2930</t>
  </si>
  <si>
    <t>модем, антенна 3шт</t>
  </si>
  <si>
    <t>из них зачтено        720 443,60, остальное оплачено деньгами</t>
  </si>
  <si>
    <t>смр полы к.5</t>
  </si>
  <si>
    <t>двери</t>
  </si>
  <si>
    <t>832</t>
  </si>
  <si>
    <t>889</t>
  </si>
  <si>
    <t>78885/906/00008/0219</t>
  </si>
  <si>
    <t>78885/906/00007/0219</t>
  </si>
  <si>
    <t>137615/20</t>
  </si>
  <si>
    <t>замена выхлопной системы</t>
  </si>
  <si>
    <t>севЗапДизельремонт</t>
  </si>
  <si>
    <t>ремонт двигателя</t>
  </si>
  <si>
    <t>подключение к эл.сетям</t>
  </si>
  <si>
    <t xml:space="preserve">дог. ОД-СПб-2647-11/ 27066Э-10 </t>
  </si>
  <si>
    <t>426</t>
  </si>
  <si>
    <t>1993940198</t>
  </si>
  <si>
    <t>вал коленчатый двигателя</t>
  </si>
  <si>
    <t>дефектация станка СГА-1</t>
  </si>
  <si>
    <t>по графику  01.07</t>
  </si>
  <si>
    <t>8722, 8724</t>
  </si>
  <si>
    <t>первая кровельная компания (за балтстройсервис 9286)</t>
  </si>
  <si>
    <t>смр каркас с.11-12</t>
  </si>
  <si>
    <t>дог. 121-КЛ/04-19</t>
  </si>
  <si>
    <t>контроль за стр-вом нвк</t>
  </si>
  <si>
    <t>смеси, прочее</t>
  </si>
  <si>
    <t>пик</t>
  </si>
  <si>
    <t>трасстрой</t>
  </si>
  <si>
    <t>бест</t>
  </si>
  <si>
    <t>полы</t>
  </si>
  <si>
    <t>27-31.05</t>
  </si>
  <si>
    <t>ск гарант</t>
  </si>
  <si>
    <t>дог. 55-К1/05-19</t>
  </si>
  <si>
    <t>дог. 72-Т/03-19</t>
  </si>
  <si>
    <t>1589</t>
  </si>
  <si>
    <t>0259/03-С-В</t>
  </si>
  <si>
    <t>стр.контроль водопровод</t>
  </si>
  <si>
    <t>0258/03-С-В</t>
  </si>
  <si>
    <t>28/2</t>
  </si>
  <si>
    <t>843, 844</t>
  </si>
  <si>
    <t>АНО Дирекция КРТ ЛО</t>
  </si>
  <si>
    <t>дог АНО-ОПМ-П/2019</t>
  </si>
  <si>
    <t>Росэко-Стройпроект</t>
  </si>
  <si>
    <t>дог 06-2019-П</t>
  </si>
  <si>
    <t>подготовка предпроектных схем дорожных и инфраструктурных условий</t>
  </si>
  <si>
    <t>бух.д 4,85</t>
  </si>
  <si>
    <t>уфк по СПб (ростехнадзор)</t>
  </si>
  <si>
    <t>госпошлина Бадалов Р.Д.</t>
  </si>
  <si>
    <t>тр14266</t>
  </si>
  <si>
    <t>404</t>
  </si>
  <si>
    <t>дог. 49-19</t>
  </si>
  <si>
    <t>икеа дом</t>
  </si>
  <si>
    <t>….56131</t>
  </si>
  <si>
    <t>дет.комната в ОП</t>
  </si>
  <si>
    <t>КС 261-227-063/19</t>
  </si>
  <si>
    <t>152564</t>
  </si>
  <si>
    <t>АДМ тел.трубки в ОП В.О.</t>
  </si>
  <si>
    <t>145511/20</t>
  </si>
  <si>
    <t>146841/20</t>
  </si>
  <si>
    <t>1881</t>
  </si>
  <si>
    <t>24815425</t>
  </si>
  <si>
    <t>мурино 43 к.5</t>
  </si>
  <si>
    <t>234/бв</t>
  </si>
  <si>
    <t>балка, кронштейн, угол, щиты (опалубка)</t>
  </si>
  <si>
    <t>1900473</t>
  </si>
  <si>
    <t>1900469</t>
  </si>
  <si>
    <t>СР ОТ обучение 19шт</t>
  </si>
  <si>
    <t>ОТ обучение 6шт</t>
  </si>
  <si>
    <t>1900636</t>
  </si>
  <si>
    <t>ОТ обучение 9шт</t>
  </si>
  <si>
    <t>сч291</t>
  </si>
  <si>
    <t>1457</t>
  </si>
  <si>
    <t>1458</t>
  </si>
  <si>
    <t>2029</t>
  </si>
  <si>
    <t>16825</t>
  </si>
  <si>
    <t>1517</t>
  </si>
  <si>
    <t>СР ОТ медосмотр 2чел</t>
  </si>
  <si>
    <t>Жуковская И.В.</t>
  </si>
  <si>
    <t>возврат пиб 70г-м298/13ан</t>
  </si>
  <si>
    <t>Чепас А.С.</t>
  </si>
  <si>
    <t>возврат пиб 73б-БФ/11-16г</t>
  </si>
  <si>
    <t>Черныш О.В.</t>
  </si>
  <si>
    <t>возврат пиб 26в-М298/12-13г (АСС)</t>
  </si>
  <si>
    <t>430</t>
  </si>
  <si>
    <t>китайский</t>
  </si>
  <si>
    <t>6475</t>
  </si>
  <si>
    <t>6473</t>
  </si>
  <si>
    <t>буклет Территория</t>
  </si>
  <si>
    <t>2166</t>
  </si>
  <si>
    <t>создание видеоролика</t>
  </si>
  <si>
    <t>соглас.флагштоков</t>
  </si>
  <si>
    <t>1072</t>
  </si>
  <si>
    <t>24-31май</t>
  </si>
  <si>
    <t>1071</t>
  </si>
  <si>
    <t>21-31май</t>
  </si>
  <si>
    <t>2547</t>
  </si>
  <si>
    <t>ип травианская е.в.</t>
  </si>
  <si>
    <t>карман,навес кармана</t>
  </si>
  <si>
    <t>дог. 434-М47/05-19</t>
  </si>
  <si>
    <t>дог. 21-К2.3/11-17</t>
  </si>
  <si>
    <t>иск лск</t>
  </si>
  <si>
    <t>гидроиз</t>
  </si>
  <si>
    <t>ремонт фурнитуры и остекл.</t>
  </si>
  <si>
    <t>гк перспектива</t>
  </si>
  <si>
    <t>проверка противопож.водопровода</t>
  </si>
  <si>
    <t>22/2018/10</t>
  </si>
  <si>
    <t>б-1730465588-1</t>
  </si>
  <si>
    <t>предоплата</t>
  </si>
  <si>
    <t>дважды оплатили 1398/1</t>
  </si>
  <si>
    <t>ндфл 05.06</t>
  </si>
  <si>
    <t>налоги фот 15.06</t>
  </si>
  <si>
    <t>24875481</t>
  </si>
  <si>
    <t>короб архивный 50шт</t>
  </si>
  <si>
    <t>тр9883</t>
  </si>
  <si>
    <t>тр9881</t>
  </si>
  <si>
    <t>фрс</t>
  </si>
  <si>
    <t>госпошлина</t>
  </si>
  <si>
    <t>ифнс 23</t>
  </si>
  <si>
    <t>госпошлина апелляция</t>
  </si>
  <si>
    <t>931</t>
  </si>
  <si>
    <t>ОТ от Огородников, Торубаров</t>
  </si>
  <si>
    <t>ТКБ</t>
  </si>
  <si>
    <t>дог. 420-М48/04-19</t>
  </si>
  <si>
    <t>смр КЛ 10</t>
  </si>
  <si>
    <t>дог. 369-М48/07-18</t>
  </si>
  <si>
    <t>предотделка моп к.5</t>
  </si>
  <si>
    <t>мегалТэк</t>
  </si>
  <si>
    <t>дог. 418-М44/04-19</t>
  </si>
  <si>
    <t>800</t>
  </si>
  <si>
    <t>876</t>
  </si>
  <si>
    <t>2677</t>
  </si>
  <si>
    <t>2678</t>
  </si>
  <si>
    <t>2679</t>
  </si>
  <si>
    <t>2680</t>
  </si>
  <si>
    <t>2682</t>
  </si>
  <si>
    <t>2683</t>
  </si>
  <si>
    <t>2684</t>
  </si>
  <si>
    <t>2685</t>
  </si>
  <si>
    <t>…/06</t>
  </si>
  <si>
    <t>…/07</t>
  </si>
  <si>
    <t>колесн.экскаватор</t>
  </si>
  <si>
    <t>1639001875</t>
  </si>
  <si>
    <t>43335982</t>
  </si>
  <si>
    <t>4700</t>
  </si>
  <si>
    <t>восстановление проводки молота</t>
  </si>
  <si>
    <t>2378</t>
  </si>
  <si>
    <t>ремонт гидромотора</t>
  </si>
  <si>
    <t>СТС-Трейд</t>
  </si>
  <si>
    <t>ср-во для смазки линий бетоновода</t>
  </si>
  <si>
    <t>Атлас Копко</t>
  </si>
  <si>
    <t>827530</t>
  </si>
  <si>
    <t>сервисн.обслуж.компрессора</t>
  </si>
  <si>
    <t>26531</t>
  </si>
  <si>
    <t>АБТ-групп</t>
  </si>
  <si>
    <t>2151/1</t>
  </si>
  <si>
    <t>1413</t>
  </si>
  <si>
    <t>12968</t>
  </si>
  <si>
    <t>13228</t>
  </si>
  <si>
    <t>13704</t>
  </si>
  <si>
    <t>737</t>
  </si>
  <si>
    <t>526</t>
  </si>
  <si>
    <t>527</t>
  </si>
  <si>
    <t>678</t>
  </si>
  <si>
    <t>679</t>
  </si>
  <si>
    <t>866, 867, 868</t>
  </si>
  <si>
    <t>Ригал Консалтинг</t>
  </si>
  <si>
    <t>инвест-проект</t>
  </si>
  <si>
    <t>спутник</t>
  </si>
  <si>
    <t>стр-мастер</t>
  </si>
  <si>
    <t>олимп</t>
  </si>
  <si>
    <t>1993716566</t>
  </si>
  <si>
    <t>1993994947</t>
  </si>
  <si>
    <t>мурино 47, 48</t>
  </si>
  <si>
    <t>24884689</t>
  </si>
  <si>
    <t>плащи 10шт</t>
  </si>
  <si>
    <t>12473</t>
  </si>
  <si>
    <t>работы, запчасти</t>
  </si>
  <si>
    <t>368</t>
  </si>
  <si>
    <t>12448</t>
  </si>
  <si>
    <t>бур, клей, пленка и тд</t>
  </si>
  <si>
    <t>аренда ГП апрель</t>
  </si>
  <si>
    <t>целевой взнос</t>
  </si>
  <si>
    <t>альфа банк</t>
  </si>
  <si>
    <t>13702</t>
  </si>
  <si>
    <t>арм. 12,16,25</t>
  </si>
  <si>
    <t>6278</t>
  </si>
  <si>
    <t>арм. 6,8,10</t>
  </si>
  <si>
    <t>арматура, проволока</t>
  </si>
  <si>
    <t>684</t>
  </si>
  <si>
    <t>Лисянский Р.В.</t>
  </si>
  <si>
    <t>расторжение пай 156д-ВИТ3/02-16ан</t>
  </si>
  <si>
    <t>дог 42-Т/04-18</t>
  </si>
  <si>
    <t>дог 78-Т/04-19</t>
  </si>
  <si>
    <t>338</t>
  </si>
  <si>
    <t>меридиан</t>
  </si>
  <si>
    <t>1993716244</t>
  </si>
  <si>
    <t>снрг-риэлти</t>
  </si>
  <si>
    <t>29051</t>
  </si>
  <si>
    <t>кран шаровый</t>
  </si>
  <si>
    <t>793</t>
  </si>
  <si>
    <t>1992</t>
  </si>
  <si>
    <t>аренда леса строительные (клиновые) 30дн (29.05 - 27.06)</t>
  </si>
  <si>
    <t>Панкратова В.Ю.</t>
  </si>
  <si>
    <t>расторжение пай 175а-ВИТ1/10-16н</t>
  </si>
  <si>
    <t>Шумакова С.А.</t>
  </si>
  <si>
    <t>расторжение дду 46б-ЛЕН/12-17г</t>
  </si>
  <si>
    <t>Хабитова И.А.</t>
  </si>
  <si>
    <t>расторжение дду 88а-АЭР42/03-19ан</t>
  </si>
  <si>
    <t>Уранов И.В.</t>
  </si>
  <si>
    <t>расторжение дду 169с-ТЕР5/07-18ан</t>
  </si>
  <si>
    <t>Буркеня К.А.</t>
  </si>
  <si>
    <t>расторжение дду 34п-ТЕР5/12-16г</t>
  </si>
  <si>
    <t>602</t>
  </si>
  <si>
    <t>дог. 391-Б/04-19</t>
  </si>
  <si>
    <t>монтаж тепловентиляторов</t>
  </si>
  <si>
    <t>2034</t>
  </si>
  <si>
    <t>3193</t>
  </si>
  <si>
    <t>1819/до</t>
  </si>
  <si>
    <t>обучение ОТ, пожарка 1чел</t>
  </si>
  <si>
    <t>310503</t>
  </si>
  <si>
    <t>ОТ бланки удостоверений 50шт</t>
  </si>
  <si>
    <t>трак-строй</t>
  </si>
  <si>
    <t>698</t>
  </si>
  <si>
    <t>27807220-2235096-310519</t>
  </si>
  <si>
    <t>кольцо, фильтр, шайба и тд</t>
  </si>
  <si>
    <t>долг 4,3</t>
  </si>
  <si>
    <t>гидрощит</t>
  </si>
  <si>
    <t>Николаева А.Н</t>
  </si>
  <si>
    <t>расторжение пай 48е-ВИТ3/04-17ан</t>
  </si>
  <si>
    <t>010619-0111F</t>
  </si>
  <si>
    <t>161701</t>
  </si>
  <si>
    <t>АДМ телефоны в ОКС</t>
  </si>
  <si>
    <t>клишин с.в.</t>
  </si>
  <si>
    <t>администрирование сайтов</t>
  </si>
  <si>
    <t>дог. 2</t>
  </si>
  <si>
    <t>смр инж. Сети к.4</t>
  </si>
  <si>
    <t>дог. 417М43/04-19</t>
  </si>
  <si>
    <t>сму-13</t>
  </si>
  <si>
    <t>1639</t>
  </si>
  <si>
    <t>отвертка, светильник, перчатки..</t>
  </si>
  <si>
    <t>1642</t>
  </si>
  <si>
    <t>кабель, выкл., УЗО, дюбель..</t>
  </si>
  <si>
    <t>кабель, провод, саморез…</t>
  </si>
  <si>
    <t>1657</t>
  </si>
  <si>
    <t>кабель, УЗО, светильник..</t>
  </si>
  <si>
    <t>выкл., розетка, шина..</t>
  </si>
  <si>
    <t>1738</t>
  </si>
  <si>
    <t>болт, гайка, шайба, кабель..</t>
  </si>
  <si>
    <t>стяжка каб., патрон, фонарь..</t>
  </si>
  <si>
    <t>перчатки, пленка, дюбель..</t>
  </si>
  <si>
    <t>1855</t>
  </si>
  <si>
    <t>кабель, вилка, лампа, бур..</t>
  </si>
  <si>
    <t>провод, кабель, светильник…</t>
  </si>
  <si>
    <t>1897</t>
  </si>
  <si>
    <t>отвертки, рубильник, провод..</t>
  </si>
  <si>
    <t>1900</t>
  </si>
  <si>
    <t>2046</t>
  </si>
  <si>
    <t>УШМ, круг отр.</t>
  </si>
  <si>
    <t>6617</t>
  </si>
  <si>
    <t>6706</t>
  </si>
  <si>
    <t>СТД СКС</t>
  </si>
  <si>
    <t>13889</t>
  </si>
  <si>
    <t>бита, ДВП, профиль..</t>
  </si>
  <si>
    <t>155158</t>
  </si>
  <si>
    <t>профиль, дюбель, заклепки..</t>
  </si>
  <si>
    <t>155120</t>
  </si>
  <si>
    <t>пена, подвес, саморез..</t>
  </si>
  <si>
    <t>7371</t>
  </si>
  <si>
    <t>165129</t>
  </si>
  <si>
    <t>профиль, подвес, плита к подв.потолку</t>
  </si>
  <si>
    <t>165141</t>
  </si>
  <si>
    <t>гипсокартон, профиль, саморез..</t>
  </si>
  <si>
    <t>3903</t>
  </si>
  <si>
    <t>1006389</t>
  </si>
  <si>
    <t>шпатель, ЦПС</t>
  </si>
  <si>
    <t>15*93373</t>
  </si>
  <si>
    <t>грунт, эмаль, лента..</t>
  </si>
  <si>
    <t>1594773</t>
  </si>
  <si>
    <t>сетка, профиль, бур..</t>
  </si>
  <si>
    <t>7924</t>
  </si>
  <si>
    <t>лента, подоконник, гипсокартон..</t>
  </si>
  <si>
    <t>259849</t>
  </si>
  <si>
    <t>грунт, эмаль, растворитель…</t>
  </si>
  <si>
    <t>1020608</t>
  </si>
  <si>
    <t>перчатки, пленка</t>
  </si>
  <si>
    <t>180069</t>
  </si>
  <si>
    <t>пена, профиль, плита, подвес..</t>
  </si>
  <si>
    <t>1032200</t>
  </si>
  <si>
    <t>дюбель, саморез, фанера..</t>
  </si>
  <si>
    <t>277573</t>
  </si>
  <si>
    <t>гибк.вал</t>
  </si>
  <si>
    <t>952</t>
  </si>
  <si>
    <t>герметик, вилатерм</t>
  </si>
  <si>
    <t>доска, саморез</t>
  </si>
  <si>
    <t>3013</t>
  </si>
  <si>
    <t>28119</t>
  </si>
  <si>
    <t>25497</t>
  </si>
  <si>
    <t>26169</t>
  </si>
  <si>
    <t>26800</t>
  </si>
  <si>
    <t>26346</t>
  </si>
  <si>
    <t>28256</t>
  </si>
  <si>
    <t>28540</t>
  </si>
  <si>
    <t>профиль, подвес, гипсокартон…</t>
  </si>
  <si>
    <t>2622</t>
  </si>
  <si>
    <t>герметик, пистолет</t>
  </si>
  <si>
    <t>2608</t>
  </si>
  <si>
    <t>2934</t>
  </si>
  <si>
    <t>решетка врезная</t>
  </si>
  <si>
    <t>к-т для инжекции, мешок…</t>
  </si>
  <si>
    <t>сетка сварн., аэратор, праймер..</t>
  </si>
  <si>
    <t>патрон, фиксатор, замок..</t>
  </si>
  <si>
    <t>круг отр., пленка, уайт-спирит..</t>
  </si>
  <si>
    <t>герметик, мастика, шланг…</t>
  </si>
  <si>
    <t>24463</t>
  </si>
  <si>
    <t>24509</t>
  </si>
  <si>
    <t>25047</t>
  </si>
  <si>
    <t>25325</t>
  </si>
  <si>
    <t>мешок, круг, диск, электрод…</t>
  </si>
  <si>
    <t>383</t>
  </si>
  <si>
    <t>круг, перчатки, замок, рулетка..</t>
  </si>
  <si>
    <t>молоток, кисть, диск, гвоздь..</t>
  </si>
  <si>
    <t>1658</t>
  </si>
  <si>
    <t>1673</t>
  </si>
  <si>
    <t>17/05-3</t>
  </si>
  <si>
    <t>22/05-4</t>
  </si>
  <si>
    <t>24/05-5</t>
  </si>
  <si>
    <t>28/05-1</t>
  </si>
  <si>
    <t>10936</t>
  </si>
  <si>
    <t>11430</t>
  </si>
  <si>
    <t>11423</t>
  </si>
  <si>
    <t>12330</t>
  </si>
  <si>
    <t>12349</t>
  </si>
  <si>
    <t>12403</t>
  </si>
  <si>
    <t xml:space="preserve">пена </t>
  </si>
  <si>
    <t>12386</t>
  </si>
  <si>
    <t>12405</t>
  </si>
  <si>
    <t>12477</t>
  </si>
  <si>
    <t>ВИП-Системы</t>
  </si>
  <si>
    <t>680</t>
  </si>
  <si>
    <t>…301</t>
  </si>
  <si>
    <t>019/0581</t>
  </si>
  <si>
    <t>502</t>
  </si>
  <si>
    <t>станок СГА-1</t>
  </si>
  <si>
    <t>асс</t>
  </si>
  <si>
    <t>дог. 1020-КН/10-18</t>
  </si>
  <si>
    <t>устройство контроля доступа</t>
  </si>
  <si>
    <t>дог. ТК-190509</t>
  </si>
  <si>
    <t>лигал софтвэйф</t>
  </si>
  <si>
    <t>870</t>
  </si>
  <si>
    <t>АДМ Иллюстатор лицензия на год</t>
  </si>
  <si>
    <t>160281</t>
  </si>
  <si>
    <t>АДМ комп в PR</t>
  </si>
  <si>
    <t>365067906</t>
  </si>
  <si>
    <t>2078</t>
  </si>
  <si>
    <t>аренда бензорезчика 2сут</t>
  </si>
  <si>
    <t>06-17.05</t>
  </si>
  <si>
    <t>9188, 9230, 9679, 9680, 9405, 9461, 9681, 9682</t>
  </si>
  <si>
    <t>563, 564</t>
  </si>
  <si>
    <t>412, 413</t>
  </si>
  <si>
    <t>Ресо-Гарантия</t>
  </si>
  <si>
    <t>3066543621</t>
  </si>
  <si>
    <t>3062551111</t>
  </si>
  <si>
    <t>19931021801</t>
  </si>
  <si>
    <t>старт</t>
  </si>
  <si>
    <t>19931023378</t>
  </si>
  <si>
    <t>сч512</t>
  </si>
  <si>
    <t>сч514</t>
  </si>
  <si>
    <t>35600</t>
  </si>
  <si>
    <t>сч513</t>
  </si>
  <si>
    <t>инспекция по труду</t>
  </si>
  <si>
    <t>пост. 47/7-231-300-И/103/6</t>
  </si>
  <si>
    <t>дог. 09-19-ТК</t>
  </si>
  <si>
    <t>дог. 432-М47/05-19</t>
  </si>
  <si>
    <t>смр внутр.сети ДОУ</t>
  </si>
  <si>
    <t>дог. 384-М47/05-19</t>
  </si>
  <si>
    <t>ГК СТС</t>
  </si>
  <si>
    <t>дог. 431-М44/05-19</t>
  </si>
  <si>
    <t>смр двери кв. к.3</t>
  </si>
  <si>
    <t>Кусакина Л.Б.</t>
  </si>
  <si>
    <t>возврат пиб 298в-М298/07-15г (АСС)</t>
  </si>
  <si>
    <t>возврат пиб 128г-М298/12-14н</t>
  </si>
  <si>
    <t>Дьяченко Ю.С.</t>
  </si>
  <si>
    <t>Гурченкова А.Э.</t>
  </si>
  <si>
    <t>возврат пиб 187г-М298/08-14г</t>
  </si>
  <si>
    <t>Ревенкова Е.В.</t>
  </si>
  <si>
    <t>возврат пиб 198б-БФ/11-14г</t>
  </si>
  <si>
    <t>416</t>
  </si>
  <si>
    <t>вега за бригантина</t>
  </si>
  <si>
    <t>дог 02/14-21</t>
  </si>
  <si>
    <t>тепло присоединение</t>
  </si>
  <si>
    <t>1993696222</t>
  </si>
  <si>
    <t>5/лк</t>
  </si>
  <si>
    <t>2048</t>
  </si>
  <si>
    <t>гк синергия</t>
  </si>
  <si>
    <t>2019-06-009-ZKN</t>
  </si>
  <si>
    <t>первичное тех.освидетельствование особо опасного объекта</t>
  </si>
  <si>
    <t>2019-06-008-ZKN</t>
  </si>
  <si>
    <t>акт Щемелева</t>
  </si>
  <si>
    <t>акт Васильева</t>
  </si>
  <si>
    <t>акт Боргер, Гулюмова</t>
  </si>
  <si>
    <t>АДМ пополнение л/сч</t>
  </si>
  <si>
    <t>контроль факт.прочности бетона</t>
  </si>
  <si>
    <t>21-22.05</t>
  </si>
  <si>
    <t>9794, 9912, 9795</t>
  </si>
  <si>
    <t>медвдеь за бригантина</t>
  </si>
  <si>
    <t>1610</t>
  </si>
  <si>
    <t>АДМ заправка</t>
  </si>
  <si>
    <t>567</t>
  </si>
  <si>
    <t>май, июнь</t>
  </si>
  <si>
    <t>видеонаблюд. ТК3 №2</t>
  </si>
  <si>
    <t>АДМ ремонт ноутбука</t>
  </si>
  <si>
    <t>Мониторинг</t>
  </si>
  <si>
    <t>421-05/19</t>
  </si>
  <si>
    <t>испыт. центр АЛМИР</t>
  </si>
  <si>
    <t>нии эколог.и ген.проектир.</t>
  </si>
  <si>
    <t>дог. 2711/2019</t>
  </si>
  <si>
    <t>анализы, замеры</t>
  </si>
  <si>
    <t>шушары УДС</t>
  </si>
  <si>
    <t>дог. 55-19</t>
  </si>
  <si>
    <t>топосъемка УДС</t>
  </si>
  <si>
    <t>сч103</t>
  </si>
  <si>
    <t>дог. 51-19</t>
  </si>
  <si>
    <t>инж-геодез.изыскания</t>
  </si>
  <si>
    <t>сч.100</t>
  </si>
  <si>
    <t>сч.98</t>
  </si>
  <si>
    <t>дог. 52-19</t>
  </si>
  <si>
    <t>0569/04-19</t>
  </si>
  <si>
    <t>стр.контроль доплата ндс</t>
  </si>
  <si>
    <t>0807/05-19</t>
  </si>
  <si>
    <t>присоединение к сети канализации</t>
  </si>
  <si>
    <t>15430</t>
  </si>
  <si>
    <t>комплект для инжекции (винилэстер)</t>
  </si>
  <si>
    <t>409</t>
  </si>
  <si>
    <t>ДиПОС</t>
  </si>
  <si>
    <t>31024</t>
  </si>
  <si>
    <t>ТОРЕЗА</t>
  </si>
  <si>
    <t>718</t>
  </si>
  <si>
    <t>дог ОСГ-10/19</t>
  </si>
  <si>
    <t>заключение о готовности объекта</t>
  </si>
  <si>
    <t>дог ОСГ-09/19</t>
  </si>
  <si>
    <t>шуш.3005, магеллан, колумб</t>
  </si>
  <si>
    <t>614/19</t>
  </si>
  <si>
    <t>615/19</t>
  </si>
  <si>
    <t>616/19</t>
  </si>
  <si>
    <t>617/19</t>
  </si>
  <si>
    <t>618/19</t>
  </si>
  <si>
    <t>619/19</t>
  </si>
  <si>
    <t>620/19</t>
  </si>
  <si>
    <t>2/ПрС</t>
  </si>
  <si>
    <t>4/алеф</t>
  </si>
  <si>
    <t>10/лм</t>
  </si>
  <si>
    <t>экскаватор-погрузик</t>
  </si>
  <si>
    <t>471</t>
  </si>
  <si>
    <t>бульдозер</t>
  </si>
  <si>
    <t>412</t>
  </si>
  <si>
    <t>1676</t>
  </si>
  <si>
    <t>станок для гибки арматуры</t>
  </si>
  <si>
    <t>758</t>
  </si>
  <si>
    <t>745</t>
  </si>
  <si>
    <t>826</t>
  </si>
  <si>
    <t>тореза, ПС 45</t>
  </si>
  <si>
    <t>878</t>
  </si>
  <si>
    <t>896</t>
  </si>
  <si>
    <t>ПТК Стом</t>
  </si>
  <si>
    <t>палец, квадрат гидромотора</t>
  </si>
  <si>
    <t>РВД, фитинг, фара</t>
  </si>
  <si>
    <t>Фундамент Групп</t>
  </si>
  <si>
    <t>капремонт пятки стрелы</t>
  </si>
  <si>
    <t>5922990539</t>
  </si>
  <si>
    <t>8631362052</t>
  </si>
  <si>
    <t>опора</t>
  </si>
  <si>
    <t>дт 800л</t>
  </si>
  <si>
    <t>2069, 2076, 2083</t>
  </si>
  <si>
    <t>вода 4шт 10шт 10шт</t>
  </si>
  <si>
    <t>9944/10725/1905</t>
  </si>
  <si>
    <t>9947/13334/1905</t>
  </si>
  <si>
    <t>9950/18705/1905</t>
  </si>
  <si>
    <t>2963</t>
  </si>
  <si>
    <t>8011</t>
  </si>
  <si>
    <t>25984</t>
  </si>
  <si>
    <t>26929</t>
  </si>
  <si>
    <t>29746</t>
  </si>
  <si>
    <t>29757</t>
  </si>
  <si>
    <t>1508</t>
  </si>
  <si>
    <t>1528</t>
  </si>
  <si>
    <t>арм. 6,8,12</t>
  </si>
  <si>
    <t>1529</t>
  </si>
  <si>
    <t>9759</t>
  </si>
  <si>
    <t>256</t>
  </si>
  <si>
    <t>ПКФ ДиПОС</t>
  </si>
  <si>
    <t>31028</t>
  </si>
  <si>
    <t>31130</t>
  </si>
  <si>
    <t>19029-12628</t>
  </si>
  <si>
    <t>арм. 6,8,16</t>
  </si>
  <si>
    <t>арм. 16,36</t>
  </si>
  <si>
    <t>1955</t>
  </si>
  <si>
    <t>744</t>
  </si>
  <si>
    <t>фиксаторы, перчатки, лопата</t>
  </si>
  <si>
    <t>антиадгезив</t>
  </si>
  <si>
    <t>783</t>
  </si>
  <si>
    <t>эмульсол</t>
  </si>
  <si>
    <t>эмульсол, фиксаторы</t>
  </si>
  <si>
    <t>11511</t>
  </si>
  <si>
    <t>14164</t>
  </si>
  <si>
    <t>сетка, зубило, швабра..</t>
  </si>
  <si>
    <t>64310</t>
  </si>
  <si>
    <t>ремсостав, лопата</t>
  </si>
  <si>
    <t>28991</t>
  </si>
  <si>
    <t>29566</t>
  </si>
  <si>
    <t>краска, лента, подоконник..</t>
  </si>
  <si>
    <t>сетка, нож, круг..</t>
  </si>
  <si>
    <t>26660</t>
  </si>
  <si>
    <t>пена, рулетка</t>
  </si>
  <si>
    <t>391</t>
  </si>
  <si>
    <t xml:space="preserve">замок </t>
  </si>
  <si>
    <t>12860</t>
  </si>
  <si>
    <t>…516</t>
  </si>
  <si>
    <t>поставка не подтверждена</t>
  </si>
  <si>
    <t>эксперимент.завод трейд</t>
  </si>
  <si>
    <t>728</t>
  </si>
  <si>
    <t>урны, скамейки для БЕСТа</t>
  </si>
  <si>
    <t>старый договор</t>
  </si>
  <si>
    <t>дельта, крона</t>
  </si>
  <si>
    <t>сети, фасад</t>
  </si>
  <si>
    <t>промстройсервис</t>
  </si>
  <si>
    <t>гепард</t>
  </si>
  <si>
    <t>котлован</t>
  </si>
  <si>
    <t>гильза, контактор</t>
  </si>
  <si>
    <t>тр1329740008</t>
  </si>
  <si>
    <t>тр 1767970026</t>
  </si>
  <si>
    <t>треб.23/369</t>
  </si>
  <si>
    <t>треб.23/370</t>
  </si>
  <si>
    <t>треб.23/371</t>
  </si>
  <si>
    <t>тр 900126</t>
  </si>
  <si>
    <t>ВО май</t>
  </si>
  <si>
    <t>тр 570172</t>
  </si>
  <si>
    <t>ВС 16-31.05</t>
  </si>
  <si>
    <t>тр300004</t>
  </si>
  <si>
    <t>ВО пени</t>
  </si>
  <si>
    <t>189365/20</t>
  </si>
  <si>
    <t>186104/20</t>
  </si>
  <si>
    <t>189327/20</t>
  </si>
  <si>
    <t>дог. 381-М43/04-19</t>
  </si>
  <si>
    <t>магистраль № 4</t>
  </si>
  <si>
    <t>дог. 382-М43/04-19</t>
  </si>
  <si>
    <t>магистраль № 3</t>
  </si>
  <si>
    <t>тр 1878000028</t>
  </si>
  <si>
    <t>дог. 88-Т/05-19</t>
  </si>
  <si>
    <t>смр полы с.6,7</t>
  </si>
  <si>
    <t>дог. 71-Т/03-19</t>
  </si>
  <si>
    <t>отделка моп с. 1-4</t>
  </si>
  <si>
    <t>отделка моп с.5-7</t>
  </si>
  <si>
    <t>дог. 85-Т/05-19</t>
  </si>
  <si>
    <t>дог. 87-Т/05-19</t>
  </si>
  <si>
    <t>смр полы с.1-5</t>
  </si>
  <si>
    <t>дог. 27/07-16</t>
  </si>
  <si>
    <t>петрополис</t>
  </si>
  <si>
    <t>дог. 84-БУ/04-19</t>
  </si>
  <si>
    <t>смр полы паркинг</t>
  </si>
  <si>
    <t>петроцентр СТР-РЕС новый договор</t>
  </si>
  <si>
    <t>пикалята</t>
  </si>
  <si>
    <t>день откр.дверей 16.06</t>
  </si>
  <si>
    <t>дог. 422-М47/05-19</t>
  </si>
  <si>
    <t>дог. 423-М47/05-19</t>
  </si>
  <si>
    <t>смр полы к.4</t>
  </si>
  <si>
    <t>дог. 424-М47/05-19</t>
  </si>
  <si>
    <t>63320</t>
  </si>
  <si>
    <t>дог. 380-М47/04-19</t>
  </si>
  <si>
    <t>нева инвест</t>
  </si>
  <si>
    <t>19931055089</t>
  </si>
  <si>
    <t>дог. 383-М47/05-19</t>
  </si>
  <si>
    <t xml:space="preserve">рег. 31.05 , выд. 10.06 </t>
  </si>
  <si>
    <t>дог. 427-М44/05-19</t>
  </si>
  <si>
    <t>…65309</t>
  </si>
  <si>
    <t>мебель в ОП ВО</t>
  </si>
  <si>
    <t>10167, 10301, 10378, 10302, 10303, 10504</t>
  </si>
  <si>
    <t>тр1856770020</t>
  </si>
  <si>
    <t>1823</t>
  </si>
  <si>
    <t>СР ОТ медосмотр 14чел</t>
  </si>
  <si>
    <t>частями будет уходить</t>
  </si>
  <si>
    <t>пост. 2646</t>
  </si>
  <si>
    <t>пост. 2628</t>
  </si>
  <si>
    <t>сч411.1-06/19</t>
  </si>
  <si>
    <t>Кондратков М.В.</t>
  </si>
  <si>
    <t>возврат пиб 173в-03-03-15 (АСС)</t>
  </si>
  <si>
    <t>958</t>
  </si>
  <si>
    <t>442</t>
  </si>
  <si>
    <t>1С: Битрикс льготное продление</t>
  </si>
  <si>
    <t>190529-986</t>
  </si>
  <si>
    <t>190529-985</t>
  </si>
  <si>
    <t>страна.суперТВ</t>
  </si>
  <si>
    <t>190529-973</t>
  </si>
  <si>
    <t>190529-972</t>
  </si>
  <si>
    <t>190529-971</t>
  </si>
  <si>
    <t>190529-970</t>
  </si>
  <si>
    <t>190529-965</t>
  </si>
  <si>
    <t>GPMD, VideoNetwork</t>
  </si>
  <si>
    <t>10-23июн</t>
  </si>
  <si>
    <t>яндекс.аукцион видео</t>
  </si>
  <si>
    <t>1100</t>
  </si>
  <si>
    <t>1134</t>
  </si>
  <si>
    <t>05-30.июн</t>
  </si>
  <si>
    <t>1906108</t>
  </si>
  <si>
    <t>новосистем (ростелеком)</t>
  </si>
  <si>
    <t>…9750</t>
  </si>
  <si>
    <t>65615</t>
  </si>
  <si>
    <t>190006802</t>
  </si>
  <si>
    <t>2856</t>
  </si>
  <si>
    <t>2857</t>
  </si>
  <si>
    <t>1917</t>
  </si>
  <si>
    <t>буклет Йога</t>
  </si>
  <si>
    <t>2583</t>
  </si>
  <si>
    <t>вып. Нед.20-23</t>
  </si>
  <si>
    <t>каталог А3</t>
  </si>
  <si>
    <t>итальян., англ.</t>
  </si>
  <si>
    <t>высоковольтные испытания 3 КЛ 10кВ</t>
  </si>
  <si>
    <t>168018</t>
  </si>
  <si>
    <t>АДМ замена SSD 6шт</t>
  </si>
  <si>
    <t>168022</t>
  </si>
  <si>
    <t>АДМ ПК Жанна</t>
  </si>
  <si>
    <t>167937</t>
  </si>
  <si>
    <t xml:space="preserve"> телефон ОП невский ПК Жанна</t>
  </si>
  <si>
    <t>167936</t>
  </si>
  <si>
    <t>АДМ ж.диск 14ТВ для арх.хранения</t>
  </si>
  <si>
    <t>измерительные технологии</t>
  </si>
  <si>
    <t>1944</t>
  </si>
  <si>
    <t>калибровка склерометра</t>
  </si>
  <si>
    <t>дог. П-454.Э</t>
  </si>
  <si>
    <t>рассм.паспортов с-м тепл. и итп</t>
  </si>
  <si>
    <t>аверус</t>
  </si>
  <si>
    <t>электронный склерометр</t>
  </si>
  <si>
    <t>семинар Нижмак</t>
  </si>
  <si>
    <t>4138998497</t>
  </si>
  <si>
    <t>19/05/43</t>
  </si>
  <si>
    <t>автокран 250тн</t>
  </si>
  <si>
    <t>реновация</t>
  </si>
  <si>
    <t>стекло-триплекс</t>
  </si>
  <si>
    <t>атлантис</t>
  </si>
  <si>
    <t>40-073959956</t>
  </si>
  <si>
    <t>поставка Консультант Бухгалтер</t>
  </si>
  <si>
    <t>5570</t>
  </si>
  <si>
    <t>масло, смазка</t>
  </si>
  <si>
    <t>таблички 2шт</t>
  </si>
  <si>
    <t>табличка</t>
  </si>
  <si>
    <t>выполнено</t>
  </si>
  <si>
    <t>штамп 2шт</t>
  </si>
  <si>
    <t>дог 334/19-ДКР</t>
  </si>
  <si>
    <t>7202</t>
  </si>
  <si>
    <t>фанера лам. 660листов</t>
  </si>
  <si>
    <t>99708</t>
  </si>
  <si>
    <t>профи</t>
  </si>
  <si>
    <t>таблички 60шт на кран</t>
  </si>
  <si>
    <t>ип миних е.в.</t>
  </si>
  <si>
    <t>емкость куб новая</t>
  </si>
  <si>
    <t>1041</t>
  </si>
  <si>
    <t>бадья для бетона</t>
  </si>
  <si>
    <t>УМ-1</t>
  </si>
  <si>
    <t>дог. 19</t>
  </si>
  <si>
    <t>баш.кран</t>
  </si>
  <si>
    <t>сч.118</t>
  </si>
  <si>
    <t>баш.кран (доставка, монтаж, пути)</t>
  </si>
  <si>
    <t>волна за бригантина</t>
  </si>
  <si>
    <t>ленмонтаж за лид-88</t>
  </si>
  <si>
    <t>017/…4305</t>
  </si>
  <si>
    <t>дог. 149/14-4</t>
  </si>
  <si>
    <t>ост.дог. 3</t>
  </si>
  <si>
    <t>365</t>
  </si>
  <si>
    <t>2832</t>
  </si>
  <si>
    <t>2833</t>
  </si>
  <si>
    <t>2834</t>
  </si>
  <si>
    <t>2835</t>
  </si>
  <si>
    <t>2836</t>
  </si>
  <si>
    <t>2837</t>
  </si>
  <si>
    <t>акт 2338</t>
  </si>
  <si>
    <t>2840</t>
  </si>
  <si>
    <t>2842</t>
  </si>
  <si>
    <t>2899</t>
  </si>
  <si>
    <t>2890</t>
  </si>
  <si>
    <t>2891</t>
  </si>
  <si>
    <t>2892</t>
  </si>
  <si>
    <t>2893</t>
  </si>
  <si>
    <t>2894</t>
  </si>
  <si>
    <t>2897</t>
  </si>
  <si>
    <t>2901</t>
  </si>
  <si>
    <t>5/15/15</t>
  </si>
  <si>
    <t>5/17/05</t>
  </si>
  <si>
    <t>5/18/04</t>
  </si>
  <si>
    <t>5/20/03</t>
  </si>
  <si>
    <t>5/20/04</t>
  </si>
  <si>
    <t>автокран 100т</t>
  </si>
  <si>
    <t>5/21/04</t>
  </si>
  <si>
    <t>5/24/08</t>
  </si>
  <si>
    <t>5/29/04</t>
  </si>
  <si>
    <t>5/29/05</t>
  </si>
  <si>
    <t>5/30/05</t>
  </si>
  <si>
    <t>5/30/04</t>
  </si>
  <si>
    <t>5/30/06</t>
  </si>
  <si>
    <t>5/31/10</t>
  </si>
  <si>
    <t>5/31/09</t>
  </si>
  <si>
    <t>5/31/15</t>
  </si>
  <si>
    <t>5/31/14</t>
  </si>
  <si>
    <t>5/31/16</t>
  </si>
  <si>
    <t>ямобур</t>
  </si>
  <si>
    <t>ЛРМ78</t>
  </si>
  <si>
    <t>ТО и ремонт лебедок 4шт</t>
  </si>
  <si>
    <t>ТО и ремонт лебедок 2шт</t>
  </si>
  <si>
    <t>853</t>
  </si>
  <si>
    <t>894</t>
  </si>
  <si>
    <t>4548</t>
  </si>
  <si>
    <t>7378</t>
  </si>
  <si>
    <t>18883</t>
  </si>
  <si>
    <t>18884</t>
  </si>
  <si>
    <t>18887</t>
  </si>
  <si>
    <t>18888</t>
  </si>
  <si>
    <t>1607</t>
  </si>
  <si>
    <t>1624</t>
  </si>
  <si>
    <t>1625</t>
  </si>
  <si>
    <t>7032</t>
  </si>
  <si>
    <t>арм. 10,12,16,20</t>
  </si>
  <si>
    <t>1903</t>
  </si>
  <si>
    <t>труба, шина, прожектор</t>
  </si>
  <si>
    <t>794</t>
  </si>
  <si>
    <t>7229</t>
  </si>
  <si>
    <t>65243</t>
  </si>
  <si>
    <t>цемент, клей</t>
  </si>
  <si>
    <t>192079</t>
  </si>
  <si>
    <t>296238</t>
  </si>
  <si>
    <t>потолки</t>
  </si>
  <si>
    <t>4428</t>
  </si>
  <si>
    <t>193278</t>
  </si>
  <si>
    <t>профиль, гипсокартон, перчатки..</t>
  </si>
  <si>
    <t>304259</t>
  </si>
  <si>
    <t>4427</t>
  </si>
  <si>
    <t>подвес</t>
  </si>
  <si>
    <t>3318</t>
  </si>
  <si>
    <t>29624</t>
  </si>
  <si>
    <t>ЦСП</t>
  </si>
  <si>
    <t>29703</t>
  </si>
  <si>
    <t>29519</t>
  </si>
  <si>
    <t>дюбель, саморез, пленка..</t>
  </si>
  <si>
    <t>29860</t>
  </si>
  <si>
    <t>дюбель-гвоздь</t>
  </si>
  <si>
    <t>30094</t>
  </si>
  <si>
    <t>320</t>
  </si>
  <si>
    <t>аэратор, труба, воронка</t>
  </si>
  <si>
    <t>27835</t>
  </si>
  <si>
    <t>дюбель, анкер, лента</t>
  </si>
  <si>
    <t>27837</t>
  </si>
  <si>
    <t>к-т для инжекции, анкер</t>
  </si>
  <si>
    <t>сетка арм.</t>
  </si>
  <si>
    <t>пленка, мешок, провод..</t>
  </si>
  <si>
    <t>круг, перчатки, патрон…</t>
  </si>
  <si>
    <t>31/05-4</t>
  </si>
  <si>
    <t>31/05-7</t>
  </si>
  <si>
    <t>03/06-3</t>
  </si>
  <si>
    <t>03/06-4</t>
  </si>
  <si>
    <t>03/06-5</t>
  </si>
  <si>
    <t>05/06-1</t>
  </si>
  <si>
    <t>06/06-1</t>
  </si>
  <si>
    <t>06/06-2</t>
  </si>
  <si>
    <t>13290</t>
  </si>
  <si>
    <t>13328</t>
  </si>
  <si>
    <t>13305</t>
  </si>
  <si>
    <t>13672</t>
  </si>
  <si>
    <t>13673</t>
  </si>
  <si>
    <t>13670</t>
  </si>
  <si>
    <t>12349/10725/1906</t>
  </si>
  <si>
    <t>12352/13334/1906</t>
  </si>
  <si>
    <t>12356/18705/1906</t>
  </si>
  <si>
    <t>433, 434</t>
  </si>
  <si>
    <t>435, 436</t>
  </si>
  <si>
    <t>437, 438</t>
  </si>
  <si>
    <t>748</t>
  </si>
  <si>
    <t>749</t>
  </si>
  <si>
    <t>19931054754</t>
  </si>
  <si>
    <t>обслуживание 12мес доплата</t>
  </si>
  <si>
    <t>дог. 126-МГ/06-19</t>
  </si>
  <si>
    <t>313205018796</t>
  </si>
  <si>
    <t>1285</t>
  </si>
  <si>
    <t>ПИК</t>
  </si>
  <si>
    <t>ОТ ОТ 2 сваебоя</t>
  </si>
  <si>
    <t>ящик каменщика 10шт</t>
  </si>
  <si>
    <t>3953</t>
  </si>
  <si>
    <t>65202/05/2019</t>
  </si>
  <si>
    <t>сч.43</t>
  </si>
  <si>
    <t>1911</t>
  </si>
  <si>
    <t>786</t>
  </si>
  <si>
    <t>АДМ картридж ГЕОД</t>
  </si>
  <si>
    <t>Камкова О.И.</t>
  </si>
  <si>
    <t>возврат переплаты 19а-ВИТ1/05-15Г</t>
  </si>
  <si>
    <t>1900839</t>
  </si>
  <si>
    <t>ОТ обучение 19шт</t>
  </si>
  <si>
    <t>341</t>
  </si>
  <si>
    <t>табличка (схема движения)</t>
  </si>
  <si>
    <t>ОТ ОТ 4чел</t>
  </si>
  <si>
    <t>337421661</t>
  </si>
  <si>
    <t>подписка на 2020г</t>
  </si>
  <si>
    <t>ОТ высота 17+6чел сваебои</t>
  </si>
  <si>
    <t>137801/6</t>
  </si>
  <si>
    <t>аренда ГП майц</t>
  </si>
  <si>
    <t>415212567/4604650</t>
  </si>
  <si>
    <t>диски</t>
  </si>
  <si>
    <t>чоу до уц базис</t>
  </si>
  <si>
    <t>19/466-т</t>
  </si>
  <si>
    <t>велком медиа</t>
  </si>
  <si>
    <t>обновление для промо-сайта</t>
  </si>
  <si>
    <t>ип кофтуняк л.и.</t>
  </si>
  <si>
    <t>1591</t>
  </si>
  <si>
    <t>мебель в ОП 701</t>
  </si>
  <si>
    <t>10504 остался</t>
  </si>
  <si>
    <t>9983, 10042, 10220</t>
  </si>
  <si>
    <t>22-28.05</t>
  </si>
  <si>
    <t>возврат переплаты 133б-СВ/12-14Г</t>
  </si>
  <si>
    <t>Кузенков А.Д.</t>
  </si>
  <si>
    <t>Кузенкова Н.П.</t>
  </si>
  <si>
    <t>возврат переплаты 105б-СВ/12-14Г</t>
  </si>
  <si>
    <t>191286/20</t>
  </si>
  <si>
    <t>тр290005</t>
  </si>
  <si>
    <t>тр300005</t>
  </si>
  <si>
    <t>313005018467</t>
  </si>
  <si>
    <t>313005018413</t>
  </si>
  <si>
    <t>130005119750</t>
  </si>
  <si>
    <t>130005119720</t>
  </si>
  <si>
    <t>302005047879</t>
  </si>
  <si>
    <t>302005048286</t>
  </si>
  <si>
    <t>347005055241</t>
  </si>
  <si>
    <t>347005055518</t>
  </si>
  <si>
    <t>131005023853</t>
  </si>
  <si>
    <t>131005023761</t>
  </si>
  <si>
    <t>1241</t>
  </si>
  <si>
    <t>ЛОЭСК</t>
  </si>
  <si>
    <t>тех.подключение к эл.сетям</t>
  </si>
  <si>
    <t>1633</t>
  </si>
  <si>
    <t>емкость куб новая 3шт</t>
  </si>
  <si>
    <t>1635</t>
  </si>
  <si>
    <t>емкость куб 3шт</t>
  </si>
  <si>
    <t>партия 2</t>
  </si>
  <si>
    <t>в зачет ?</t>
  </si>
  <si>
    <t>долг 1</t>
  </si>
  <si>
    <t>альтаир</t>
  </si>
  <si>
    <t>эл/м</t>
  </si>
  <si>
    <t>сч527</t>
  </si>
  <si>
    <t>сч534</t>
  </si>
  <si>
    <t>сч526</t>
  </si>
  <si>
    <t>сч506</t>
  </si>
  <si>
    <t>сч533</t>
  </si>
  <si>
    <t>сч507</t>
  </si>
  <si>
    <t>сч505</t>
  </si>
  <si>
    <t>сч45</t>
  </si>
  <si>
    <t>ип дакуко а.а.</t>
  </si>
  <si>
    <t>8445</t>
  </si>
  <si>
    <t>мебель ОП</t>
  </si>
  <si>
    <t>766</t>
  </si>
  <si>
    <t>ЛСУ</t>
  </si>
  <si>
    <t>41-БУ/04-18</t>
  </si>
  <si>
    <t>сч515</t>
  </si>
  <si>
    <t>сч531</t>
  </si>
  <si>
    <t>сч532</t>
  </si>
  <si>
    <t>сч525</t>
  </si>
  <si>
    <t>сч504</t>
  </si>
  <si>
    <t>тр 3123640049</t>
  </si>
  <si>
    <t>тр 3124790048</t>
  </si>
  <si>
    <t>ГЕОД рюкзак для приборов</t>
  </si>
  <si>
    <t>сбер</t>
  </si>
  <si>
    <t>2175</t>
  </si>
  <si>
    <t>аренда бензорезчика 07-17.06</t>
  </si>
  <si>
    <t>рег. С-З межотрасл. аттестац.центр</t>
  </si>
  <si>
    <t>0489/06-св</t>
  </si>
  <si>
    <t>подготовка, атт-ция сварщик сваебой</t>
  </si>
  <si>
    <t>Белышева Ю.В.</t>
  </si>
  <si>
    <t>расторжение дду 52ю-МАГ/12-18Н</t>
  </si>
  <si>
    <t>Ермакова Н.В.</t>
  </si>
  <si>
    <t>расторжение дду 3к-АЭР42/10-18г</t>
  </si>
  <si>
    <t>акт Казымов</t>
  </si>
  <si>
    <t>открытие</t>
  </si>
  <si>
    <t>17-23.06</t>
  </si>
  <si>
    <t>неваД к.5</t>
  </si>
  <si>
    <t>неваД водосточка</t>
  </si>
  <si>
    <t>нужен скорректированный счет</t>
  </si>
  <si>
    <t>уфк по СПб (ФБУ ТФГИ по СЗФО)</t>
  </si>
  <si>
    <t>предоставление справочной инф-ции из фонда недр</t>
  </si>
  <si>
    <t>151, 152</t>
  </si>
  <si>
    <t>1993917463</t>
  </si>
  <si>
    <t>дог 114-ТК/07-15</t>
  </si>
  <si>
    <t>восстановит.ст-ть зел.насажд.</t>
  </si>
  <si>
    <t>504</t>
  </si>
  <si>
    <t>резерв оплачен</t>
  </si>
  <si>
    <t>паримар</t>
  </si>
  <si>
    <t>ндс 25.06</t>
  </si>
  <si>
    <t>Ковалева Н.А.</t>
  </si>
  <si>
    <t>возврат переплаты 189б-БАЛ/03-17Г</t>
  </si>
  <si>
    <t>Черкасская Д.С.</t>
  </si>
  <si>
    <t>возврат по ДОУ 22с-МАГ</t>
  </si>
  <si>
    <t>возврат по ДОУ 23с-МАГ</t>
  </si>
  <si>
    <t>3842</t>
  </si>
  <si>
    <t>стропы, крюк, звено, талреп</t>
  </si>
  <si>
    <t>инкор тсрахование</t>
  </si>
  <si>
    <t>7007</t>
  </si>
  <si>
    <t>страховая премия</t>
  </si>
  <si>
    <t>53002</t>
  </si>
  <si>
    <t>энергетик</t>
  </si>
  <si>
    <t>резистор, реле, клеммн.коробка и тд</t>
  </si>
  <si>
    <t>дог. 92-БУ/06-19</t>
  </si>
  <si>
    <t>день откр.дверей 30.06</t>
  </si>
  <si>
    <t>Тореза</t>
  </si>
  <si>
    <t>11064, 11298, 11127, 11299, 11300, 11301, 11302</t>
  </si>
  <si>
    <t>03-13.06</t>
  </si>
  <si>
    <t>дог. 90-БУ/06-19</t>
  </si>
  <si>
    <t>смр ворота, шлагбаум</t>
  </si>
  <si>
    <t>1128</t>
  </si>
  <si>
    <t>1127</t>
  </si>
  <si>
    <t>тр 570173</t>
  </si>
  <si>
    <t>ВС 01-15.06</t>
  </si>
  <si>
    <t>ук лидер мурино за лид-89</t>
  </si>
  <si>
    <t>про принт</t>
  </si>
  <si>
    <t>плакат А2</t>
  </si>
  <si>
    <t>3364</t>
  </si>
  <si>
    <t>пр-во плаката</t>
  </si>
  <si>
    <t>ютис</t>
  </si>
  <si>
    <t>фасадная вывеска ОП Мурино</t>
  </si>
  <si>
    <t>2508</t>
  </si>
  <si>
    <t>буклет 3кита</t>
  </si>
  <si>
    <t>08-19июл</t>
  </si>
  <si>
    <t>14642</t>
  </si>
  <si>
    <t>сертификаты Балканы</t>
  </si>
  <si>
    <t>23-01240-19</t>
  </si>
  <si>
    <t>64178</t>
  </si>
  <si>
    <t>соглас.вывески ОП Мурино</t>
  </si>
  <si>
    <t>зонты 130шт</t>
  </si>
  <si>
    <t>дефо-спб</t>
  </si>
  <si>
    <t>мебель ОП 701</t>
  </si>
  <si>
    <t>БСБ Банк</t>
  </si>
  <si>
    <t>дог СГ/Л/01</t>
  </si>
  <si>
    <t>АНО Помощь бездомным собакам</t>
  </si>
  <si>
    <t>360</t>
  </si>
  <si>
    <t>984</t>
  </si>
  <si>
    <t>Арелим</t>
  </si>
  <si>
    <t>мини-кран</t>
  </si>
  <si>
    <t>2937</t>
  </si>
  <si>
    <t>2938</t>
  </si>
  <si>
    <t>2939</t>
  </si>
  <si>
    <t>2940</t>
  </si>
  <si>
    <t>2941</t>
  </si>
  <si>
    <t>3/ср</t>
  </si>
  <si>
    <t>…/08</t>
  </si>
  <si>
    <t>491</t>
  </si>
  <si>
    <t>492</t>
  </si>
  <si>
    <t>балканы, ПС 45</t>
  </si>
  <si>
    <t>самосвал, экскаватор-погрузчик</t>
  </si>
  <si>
    <t>мини-погрузчик, экск.-погрузчик</t>
  </si>
  <si>
    <t>154</t>
  </si>
  <si>
    <t>8721/01</t>
  </si>
  <si>
    <t>8766/01</t>
  </si>
  <si>
    <t>1051635</t>
  </si>
  <si>
    <t>1067795</t>
  </si>
  <si>
    <t>313165</t>
  </si>
  <si>
    <t>324680</t>
  </si>
  <si>
    <t>1783/1</t>
  </si>
  <si>
    <t>1807/1</t>
  </si>
  <si>
    <t>1892/1</t>
  </si>
  <si>
    <t>труба, уголок, отвод</t>
  </si>
  <si>
    <t>1904/1</t>
  </si>
  <si>
    <t>1958/1</t>
  </si>
  <si>
    <t>1957/1</t>
  </si>
  <si>
    <t>закл.деталь, арм. 6,8</t>
  </si>
  <si>
    <t xml:space="preserve">йога </t>
  </si>
  <si>
    <t>1947/1</t>
  </si>
  <si>
    <t>деталь</t>
  </si>
  <si>
    <t>2037/1</t>
  </si>
  <si>
    <t>2045/1</t>
  </si>
  <si>
    <t>швеллер, уголок, труба</t>
  </si>
  <si>
    <t>2054/1</t>
  </si>
  <si>
    <t>2055/1</t>
  </si>
  <si>
    <t>2115/1</t>
  </si>
  <si>
    <t>1948/1</t>
  </si>
  <si>
    <t>2181/1</t>
  </si>
  <si>
    <t>1949/1</t>
  </si>
  <si>
    <t>1952/1</t>
  </si>
  <si>
    <t>2249/1</t>
  </si>
  <si>
    <t>1950/1</t>
  </si>
  <si>
    <t>2297/1</t>
  </si>
  <si>
    <t>18885</t>
  </si>
  <si>
    <t>арм. 8,10, проволока</t>
  </si>
  <si>
    <t>1644</t>
  </si>
  <si>
    <t>1645</t>
  </si>
  <si>
    <t>1663</t>
  </si>
  <si>
    <t>1664</t>
  </si>
  <si>
    <t>1742</t>
  </si>
  <si>
    <t>10716</t>
  </si>
  <si>
    <t>1543</t>
  </si>
  <si>
    <t>лист, уголок</t>
  </si>
  <si>
    <t>14950</t>
  </si>
  <si>
    <t>арм. 8,12,16</t>
  </si>
  <si>
    <t>14949</t>
  </si>
  <si>
    <t>7320</t>
  </si>
  <si>
    <t>7346</t>
  </si>
  <si>
    <t>7385</t>
  </si>
  <si>
    <t>арм. 10,12,20, проволока</t>
  </si>
  <si>
    <t>7386</t>
  </si>
  <si>
    <t>6895</t>
  </si>
  <si>
    <t>арм. 8,12,22</t>
  </si>
  <si>
    <t>7085</t>
  </si>
  <si>
    <t>арм.12,16,20</t>
  </si>
  <si>
    <t>14450</t>
  </si>
  <si>
    <t>арм. 8,12,20,25,28,32</t>
  </si>
  <si>
    <t>551</t>
  </si>
  <si>
    <t>2022</t>
  </si>
  <si>
    <t>кабель, выкл., УЗО…</t>
  </si>
  <si>
    <t>2025</t>
  </si>
  <si>
    <t>бирка, стяжка, труба..</t>
  </si>
  <si>
    <t>2026</t>
  </si>
  <si>
    <t>щуп, реле, провод..</t>
  </si>
  <si>
    <t>2064</t>
  </si>
  <si>
    <t>дюбель, наконечник, труба..</t>
  </si>
  <si>
    <t>2096</t>
  </si>
  <si>
    <t>прожектор</t>
  </si>
  <si>
    <t>вилка, кабель, эмульсол</t>
  </si>
  <si>
    <t>836</t>
  </si>
  <si>
    <t>2215</t>
  </si>
  <si>
    <t>7771</t>
  </si>
  <si>
    <t>7766</t>
  </si>
  <si>
    <t>8022</t>
  </si>
  <si>
    <t>314602</t>
  </si>
  <si>
    <t>линолеум, мешок, профиль…</t>
  </si>
  <si>
    <t>324923</t>
  </si>
  <si>
    <t>ремсостав, клей для ЭПП</t>
  </si>
  <si>
    <t>1648885</t>
  </si>
  <si>
    <t>клей, валик, тачка..</t>
  </si>
  <si>
    <t>211761</t>
  </si>
  <si>
    <t>профиль, респиратор, сетка..</t>
  </si>
  <si>
    <t>эл.двигатель, вал, вибронаконечник</t>
  </si>
  <si>
    <t>3486</t>
  </si>
  <si>
    <t>3487</t>
  </si>
  <si>
    <t>29884</t>
  </si>
  <si>
    <t>поручень ПВХ</t>
  </si>
  <si>
    <t>30101</t>
  </si>
  <si>
    <t>31976</t>
  </si>
  <si>
    <t>уайт-спирит, геотекстиль</t>
  </si>
  <si>
    <t>31979</t>
  </si>
  <si>
    <t>парок</t>
  </si>
  <si>
    <t>3202</t>
  </si>
  <si>
    <t>3186</t>
  </si>
  <si>
    <t>сетка, изолента, бита..</t>
  </si>
  <si>
    <t>замок, круг, электрод…</t>
  </si>
  <si>
    <t>профиль, сетка, замок..</t>
  </si>
  <si>
    <t>29094</t>
  </si>
  <si>
    <t>нож, лезвия, круг…</t>
  </si>
  <si>
    <t>молоток, пика, долото..</t>
  </si>
  <si>
    <t>сетка, диск, лопата..</t>
  </si>
  <si>
    <t>щетка, саморез, рулетка..</t>
  </si>
  <si>
    <t>1889</t>
  </si>
  <si>
    <t>1929</t>
  </si>
  <si>
    <t>13899</t>
  </si>
  <si>
    <t>14061</t>
  </si>
  <si>
    <t>14184</t>
  </si>
  <si>
    <t>14391</t>
  </si>
  <si>
    <t>14563</t>
  </si>
  <si>
    <t>электрод</t>
  </si>
  <si>
    <t>оценка строительной готовности</t>
  </si>
  <si>
    <t>спонс.помощь</t>
  </si>
  <si>
    <t>комитет по благоустройству</t>
  </si>
  <si>
    <t>ферронордик машины</t>
  </si>
  <si>
    <t>тд инстрой</t>
  </si>
  <si>
    <t>электроды, маска, краги</t>
  </si>
  <si>
    <t>104/3502496-123-321</t>
  </si>
  <si>
    <t>104/3502496-123-123</t>
  </si>
  <si>
    <t>втулка концевая</t>
  </si>
  <si>
    <t>труба, коробка, заглушка</t>
  </si>
  <si>
    <t>104/3503103</t>
  </si>
  <si>
    <t>стройподряд отделка</t>
  </si>
  <si>
    <t>рег. 11.06, выд. 19.06</t>
  </si>
  <si>
    <t>строительный центр № 28</t>
  </si>
  <si>
    <t>мех.испытания сварных соединений</t>
  </si>
  <si>
    <t>продление отчетность 1С: на год</t>
  </si>
  <si>
    <t>лифты</t>
  </si>
  <si>
    <t>РС</t>
  </si>
  <si>
    <t>итп</t>
  </si>
  <si>
    <t>газ</t>
  </si>
  <si>
    <t>7291</t>
  </si>
  <si>
    <t>6897</t>
  </si>
  <si>
    <t>6575</t>
  </si>
  <si>
    <t>6370</t>
  </si>
  <si>
    <t>7279</t>
  </si>
  <si>
    <t>6927</t>
  </si>
  <si>
    <t>ип лачынов р.ш.</t>
  </si>
  <si>
    <t>ИНО конс-ции по мед/осмотрау</t>
  </si>
  <si>
    <t>1089</t>
  </si>
  <si>
    <t>ящик каменщика 4шт</t>
  </si>
  <si>
    <t>1305</t>
  </si>
  <si>
    <t>дог. 94-Б3/06-19</t>
  </si>
  <si>
    <t>сч549</t>
  </si>
  <si>
    <t>сч547</t>
  </si>
  <si>
    <t>348</t>
  </si>
  <si>
    <t>1993967542</t>
  </si>
  <si>
    <t>1993917299</t>
  </si>
  <si>
    <t>1993917150</t>
  </si>
  <si>
    <t>нева (…9089)</t>
  </si>
  <si>
    <t>оценка рисков</t>
  </si>
  <si>
    <t>шушары 2974</t>
  </si>
  <si>
    <t>дог. 65-19</t>
  </si>
  <si>
    <t>сч120</t>
  </si>
  <si>
    <t>14дн с поставки</t>
  </si>
  <si>
    <t>универс.огражд.устройство</t>
  </si>
  <si>
    <t>280/бв</t>
  </si>
  <si>
    <t>балка, тренога, унивилка, подкос, щиты (опалубка)</t>
  </si>
  <si>
    <t>дог. 385-КН/06-19</t>
  </si>
  <si>
    <t>переходные мостики</t>
  </si>
  <si>
    <t>смр двери моп и кв. к.1, 2</t>
  </si>
  <si>
    <t>дог. 435-М48/05-19</t>
  </si>
  <si>
    <t>дог. 430-М48/05-19</t>
  </si>
  <si>
    <t>смр двери моп к.3</t>
  </si>
  <si>
    <t>сч.127</t>
  </si>
  <si>
    <t>дог. 60-19</t>
  </si>
  <si>
    <t>сч115</t>
  </si>
  <si>
    <t>рег. 14.06, выд. 20.06</t>
  </si>
  <si>
    <t>вода 19шт 10шт</t>
  </si>
  <si>
    <t>2331, 2340</t>
  </si>
  <si>
    <t>787</t>
  </si>
  <si>
    <t>563</t>
  </si>
  <si>
    <t>жск цветочн</t>
  </si>
  <si>
    <t>дог ТП1-ЦВ/Ш-2018-3</t>
  </si>
  <si>
    <t>тепло.подключение к сетям</t>
  </si>
  <si>
    <t>1993940114</t>
  </si>
  <si>
    <t>меркурий</t>
  </si>
  <si>
    <t>1993940179</t>
  </si>
  <si>
    <t>фирма изотерм (за ПромСтройСервис)</t>
  </si>
  <si>
    <t>радиаторы, конвекторы по письму 410.24/05-2019</t>
  </si>
  <si>
    <t>сч.597, 601, 52, 54, 55</t>
  </si>
  <si>
    <t>019/0674</t>
  </si>
  <si>
    <t>3004</t>
  </si>
  <si>
    <t>ремонт эл.тахеометра, поверка</t>
  </si>
  <si>
    <t>2609</t>
  </si>
  <si>
    <t>эл.тахеометр поверенный iM-105</t>
  </si>
  <si>
    <t>элмех</t>
  </si>
  <si>
    <t>аренда ДЭС 5сут</t>
  </si>
  <si>
    <t>0014231/01</t>
  </si>
  <si>
    <t>ГАЗЕЛЬ патрубок, хомут, антифриз</t>
  </si>
  <si>
    <t>автосервис Юг</t>
  </si>
  <si>
    <t>ГАЗЕЛЬ генератор, поиск неиспарвности</t>
  </si>
  <si>
    <t>ГАЗЕЛЬ ремонт</t>
  </si>
  <si>
    <t>аванс стекло</t>
  </si>
  <si>
    <t>ок.расчет. Проверено</t>
  </si>
  <si>
    <t>управление гос.экспертизы ЛО</t>
  </si>
  <si>
    <t>1390</t>
  </si>
  <si>
    <t>повторная гос.экспертиза</t>
  </si>
  <si>
    <t>трафареты 17шт</t>
  </si>
  <si>
    <t>смр ИТП, УУТЭ к. 3-5</t>
  </si>
  <si>
    <t>смр ИТП, УУТЭ к. 1, 2</t>
  </si>
  <si>
    <t>дог. 95-БУ/06-19</t>
  </si>
  <si>
    <t>мурино 43 к.4</t>
  </si>
  <si>
    <t>дог. 425-М43/05-19</t>
  </si>
  <si>
    <t>дог 17-046/005-ПС-19</t>
  </si>
  <si>
    <t>дог. 81-ЦД/06-19</t>
  </si>
  <si>
    <t>24 - 30.06</t>
  </si>
  <si>
    <t>просрочено 6,9 срок - 2,5</t>
  </si>
  <si>
    <t>просрочено 15,3 срок - 7,7</t>
  </si>
  <si>
    <t>оплачено</t>
  </si>
  <si>
    <t>запланировано</t>
  </si>
  <si>
    <t>11569, 11661</t>
  </si>
  <si>
    <t>11-13.06</t>
  </si>
  <si>
    <t>сатурн</t>
  </si>
  <si>
    <t>1993917569</t>
  </si>
  <si>
    <t>бриз</t>
  </si>
  <si>
    <t>1993923593</t>
  </si>
  <si>
    <t>1993915839</t>
  </si>
  <si>
    <t>ариан</t>
  </si>
  <si>
    <t>89738/364378</t>
  </si>
  <si>
    <t>услуги по получению лицензии (коммуникац.услуги)</t>
  </si>
  <si>
    <t>госпошлина Арбитраж</t>
  </si>
  <si>
    <t>межрег.операционное УФК (Роскомнадзор)</t>
  </si>
  <si>
    <t>госпошлина за лицензию</t>
  </si>
  <si>
    <t>2372</t>
  </si>
  <si>
    <t>кпп 7811</t>
  </si>
  <si>
    <t>24-30.06</t>
  </si>
  <si>
    <t>стронег</t>
  </si>
  <si>
    <t>стк фаворит</t>
  </si>
  <si>
    <t>экскаватор с гидромолотом</t>
  </si>
  <si>
    <t>дог. 03/19-ПД</t>
  </si>
  <si>
    <t>дог. 43-19-ПР</t>
  </si>
  <si>
    <t>расчет пожарных рисков</t>
  </si>
  <si>
    <t>ост.бух.6,7</t>
  </si>
  <si>
    <t>центр инж.экспертиз</t>
  </si>
  <si>
    <t>1046</t>
  </si>
  <si>
    <t>739, 740</t>
  </si>
  <si>
    <t>чл.взносы май, июнь 2019</t>
  </si>
  <si>
    <t>услуги по дог СГ/06/01 от 19.06.19</t>
  </si>
  <si>
    <t>ИП Абрамов С.Ю.</t>
  </si>
  <si>
    <t>оценка строит.готовности</t>
  </si>
  <si>
    <t>пож.риски</t>
  </si>
  <si>
    <t>АйДиМ</t>
  </si>
  <si>
    <t>стекло</t>
  </si>
  <si>
    <t>балт.мех.</t>
  </si>
  <si>
    <t>мега плюс</t>
  </si>
  <si>
    <t>кровля</t>
  </si>
  <si>
    <t>2988</t>
  </si>
  <si>
    <t>1063</t>
  </si>
  <si>
    <t>испытания на гидравл.плотность ТС</t>
  </si>
  <si>
    <t>долг 1,0</t>
  </si>
  <si>
    <t>дог. 54-ВГ/08-16</t>
  </si>
  <si>
    <t>СМР генподряд</t>
  </si>
  <si>
    <t>опалубка</t>
  </si>
  <si>
    <t>Колумб</t>
  </si>
  <si>
    <t>ТУРОВ</t>
  </si>
  <si>
    <t>дог. 53-К2.3/04-19</t>
  </si>
  <si>
    <t>смр шлагбаум ШОУРУМ</t>
  </si>
  <si>
    <t>смр окна ШОУРУМ</t>
  </si>
  <si>
    <t>3704</t>
  </si>
  <si>
    <t>11864</t>
  </si>
  <si>
    <t>тяга опорного крепления</t>
  </si>
  <si>
    <t>айти серфинг</t>
  </si>
  <si>
    <t>1281</t>
  </si>
  <si>
    <t>заправка картриджей, замена барабана</t>
  </si>
  <si>
    <t>ав. 2</t>
  </si>
  <si>
    <t>долг 1.1</t>
  </si>
  <si>
    <t>ППР фундам. 4БКр</t>
  </si>
  <si>
    <t>мекуридо</t>
  </si>
  <si>
    <t>брынцев</t>
  </si>
  <si>
    <t>лгн аз бригантина</t>
  </si>
  <si>
    <t>503, 504</t>
  </si>
  <si>
    <t>1993917627</t>
  </si>
  <si>
    <t>янтарь за волна</t>
  </si>
  <si>
    <t>1025524/9940-3-18/4703</t>
  </si>
  <si>
    <t>рассм.паспорта систем теплопотребл.</t>
  </si>
  <si>
    <t>501, 502</t>
  </si>
  <si>
    <t>долг 147тр</t>
  </si>
  <si>
    <t>ип никаноров к.а.</t>
  </si>
  <si>
    <t>реклама в соц.сети</t>
  </si>
  <si>
    <t>проверка, экспертиза ДОУ</t>
  </si>
  <si>
    <t>фгбу сэу фпс ипл (испытат.пож. лаборатория)</t>
  </si>
  <si>
    <t>3292</t>
  </si>
  <si>
    <t>3293</t>
  </si>
  <si>
    <t>3295</t>
  </si>
  <si>
    <t>3296</t>
  </si>
  <si>
    <t>3300</t>
  </si>
  <si>
    <t>3301</t>
  </si>
  <si>
    <t>3302</t>
  </si>
  <si>
    <t>3303</t>
  </si>
  <si>
    <t>6/01/02</t>
  </si>
  <si>
    <t>6/01/03</t>
  </si>
  <si>
    <t>6/06/03</t>
  </si>
  <si>
    <t>6/15/04</t>
  </si>
  <si>
    <t>6/15/06</t>
  </si>
  <si>
    <t>533</t>
  </si>
  <si>
    <t>974</t>
  </si>
  <si>
    <t>1081</t>
  </si>
  <si>
    <t>1122</t>
  </si>
  <si>
    <t>6019</t>
  </si>
  <si>
    <t>ветошь, перчатки, масло</t>
  </si>
  <si>
    <t>6020</t>
  </si>
  <si>
    <t>дт 32000л</t>
  </si>
  <si>
    <t>6253831866</t>
  </si>
  <si>
    <t>эвакуатор. Газель</t>
  </si>
  <si>
    <t>31501</t>
  </si>
  <si>
    <t>камень, кирпич</t>
  </si>
  <si>
    <t>2238/1</t>
  </si>
  <si>
    <t>труба, полоса, пластина..</t>
  </si>
  <si>
    <t>1827</t>
  </si>
  <si>
    <t>11527</t>
  </si>
  <si>
    <t>1684</t>
  </si>
  <si>
    <t>1697</t>
  </si>
  <si>
    <t>15578</t>
  </si>
  <si>
    <t>16222</t>
  </si>
  <si>
    <t>16223</t>
  </si>
  <si>
    <t>7671</t>
  </si>
  <si>
    <t>8054</t>
  </si>
  <si>
    <t>арм. 6,20</t>
  </si>
  <si>
    <t>8001</t>
  </si>
  <si>
    <t>8010</t>
  </si>
  <si>
    <t>7233</t>
  </si>
  <si>
    <t>104/3502496-3004-0605</t>
  </si>
  <si>
    <t>104/3502496-1305</t>
  </si>
  <si>
    <t>заглушка, коробка</t>
  </si>
  <si>
    <t>104/3503042-1/104</t>
  </si>
  <si>
    <t>2345</t>
  </si>
  <si>
    <t>щетка, круг отр…</t>
  </si>
  <si>
    <t>2343</t>
  </si>
  <si>
    <t>8299</t>
  </si>
  <si>
    <t>8236</t>
  </si>
  <si>
    <t>66826</t>
  </si>
  <si>
    <t>клей, эмаль, кисть..</t>
  </si>
  <si>
    <t>67406</t>
  </si>
  <si>
    <t>10010</t>
  </si>
  <si>
    <t>215213</t>
  </si>
  <si>
    <t>215481</t>
  </si>
  <si>
    <t>пленка, тачка, грунт…</t>
  </si>
  <si>
    <t>1086697</t>
  </si>
  <si>
    <t>1654606</t>
  </si>
  <si>
    <t>саморез, дюбель, бур..</t>
  </si>
  <si>
    <t>321247</t>
  </si>
  <si>
    <t>потолки, саморез, пена..</t>
  </si>
  <si>
    <t>116279</t>
  </si>
  <si>
    <t>1096706</t>
  </si>
  <si>
    <t>152991</t>
  </si>
  <si>
    <t>перчатки, пленка, гипсокартон..</t>
  </si>
  <si>
    <t>люк, грунт, перчатки, саморезы..</t>
  </si>
  <si>
    <t>3807</t>
  </si>
  <si>
    <t>33264</t>
  </si>
  <si>
    <t>335</t>
  </si>
  <si>
    <t>лак, кисть, перчатки..</t>
  </si>
  <si>
    <t>кабель, батарейки</t>
  </si>
  <si>
    <t>рукав, насос, замок..</t>
  </si>
  <si>
    <t>сетка, рубильник, патрон..</t>
  </si>
  <si>
    <t>30138</t>
  </si>
  <si>
    <t>мешок, пленка, маркер..</t>
  </si>
  <si>
    <t>пленка, ведро, замок..</t>
  </si>
  <si>
    <t>щшнур, дюбель, пена..</t>
  </si>
  <si>
    <t>2028</t>
  </si>
  <si>
    <t>14927</t>
  </si>
  <si>
    <t>14880</t>
  </si>
  <si>
    <t>19062501</t>
  </si>
  <si>
    <t>17-21.06</t>
  </si>
  <si>
    <t>изменения в ППР</t>
  </si>
  <si>
    <t>1214</t>
  </si>
  <si>
    <t>дог 17-170/005-ПСФ-19</t>
  </si>
  <si>
    <t>10600</t>
  </si>
  <si>
    <t>долг 1,5</t>
  </si>
  <si>
    <t>дог. 93-БУ/03-19</t>
  </si>
  <si>
    <t>дог. 74-БУ/03-19</t>
  </si>
  <si>
    <t>ИНО</t>
  </si>
  <si>
    <t>11806, 11881, 11882, 11966, 11883, 11884, 12060</t>
  </si>
  <si>
    <t>25235086</t>
  </si>
  <si>
    <t>Старухина Е.С.</t>
  </si>
  <si>
    <t>компенсация электроэнергии корпус 2, кв.72</t>
  </si>
  <si>
    <t>сч.150</t>
  </si>
  <si>
    <t>баш.кран № 2 (доставка, монтаж, пути)</t>
  </si>
  <si>
    <t>дог. 399-ЛС/06-19</t>
  </si>
  <si>
    <t>дог. 397-ГДЦ/06-19</t>
  </si>
  <si>
    <t>смр вентиляция</t>
  </si>
  <si>
    <t>427-06/19</t>
  </si>
  <si>
    <t>Бурова О.Ю.</t>
  </si>
  <si>
    <t>возврат пиб 10а-БФ/07-16г</t>
  </si>
  <si>
    <t>12409006</t>
  </si>
  <si>
    <t>61803</t>
  </si>
  <si>
    <t>61902</t>
  </si>
  <si>
    <t>61002</t>
  </si>
  <si>
    <t>25230427</t>
  </si>
  <si>
    <t>кресло в 710 Тамаре</t>
  </si>
  <si>
    <t>долг 7,8</t>
  </si>
  <si>
    <t>долг</t>
  </si>
  <si>
    <t>12409003</t>
  </si>
  <si>
    <t>ППР подъемником</t>
  </si>
  <si>
    <t>долг 11,9</t>
  </si>
  <si>
    <t>долг 12</t>
  </si>
  <si>
    <t>смр двери все к.1</t>
  </si>
  <si>
    <t>дог. 433-М43/05-19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</si>
</sst>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dd/mm/yy;@"/>
    <numFmt numFmtId="167" formatCode="#,##0.00_р_.;[Red]#,##0.00_р_."/>
    <numFmt numFmtId="168" formatCode="#,##0.00\ _₽"/>
    <numFmt numFmtId="169" formatCode="#,##0.00\ _р_."/>
    <numFmt numFmtId="170" formatCode="#,##0.00;[Red]#,##0.00"/>
    <numFmt numFmtId="171" formatCode="#,##0.0"/>
    <numFmt numFmtId="172" formatCode="0000"/>
  </numFmts>
  <fonts count="2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"/>
      <family val="2"/>
      <charset val="204"/>
    </font>
    <font>
      <strike/>
      <sz val="1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</borders>
  <cellStyleXfs count="16">
    <xf numFmtId="0" fontId="0" fillId="0" borderId="0"/>
    <xf numFmtId="165" fontId="7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" fillId="0" borderId="0"/>
    <xf numFmtId="0" fontId="6" fillId="0" borderId="0"/>
    <xf numFmtId="164" fontId="20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>
      <alignment horizontal="left" vertical="center"/>
    </xf>
    <xf numFmtId="0" fontId="25" fillId="0" borderId="0"/>
  </cellStyleXfs>
  <cellXfs count="583">
    <xf numFmtId="0" fontId="0" fillId="0" borderId="0" xfId="0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4" fontId="10" fillId="0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4" fontId="11" fillId="2" borderId="3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166" fontId="10" fillId="0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4" fontId="10" fillId="0" borderId="4" xfId="0" applyNumberFormat="1" applyFont="1" applyBorder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4" fontId="11" fillId="0" borderId="0" xfId="0" applyNumberFormat="1" applyFont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vertical="center" wrapText="1"/>
    </xf>
    <xf numFmtId="49" fontId="11" fillId="0" borderId="2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 wrapText="1"/>
    </xf>
    <xf numFmtId="4" fontId="10" fillId="0" borderId="0" xfId="0" applyNumberFormat="1" applyFont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vertical="center" wrapText="1"/>
    </xf>
    <xf numFmtId="4" fontId="10" fillId="0" borderId="0" xfId="0" applyNumberFormat="1" applyFont="1" applyAlignment="1">
      <alignment vertical="center" wrapText="1"/>
    </xf>
    <xf numFmtId="4" fontId="10" fillId="0" borderId="0" xfId="0" applyNumberFormat="1" applyFont="1" applyFill="1" applyAlignment="1">
      <alignment vertical="center" wrapText="1"/>
    </xf>
    <xf numFmtId="4" fontId="10" fillId="0" borderId="2" xfId="0" applyNumberFormat="1" applyFont="1" applyBorder="1" applyAlignment="1">
      <alignment horizontal="center" vertical="center" wrapText="1"/>
    </xf>
    <xf numFmtId="167" fontId="10" fillId="0" borderId="2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166" fontId="10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6" fontId="10" fillId="0" borderId="2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166" fontId="11" fillId="0" borderId="2" xfId="0" applyNumberFormat="1" applyFont="1" applyFill="1" applyBorder="1" applyAlignment="1">
      <alignment horizontal="center" vertical="center" wrapText="1"/>
    </xf>
    <xf numFmtId="4" fontId="11" fillId="2" borderId="3" xfId="1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center" vertical="center" wrapText="1"/>
    </xf>
    <xf numFmtId="4" fontId="9" fillId="3" borderId="6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10" fillId="0" borderId="0" xfId="0" applyNumberFormat="1" applyFont="1" applyAlignment="1">
      <alignment vertical="center" wrapText="1"/>
    </xf>
    <xf numFmtId="0" fontId="10" fillId="0" borderId="0" xfId="0" applyFont="1" applyFill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/>
    </xf>
    <xf numFmtId="166" fontId="9" fillId="2" borderId="1" xfId="0" applyNumberFormat="1" applyFont="1" applyFill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 vertical="center" wrapText="1"/>
    </xf>
    <xf numFmtId="166" fontId="10" fillId="0" borderId="0" xfId="0" applyNumberFormat="1" applyFont="1" applyFill="1" applyAlignment="1">
      <alignment horizontal="center" vertical="center" wrapText="1"/>
    </xf>
    <xf numFmtId="167" fontId="11" fillId="0" borderId="3" xfId="0" applyNumberFormat="1" applyFont="1" applyFill="1" applyBorder="1" applyAlignment="1">
      <alignment horizontal="center" vertical="center" wrapText="1"/>
    </xf>
    <xf numFmtId="167" fontId="11" fillId="2" borderId="3" xfId="0" applyNumberFormat="1" applyFont="1" applyFill="1" applyBorder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 wrapText="1"/>
    </xf>
    <xf numFmtId="4" fontId="10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right" vertical="center"/>
    </xf>
    <xf numFmtId="166" fontId="13" fillId="2" borderId="1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center" vertical="center" wrapText="1"/>
    </xf>
    <xf numFmtId="4" fontId="10" fillId="0" borderId="0" xfId="0" applyNumberFormat="1" applyFont="1" applyFill="1" applyAlignment="1">
      <alignment horizontal="left" vertical="center"/>
    </xf>
    <xf numFmtId="4" fontId="11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vertical="center" wrapText="1"/>
    </xf>
    <xf numFmtId="4" fontId="10" fillId="0" borderId="0" xfId="0" applyNumberFormat="1" applyFont="1" applyFill="1" applyAlignment="1">
      <alignment horizontal="center" vertical="center"/>
    </xf>
    <xf numFmtId="4" fontId="9" fillId="0" borderId="7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left" vertical="center" wrapText="1"/>
    </xf>
    <xf numFmtId="0" fontId="10" fillId="4" borderId="2" xfId="0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66" fontId="10" fillId="4" borderId="2" xfId="0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7" fillId="0" borderId="0" xfId="0" applyFont="1" applyFill="1"/>
    <xf numFmtId="166" fontId="14" fillId="0" borderId="2" xfId="0" applyNumberFormat="1" applyFont="1" applyFill="1" applyBorder="1" applyAlignment="1">
      <alignment horizontal="center" vertical="center"/>
    </xf>
    <xf numFmtId="16" fontId="10" fillId="0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49" fontId="16" fillId="0" borderId="0" xfId="0" applyNumberFormat="1" applyFont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4" fontId="10" fillId="0" borderId="0" xfId="0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4" fontId="10" fillId="0" borderId="0" xfId="0" applyNumberFormat="1" applyFont="1" applyBorder="1" applyAlignment="1">
      <alignment horizontal="center" vertical="center" wrapText="1"/>
    </xf>
    <xf numFmtId="4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Fill="1" applyBorder="1"/>
    <xf numFmtId="0" fontId="10" fillId="0" borderId="8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167" fontId="18" fillId="0" borderId="2" xfId="0" applyNumberFormat="1" applyFont="1" applyFill="1" applyBorder="1" applyAlignment="1">
      <alignment horizontal="center" vertical="center" wrapText="1"/>
    </xf>
    <xf numFmtId="166" fontId="18" fillId="0" borderId="2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166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top" wrapText="1"/>
    </xf>
    <xf numFmtId="165" fontId="10" fillId="0" borderId="2" xfId="1" applyFont="1" applyFill="1" applyBorder="1" applyAlignment="1">
      <alignment horizontal="center" vertical="center" wrapText="1"/>
    </xf>
    <xf numFmtId="165" fontId="10" fillId="0" borderId="0" xfId="1" applyFont="1" applyFill="1" applyAlignment="1">
      <alignment vertical="center" wrapText="1"/>
    </xf>
    <xf numFmtId="165" fontId="10" fillId="0" borderId="0" xfId="1" applyFont="1" applyFill="1" applyAlignment="1">
      <alignment horizontal="center" vertical="center" wrapText="1"/>
    </xf>
    <xf numFmtId="4" fontId="11" fillId="3" borderId="6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0" fontId="13" fillId="0" borderId="2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4" fontId="13" fillId="0" borderId="0" xfId="0" applyNumberFormat="1" applyFont="1" applyFill="1" applyAlignment="1">
      <alignment horizontal="center" vertical="center" wrapText="1"/>
    </xf>
    <xf numFmtId="4" fontId="13" fillId="0" borderId="0" xfId="0" applyNumberFormat="1" applyFont="1" applyFill="1" applyAlignment="1">
      <alignment vertical="center" wrapText="1"/>
    </xf>
    <xf numFmtId="166" fontId="10" fillId="0" borderId="2" xfId="0" applyNumberFormat="1" applyFont="1" applyBorder="1" applyAlignment="1">
      <alignment vertical="center" wrapText="1"/>
    </xf>
    <xf numFmtId="49" fontId="10" fillId="0" borderId="2" xfId="0" applyNumberFormat="1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 wrapText="1"/>
    </xf>
    <xf numFmtId="16" fontId="10" fillId="0" borderId="0" xfId="0" applyNumberFormat="1" applyFont="1" applyFill="1" applyBorder="1" applyAlignment="1">
      <alignment horizontal="center" vertical="center"/>
    </xf>
    <xf numFmtId="166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4" fontId="10" fillId="0" borderId="0" xfId="0" applyNumberFormat="1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" fontId="10" fillId="0" borderId="0" xfId="0" applyNumberFormat="1" applyFont="1" applyFill="1" applyBorder="1" applyAlignment="1">
      <alignment vertical="center" wrapText="1"/>
    </xf>
    <xf numFmtId="166" fontId="10" fillId="0" borderId="0" xfId="0" applyNumberFormat="1" applyFont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1" fillId="0" borderId="0" xfId="0" applyNumberFormat="1" applyFont="1" applyAlignment="1">
      <alignment horizontal="center" vertical="top"/>
    </xf>
    <xf numFmtId="166" fontId="10" fillId="0" borderId="0" xfId="0" applyNumberFormat="1" applyFont="1" applyBorder="1" applyAlignment="1">
      <alignment vertical="center" wrapText="1"/>
    </xf>
    <xf numFmtId="49" fontId="10" fillId="0" borderId="3" xfId="0" applyNumberFormat="1" applyFont="1" applyFill="1" applyBorder="1" applyAlignment="1">
      <alignment horizontal="left" vertical="center" wrapText="1"/>
    </xf>
    <xf numFmtId="166" fontId="13" fillId="2" borderId="1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166" fontId="13" fillId="2" borderId="2" xfId="0" applyNumberFormat="1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4" fontId="11" fillId="2" borderId="2" xfId="2" applyNumberFormat="1" applyFont="1" applyFill="1" applyBorder="1" applyAlignment="1">
      <alignment horizontal="center" vertical="center" wrapText="1"/>
    </xf>
    <xf numFmtId="4" fontId="11" fillId="2" borderId="3" xfId="2" applyNumberFormat="1" applyFont="1" applyFill="1" applyBorder="1" applyAlignment="1">
      <alignment horizontal="center" vertical="center" wrapText="1"/>
    </xf>
    <xf numFmtId="0" fontId="10" fillId="0" borderId="2" xfId="3" applyFont="1" applyFill="1" applyBorder="1" applyAlignment="1">
      <alignment horizontal="center" vertical="center" wrapText="1"/>
    </xf>
    <xf numFmtId="166" fontId="10" fillId="0" borderId="2" xfId="3" applyNumberFormat="1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49" fontId="10" fillId="0" borderId="2" xfId="3" applyNumberFormat="1" applyFont="1" applyFill="1" applyBorder="1" applyAlignment="1">
      <alignment horizontal="center" vertical="center" wrapText="1"/>
    </xf>
    <xf numFmtId="166" fontId="10" fillId="0" borderId="2" xfId="3" applyNumberFormat="1" applyFont="1" applyFill="1" applyBorder="1" applyAlignment="1">
      <alignment horizontal="center" vertical="center"/>
    </xf>
    <xf numFmtId="0" fontId="10" fillId="0" borderId="0" xfId="3" applyFont="1" applyAlignment="1">
      <alignment vertical="center" wrapText="1"/>
    </xf>
    <xf numFmtId="4" fontId="10" fillId="0" borderId="0" xfId="3" applyNumberFormat="1" applyFont="1" applyAlignment="1">
      <alignment horizontal="center" vertical="center"/>
    </xf>
    <xf numFmtId="0" fontId="11" fillId="0" borderId="2" xfId="3" applyFont="1" applyFill="1" applyBorder="1" applyAlignment="1">
      <alignment horizontal="center" vertical="center" wrapText="1"/>
    </xf>
    <xf numFmtId="49" fontId="11" fillId="0" borderId="2" xfId="3" applyNumberFormat="1" applyFont="1" applyFill="1" applyBorder="1" applyAlignment="1">
      <alignment horizontal="center" vertical="center" wrapText="1"/>
    </xf>
    <xf numFmtId="0" fontId="11" fillId="0" borderId="2" xfId="3" applyNumberFormat="1" applyFont="1" applyFill="1" applyBorder="1" applyAlignment="1">
      <alignment horizontal="center" vertical="center" wrapText="1"/>
    </xf>
    <xf numFmtId="166" fontId="11" fillId="0" borderId="2" xfId="3" applyNumberFormat="1" applyFont="1" applyFill="1" applyBorder="1" applyAlignment="1">
      <alignment horizontal="center" vertical="center" wrapText="1"/>
    </xf>
    <xf numFmtId="4" fontId="10" fillId="0" borderId="2" xfId="3" applyNumberFormat="1" applyFont="1" applyFill="1" applyBorder="1" applyAlignment="1">
      <alignment horizontal="center" vertical="center"/>
    </xf>
    <xf numFmtId="0" fontId="10" fillId="0" borderId="0" xfId="3" applyFont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4" fontId="11" fillId="0" borderId="0" xfId="0" applyNumberFormat="1" applyFont="1" applyAlignment="1">
      <alignment horizontal="center" vertical="top"/>
    </xf>
    <xf numFmtId="166" fontId="10" fillId="0" borderId="2" xfId="3" applyNumberFormat="1" applyFont="1" applyFill="1" applyBorder="1" applyAlignment="1">
      <alignment horizontal="center" vertical="center" wrapText="1"/>
    </xf>
    <xf numFmtId="166" fontId="19" fillId="0" borderId="0" xfId="0" applyNumberFormat="1" applyFont="1" applyAlignment="1">
      <alignment horizontal="left" vertical="center"/>
    </xf>
    <xf numFmtId="4" fontId="10" fillId="0" borderId="0" xfId="0" applyNumberFormat="1" applyFont="1" applyFill="1" applyBorder="1" applyAlignment="1">
      <alignment vertical="center"/>
    </xf>
    <xf numFmtId="4" fontId="10" fillId="0" borderId="0" xfId="0" applyNumberFormat="1" applyFont="1" applyFill="1" applyAlignment="1">
      <alignment vertical="center"/>
    </xf>
    <xf numFmtId="0" fontId="10" fillId="0" borderId="0" xfId="3" applyFont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4" fontId="10" fillId="0" borderId="0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49" fontId="10" fillId="0" borderId="2" xfId="0" applyNumberFormat="1" applyFont="1" applyFill="1" applyBorder="1" applyAlignment="1">
      <alignment horizontal="left" vertical="center" wrapText="1"/>
    </xf>
    <xf numFmtId="166" fontId="10" fillId="0" borderId="0" xfId="3" applyNumberFormat="1" applyFont="1" applyAlignment="1">
      <alignment horizontal="center" vertical="center" wrapText="1"/>
    </xf>
    <xf numFmtId="4" fontId="10" fillId="0" borderId="0" xfId="3" applyNumberFormat="1" applyFont="1" applyAlignment="1">
      <alignment horizontal="center" vertical="center" wrapText="1"/>
    </xf>
    <xf numFmtId="0" fontId="9" fillId="0" borderId="0" xfId="3" applyFont="1" applyAlignment="1">
      <alignment horizontal="right" vertical="center"/>
    </xf>
    <xf numFmtId="4" fontId="10" fillId="0" borderId="0" xfId="3" applyNumberFormat="1" applyFont="1" applyAlignment="1">
      <alignment vertical="center" wrapText="1"/>
    </xf>
    <xf numFmtId="4" fontId="11" fillId="0" borderId="0" xfId="3" applyNumberFormat="1" applyFont="1" applyAlignment="1">
      <alignment horizontal="center" vertical="center" wrapText="1"/>
    </xf>
    <xf numFmtId="0" fontId="11" fillId="0" borderId="0" xfId="3" applyFont="1" applyAlignment="1">
      <alignment horizontal="center" vertical="center" wrapText="1"/>
    </xf>
    <xf numFmtId="0" fontId="9" fillId="2" borderId="1" xfId="3" applyFont="1" applyFill="1" applyBorder="1" applyAlignment="1">
      <alignment horizontal="left" vertical="center"/>
    </xf>
    <xf numFmtId="166" fontId="13" fillId="2" borderId="1" xfId="3" applyNumberFormat="1" applyFont="1" applyFill="1" applyBorder="1" applyAlignment="1">
      <alignment horizontal="left" vertical="center"/>
    </xf>
    <xf numFmtId="0" fontId="11" fillId="2" borderId="1" xfId="3" applyFont="1" applyFill="1" applyBorder="1" applyAlignment="1">
      <alignment horizontal="center" vertical="center" wrapText="1"/>
    </xf>
    <xf numFmtId="0" fontId="11" fillId="2" borderId="3" xfId="3" applyFont="1" applyFill="1" applyBorder="1" applyAlignment="1">
      <alignment horizontal="center" vertical="center" wrapText="1"/>
    </xf>
    <xf numFmtId="0" fontId="10" fillId="0" borderId="2" xfId="3" applyNumberFormat="1" applyFont="1" applyFill="1" applyBorder="1" applyAlignment="1">
      <alignment horizontal="left" vertical="center" wrapText="1"/>
    </xf>
    <xf numFmtId="166" fontId="12" fillId="0" borderId="2" xfId="3" applyNumberFormat="1" applyFont="1" applyFill="1" applyBorder="1" applyAlignment="1">
      <alignment horizontal="center" vertical="center"/>
    </xf>
    <xf numFmtId="0" fontId="10" fillId="0" borderId="2" xfId="3" applyNumberFormat="1" applyFont="1" applyFill="1" applyBorder="1" applyAlignment="1">
      <alignment horizontal="center" vertical="center" wrapText="1"/>
    </xf>
    <xf numFmtId="4" fontId="10" fillId="0" borderId="2" xfId="3" applyNumberFormat="1" applyFont="1" applyFill="1" applyBorder="1" applyAlignment="1">
      <alignment horizontal="center" vertical="center" wrapText="1"/>
    </xf>
    <xf numFmtId="49" fontId="10" fillId="0" borderId="2" xfId="3" applyNumberFormat="1" applyFont="1" applyFill="1" applyBorder="1" applyAlignment="1">
      <alignment horizontal="center" vertical="center"/>
    </xf>
    <xf numFmtId="4" fontId="10" fillId="0" borderId="0" xfId="3" applyNumberFormat="1" applyFont="1" applyFill="1" applyAlignment="1">
      <alignment vertical="center" wrapText="1"/>
    </xf>
    <xf numFmtId="4" fontId="10" fillId="0" borderId="0" xfId="3" applyNumberFormat="1" applyFont="1" applyFill="1" applyAlignment="1">
      <alignment horizontal="center" vertical="center" wrapText="1"/>
    </xf>
    <xf numFmtId="0" fontId="10" fillId="0" borderId="0" xfId="3" applyFont="1" applyFill="1" applyAlignment="1">
      <alignment vertical="center" wrapText="1"/>
    </xf>
    <xf numFmtId="4" fontId="10" fillId="0" borderId="0" xfId="3" applyNumberFormat="1" applyFont="1" applyFill="1" applyBorder="1" applyAlignment="1">
      <alignment vertical="center"/>
    </xf>
    <xf numFmtId="4" fontId="10" fillId="0" borderId="0" xfId="3" applyNumberFormat="1" applyFont="1" applyFill="1" applyAlignment="1">
      <alignment vertical="center"/>
    </xf>
    <xf numFmtId="0" fontId="10" fillId="0" borderId="2" xfId="3" applyNumberFormat="1" applyFont="1" applyFill="1" applyBorder="1" applyAlignment="1">
      <alignment horizontal="center" vertical="center"/>
    </xf>
    <xf numFmtId="166" fontId="10" fillId="0" borderId="0" xfId="3" applyNumberFormat="1" applyFont="1" applyAlignment="1">
      <alignment horizontal="left" vertical="center"/>
    </xf>
    <xf numFmtId="49" fontId="10" fillId="0" borderId="0" xfId="3" applyNumberFormat="1" applyFont="1" applyAlignment="1">
      <alignment horizontal="left" vertical="center"/>
    </xf>
    <xf numFmtId="4" fontId="10" fillId="0" borderId="0" xfId="3" applyNumberFormat="1" applyFont="1" applyFill="1" applyAlignment="1">
      <alignment horizontal="left" vertical="center"/>
    </xf>
    <xf numFmtId="4" fontId="10" fillId="0" borderId="0" xfId="3" applyNumberFormat="1" applyFont="1" applyAlignment="1">
      <alignment vertical="center"/>
    </xf>
    <xf numFmtId="4" fontId="10" fillId="0" borderId="0" xfId="3" applyNumberFormat="1" applyFont="1" applyAlignment="1">
      <alignment horizontal="left" vertical="center"/>
    </xf>
    <xf numFmtId="166" fontId="10" fillId="0" borderId="0" xfId="3" applyNumberFormat="1" applyFont="1" applyAlignment="1">
      <alignment vertical="center" wrapText="1"/>
    </xf>
    <xf numFmtId="0" fontId="10" fillId="0" borderId="0" xfId="3" applyNumberFormat="1" applyFont="1" applyAlignment="1">
      <alignment vertical="center" wrapText="1"/>
    </xf>
    <xf numFmtId="49" fontId="10" fillId="0" borderId="0" xfId="3" applyNumberFormat="1" applyFont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4" fontId="10" fillId="0" borderId="3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/>
    </xf>
    <xf numFmtId="166" fontId="10" fillId="0" borderId="3" xfId="0" applyNumberFormat="1" applyFont="1" applyFill="1" applyBorder="1" applyAlignment="1">
      <alignment horizontal="center" vertical="center" wrapText="1"/>
    </xf>
    <xf numFmtId="166" fontId="10" fillId="0" borderId="1" xfId="0" applyNumberFormat="1" applyFont="1" applyFill="1" applyBorder="1" applyAlignment="1">
      <alignment horizontal="center" vertical="center" wrapText="1"/>
    </xf>
    <xf numFmtId="4" fontId="11" fillId="2" borderId="3" xfId="12" applyNumberFormat="1" applyFont="1" applyFill="1" applyBorder="1" applyAlignment="1">
      <alignment horizontal="left" vertical="center" wrapText="1"/>
    </xf>
    <xf numFmtId="0" fontId="19" fillId="0" borderId="0" xfId="0" applyNumberFormat="1" applyFont="1" applyAlignment="1">
      <alignment horizontal="center" vertical="top"/>
    </xf>
    <xf numFmtId="4" fontId="19" fillId="0" borderId="0" xfId="0" applyNumberFormat="1" applyFont="1" applyAlignment="1">
      <alignment horizontal="center" vertical="top"/>
    </xf>
    <xf numFmtId="0" fontId="10" fillId="0" borderId="0" xfId="0" applyFont="1" applyFill="1" applyAlignment="1">
      <alignment vertical="center" wrapText="1"/>
    </xf>
    <xf numFmtId="4" fontId="11" fillId="2" borderId="5" xfId="2" applyNumberFormat="1" applyFont="1" applyFill="1" applyBorder="1" applyAlignment="1">
      <alignment horizontal="center" vertical="center" wrapText="1"/>
    </xf>
    <xf numFmtId="3" fontId="10" fillId="0" borderId="2" xfId="0" applyNumberFormat="1" applyFont="1" applyFill="1" applyBorder="1" applyAlignment="1">
      <alignment horizontal="center" vertical="center" wrapText="1"/>
    </xf>
    <xf numFmtId="4" fontId="11" fillId="0" borderId="2" xfId="3" applyNumberFormat="1" applyFont="1" applyFill="1" applyBorder="1" applyAlignment="1">
      <alignment horizontal="center" vertical="center" wrapText="1"/>
    </xf>
    <xf numFmtId="4" fontId="11" fillId="2" borderId="2" xfId="0" applyNumberFormat="1" applyFont="1" applyFill="1" applyBorder="1" applyAlignment="1">
      <alignment horizontal="center" vertical="center" wrapText="1"/>
    </xf>
    <xf numFmtId="168" fontId="10" fillId="0" borderId="2" xfId="0" applyNumberFormat="1" applyFont="1" applyFill="1" applyBorder="1" applyAlignment="1">
      <alignment horizontal="center" vertical="center" wrapText="1"/>
    </xf>
    <xf numFmtId="3" fontId="11" fillId="2" borderId="2" xfId="2" applyNumberFormat="1" applyFont="1" applyFill="1" applyBorder="1" applyAlignment="1">
      <alignment horizontal="center" vertical="center" wrapText="1"/>
    </xf>
    <xf numFmtId="4" fontId="11" fillId="2" borderId="1" xfId="3" applyNumberFormat="1" applyFont="1" applyFill="1" applyBorder="1" applyAlignment="1">
      <alignment horizontal="left" vertical="center"/>
    </xf>
    <xf numFmtId="169" fontId="10" fillId="0" borderId="2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0" fillId="0" borderId="2" xfId="0" applyNumberFormat="1" applyFont="1" applyBorder="1" applyAlignment="1">
      <alignment vertical="center" wrapText="1"/>
    </xf>
    <xf numFmtId="166" fontId="10" fillId="0" borderId="2" xfId="0" applyNumberFormat="1" applyFont="1" applyFill="1" applyBorder="1" applyAlignment="1">
      <alignment horizontal="left" vertical="center"/>
    </xf>
    <xf numFmtId="4" fontId="11" fillId="6" borderId="9" xfId="0" applyNumberFormat="1" applyFont="1" applyFill="1" applyBorder="1" applyAlignment="1">
      <alignment horizontal="center" vertical="center" wrapText="1"/>
    </xf>
    <xf numFmtId="170" fontId="10" fillId="0" borderId="0" xfId="0" applyNumberFormat="1" applyFont="1" applyFill="1" applyAlignment="1">
      <alignment horizontal="center" vertical="center" wrapText="1"/>
    </xf>
    <xf numFmtId="0" fontId="10" fillId="0" borderId="2" xfId="3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166" fontId="9" fillId="2" borderId="2" xfId="0" applyNumberFormat="1" applyFont="1" applyFill="1" applyBorder="1" applyAlignment="1">
      <alignment horizontal="left" vertical="center"/>
    </xf>
    <xf numFmtId="4" fontId="11" fillId="2" borderId="1" xfId="1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4" fontId="11" fillId="2" borderId="2" xfId="1" applyNumberFormat="1" applyFont="1" applyFill="1" applyBorder="1" applyAlignment="1">
      <alignment horizontal="center" vertical="center" wrapText="1"/>
    </xf>
    <xf numFmtId="166" fontId="11" fillId="2" borderId="2" xfId="0" applyNumberFormat="1" applyFont="1" applyFill="1" applyBorder="1" applyAlignment="1">
      <alignment horizontal="center" vertical="center" wrapText="1"/>
    </xf>
    <xf numFmtId="4" fontId="11" fillId="0" borderId="2" xfId="0" applyNumberFormat="1" applyFont="1" applyFill="1" applyBorder="1" applyAlignment="1">
      <alignment horizontal="center" vertical="center" wrapText="1"/>
    </xf>
    <xf numFmtId="166" fontId="10" fillId="0" borderId="2" xfId="0" quotePrefix="1" applyNumberFormat="1" applyFont="1" applyFill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Alignment="1">
      <alignment horizontal="right" vertical="center" wrapText="1"/>
    </xf>
    <xf numFmtId="0" fontId="11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right" vertical="center" wrapText="1"/>
    </xf>
    <xf numFmtId="0" fontId="10" fillId="0" borderId="0" xfId="0" applyNumberFormat="1" applyFont="1" applyFill="1" applyBorder="1" applyAlignment="1">
      <alignment horizontal="right" vertical="center"/>
    </xf>
    <xf numFmtId="0" fontId="10" fillId="0" borderId="0" xfId="0" applyNumberFormat="1" applyFont="1" applyBorder="1" applyAlignment="1">
      <alignment horizontal="right" vertical="center" wrapText="1"/>
    </xf>
    <xf numFmtId="0" fontId="10" fillId="0" borderId="2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4" fontId="10" fillId="0" borderId="2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top" wrapText="1"/>
    </xf>
    <xf numFmtId="49" fontId="23" fillId="0" borderId="0" xfId="0" applyNumberFormat="1" applyFont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/>
    </xf>
    <xf numFmtId="170" fontId="10" fillId="0" borderId="2" xfId="0" applyNumberFormat="1" applyFont="1" applyFill="1" applyBorder="1" applyAlignment="1">
      <alignment horizontal="center" vertical="center" wrapText="1"/>
    </xf>
    <xf numFmtId="4" fontId="10" fillId="0" borderId="0" xfId="3" applyNumberFormat="1" applyFont="1" applyFill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4" fontId="10" fillId="0" borderId="0" xfId="0" applyNumberFormat="1" applyFont="1" applyFill="1" applyAlignment="1">
      <alignment horizontal="left" vertical="center" wrapText="1"/>
    </xf>
    <xf numFmtId="0" fontId="10" fillId="0" borderId="0" xfId="0" applyFont="1" applyFill="1" applyAlignment="1">
      <alignment horizontal="center" vertical="center"/>
    </xf>
    <xf numFmtId="4" fontId="10" fillId="0" borderId="2" xfId="0" applyNumberFormat="1" applyFont="1" applyFill="1" applyBorder="1" applyAlignment="1">
      <alignment horizontal="left" vertical="center" wrapText="1"/>
    </xf>
    <xf numFmtId="4" fontId="10" fillId="0" borderId="1" xfId="13" applyNumberFormat="1" applyFont="1" applyFill="1" applyBorder="1" applyAlignment="1">
      <alignment horizontal="center" vertical="center"/>
    </xf>
    <xf numFmtId="17" fontId="10" fillId="0" borderId="0" xfId="0" applyNumberFormat="1" applyFont="1" applyFill="1" applyBorder="1" applyAlignment="1">
      <alignment horizontal="center" vertical="center"/>
    </xf>
    <xf numFmtId="49" fontId="10" fillId="0" borderId="2" xfId="3" applyNumberFormat="1" applyFont="1" applyFill="1" applyBorder="1" applyAlignment="1">
      <alignment horizontal="left" vertical="center"/>
    </xf>
    <xf numFmtId="167" fontId="10" fillId="0" borderId="2" xfId="0" applyNumberFormat="1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/>
    </xf>
    <xf numFmtId="166" fontId="13" fillId="5" borderId="1" xfId="0" applyNumberFormat="1" applyFont="1" applyFill="1" applyBorder="1" applyAlignment="1">
      <alignment horizontal="left" vertical="center"/>
    </xf>
    <xf numFmtId="4" fontId="11" fillId="5" borderId="3" xfId="12" applyNumberFormat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4" fontId="11" fillId="5" borderId="1" xfId="0" applyNumberFormat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16" fontId="10" fillId="0" borderId="0" xfId="0" applyNumberFormat="1" applyFont="1" applyFill="1" applyAlignment="1">
      <alignment horizontal="center" vertical="center" wrapText="1"/>
    </xf>
    <xf numFmtId="4" fontId="11" fillId="0" borderId="2" xfId="0" applyNumberFormat="1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171" fontId="17" fillId="0" borderId="0" xfId="0" applyNumberFormat="1" applyFont="1" applyAlignment="1">
      <alignment horizontal="center" vertical="center" wrapText="1"/>
    </xf>
    <xf numFmtId="171" fontId="9" fillId="3" borderId="6" xfId="0" applyNumberFormat="1" applyFont="1" applyFill="1" applyBorder="1" applyAlignment="1">
      <alignment horizontal="center" vertical="center" wrapText="1"/>
    </xf>
    <xf numFmtId="171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" fontId="10" fillId="0" borderId="10" xfId="0" applyNumberFormat="1" applyFont="1" applyBorder="1" applyAlignment="1">
      <alignment vertical="center" wrapText="1"/>
    </xf>
    <xf numFmtId="171" fontId="13" fillId="0" borderId="11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0" xfId="0" applyFont="1" applyFill="1" applyBorder="1" applyAlignment="1">
      <alignment vertical="center" wrapText="1"/>
    </xf>
    <xf numFmtId="171" fontId="13" fillId="0" borderId="11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vertical="center" wrapText="1"/>
    </xf>
    <xf numFmtId="0" fontId="10" fillId="0" borderId="12" xfId="0" applyFont="1" applyFill="1" applyBorder="1" applyAlignment="1">
      <alignment horizontal="left" vertical="center" wrapText="1"/>
    </xf>
    <xf numFmtId="171" fontId="10" fillId="0" borderId="11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4" fontId="10" fillId="0" borderId="13" xfId="0" applyNumberFormat="1" applyFont="1" applyBorder="1" applyAlignment="1">
      <alignment vertical="center" wrapText="1"/>
    </xf>
    <xf numFmtId="171" fontId="13" fillId="0" borderId="14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horizontal="left" vertical="center" wrapText="1"/>
    </xf>
    <xf numFmtId="4" fontId="10" fillId="0" borderId="16" xfId="0" applyNumberFormat="1" applyFont="1" applyBorder="1" applyAlignment="1">
      <alignment vertical="center" wrapText="1"/>
    </xf>
    <xf numFmtId="171" fontId="13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4" fontId="19" fillId="0" borderId="2" xfId="0" applyNumberFormat="1" applyFont="1" applyFill="1" applyBorder="1" applyAlignment="1">
      <alignment horizontal="center" vertical="center" wrapText="1"/>
    </xf>
    <xf numFmtId="0" fontId="10" fillId="7" borderId="2" xfId="3" applyFont="1" applyFill="1" applyBorder="1" applyAlignment="1">
      <alignment horizontal="center" vertical="center" wrapText="1"/>
    </xf>
    <xf numFmtId="166" fontId="10" fillId="7" borderId="2" xfId="0" applyNumberFormat="1" applyFont="1" applyFill="1" applyBorder="1" applyAlignment="1">
      <alignment horizontal="center" vertical="center" wrapText="1"/>
    </xf>
    <xf numFmtId="0" fontId="10" fillId="7" borderId="2" xfId="3" applyNumberFormat="1" applyFont="1" applyFill="1" applyBorder="1" applyAlignment="1">
      <alignment horizontal="center" vertical="center" wrapText="1"/>
    </xf>
    <xf numFmtId="0" fontId="10" fillId="7" borderId="2" xfId="3" applyFont="1" applyFill="1" applyBorder="1" applyAlignment="1">
      <alignment horizontal="center" vertical="center"/>
    </xf>
    <xf numFmtId="4" fontId="10" fillId="7" borderId="2" xfId="3" applyNumberFormat="1" applyFont="1" applyFill="1" applyBorder="1" applyAlignment="1">
      <alignment horizontal="center" vertical="center"/>
    </xf>
    <xf numFmtId="49" fontId="10" fillId="7" borderId="2" xfId="3" applyNumberFormat="1" applyFont="1" applyFill="1" applyBorder="1" applyAlignment="1">
      <alignment horizontal="left" vertical="center"/>
    </xf>
    <xf numFmtId="166" fontId="10" fillId="7" borderId="2" xfId="3" applyNumberFormat="1" applyFont="1" applyFill="1" applyBorder="1" applyAlignment="1">
      <alignment horizontal="center" vertical="center"/>
    </xf>
    <xf numFmtId="4" fontId="10" fillId="7" borderId="0" xfId="3" applyNumberFormat="1" applyFont="1" applyFill="1" applyBorder="1" applyAlignment="1">
      <alignment horizontal="left" vertical="center"/>
    </xf>
    <xf numFmtId="4" fontId="10" fillId="7" borderId="0" xfId="3" applyNumberFormat="1" applyFont="1" applyFill="1" applyAlignment="1">
      <alignment vertical="center"/>
    </xf>
    <xf numFmtId="4" fontId="10" fillId="7" borderId="0" xfId="3" applyNumberFormat="1" applyFont="1" applyFill="1" applyAlignment="1">
      <alignment vertical="center" wrapText="1"/>
    </xf>
    <xf numFmtId="0" fontId="10" fillId="7" borderId="0" xfId="3" applyFont="1" applyFill="1" applyAlignment="1">
      <alignment vertical="center" wrapText="1"/>
    </xf>
    <xf numFmtId="166" fontId="10" fillId="7" borderId="2" xfId="3" applyNumberFormat="1" applyFont="1" applyFill="1" applyBorder="1" applyAlignment="1">
      <alignment horizontal="center" vertical="center" wrapText="1"/>
    </xf>
    <xf numFmtId="0" fontId="10" fillId="7" borderId="2" xfId="0" applyNumberFormat="1" applyFont="1" applyFill="1" applyBorder="1" applyAlignment="1">
      <alignment horizontal="center" vertical="center" wrapText="1"/>
    </xf>
    <xf numFmtId="49" fontId="10" fillId="7" borderId="2" xfId="0" applyNumberFormat="1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49" fontId="10" fillId="7" borderId="2" xfId="0" applyNumberFormat="1" applyFont="1" applyFill="1" applyBorder="1" applyAlignment="1">
      <alignment horizontal="center" vertical="center"/>
    </xf>
    <xf numFmtId="4" fontId="10" fillId="7" borderId="2" xfId="0" applyNumberFormat="1" applyFont="1" applyFill="1" applyBorder="1" applyAlignment="1">
      <alignment horizontal="center" vertical="center" wrapText="1"/>
    </xf>
    <xf numFmtId="4" fontId="10" fillId="7" borderId="0" xfId="0" applyNumberFormat="1" applyFont="1" applyFill="1" applyAlignment="1">
      <alignment horizontal="center" vertical="center" wrapText="1"/>
    </xf>
    <xf numFmtId="4" fontId="10" fillId="7" borderId="0" xfId="0" applyNumberFormat="1" applyFont="1" applyFill="1" applyAlignment="1">
      <alignment vertical="center" wrapText="1"/>
    </xf>
    <xf numFmtId="0" fontId="10" fillId="7" borderId="3" xfId="0" applyNumberFormat="1" applyFont="1" applyFill="1" applyBorder="1" applyAlignment="1">
      <alignment horizontal="center" vertical="center" wrapText="1"/>
    </xf>
    <xf numFmtId="4" fontId="10" fillId="7" borderId="0" xfId="0" applyNumberFormat="1" applyFont="1" applyFill="1" applyAlignment="1">
      <alignment horizontal="left" vertical="center"/>
    </xf>
    <xf numFmtId="0" fontId="10" fillId="7" borderId="0" xfId="0" applyFont="1" applyFill="1" applyAlignment="1">
      <alignment vertical="center" wrapText="1"/>
    </xf>
    <xf numFmtId="0" fontId="10" fillId="7" borderId="2" xfId="0" applyNumberFormat="1" applyFont="1" applyFill="1" applyBorder="1" applyAlignment="1">
      <alignment horizontal="center" vertical="center"/>
    </xf>
    <xf numFmtId="4" fontId="10" fillId="7" borderId="0" xfId="0" applyNumberFormat="1" applyFont="1" applyFill="1" applyBorder="1" applyAlignment="1">
      <alignment horizontal="left" vertical="center"/>
    </xf>
    <xf numFmtId="4" fontId="10" fillId="7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left" vertical="center" wrapText="1"/>
    </xf>
    <xf numFmtId="16" fontId="11" fillId="0" borderId="2" xfId="0" applyNumberFormat="1" applyFont="1" applyFill="1" applyBorder="1" applyAlignment="1">
      <alignment vertical="center" wrapText="1"/>
    </xf>
    <xf numFmtId="4" fontId="18" fillId="0" borderId="2" xfId="0" applyNumberFormat="1" applyFont="1" applyFill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 wrapText="1"/>
    </xf>
    <xf numFmtId="0" fontId="10" fillId="8" borderId="2" xfId="0" applyNumberFormat="1" applyFont="1" applyFill="1" applyBorder="1" applyAlignment="1">
      <alignment horizontal="center" vertical="center" wrapText="1"/>
    </xf>
    <xf numFmtId="166" fontId="10" fillId="8" borderId="2" xfId="0" applyNumberFormat="1" applyFont="1" applyFill="1" applyBorder="1" applyAlignment="1">
      <alignment horizontal="center" vertical="center" wrapText="1"/>
    </xf>
    <xf numFmtId="4" fontId="10" fillId="8" borderId="2" xfId="0" applyNumberFormat="1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left" vertical="center"/>
    </xf>
    <xf numFmtId="0" fontId="10" fillId="8" borderId="0" xfId="0" applyFont="1" applyFill="1" applyAlignment="1">
      <alignment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4" fontId="11" fillId="0" borderId="0" xfId="0" applyNumberFormat="1" applyFont="1" applyFill="1" applyAlignment="1">
      <alignment horizontal="left" vertical="center"/>
    </xf>
    <xf numFmtId="0" fontId="18" fillId="0" borderId="2" xfId="0" applyFont="1" applyFill="1" applyBorder="1" applyAlignment="1">
      <alignment horizontal="center" vertical="center" wrapText="1"/>
    </xf>
    <xf numFmtId="4" fontId="10" fillId="0" borderId="0" xfId="0" applyNumberFormat="1" applyFont="1" applyAlignment="1">
      <alignment horizontal="left" vertical="center"/>
    </xf>
    <xf numFmtId="4" fontId="11" fillId="0" borderId="0" xfId="0" applyNumberFormat="1" applyFont="1" applyAlignment="1">
      <alignment horizontal="left" vertical="center"/>
    </xf>
    <xf numFmtId="16" fontId="10" fillId="0" borderId="0" xfId="0" applyNumberFormat="1" applyFont="1" applyFill="1" applyBorder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4" fontId="11" fillId="2" borderId="2" xfId="2" applyNumberFormat="1" applyFont="1" applyFill="1" applyBorder="1" applyAlignment="1">
      <alignment horizontal="right" vertical="center" wrapText="1"/>
    </xf>
    <xf numFmtId="0" fontId="10" fillId="0" borderId="0" xfId="0" applyFont="1" applyAlignment="1">
      <alignment horizontal="left"/>
    </xf>
    <xf numFmtId="4" fontId="13" fillId="0" borderId="11" xfId="0" applyNumberFormat="1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49" fontId="18" fillId="0" borderId="3" xfId="0" applyNumberFormat="1" applyFont="1" applyFill="1" applyBorder="1" applyAlignment="1">
      <alignment horizontal="left" vertical="center"/>
    </xf>
    <xf numFmtId="166" fontId="18" fillId="0" borderId="3" xfId="0" applyNumberFormat="1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left" vertical="center"/>
    </xf>
    <xf numFmtId="0" fontId="18" fillId="7" borderId="0" xfId="0" applyFont="1" applyFill="1" applyAlignment="1">
      <alignment vertical="center" wrapText="1"/>
    </xf>
    <xf numFmtId="171" fontId="16" fillId="0" borderId="0" xfId="0" applyNumberFormat="1" applyFont="1" applyAlignment="1">
      <alignment horizontal="center" wrapText="1"/>
    </xf>
    <xf numFmtId="167" fontId="11" fillId="0" borderId="2" xfId="0" applyNumberFormat="1" applyFont="1" applyFill="1" applyBorder="1" applyAlignment="1">
      <alignment horizontal="center" vertical="center" wrapText="1"/>
    </xf>
    <xf numFmtId="49" fontId="18" fillId="0" borderId="2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4" fontId="10" fillId="0" borderId="0" xfId="0" applyNumberFormat="1" applyFont="1" applyFill="1" applyAlignment="1">
      <alignment horizontal="center"/>
    </xf>
    <xf numFmtId="4" fontId="10" fillId="0" borderId="0" xfId="0" applyNumberFormat="1" applyFont="1" applyFill="1" applyBorder="1" applyAlignment="1">
      <alignment horizontal="center"/>
    </xf>
    <xf numFmtId="4" fontId="10" fillId="0" borderId="0" xfId="0" applyNumberFormat="1" applyFont="1" applyFill="1" applyAlignment="1">
      <alignment horizontal="center" wrapText="1"/>
    </xf>
    <xf numFmtId="166" fontId="10" fillId="9" borderId="2" xfId="0" applyNumberFormat="1" applyFont="1" applyFill="1" applyBorder="1" applyAlignment="1">
      <alignment horizontal="center" vertical="center" wrapText="1"/>
    </xf>
    <xf numFmtId="0" fontId="10" fillId="9" borderId="2" xfId="0" applyNumberFormat="1" applyFont="1" applyFill="1" applyBorder="1" applyAlignment="1">
      <alignment horizontal="center" vertical="center" wrapText="1"/>
    </xf>
    <xf numFmtId="3" fontId="10" fillId="9" borderId="2" xfId="0" applyNumberFormat="1" applyFont="1" applyFill="1" applyBorder="1" applyAlignment="1">
      <alignment horizontal="center" vertical="center" wrapText="1"/>
    </xf>
    <xf numFmtId="49" fontId="10" fillId="9" borderId="2" xfId="0" applyNumberFormat="1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center" vertical="center" wrapText="1"/>
    </xf>
    <xf numFmtId="0" fontId="10" fillId="10" borderId="3" xfId="0" applyNumberFormat="1" applyFont="1" applyFill="1" applyBorder="1" applyAlignment="1">
      <alignment horizontal="center" vertical="center" wrapText="1"/>
    </xf>
    <xf numFmtId="166" fontId="10" fillId="10" borderId="2" xfId="0" applyNumberFormat="1" applyFont="1" applyFill="1" applyBorder="1" applyAlignment="1">
      <alignment horizontal="center" vertical="center" wrapText="1"/>
    </xf>
    <xf numFmtId="0" fontId="10" fillId="10" borderId="2" xfId="0" applyNumberFormat="1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4" fontId="10" fillId="10" borderId="2" xfId="0" applyNumberFormat="1" applyFont="1" applyFill="1" applyBorder="1" applyAlignment="1">
      <alignment horizontal="center" vertical="center" wrapText="1"/>
    </xf>
    <xf numFmtId="49" fontId="10" fillId="10" borderId="3" xfId="0" applyNumberFormat="1" applyFont="1" applyFill="1" applyBorder="1" applyAlignment="1">
      <alignment horizontal="left" vertical="center"/>
    </xf>
    <xf numFmtId="166" fontId="10" fillId="10" borderId="3" xfId="0" applyNumberFormat="1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left" vertical="center"/>
    </xf>
    <xf numFmtId="4" fontId="10" fillId="10" borderId="0" xfId="0" applyNumberFormat="1" applyFont="1" applyFill="1" applyAlignment="1">
      <alignment horizontal="center" vertical="center" wrapText="1"/>
    </xf>
    <xf numFmtId="0" fontId="10" fillId="10" borderId="0" xfId="0" applyFont="1" applyFill="1" applyAlignment="1">
      <alignment vertical="center" wrapText="1"/>
    </xf>
    <xf numFmtId="49" fontId="18" fillId="0" borderId="2" xfId="0" applyNumberFormat="1" applyFont="1" applyFill="1" applyBorder="1" applyAlignment="1">
      <alignment horizontal="left" vertical="center"/>
    </xf>
    <xf numFmtId="4" fontId="18" fillId="0" borderId="3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left" vertical="center"/>
    </xf>
    <xf numFmtId="0" fontId="10" fillId="8" borderId="3" xfId="0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49" fontId="10" fillId="8" borderId="3" xfId="0" applyNumberFormat="1" applyFont="1" applyFill="1" applyBorder="1" applyAlignment="1">
      <alignment horizontal="left" vertical="center"/>
    </xf>
    <xf numFmtId="166" fontId="10" fillId="8" borderId="3" xfId="0" applyNumberFormat="1" applyFont="1" applyFill="1" applyBorder="1" applyAlignment="1">
      <alignment horizontal="center" vertical="center" wrapText="1"/>
    </xf>
    <xf numFmtId="16" fontId="11" fillId="8" borderId="2" xfId="0" applyNumberFormat="1" applyFont="1" applyFill="1" applyBorder="1" applyAlignment="1">
      <alignment vertical="center" wrapText="1"/>
    </xf>
    <xf numFmtId="4" fontId="10" fillId="8" borderId="0" xfId="0" applyNumberFormat="1" applyFont="1" applyFill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4" fontId="11" fillId="2" borderId="2" xfId="0" applyNumberFormat="1" applyFont="1" applyFill="1" applyBorder="1" applyAlignment="1">
      <alignment horizontal="right" vertical="center" wrapText="1"/>
    </xf>
    <xf numFmtId="4" fontId="7" fillId="0" borderId="0" xfId="14" applyNumberFormat="1" applyAlignment="1">
      <alignment horizontal="center" vertical="center"/>
    </xf>
    <xf numFmtId="4" fontId="0" fillId="0" borderId="0" xfId="14" applyNumberFormat="1" applyFont="1" applyAlignment="1">
      <alignment horizontal="right" vertical="center"/>
    </xf>
    <xf numFmtId="4" fontId="11" fillId="2" borderId="3" xfId="12" applyNumberFormat="1" applyFont="1" applyFill="1" applyBorder="1" applyAlignment="1">
      <alignment horizontal="center" vertical="center" wrapText="1"/>
    </xf>
    <xf numFmtId="166" fontId="18" fillId="0" borderId="2" xfId="0" quotePrefix="1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/>
    </xf>
    <xf numFmtId="4" fontId="10" fillId="0" borderId="0" xfId="0" applyNumberFormat="1" applyFont="1" applyFill="1" applyAlignment="1">
      <alignment horizontal="left" wrapText="1"/>
    </xf>
    <xf numFmtId="0" fontId="10" fillId="11" borderId="3" xfId="0" applyNumberFormat="1" applyFont="1" applyFill="1" applyBorder="1" applyAlignment="1">
      <alignment horizontal="center" vertical="center" wrapText="1"/>
    </xf>
    <xf numFmtId="166" fontId="10" fillId="11" borderId="2" xfId="0" applyNumberFormat="1" applyFont="1" applyFill="1" applyBorder="1" applyAlignment="1">
      <alignment horizontal="center" vertical="center" wrapText="1"/>
    </xf>
    <xf numFmtId="0" fontId="10" fillId="11" borderId="2" xfId="0" applyNumberFormat="1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4" fontId="10" fillId="11" borderId="2" xfId="0" applyNumberFormat="1" applyFont="1" applyFill="1" applyBorder="1" applyAlignment="1">
      <alignment horizontal="center" vertical="center" wrapText="1"/>
    </xf>
    <xf numFmtId="49" fontId="10" fillId="11" borderId="3" xfId="0" applyNumberFormat="1" applyFont="1" applyFill="1" applyBorder="1" applyAlignment="1">
      <alignment horizontal="left" vertical="center"/>
    </xf>
    <xf numFmtId="166" fontId="10" fillId="11" borderId="3" xfId="0" applyNumberFormat="1" applyFont="1" applyFill="1" applyBorder="1" applyAlignment="1">
      <alignment horizontal="center" vertical="center" wrapText="1"/>
    </xf>
    <xf numFmtId="16" fontId="11" fillId="11" borderId="2" xfId="0" applyNumberFormat="1" applyFont="1" applyFill="1" applyBorder="1" applyAlignment="1">
      <alignment vertical="center" wrapText="1"/>
    </xf>
    <xf numFmtId="0" fontId="10" fillId="11" borderId="0" xfId="0" applyFont="1" applyFill="1" applyBorder="1" applyAlignment="1">
      <alignment horizontal="left" vertical="center"/>
    </xf>
    <xf numFmtId="4" fontId="10" fillId="11" borderId="0" xfId="0" applyNumberFormat="1" applyFont="1" applyFill="1" applyAlignment="1">
      <alignment horizontal="center" vertical="center" wrapText="1"/>
    </xf>
    <xf numFmtId="0" fontId="10" fillId="11" borderId="0" xfId="0" applyFont="1" applyFill="1" applyAlignment="1">
      <alignment vertical="center" wrapText="1"/>
    </xf>
    <xf numFmtId="0" fontId="19" fillId="0" borderId="0" xfId="0" applyFont="1" applyAlignment="1">
      <alignment horizontal="right" vertical="center"/>
    </xf>
    <xf numFmtId="0" fontId="0" fillId="0" borderId="4" xfId="0" applyBorder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4" fontId="0" fillId="0" borderId="0" xfId="14" applyNumberFormat="1" applyFont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49" fontId="23" fillId="0" borderId="9" xfId="0" applyNumberFormat="1" applyFont="1" applyBorder="1" applyAlignment="1">
      <alignment horizontal="center" vertical="center" wrapText="1"/>
    </xf>
    <xf numFmtId="4" fontId="19" fillId="0" borderId="0" xfId="0" applyNumberFormat="1" applyFont="1" applyAlignment="1">
      <alignment horizontal="left" vertical="center" wrapText="1"/>
    </xf>
    <xf numFmtId="0" fontId="18" fillId="6" borderId="2" xfId="0" applyNumberFormat="1" applyFont="1" applyFill="1" applyBorder="1" applyAlignment="1">
      <alignment horizontal="center" vertical="center" wrapText="1"/>
    </xf>
    <xf numFmtId="166" fontId="18" fillId="6" borderId="2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4" fontId="18" fillId="6" borderId="2" xfId="0" applyNumberFormat="1" applyFont="1" applyFill="1" applyBorder="1" applyAlignment="1">
      <alignment horizontal="center" vertical="center" wrapText="1"/>
    </xf>
    <xf numFmtId="49" fontId="18" fillId="6" borderId="2" xfId="0" applyNumberFormat="1" applyFont="1" applyFill="1" applyBorder="1" applyAlignment="1">
      <alignment horizontal="left" vertical="center"/>
    </xf>
    <xf numFmtId="16" fontId="19" fillId="6" borderId="2" xfId="0" applyNumberFormat="1" applyFont="1" applyFill="1" applyBorder="1" applyAlignment="1">
      <alignment vertical="center" wrapText="1"/>
    </xf>
    <xf numFmtId="0" fontId="18" fillId="6" borderId="0" xfId="0" applyFont="1" applyFill="1" applyBorder="1" applyAlignment="1">
      <alignment horizontal="left" vertical="center"/>
    </xf>
    <xf numFmtId="4" fontId="18" fillId="6" borderId="0" xfId="0" applyNumberFormat="1" applyFont="1" applyFill="1" applyAlignment="1">
      <alignment horizontal="center" vertical="center" wrapText="1"/>
    </xf>
    <xf numFmtId="0" fontId="18" fillId="6" borderId="0" xfId="0" applyFont="1" applyFill="1" applyAlignment="1">
      <alignment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4" fontId="10" fillId="4" borderId="3" xfId="0" applyNumberFormat="1" applyFont="1" applyFill="1" applyBorder="1" applyAlignment="1">
      <alignment horizontal="center" vertical="center" wrapText="1"/>
    </xf>
    <xf numFmtId="4" fontId="10" fillId="7" borderId="0" xfId="0" applyNumberFormat="1" applyFont="1" applyFill="1" applyBorder="1" applyAlignment="1">
      <alignment vertical="center" wrapText="1"/>
    </xf>
    <xf numFmtId="0" fontId="10" fillId="7" borderId="0" xfId="0" applyFont="1" applyFill="1" applyBorder="1" applyAlignment="1">
      <alignment vertical="center" wrapText="1"/>
    </xf>
    <xf numFmtId="171" fontId="10" fillId="0" borderId="0" xfId="0" applyNumberFormat="1" applyFont="1" applyAlignment="1">
      <alignment horizontal="left"/>
    </xf>
    <xf numFmtId="0" fontId="10" fillId="0" borderId="0" xfId="0" quotePrefix="1" applyFont="1" applyFill="1" applyAlignment="1">
      <alignment horizontal="left" vertical="center"/>
    </xf>
    <xf numFmtId="0" fontId="7" fillId="0" borderId="0" xfId="0" applyFont="1" applyFill="1" applyBorder="1"/>
    <xf numFmtId="165" fontId="10" fillId="0" borderId="0" xfId="12" applyFont="1" applyFill="1" applyAlignment="1">
      <alignment vertical="center" wrapText="1"/>
    </xf>
    <xf numFmtId="165" fontId="10" fillId="0" borderId="0" xfId="12" applyFont="1" applyFill="1" applyAlignment="1">
      <alignment horizontal="center" vertical="center" wrapText="1"/>
    </xf>
    <xf numFmtId="165" fontId="10" fillId="0" borderId="0" xfId="12" applyFont="1" applyFill="1" applyAlignment="1">
      <alignment horizontal="left" vertical="center"/>
    </xf>
    <xf numFmtId="165" fontId="10" fillId="0" borderId="2" xfId="12" applyFont="1" applyFill="1" applyBorder="1" applyAlignment="1">
      <alignment horizontal="center" vertical="center" wrapText="1"/>
    </xf>
    <xf numFmtId="4" fontId="11" fillId="5" borderId="3" xfId="12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left" vertical="center"/>
    </xf>
    <xf numFmtId="4" fontId="24" fillId="0" borderId="0" xfId="0" applyNumberFormat="1" applyFont="1" applyFill="1" applyAlignment="1">
      <alignment horizontal="center" vertical="center" wrapText="1"/>
    </xf>
    <xf numFmtId="4" fontId="24" fillId="0" borderId="0" xfId="0" applyNumberFormat="1" applyFont="1" applyFill="1" applyAlignment="1">
      <alignment vertical="center" wrapText="1"/>
    </xf>
    <xf numFmtId="0" fontId="24" fillId="0" borderId="0" xfId="0" applyFont="1" applyFill="1" applyAlignment="1">
      <alignment vertical="center" wrapText="1"/>
    </xf>
    <xf numFmtId="49" fontId="10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10" fillId="0" borderId="2" xfId="0" applyFont="1" applyFill="1" applyBorder="1" applyAlignment="1">
      <alignment horizontal="left" vertical="center"/>
    </xf>
    <xf numFmtId="4" fontId="10" fillId="0" borderId="0" xfId="0" applyNumberFormat="1" applyFont="1" applyFill="1" applyBorder="1" applyAlignment="1">
      <alignment horizontal="left" vertical="center" wrapText="1"/>
    </xf>
    <xf numFmtId="4" fontId="10" fillId="0" borderId="0" xfId="0" applyNumberFormat="1" applyFont="1" applyFill="1" applyBorder="1" applyAlignment="1">
      <alignment horizontal="center" vertical="center" wrapText="1"/>
    </xf>
    <xf numFmtId="4" fontId="10" fillId="0" borderId="2" xfId="0" quotePrefix="1" applyNumberFormat="1" applyFont="1" applyFill="1" applyBorder="1" applyAlignment="1">
      <alignment horizontal="center" vertical="center" wrapText="1"/>
    </xf>
    <xf numFmtId="4" fontId="10" fillId="0" borderId="4" xfId="0" applyNumberFormat="1" applyFont="1" applyFill="1" applyBorder="1" applyAlignment="1">
      <alignment horizontal="left" vertical="center"/>
    </xf>
    <xf numFmtId="14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4" fontId="11" fillId="0" borderId="0" xfId="0" applyNumberFormat="1" applyFont="1" applyBorder="1" applyAlignment="1">
      <alignment horizontal="left" vertical="center"/>
    </xf>
    <xf numFmtId="4" fontId="11" fillId="0" borderId="0" xfId="0" applyNumberFormat="1" applyFont="1" applyFill="1" applyAlignment="1">
      <alignment horizontal="right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1" fontId="10" fillId="0" borderId="2" xfId="0" applyNumberFormat="1" applyFont="1" applyFill="1" applyBorder="1" applyAlignment="1">
      <alignment horizontal="center" vertical="center" wrapText="1"/>
    </xf>
    <xf numFmtId="4" fontId="10" fillId="0" borderId="0" xfId="0" applyNumberFormat="1" applyFont="1" applyFill="1" applyAlignment="1">
      <alignment horizontal="left"/>
    </xf>
    <xf numFmtId="0" fontId="19" fillId="0" borderId="0" xfId="0" quotePrefix="1" applyFont="1" applyAlignment="1">
      <alignment horizontal="left" vertical="center"/>
    </xf>
    <xf numFmtId="4" fontId="10" fillId="0" borderId="0" xfId="0" applyNumberFormat="1" applyFont="1" applyFill="1" applyAlignment="1">
      <alignment horizontal="left" vertical="center" wrapText="1"/>
    </xf>
    <xf numFmtId="4" fontId="0" fillId="0" borderId="0" xfId="14" applyNumberFormat="1" applyFont="1" applyFill="1" applyAlignment="1">
      <alignment horizontal="right" vertical="center"/>
    </xf>
    <xf numFmtId="4" fontId="7" fillId="0" borderId="0" xfId="14" applyNumberFormat="1" applyFill="1" applyAlignment="1">
      <alignment horizontal="center" vertical="center"/>
    </xf>
    <xf numFmtId="4" fontId="10" fillId="0" borderId="0" xfId="0" applyNumberFormat="1" applyFont="1" applyFill="1" applyAlignment="1">
      <alignment horizontal="left" vertical="center" wrapText="1"/>
    </xf>
    <xf numFmtId="49" fontId="18" fillId="0" borderId="2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 vertical="top" wrapText="1"/>
    </xf>
    <xf numFmtId="0" fontId="18" fillId="0" borderId="0" xfId="0" applyFont="1" applyFill="1" applyBorder="1" applyAlignment="1">
      <alignment vertical="center"/>
    </xf>
    <xf numFmtId="4" fontId="18" fillId="0" borderId="0" xfId="0" applyNumberFormat="1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49" fontId="11" fillId="0" borderId="3" xfId="0" applyNumberFormat="1" applyFont="1" applyFill="1" applyBorder="1" applyAlignment="1">
      <alignment horizontal="left" vertical="center"/>
    </xf>
    <xf numFmtId="166" fontId="11" fillId="0" borderId="3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10" fillId="0" borderId="4" xfId="0" applyFont="1" applyFill="1" applyBorder="1" applyAlignment="1">
      <alignment horizontal="left" vertical="center" wrapText="1"/>
    </xf>
    <xf numFmtId="4" fontId="10" fillId="0" borderId="0" xfId="0" applyNumberFormat="1" applyFont="1" applyFill="1" applyAlignment="1">
      <alignment horizontal="left" vertical="center" wrapText="1"/>
    </xf>
    <xf numFmtId="4" fontId="10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left" vertical="center" wrapText="1"/>
    </xf>
    <xf numFmtId="16" fontId="10" fillId="0" borderId="2" xfId="0" applyNumberFormat="1" applyFont="1" applyFill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2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vertical="center" wrapText="1"/>
    </xf>
    <xf numFmtId="0" fontId="10" fillId="0" borderId="19" xfId="0" applyFont="1" applyBorder="1" applyAlignment="1">
      <alignment horizontal="left" vertical="center" wrapText="1"/>
    </xf>
    <xf numFmtId="170" fontId="10" fillId="0" borderId="0" xfId="0" applyNumberFormat="1" applyFont="1" applyAlignment="1">
      <alignment horizontal="center" vertical="center" wrapText="1"/>
    </xf>
    <xf numFmtId="16" fontId="10" fillId="7" borderId="2" xfId="0" applyNumberFormat="1" applyFont="1" applyFill="1" applyBorder="1" applyAlignment="1">
      <alignment horizontal="center" vertical="center" wrapText="1"/>
    </xf>
    <xf numFmtId="49" fontId="10" fillId="0" borderId="2" xfId="15" applyNumberFormat="1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 wrapText="1"/>
    </xf>
    <xf numFmtId="0" fontId="11" fillId="12" borderId="2" xfId="0" applyNumberFormat="1" applyFont="1" applyFill="1" applyBorder="1" applyAlignment="1">
      <alignment horizontal="center" vertical="center" wrapText="1"/>
    </xf>
    <xf numFmtId="4" fontId="11" fillId="12" borderId="3" xfId="0" applyNumberFormat="1" applyFont="1" applyFill="1" applyBorder="1" applyAlignment="1">
      <alignment horizontal="center" vertical="center" wrapText="1"/>
    </xf>
    <xf numFmtId="166" fontId="11" fillId="12" borderId="2" xfId="0" applyNumberFormat="1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4" fontId="13" fillId="0" borderId="14" xfId="0" applyNumberFormat="1" applyFont="1" applyBorder="1" applyAlignment="1">
      <alignment horizontal="center" vertical="center" wrapText="1"/>
    </xf>
    <xf numFmtId="0" fontId="10" fillId="6" borderId="2" xfId="0" applyNumberFormat="1" applyFont="1" applyFill="1" applyBorder="1" applyAlignment="1">
      <alignment horizontal="center" vertical="center" wrapText="1"/>
    </xf>
    <xf numFmtId="166" fontId="10" fillId="6" borderId="2" xfId="0" applyNumberFormat="1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4" fontId="10" fillId="6" borderId="2" xfId="0" applyNumberFormat="1" applyFont="1" applyFill="1" applyBorder="1" applyAlignment="1">
      <alignment horizontal="center" vertical="center" wrapText="1"/>
    </xf>
    <xf numFmtId="49" fontId="10" fillId="6" borderId="2" xfId="0" applyNumberFormat="1" applyFont="1" applyFill="1" applyBorder="1" applyAlignment="1">
      <alignment horizontal="left" vertical="center"/>
    </xf>
    <xf numFmtId="16" fontId="11" fillId="6" borderId="2" xfId="0" applyNumberFormat="1" applyFont="1" applyFill="1" applyBorder="1" applyAlignment="1">
      <alignment vertical="center" wrapText="1"/>
    </xf>
    <xf numFmtId="0" fontId="10" fillId="6" borderId="0" xfId="0" applyFont="1" applyFill="1" applyBorder="1" applyAlignment="1">
      <alignment horizontal="left" vertical="center"/>
    </xf>
    <xf numFmtId="4" fontId="10" fillId="6" borderId="0" xfId="0" applyNumberFormat="1" applyFont="1" applyFill="1" applyAlignment="1">
      <alignment horizontal="center" vertical="center" wrapText="1"/>
    </xf>
    <xf numFmtId="0" fontId="10" fillId="6" borderId="0" xfId="0" applyFont="1" applyFill="1" applyAlignment="1">
      <alignment vertical="center" wrapText="1"/>
    </xf>
    <xf numFmtId="166" fontId="10" fillId="0" borderId="2" xfId="0" quotePrefix="1" applyNumberFormat="1" applyFont="1" applyFill="1" applyBorder="1" applyAlignment="1">
      <alignment horizontal="left" vertical="center"/>
    </xf>
    <xf numFmtId="166" fontId="10" fillId="0" borderId="0" xfId="0" applyNumberFormat="1" applyFont="1" applyFill="1" applyAlignment="1">
      <alignment vertical="center" wrapText="1"/>
    </xf>
    <xf numFmtId="166" fontId="10" fillId="0" borderId="3" xfId="0" applyNumberFormat="1" applyFont="1" applyFill="1" applyBorder="1" applyAlignment="1">
      <alignment horizontal="left" vertical="center" wrapText="1"/>
    </xf>
    <xf numFmtId="49" fontId="10" fillId="6" borderId="2" xfId="0" applyNumberFormat="1" applyFont="1" applyFill="1" applyBorder="1" applyAlignment="1">
      <alignment horizontal="center" vertical="center" wrapText="1"/>
    </xf>
    <xf numFmtId="0" fontId="10" fillId="6" borderId="3" xfId="0" applyNumberFormat="1" applyFont="1" applyFill="1" applyBorder="1" applyAlignment="1">
      <alignment horizontal="center" vertical="center" wrapText="1"/>
    </xf>
    <xf numFmtId="49" fontId="10" fillId="6" borderId="2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vertical="center"/>
    </xf>
    <xf numFmtId="4" fontId="10" fillId="6" borderId="0" xfId="0" applyNumberFormat="1" applyFont="1" applyFill="1" applyBorder="1" applyAlignment="1">
      <alignment vertical="center" wrapText="1"/>
    </xf>
    <xf numFmtId="0" fontId="10" fillId="6" borderId="0" xfId="0" applyFont="1" applyFill="1" applyBorder="1" applyAlignment="1">
      <alignment vertical="center" wrapText="1"/>
    </xf>
    <xf numFmtId="172" fontId="10" fillId="0" borderId="0" xfId="0" applyNumberFormat="1" applyFont="1" applyAlignment="1">
      <alignment vertical="center" wrapText="1"/>
    </xf>
    <xf numFmtId="4" fontId="10" fillId="0" borderId="2" xfId="12" applyNumberFormat="1" applyFont="1" applyFill="1" applyBorder="1" applyAlignment="1">
      <alignment horizontal="center" vertical="center" wrapText="1"/>
    </xf>
    <xf numFmtId="4" fontId="10" fillId="9" borderId="2" xfId="0" applyNumberFormat="1" applyFont="1" applyFill="1" applyBorder="1" applyAlignment="1">
      <alignment horizontal="center" vertical="center" wrapText="1"/>
    </xf>
    <xf numFmtId="167" fontId="10" fillId="7" borderId="2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0" fillId="13" borderId="2" xfId="0" applyFont="1" applyFill="1" applyBorder="1" applyAlignment="1">
      <alignment horizontal="center" vertical="center" wrapText="1"/>
    </xf>
    <xf numFmtId="166" fontId="10" fillId="13" borderId="2" xfId="0" applyNumberFormat="1" applyFont="1" applyFill="1" applyBorder="1" applyAlignment="1">
      <alignment horizontal="center" vertical="center" wrapText="1"/>
    </xf>
    <xf numFmtId="0" fontId="10" fillId="13" borderId="2" xfId="0" applyNumberFormat="1" applyFont="1" applyFill="1" applyBorder="1" applyAlignment="1">
      <alignment horizontal="center" vertical="center" wrapText="1"/>
    </xf>
    <xf numFmtId="167" fontId="10" fillId="13" borderId="2" xfId="0" applyNumberFormat="1" applyFont="1" applyFill="1" applyBorder="1" applyAlignment="1">
      <alignment horizontal="center" vertical="center" wrapText="1"/>
    </xf>
    <xf numFmtId="49" fontId="10" fillId="13" borderId="2" xfId="3" applyNumberFormat="1" applyFont="1" applyFill="1" applyBorder="1" applyAlignment="1">
      <alignment horizontal="center" vertical="center"/>
    </xf>
    <xf numFmtId="4" fontId="10" fillId="13" borderId="2" xfId="0" applyNumberFormat="1" applyFont="1" applyFill="1" applyBorder="1" applyAlignment="1">
      <alignment horizontal="center" vertical="center" wrapText="1"/>
    </xf>
    <xf numFmtId="4" fontId="10" fillId="13" borderId="0" xfId="0" applyNumberFormat="1" applyFont="1" applyFill="1" applyAlignment="1">
      <alignment horizontal="left" vertical="center"/>
    </xf>
    <xf numFmtId="4" fontId="10" fillId="13" borderId="0" xfId="0" applyNumberFormat="1" applyFont="1" applyFill="1" applyBorder="1" applyAlignment="1">
      <alignment horizontal="left" vertical="center"/>
    </xf>
    <xf numFmtId="4" fontId="10" fillId="13" borderId="0" xfId="0" applyNumberFormat="1" applyFont="1" applyFill="1" applyAlignment="1">
      <alignment vertical="center" wrapText="1"/>
    </xf>
    <xf numFmtId="4" fontId="10" fillId="13" borderId="0" xfId="0" applyNumberFormat="1" applyFont="1" applyFill="1" applyAlignment="1">
      <alignment horizontal="center" vertical="center" wrapText="1"/>
    </xf>
    <xf numFmtId="0" fontId="10" fillId="13" borderId="3" xfId="0" applyNumberFormat="1" applyFont="1" applyFill="1" applyBorder="1" applyAlignment="1">
      <alignment horizontal="center" vertical="center" wrapText="1"/>
    </xf>
    <xf numFmtId="49" fontId="10" fillId="13" borderId="2" xfId="0" applyNumberFormat="1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left" vertical="center"/>
    </xf>
    <xf numFmtId="0" fontId="10" fillId="13" borderId="0" xfId="0" applyFont="1" applyFill="1" applyAlignment="1">
      <alignment horizontal="left" vertical="center"/>
    </xf>
    <xf numFmtId="0" fontId="10" fillId="13" borderId="0" xfId="0" applyFont="1" applyFill="1" applyAlignment="1">
      <alignment vertical="center" wrapText="1"/>
    </xf>
    <xf numFmtId="4" fontId="10" fillId="0" borderId="0" xfId="0" applyNumberFormat="1" applyFont="1" applyAlignment="1">
      <alignment vertical="top" wrapText="1"/>
    </xf>
    <xf numFmtId="4" fontId="10" fillId="10" borderId="3" xfId="0" applyNumberFormat="1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16" fontId="10" fillId="10" borderId="2" xfId="0" applyNumberFormat="1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49" fontId="10" fillId="10" borderId="2" xfId="0" applyNumberFormat="1" applyFont="1" applyFill="1" applyBorder="1" applyAlignment="1">
      <alignment horizontal="left" vertical="center"/>
    </xf>
    <xf numFmtId="4" fontId="10" fillId="10" borderId="0" xfId="0" applyNumberFormat="1" applyFont="1" applyFill="1" applyAlignment="1">
      <alignment horizontal="left" vertical="center"/>
    </xf>
    <xf numFmtId="4" fontId="10" fillId="10" borderId="0" xfId="0" applyNumberFormat="1" applyFont="1" applyFill="1" applyAlignment="1">
      <alignment vertical="center" wrapText="1"/>
    </xf>
    <xf numFmtId="16" fontId="10" fillId="10" borderId="3" xfId="0" applyNumberFormat="1" applyFont="1" applyFill="1" applyBorder="1" applyAlignment="1">
      <alignment horizontal="center" vertical="center" wrapText="1"/>
    </xf>
    <xf numFmtId="166" fontId="10" fillId="10" borderId="2" xfId="0" quotePrefix="1" applyNumberFormat="1" applyFont="1" applyFill="1" applyBorder="1" applyAlignment="1">
      <alignment horizontal="center" vertical="center" wrapText="1"/>
    </xf>
    <xf numFmtId="166" fontId="10" fillId="10" borderId="2" xfId="0" applyNumberFormat="1" applyFont="1" applyFill="1" applyBorder="1" applyAlignment="1">
      <alignment horizontal="center" vertical="center"/>
    </xf>
    <xf numFmtId="49" fontId="10" fillId="10" borderId="2" xfId="0" applyNumberFormat="1" applyFont="1" applyFill="1" applyBorder="1" applyAlignment="1">
      <alignment horizontal="left" vertical="center" wrapText="1"/>
    </xf>
    <xf numFmtId="49" fontId="10" fillId="10" borderId="2" xfId="0" applyNumberFormat="1" applyFont="1" applyFill="1" applyBorder="1" applyAlignment="1">
      <alignment horizontal="center" vertical="center" wrapText="1"/>
    </xf>
    <xf numFmtId="3" fontId="10" fillId="10" borderId="2" xfId="0" applyNumberFormat="1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 wrapText="1"/>
    </xf>
    <xf numFmtId="166" fontId="10" fillId="10" borderId="2" xfId="0" quotePrefix="1" applyNumberFormat="1" applyFont="1" applyFill="1" applyBorder="1" applyAlignment="1">
      <alignment horizontal="left" vertical="center"/>
    </xf>
    <xf numFmtId="49" fontId="26" fillId="0" borderId="2" xfId="0" applyNumberFormat="1" applyFont="1" applyFill="1" applyBorder="1" applyAlignment="1">
      <alignment horizontal="center" vertical="center" wrapText="1"/>
    </xf>
    <xf numFmtId="49" fontId="10" fillId="10" borderId="2" xfId="0" applyNumberFormat="1" applyFont="1" applyFill="1" applyBorder="1" applyAlignment="1">
      <alignment horizontal="center" vertical="center"/>
    </xf>
    <xf numFmtId="0" fontId="10" fillId="10" borderId="0" xfId="0" applyNumberFormat="1" applyFont="1" applyFill="1" applyBorder="1" applyAlignment="1">
      <alignment horizontal="left" vertical="center"/>
    </xf>
    <xf numFmtId="0" fontId="10" fillId="10" borderId="0" xfId="0" applyFont="1" applyFill="1" applyBorder="1" applyAlignment="1">
      <alignment vertical="center" wrapText="1"/>
    </xf>
    <xf numFmtId="49" fontId="10" fillId="10" borderId="3" xfId="0" applyNumberFormat="1" applyFont="1" applyFill="1" applyBorder="1" applyAlignment="1">
      <alignment horizontal="left" vertical="center" wrapText="1"/>
    </xf>
    <xf numFmtId="0" fontId="18" fillId="10" borderId="2" xfId="0" applyNumberFormat="1" applyFont="1" applyFill="1" applyBorder="1" applyAlignment="1">
      <alignment horizontal="center" vertical="center" wrapText="1"/>
    </xf>
    <xf numFmtId="166" fontId="18" fillId="10" borderId="2" xfId="0" applyNumberFormat="1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4" fontId="18" fillId="10" borderId="2" xfId="0" applyNumberFormat="1" applyFont="1" applyFill="1" applyBorder="1" applyAlignment="1">
      <alignment horizontal="center" vertical="center" wrapText="1"/>
    </xf>
    <xf numFmtId="49" fontId="18" fillId="10" borderId="3" xfId="0" applyNumberFormat="1" applyFont="1" applyFill="1" applyBorder="1" applyAlignment="1">
      <alignment horizontal="left" vertical="center"/>
    </xf>
    <xf numFmtId="166" fontId="18" fillId="10" borderId="3" xfId="0" applyNumberFormat="1" applyFont="1" applyFill="1" applyBorder="1" applyAlignment="1">
      <alignment horizontal="center" vertical="center" wrapText="1"/>
    </xf>
    <xf numFmtId="16" fontId="18" fillId="10" borderId="2" xfId="0" applyNumberFormat="1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left" vertical="center"/>
    </xf>
    <xf numFmtId="0" fontId="18" fillId="10" borderId="0" xfId="0" applyFont="1" applyFill="1" applyAlignment="1">
      <alignment vertical="center" wrapText="1"/>
    </xf>
    <xf numFmtId="166" fontId="10" fillId="10" borderId="2" xfId="0" applyNumberFormat="1" applyFont="1" applyFill="1" applyBorder="1" applyAlignment="1">
      <alignment horizontal="left" vertical="center"/>
    </xf>
    <xf numFmtId="49" fontId="1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wrapText="1"/>
    </xf>
    <xf numFmtId="49" fontId="10" fillId="0" borderId="0" xfId="0" applyNumberFormat="1" applyFont="1" applyAlignment="1">
      <alignment horizontal="left" vertical="top" wrapText="1"/>
    </xf>
    <xf numFmtId="0" fontId="10" fillId="13" borderId="3" xfId="0" applyFont="1" applyFill="1" applyBorder="1" applyAlignment="1">
      <alignment horizontal="center" vertical="center" wrapText="1"/>
    </xf>
    <xf numFmtId="49" fontId="10" fillId="13" borderId="3" xfId="0" applyNumberFormat="1" applyFont="1" applyFill="1" applyBorder="1" applyAlignment="1">
      <alignment horizontal="left" vertical="center"/>
    </xf>
    <xf numFmtId="166" fontId="10" fillId="13" borderId="3" xfId="0" applyNumberFormat="1" applyFont="1" applyFill="1" applyBorder="1" applyAlignment="1">
      <alignment horizontal="center" vertical="center" wrapText="1"/>
    </xf>
    <xf numFmtId="16" fontId="10" fillId="13" borderId="3" xfId="0" applyNumberFormat="1" applyFont="1" applyFill="1" applyBorder="1" applyAlignment="1">
      <alignment horizontal="center" vertical="center" wrapText="1"/>
    </xf>
    <xf numFmtId="4" fontId="10" fillId="13" borderId="3" xfId="0" applyNumberFormat="1" applyFont="1" applyFill="1" applyBorder="1" applyAlignment="1">
      <alignment horizontal="center" vertical="center" wrapText="1"/>
    </xf>
    <xf numFmtId="49" fontId="10" fillId="13" borderId="2" xfId="0" applyNumberFormat="1" applyFont="1" applyFill="1" applyBorder="1" applyAlignment="1">
      <alignment horizontal="left" vertical="center"/>
    </xf>
    <xf numFmtId="16" fontId="10" fillId="13" borderId="2" xfId="0" applyNumberFormat="1" applyFont="1" applyFill="1" applyBorder="1" applyAlignment="1">
      <alignment horizontal="center" vertical="center" wrapText="1"/>
    </xf>
    <xf numFmtId="166" fontId="10" fillId="13" borderId="2" xfId="0" quotePrefix="1" applyNumberFormat="1" applyFont="1" applyFill="1" applyBorder="1" applyAlignment="1">
      <alignment horizontal="center" vertical="center" wrapText="1"/>
    </xf>
    <xf numFmtId="4" fontId="18" fillId="13" borderId="2" xfId="0" applyNumberFormat="1" applyFont="1" applyFill="1" applyBorder="1" applyAlignment="1">
      <alignment horizontal="center" vertical="center" wrapText="1"/>
    </xf>
    <xf numFmtId="49" fontId="10" fillId="13" borderId="2" xfId="0" applyNumberFormat="1" applyFont="1" applyFill="1" applyBorder="1" applyAlignment="1">
      <alignment horizontal="center" vertical="center" wrapText="1"/>
    </xf>
    <xf numFmtId="4" fontId="10" fillId="13" borderId="0" xfId="0" applyNumberFormat="1" applyFont="1" applyFill="1" applyBorder="1" applyAlignment="1">
      <alignment vertical="center" wrapText="1"/>
    </xf>
    <xf numFmtId="0" fontId="10" fillId="13" borderId="0" xfId="0" applyFont="1" applyFill="1" applyBorder="1" applyAlignment="1">
      <alignment vertical="center" wrapText="1"/>
    </xf>
  </cellXfs>
  <cellStyles count="16">
    <cellStyle name="Денежный 2" xfId="5"/>
    <cellStyle name="Денежный 2 2" xfId="6"/>
    <cellStyle name="Обычный" xfId="0" builtinId="0"/>
    <cellStyle name="Обычный 2" xfId="3"/>
    <cellStyle name="Обычный 2 2" xfId="15"/>
    <cellStyle name="Обычный 3" xfId="4"/>
    <cellStyle name="Обычный 4" xfId="7"/>
    <cellStyle name="Обычный 5" xfId="8"/>
    <cellStyle name="Обычный 6" xfId="9"/>
    <cellStyle name="Обычный 7" xfId="10"/>
    <cellStyle name="Обычный 8" xfId="11"/>
    <cellStyle name="Обычный_еврострой-мартДЦ" xfId="13"/>
    <cellStyle name="Обычный_Учет договоров 2" xfId="14"/>
    <cellStyle name="Финансовый" xfId="1" builtinId="3"/>
    <cellStyle name="Финансовый 2" xfId="2"/>
    <cellStyle name="Финансовый 2 2" xfId="12"/>
  </cellStyles>
  <dxfs count="0"/>
  <tableStyles count="0" defaultTableStyle="TableStyleMedium2" defaultPivotStyle="PivotStyleLight16"/>
  <colors>
    <mruColors>
      <color rgb="FFCCFFCC"/>
      <color rgb="FFFFFF99"/>
      <color rgb="FFFF99CC"/>
      <color rgb="FF48DC44"/>
      <color rgb="FFFF66CC"/>
      <color rgb="FFCCFFFF"/>
      <color rgb="FF99CCFF"/>
      <color rgb="FFFFFFCC"/>
      <color rgb="FFFFC000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CCFFCC"/>
    <pageSetUpPr fitToPage="1"/>
  </sheetPr>
  <dimension ref="A1:IV180"/>
  <sheetViews>
    <sheetView zoomScaleNormal="100" workbookViewId="0">
      <pane ySplit="1" topLeftCell="A59" activePane="bottomLeft" state="frozen"/>
      <selection activeCell="E130" sqref="E130"/>
      <selection pane="bottomLeft" activeCell="C170" sqref="C170"/>
    </sheetView>
  </sheetViews>
  <sheetFormatPr defaultColWidth="9.44140625" defaultRowHeight="13.8" x14ac:dyDescent="0.25"/>
  <cols>
    <col min="1" max="1" width="15" style="207" customWidth="1"/>
    <col min="2" max="2" width="12.44140625" style="57" customWidth="1"/>
    <col min="3" max="3" width="9.5546875" style="73" customWidth="1"/>
    <col min="4" max="4" width="22.5546875" style="207" customWidth="1"/>
    <col min="5" max="5" width="11.5546875" style="207" customWidth="1"/>
    <col min="6" max="6" width="16.44140625" style="62" customWidth="1"/>
    <col min="7" max="7" width="18.5546875" style="207" customWidth="1"/>
    <col min="8" max="8" width="12.5546875" style="503" customWidth="1"/>
    <col min="9" max="9" width="29" style="207" customWidth="1"/>
    <col min="10" max="16384" width="9.44140625" style="207"/>
  </cols>
  <sheetData>
    <row r="1" spans="1:11" s="50" customFormat="1" ht="41.85" customHeight="1" x14ac:dyDescent="0.25">
      <c r="A1" s="6" t="s">
        <v>192</v>
      </c>
      <c r="B1" s="43" t="s">
        <v>123</v>
      </c>
      <c r="C1" s="42" t="s">
        <v>51</v>
      </c>
      <c r="D1" s="6" t="s">
        <v>109</v>
      </c>
      <c r="E1" s="6" t="s">
        <v>9</v>
      </c>
      <c r="F1" s="243" t="s">
        <v>56</v>
      </c>
      <c r="G1" s="6" t="s">
        <v>58</v>
      </c>
      <c r="H1" s="43" t="s">
        <v>57</v>
      </c>
      <c r="I1" s="7" t="s">
        <v>10</v>
      </c>
    </row>
    <row r="2" spans="1:11" s="2" customFormat="1" x14ac:dyDescent="0.25">
      <c r="A2" s="61" t="s">
        <v>741</v>
      </c>
      <c r="B2" s="14">
        <v>43636</v>
      </c>
      <c r="C2" s="13">
        <v>681</v>
      </c>
      <c r="D2" s="13" t="s">
        <v>2047</v>
      </c>
      <c r="E2" s="13" t="s">
        <v>434</v>
      </c>
      <c r="F2" s="4">
        <v>13600</v>
      </c>
      <c r="G2" s="28" t="s">
        <v>50</v>
      </c>
      <c r="H2" s="14">
        <v>43557</v>
      </c>
      <c r="I2" s="4" t="s">
        <v>95</v>
      </c>
      <c r="J2" s="5"/>
    </row>
    <row r="3" spans="1:11" s="97" customFormat="1" x14ac:dyDescent="0.25">
      <c r="A3" s="61" t="s">
        <v>310</v>
      </c>
      <c r="B3" s="14">
        <v>43636</v>
      </c>
      <c r="C3" s="13">
        <v>674</v>
      </c>
      <c r="D3" s="13" t="s">
        <v>1032</v>
      </c>
      <c r="E3" s="13" t="s">
        <v>958</v>
      </c>
      <c r="F3" s="4">
        <v>21000</v>
      </c>
      <c r="G3" s="29" t="s">
        <v>7827</v>
      </c>
      <c r="H3" s="14">
        <v>43559</v>
      </c>
      <c r="I3" s="4" t="s">
        <v>142</v>
      </c>
      <c r="J3" s="22"/>
      <c r="K3" s="134"/>
    </row>
    <row r="4" spans="1:11" s="97" customFormat="1" x14ac:dyDescent="0.25">
      <c r="A4" s="13" t="s">
        <v>455</v>
      </c>
      <c r="B4" s="14">
        <v>43636</v>
      </c>
      <c r="C4" s="13">
        <v>674</v>
      </c>
      <c r="D4" s="13" t="s">
        <v>1032</v>
      </c>
      <c r="E4" s="13" t="s">
        <v>958</v>
      </c>
      <c r="F4" s="4">
        <v>174300</v>
      </c>
      <c r="G4" s="28" t="s">
        <v>7828</v>
      </c>
      <c r="H4" s="14">
        <v>43573</v>
      </c>
      <c r="I4" s="4" t="s">
        <v>1270</v>
      </c>
      <c r="J4" s="22"/>
      <c r="K4" s="134"/>
    </row>
    <row r="5" spans="1:11" s="97" customFormat="1" x14ac:dyDescent="0.25">
      <c r="A5" s="61" t="s">
        <v>455</v>
      </c>
      <c r="B5" s="14">
        <v>43636</v>
      </c>
      <c r="C5" s="13">
        <v>675</v>
      </c>
      <c r="D5" s="13" t="s">
        <v>868</v>
      </c>
      <c r="E5" s="13" t="s">
        <v>958</v>
      </c>
      <c r="F5" s="4">
        <f>161976-61976</f>
        <v>100000</v>
      </c>
      <c r="G5" s="29" t="s">
        <v>7814</v>
      </c>
      <c r="H5" s="14">
        <v>43591</v>
      </c>
      <c r="I5" s="4" t="s">
        <v>7815</v>
      </c>
      <c r="J5" s="22"/>
      <c r="K5" s="134"/>
    </row>
    <row r="6" spans="1:11" s="97" customFormat="1" x14ac:dyDescent="0.25">
      <c r="A6" s="61" t="s">
        <v>455</v>
      </c>
      <c r="B6" s="14">
        <v>43636</v>
      </c>
      <c r="C6" s="13">
        <v>675</v>
      </c>
      <c r="D6" s="13" t="s">
        <v>868</v>
      </c>
      <c r="E6" s="13" t="s">
        <v>958</v>
      </c>
      <c r="F6" s="4">
        <v>54180</v>
      </c>
      <c r="G6" s="29" t="s">
        <v>7816</v>
      </c>
      <c r="H6" s="14">
        <v>43592</v>
      </c>
      <c r="I6" s="4" t="s">
        <v>1314</v>
      </c>
      <c r="J6" s="22"/>
      <c r="K6" s="134"/>
    </row>
    <row r="7" spans="1:11" s="97" customFormat="1" x14ac:dyDescent="0.25">
      <c r="A7" s="61" t="s">
        <v>455</v>
      </c>
      <c r="B7" s="14">
        <v>43636</v>
      </c>
      <c r="C7" s="13">
        <v>676</v>
      </c>
      <c r="D7" s="13" t="s">
        <v>6177</v>
      </c>
      <c r="E7" s="13" t="s">
        <v>958</v>
      </c>
      <c r="F7" s="4">
        <v>142460</v>
      </c>
      <c r="G7" s="29" t="s">
        <v>5928</v>
      </c>
      <c r="H7" s="14">
        <v>43591</v>
      </c>
      <c r="I7" s="4" t="s">
        <v>5049</v>
      </c>
      <c r="J7" s="22"/>
      <c r="K7" s="134"/>
    </row>
    <row r="8" spans="1:11" s="97" customFormat="1" x14ac:dyDescent="0.25">
      <c r="A8" s="61" t="s">
        <v>455</v>
      </c>
      <c r="B8" s="14">
        <v>43636</v>
      </c>
      <c r="C8" s="13">
        <v>676</v>
      </c>
      <c r="D8" s="13" t="s">
        <v>6177</v>
      </c>
      <c r="E8" s="13" t="s">
        <v>958</v>
      </c>
      <c r="F8" s="4">
        <v>200000</v>
      </c>
      <c r="G8" s="29" t="s">
        <v>7246</v>
      </c>
      <c r="H8" s="14">
        <v>43599</v>
      </c>
      <c r="I8" s="4" t="s">
        <v>7796</v>
      </c>
      <c r="J8" s="22"/>
      <c r="K8" s="134"/>
    </row>
    <row r="9" spans="1:11" s="97" customFormat="1" x14ac:dyDescent="0.25">
      <c r="A9" s="61" t="s">
        <v>455</v>
      </c>
      <c r="B9" s="14">
        <v>43636</v>
      </c>
      <c r="C9" s="13">
        <v>677</v>
      </c>
      <c r="D9" s="13" t="s">
        <v>157</v>
      </c>
      <c r="E9" s="13" t="s">
        <v>958</v>
      </c>
      <c r="F9" s="4">
        <v>44650.8</v>
      </c>
      <c r="G9" s="29" t="s">
        <v>7783</v>
      </c>
      <c r="H9" s="14">
        <v>43593</v>
      </c>
      <c r="I9" s="4" t="s">
        <v>6502</v>
      </c>
      <c r="J9" s="22"/>
      <c r="K9" s="134"/>
    </row>
    <row r="10" spans="1:11" s="93" customFormat="1" x14ac:dyDescent="0.25">
      <c r="A10" s="61" t="s">
        <v>311</v>
      </c>
      <c r="B10" s="14">
        <v>43636</v>
      </c>
      <c r="C10" s="13">
        <v>668</v>
      </c>
      <c r="D10" s="13" t="s">
        <v>666</v>
      </c>
      <c r="E10" s="13" t="s">
        <v>958</v>
      </c>
      <c r="F10" s="4">
        <v>43700</v>
      </c>
      <c r="G10" s="28" t="s">
        <v>975</v>
      </c>
      <c r="H10" s="14">
        <v>43578</v>
      </c>
      <c r="I10" s="4" t="s">
        <v>266</v>
      </c>
      <c r="J10" s="16"/>
      <c r="K10" s="92"/>
    </row>
    <row r="11" spans="1:11" s="97" customFormat="1" x14ac:dyDescent="0.25">
      <c r="A11" s="61" t="s">
        <v>310</v>
      </c>
      <c r="B11" s="14">
        <v>43636</v>
      </c>
      <c r="C11" s="13">
        <v>678</v>
      </c>
      <c r="D11" s="13" t="s">
        <v>516</v>
      </c>
      <c r="E11" s="13" t="s">
        <v>958</v>
      </c>
      <c r="F11" s="37">
        <v>17481.599999999999</v>
      </c>
      <c r="G11" s="29" t="s">
        <v>8371</v>
      </c>
      <c r="H11" s="14">
        <v>43600</v>
      </c>
      <c r="I11" s="4" t="s">
        <v>8372</v>
      </c>
      <c r="J11" s="22"/>
      <c r="K11" s="134"/>
    </row>
    <row r="12" spans="1:11" s="228" customFormat="1" x14ac:dyDescent="0.25">
      <c r="A12" s="61" t="s">
        <v>455</v>
      </c>
      <c r="B12" s="14">
        <v>43636</v>
      </c>
      <c r="C12" s="13">
        <v>679</v>
      </c>
      <c r="D12" s="13" t="s">
        <v>5345</v>
      </c>
      <c r="E12" s="13" t="s">
        <v>958</v>
      </c>
      <c r="F12" s="37">
        <v>100000</v>
      </c>
      <c r="G12" s="29" t="s">
        <v>4</v>
      </c>
      <c r="H12" s="14">
        <v>43575</v>
      </c>
      <c r="I12" s="4" t="s">
        <v>5346</v>
      </c>
      <c r="J12" s="21"/>
    </row>
    <row r="13" spans="1:11" s="228" customFormat="1" x14ac:dyDescent="0.25">
      <c r="A13" s="61" t="s">
        <v>455</v>
      </c>
      <c r="B13" s="14">
        <v>43636</v>
      </c>
      <c r="C13" s="13">
        <v>680</v>
      </c>
      <c r="D13" s="13" t="s">
        <v>1985</v>
      </c>
      <c r="E13" s="13" t="s">
        <v>958</v>
      </c>
      <c r="F13" s="37">
        <v>12400</v>
      </c>
      <c r="G13" s="29" t="s">
        <v>65</v>
      </c>
      <c r="H13" s="14">
        <v>43585</v>
      </c>
      <c r="I13" s="4" t="s">
        <v>122</v>
      </c>
      <c r="J13" s="21"/>
    </row>
    <row r="14" spans="1:11" s="228" customFormat="1" x14ac:dyDescent="0.25">
      <c r="A14" s="61" t="s">
        <v>310</v>
      </c>
      <c r="B14" s="14">
        <v>43636</v>
      </c>
      <c r="C14" s="13">
        <v>681</v>
      </c>
      <c r="D14" s="13" t="s">
        <v>2115</v>
      </c>
      <c r="E14" s="13" t="s">
        <v>958</v>
      </c>
      <c r="F14" s="37">
        <v>331500</v>
      </c>
      <c r="G14" s="29" t="s">
        <v>3280</v>
      </c>
      <c r="H14" s="14">
        <v>43585</v>
      </c>
      <c r="I14" s="4" t="s">
        <v>1602</v>
      </c>
      <c r="J14" s="21"/>
    </row>
    <row r="15" spans="1:11" s="97" customFormat="1" x14ac:dyDescent="0.25">
      <c r="A15" s="61" t="s">
        <v>103</v>
      </c>
      <c r="B15" s="14">
        <v>43636</v>
      </c>
      <c r="C15" s="13">
        <v>1068</v>
      </c>
      <c r="D15" s="13" t="s">
        <v>1690</v>
      </c>
      <c r="E15" s="13" t="s">
        <v>62</v>
      </c>
      <c r="F15" s="37">
        <v>12800</v>
      </c>
      <c r="G15" s="29" t="s">
        <v>8093</v>
      </c>
      <c r="H15" s="14">
        <v>43599</v>
      </c>
      <c r="I15" s="4" t="s">
        <v>1301</v>
      </c>
      <c r="J15" s="22"/>
      <c r="K15" s="134"/>
    </row>
    <row r="16" spans="1:11" s="228" customFormat="1" x14ac:dyDescent="0.25">
      <c r="A16" s="61" t="s">
        <v>103</v>
      </c>
      <c r="B16" s="14">
        <v>43636</v>
      </c>
      <c r="C16" s="13">
        <v>1071</v>
      </c>
      <c r="D16" s="13" t="s">
        <v>9193</v>
      </c>
      <c r="E16" s="13" t="s">
        <v>62</v>
      </c>
      <c r="F16" s="37">
        <v>233734.2</v>
      </c>
      <c r="G16" s="29" t="s">
        <v>3317</v>
      </c>
      <c r="H16" s="14">
        <v>43633</v>
      </c>
      <c r="I16" s="4" t="s">
        <v>9194</v>
      </c>
      <c r="J16" s="21"/>
    </row>
    <row r="17" spans="1:11" s="97" customFormat="1" x14ac:dyDescent="0.25">
      <c r="A17" s="61" t="s">
        <v>358</v>
      </c>
      <c r="B17" s="14">
        <v>43636</v>
      </c>
      <c r="C17" s="13">
        <v>1077</v>
      </c>
      <c r="D17" s="13" t="s">
        <v>157</v>
      </c>
      <c r="E17" s="13" t="s">
        <v>62</v>
      </c>
      <c r="F17" s="4">
        <f>873936-450000</f>
        <v>423936</v>
      </c>
      <c r="G17" s="29" t="s">
        <v>7728</v>
      </c>
      <c r="H17" s="14">
        <v>43551</v>
      </c>
      <c r="I17" s="4" t="s">
        <v>305</v>
      </c>
      <c r="J17" s="22"/>
      <c r="K17" s="134"/>
    </row>
    <row r="18" spans="1:11" s="97" customFormat="1" x14ac:dyDescent="0.25">
      <c r="A18" s="61" t="s">
        <v>442</v>
      </c>
      <c r="B18" s="14">
        <v>43636</v>
      </c>
      <c r="C18" s="13">
        <v>1078</v>
      </c>
      <c r="D18" s="13" t="s">
        <v>304</v>
      </c>
      <c r="E18" s="13" t="s">
        <v>62</v>
      </c>
      <c r="F18" s="37">
        <f>977424-500000</f>
        <v>477424</v>
      </c>
      <c r="G18" s="29" t="s">
        <v>8610</v>
      </c>
      <c r="H18" s="14">
        <v>43606</v>
      </c>
      <c r="I18" s="4" t="s">
        <v>1825</v>
      </c>
      <c r="J18" s="22"/>
      <c r="K18" s="134"/>
    </row>
    <row r="19" spans="1:11" s="97" customFormat="1" x14ac:dyDescent="0.25">
      <c r="A19" s="61" t="s">
        <v>92</v>
      </c>
      <c r="B19" s="14">
        <v>43636</v>
      </c>
      <c r="C19" s="13">
        <v>1079</v>
      </c>
      <c r="D19" s="13" t="s">
        <v>869</v>
      </c>
      <c r="E19" s="13" t="s">
        <v>62</v>
      </c>
      <c r="F19" s="4">
        <v>28936.84</v>
      </c>
      <c r="G19" s="28" t="s">
        <v>3860</v>
      </c>
      <c r="H19" s="14">
        <v>43599</v>
      </c>
      <c r="I19" s="4" t="s">
        <v>268</v>
      </c>
      <c r="J19" s="22"/>
      <c r="K19" s="134"/>
    </row>
    <row r="20" spans="1:11" s="97" customFormat="1" x14ac:dyDescent="0.25">
      <c r="A20" s="61" t="s">
        <v>92</v>
      </c>
      <c r="B20" s="14">
        <v>43636</v>
      </c>
      <c r="C20" s="13">
        <v>1080</v>
      </c>
      <c r="D20" s="13" t="s">
        <v>100</v>
      </c>
      <c r="E20" s="13" t="s">
        <v>62</v>
      </c>
      <c r="F20" s="4">
        <f>182145.6-100000</f>
        <v>82145.600000000006</v>
      </c>
      <c r="G20" s="29" t="s">
        <v>7825</v>
      </c>
      <c r="H20" s="14">
        <v>43592</v>
      </c>
      <c r="I20" s="4" t="s">
        <v>572</v>
      </c>
      <c r="J20" s="22"/>
      <c r="K20" s="134"/>
    </row>
    <row r="21" spans="1:11" s="97" customFormat="1" x14ac:dyDescent="0.25">
      <c r="A21" s="61" t="s">
        <v>442</v>
      </c>
      <c r="B21" s="14">
        <v>43636</v>
      </c>
      <c r="C21" s="13">
        <v>1081</v>
      </c>
      <c r="D21" s="13" t="s">
        <v>280</v>
      </c>
      <c r="E21" s="13" t="s">
        <v>62</v>
      </c>
      <c r="F21" s="4">
        <v>35024</v>
      </c>
      <c r="G21" s="29" t="s">
        <v>3464</v>
      </c>
      <c r="H21" s="14">
        <v>43581</v>
      </c>
      <c r="I21" s="4" t="s">
        <v>7522</v>
      </c>
      <c r="J21" s="22"/>
      <c r="K21" s="134"/>
    </row>
    <row r="22" spans="1:11" s="97" customFormat="1" x14ac:dyDescent="0.25">
      <c r="A22" s="61" t="s">
        <v>442</v>
      </c>
      <c r="B22" s="14">
        <v>43636</v>
      </c>
      <c r="C22" s="13">
        <v>1081</v>
      </c>
      <c r="D22" s="13" t="s">
        <v>280</v>
      </c>
      <c r="E22" s="13" t="s">
        <v>62</v>
      </c>
      <c r="F22" s="4">
        <v>101400</v>
      </c>
      <c r="G22" s="29" t="s">
        <v>1368</v>
      </c>
      <c r="H22" s="14">
        <v>43584</v>
      </c>
      <c r="I22" s="4" t="s">
        <v>7523</v>
      </c>
      <c r="J22" s="22"/>
      <c r="K22" s="134"/>
    </row>
    <row r="23" spans="1:11" s="97" customFormat="1" x14ac:dyDescent="0.25">
      <c r="A23" s="61" t="s">
        <v>442</v>
      </c>
      <c r="B23" s="14">
        <v>43636</v>
      </c>
      <c r="C23" s="13">
        <v>1081</v>
      </c>
      <c r="D23" s="13" t="s">
        <v>280</v>
      </c>
      <c r="E23" s="13" t="s">
        <v>62</v>
      </c>
      <c r="F23" s="4">
        <v>23170</v>
      </c>
      <c r="G23" s="29" t="s">
        <v>1436</v>
      </c>
      <c r="H23" s="14">
        <v>43584</v>
      </c>
      <c r="I23" s="4" t="s">
        <v>7524</v>
      </c>
      <c r="J23" s="22"/>
      <c r="K23" s="134"/>
    </row>
    <row r="24" spans="1:11" s="97" customFormat="1" x14ac:dyDescent="0.25">
      <c r="A24" s="61" t="s">
        <v>358</v>
      </c>
      <c r="B24" s="14">
        <v>43636</v>
      </c>
      <c r="C24" s="13">
        <v>1081</v>
      </c>
      <c r="D24" s="13" t="s">
        <v>280</v>
      </c>
      <c r="E24" s="13" t="s">
        <v>62</v>
      </c>
      <c r="F24" s="4">
        <v>13271</v>
      </c>
      <c r="G24" s="29" t="s">
        <v>3609</v>
      </c>
      <c r="H24" s="14">
        <v>43591</v>
      </c>
      <c r="I24" s="4" t="s">
        <v>7805</v>
      </c>
      <c r="J24" s="22"/>
      <c r="K24" s="134"/>
    </row>
    <row r="25" spans="1:11" s="97" customFormat="1" x14ac:dyDescent="0.25">
      <c r="A25" s="61" t="s">
        <v>91</v>
      </c>
      <c r="B25" s="14">
        <v>43636</v>
      </c>
      <c r="C25" s="13">
        <v>1081</v>
      </c>
      <c r="D25" s="13" t="s">
        <v>280</v>
      </c>
      <c r="E25" s="13" t="s">
        <v>62</v>
      </c>
      <c r="F25" s="4">
        <v>20716</v>
      </c>
      <c r="G25" s="29" t="s">
        <v>7807</v>
      </c>
      <c r="H25" s="14">
        <v>43593</v>
      </c>
      <c r="I25" s="4" t="s">
        <v>7808</v>
      </c>
      <c r="J25" s="22"/>
      <c r="K25" s="134"/>
    </row>
    <row r="26" spans="1:11" s="97" customFormat="1" x14ac:dyDescent="0.25">
      <c r="A26" s="61" t="s">
        <v>442</v>
      </c>
      <c r="B26" s="14">
        <v>43636</v>
      </c>
      <c r="C26" s="13">
        <v>1081</v>
      </c>
      <c r="D26" s="13" t="s">
        <v>280</v>
      </c>
      <c r="E26" s="13" t="s">
        <v>62</v>
      </c>
      <c r="F26" s="4">
        <v>40800</v>
      </c>
      <c r="G26" s="29" t="s">
        <v>7809</v>
      </c>
      <c r="H26" s="14">
        <v>43593</v>
      </c>
      <c r="I26" s="4" t="s">
        <v>7810</v>
      </c>
      <c r="J26" s="22"/>
      <c r="K26" s="134"/>
    </row>
    <row r="27" spans="1:11" s="97" customFormat="1" x14ac:dyDescent="0.25">
      <c r="A27" s="61" t="s">
        <v>442</v>
      </c>
      <c r="B27" s="14">
        <v>43636</v>
      </c>
      <c r="C27" s="13">
        <v>1082</v>
      </c>
      <c r="D27" s="13" t="s">
        <v>814</v>
      </c>
      <c r="E27" s="13" t="s">
        <v>62</v>
      </c>
      <c r="F27" s="4">
        <f>249768.5-100000</f>
        <v>149768.5</v>
      </c>
      <c r="G27" s="29" t="s">
        <v>7513</v>
      </c>
      <c r="H27" s="14">
        <v>43581</v>
      </c>
      <c r="I27" s="4" t="s">
        <v>7514</v>
      </c>
      <c r="J27" s="22"/>
      <c r="K27" s="134"/>
    </row>
    <row r="28" spans="1:11" s="466" customFormat="1" ht="27.6" x14ac:dyDescent="0.25">
      <c r="A28" s="61" t="s">
        <v>92</v>
      </c>
      <c r="B28" s="14">
        <v>43636</v>
      </c>
      <c r="C28" s="13">
        <v>1083</v>
      </c>
      <c r="D28" s="13" t="s">
        <v>304</v>
      </c>
      <c r="E28" s="13" t="s">
        <v>62</v>
      </c>
      <c r="F28" s="4">
        <v>95629</v>
      </c>
      <c r="G28" s="29" t="s">
        <v>7797</v>
      </c>
      <c r="H28" s="14">
        <v>43592</v>
      </c>
      <c r="I28" s="4" t="s">
        <v>7798</v>
      </c>
      <c r="J28" s="144"/>
      <c r="K28" s="465"/>
    </row>
    <row r="29" spans="1:11" s="97" customFormat="1" x14ac:dyDescent="0.25">
      <c r="A29" s="61" t="s">
        <v>91</v>
      </c>
      <c r="B29" s="14">
        <v>43636</v>
      </c>
      <c r="C29" s="13">
        <v>1083</v>
      </c>
      <c r="D29" s="13" t="s">
        <v>304</v>
      </c>
      <c r="E29" s="13" t="s">
        <v>62</v>
      </c>
      <c r="F29" s="4">
        <v>167580</v>
      </c>
      <c r="G29" s="29" t="s">
        <v>7799</v>
      </c>
      <c r="H29" s="14">
        <v>43593</v>
      </c>
      <c r="I29" s="4" t="s">
        <v>374</v>
      </c>
      <c r="J29" s="22"/>
      <c r="K29" s="134"/>
    </row>
    <row r="30" spans="1:11" s="97" customFormat="1" x14ac:dyDescent="0.25">
      <c r="A30" s="61" t="s">
        <v>91</v>
      </c>
      <c r="B30" s="14">
        <v>43636</v>
      </c>
      <c r="C30" s="13">
        <v>1083</v>
      </c>
      <c r="D30" s="13" t="s">
        <v>304</v>
      </c>
      <c r="E30" s="13" t="s">
        <v>62</v>
      </c>
      <c r="F30" s="4">
        <v>22700</v>
      </c>
      <c r="G30" s="29" t="s">
        <v>7800</v>
      </c>
      <c r="H30" s="14">
        <v>43600</v>
      </c>
      <c r="I30" s="4" t="s">
        <v>374</v>
      </c>
      <c r="J30" s="22"/>
      <c r="K30" s="134"/>
    </row>
    <row r="31" spans="1:11" s="97" customFormat="1" x14ac:dyDescent="0.25">
      <c r="A31" s="61" t="s">
        <v>358</v>
      </c>
      <c r="B31" s="14">
        <v>43636</v>
      </c>
      <c r="C31" s="13">
        <v>1083</v>
      </c>
      <c r="D31" s="13" t="s">
        <v>304</v>
      </c>
      <c r="E31" s="13" t="s">
        <v>62</v>
      </c>
      <c r="F31" s="37">
        <v>11350</v>
      </c>
      <c r="G31" s="29" t="s">
        <v>8426</v>
      </c>
      <c r="H31" s="14">
        <v>43601</v>
      </c>
      <c r="I31" s="4" t="s">
        <v>374</v>
      </c>
      <c r="J31" s="22"/>
      <c r="K31" s="134"/>
    </row>
    <row r="32" spans="1:11" s="97" customFormat="1" x14ac:dyDescent="0.25">
      <c r="A32" s="61" t="s">
        <v>358</v>
      </c>
      <c r="B32" s="14">
        <v>43636</v>
      </c>
      <c r="C32" s="13">
        <v>1084</v>
      </c>
      <c r="D32" s="13" t="s">
        <v>157</v>
      </c>
      <c r="E32" s="13" t="s">
        <v>62</v>
      </c>
      <c r="F32" s="4">
        <v>44445.120000000003</v>
      </c>
      <c r="G32" s="29" t="s">
        <v>7779</v>
      </c>
      <c r="H32" s="14">
        <v>43593</v>
      </c>
      <c r="I32" s="4" t="s">
        <v>7780</v>
      </c>
      <c r="J32" s="22"/>
      <c r="K32" s="134"/>
    </row>
    <row r="33" spans="1:11" s="97" customFormat="1" x14ac:dyDescent="0.25">
      <c r="A33" s="61" t="s">
        <v>91</v>
      </c>
      <c r="B33" s="14">
        <v>43636</v>
      </c>
      <c r="C33" s="13">
        <v>1084</v>
      </c>
      <c r="D33" s="13" t="s">
        <v>157</v>
      </c>
      <c r="E33" s="13" t="s">
        <v>62</v>
      </c>
      <c r="F33" s="4">
        <v>80644.800000000003</v>
      </c>
      <c r="G33" s="29" t="s">
        <v>7781</v>
      </c>
      <c r="H33" s="14">
        <v>43593</v>
      </c>
      <c r="I33" s="4" t="s">
        <v>7782</v>
      </c>
      <c r="J33" s="22"/>
      <c r="K33" s="134"/>
    </row>
    <row r="34" spans="1:11" s="97" customFormat="1" x14ac:dyDescent="0.25">
      <c r="A34" s="61" t="s">
        <v>92</v>
      </c>
      <c r="B34" s="14">
        <v>43636</v>
      </c>
      <c r="C34" s="13">
        <v>1084</v>
      </c>
      <c r="D34" s="13" t="s">
        <v>157</v>
      </c>
      <c r="E34" s="13" t="s">
        <v>62</v>
      </c>
      <c r="F34" s="4">
        <v>35877.800000000003</v>
      </c>
      <c r="G34" s="29" t="s">
        <v>7787</v>
      </c>
      <c r="H34" s="14">
        <v>43599</v>
      </c>
      <c r="I34" s="4" t="s">
        <v>7788</v>
      </c>
      <c r="J34" s="22"/>
      <c r="K34" s="134"/>
    </row>
    <row r="35" spans="1:11" s="93" customFormat="1" x14ac:dyDescent="0.25">
      <c r="A35" s="61" t="s">
        <v>92</v>
      </c>
      <c r="B35" s="14">
        <v>43636</v>
      </c>
      <c r="C35" s="13">
        <v>1085</v>
      </c>
      <c r="D35" s="13" t="s">
        <v>1491</v>
      </c>
      <c r="E35" s="13" t="s">
        <v>62</v>
      </c>
      <c r="F35" s="4">
        <f>1178465.84-250000-100000-300000-200000</f>
        <v>328465.84000000008</v>
      </c>
      <c r="G35" s="29" t="s">
        <v>6816</v>
      </c>
      <c r="H35" s="14">
        <v>43567</v>
      </c>
      <c r="I35" s="4" t="s">
        <v>555</v>
      </c>
      <c r="J35" s="22"/>
      <c r="K35" s="92"/>
    </row>
    <row r="36" spans="1:11" s="93" customFormat="1" x14ac:dyDescent="0.25">
      <c r="A36" s="61" t="s">
        <v>92</v>
      </c>
      <c r="B36" s="14">
        <v>43636</v>
      </c>
      <c r="C36" s="13">
        <v>1086</v>
      </c>
      <c r="D36" s="13" t="s">
        <v>244</v>
      </c>
      <c r="E36" s="13" t="s">
        <v>62</v>
      </c>
      <c r="F36" s="4">
        <f>1027676.94-400000-250000-100000*2</f>
        <v>177676.93999999994</v>
      </c>
      <c r="G36" s="29" t="s">
        <v>898</v>
      </c>
      <c r="H36" s="14">
        <v>43570</v>
      </c>
      <c r="I36" s="4" t="s">
        <v>3433</v>
      </c>
      <c r="J36" s="16"/>
      <c r="K36" s="92"/>
    </row>
    <row r="37" spans="1:11" s="93" customFormat="1" x14ac:dyDescent="0.25">
      <c r="A37" s="61" t="s">
        <v>442</v>
      </c>
      <c r="B37" s="14">
        <v>43636</v>
      </c>
      <c r="C37" s="13">
        <v>1087</v>
      </c>
      <c r="D37" s="13" t="s">
        <v>666</v>
      </c>
      <c r="E37" s="13" t="s">
        <v>62</v>
      </c>
      <c r="F37" s="4">
        <v>44896</v>
      </c>
      <c r="G37" s="29" t="s">
        <v>6462</v>
      </c>
      <c r="H37" s="14">
        <v>43592</v>
      </c>
      <c r="I37" s="4" t="s">
        <v>1303</v>
      </c>
      <c r="J37" s="16"/>
      <c r="K37" s="92"/>
    </row>
    <row r="38" spans="1:11" s="93" customFormat="1" x14ac:dyDescent="0.25">
      <c r="A38" s="61" t="s">
        <v>442</v>
      </c>
      <c r="B38" s="14">
        <v>43636</v>
      </c>
      <c r="C38" s="13">
        <v>1087</v>
      </c>
      <c r="D38" s="13" t="s">
        <v>666</v>
      </c>
      <c r="E38" s="13" t="s">
        <v>62</v>
      </c>
      <c r="F38" s="4">
        <v>43496</v>
      </c>
      <c r="G38" s="29" t="s">
        <v>7773</v>
      </c>
      <c r="H38" s="14">
        <v>43593</v>
      </c>
      <c r="I38" s="4" t="s">
        <v>7774</v>
      </c>
      <c r="J38" s="16"/>
      <c r="K38" s="92"/>
    </row>
    <row r="39" spans="1:11" s="97" customFormat="1" ht="27.6" x14ac:dyDescent="0.25">
      <c r="A39" s="68" t="s">
        <v>92</v>
      </c>
      <c r="B39" s="14">
        <v>43636</v>
      </c>
      <c r="C39" s="13">
        <v>1088</v>
      </c>
      <c r="D39" s="13" t="s">
        <v>516</v>
      </c>
      <c r="E39" s="218" t="s">
        <v>62</v>
      </c>
      <c r="F39" s="4">
        <v>5246.8</v>
      </c>
      <c r="G39" s="29" t="s">
        <v>8369</v>
      </c>
      <c r="H39" s="14">
        <v>43600</v>
      </c>
      <c r="I39" s="4" t="s">
        <v>8370</v>
      </c>
      <c r="J39" s="22"/>
      <c r="K39" s="134"/>
    </row>
    <row r="40" spans="1:11" s="97" customFormat="1" x14ac:dyDescent="0.25">
      <c r="A40" s="61" t="s">
        <v>442</v>
      </c>
      <c r="B40" s="14">
        <v>43636</v>
      </c>
      <c r="C40" s="13">
        <v>1088</v>
      </c>
      <c r="D40" s="13" t="s">
        <v>516</v>
      </c>
      <c r="E40" s="13" t="s">
        <v>62</v>
      </c>
      <c r="F40" s="37">
        <v>79604.22</v>
      </c>
      <c r="G40" s="29" t="s">
        <v>8374</v>
      </c>
      <c r="H40" s="14">
        <v>43601</v>
      </c>
      <c r="I40" s="4" t="s">
        <v>8375</v>
      </c>
      <c r="J40" s="22"/>
      <c r="K40" s="134"/>
    </row>
    <row r="41" spans="1:11" s="228" customFormat="1" x14ac:dyDescent="0.25">
      <c r="A41" s="61" t="s">
        <v>92</v>
      </c>
      <c r="B41" s="14">
        <v>43636</v>
      </c>
      <c r="C41" s="13">
        <v>1089</v>
      </c>
      <c r="D41" s="13" t="s">
        <v>282</v>
      </c>
      <c r="E41" s="13" t="s">
        <v>62</v>
      </c>
      <c r="F41" s="37">
        <v>27885</v>
      </c>
      <c r="G41" s="29" t="s">
        <v>7668</v>
      </c>
      <c r="H41" s="14">
        <v>43594</v>
      </c>
      <c r="I41" s="4" t="s">
        <v>283</v>
      </c>
      <c r="J41" s="21"/>
    </row>
    <row r="42" spans="1:11" s="228" customFormat="1" x14ac:dyDescent="0.25">
      <c r="A42" s="61" t="s">
        <v>358</v>
      </c>
      <c r="B42" s="14">
        <v>43636</v>
      </c>
      <c r="C42" s="13">
        <v>1089</v>
      </c>
      <c r="D42" s="13" t="s">
        <v>282</v>
      </c>
      <c r="E42" s="13" t="s">
        <v>62</v>
      </c>
      <c r="F42" s="37">
        <v>6435</v>
      </c>
      <c r="G42" s="29" t="s">
        <v>7669</v>
      </c>
      <c r="H42" s="14">
        <v>43594</v>
      </c>
      <c r="I42" s="4" t="s">
        <v>283</v>
      </c>
      <c r="J42" s="21"/>
    </row>
    <row r="43" spans="1:11" s="228" customFormat="1" x14ac:dyDescent="0.25">
      <c r="A43" s="61" t="s">
        <v>55</v>
      </c>
      <c r="B43" s="14">
        <v>43636</v>
      </c>
      <c r="C43" s="13">
        <v>1089</v>
      </c>
      <c r="D43" s="13" t="s">
        <v>282</v>
      </c>
      <c r="E43" s="13" t="s">
        <v>62</v>
      </c>
      <c r="F43" s="37">
        <v>715</v>
      </c>
      <c r="G43" s="29" t="s">
        <v>3442</v>
      </c>
      <c r="H43" s="14">
        <v>43601</v>
      </c>
      <c r="I43" s="4" t="s">
        <v>283</v>
      </c>
      <c r="J43" s="21"/>
    </row>
    <row r="44" spans="1:11" s="228" customFormat="1" x14ac:dyDescent="0.25">
      <c r="A44" s="61" t="s">
        <v>442</v>
      </c>
      <c r="B44" s="14">
        <v>43636</v>
      </c>
      <c r="C44" s="13">
        <v>1089</v>
      </c>
      <c r="D44" s="13" t="s">
        <v>282</v>
      </c>
      <c r="E44" s="13" t="s">
        <v>62</v>
      </c>
      <c r="F44" s="37">
        <v>45760</v>
      </c>
      <c r="G44" s="29" t="s">
        <v>8048</v>
      </c>
      <c r="H44" s="14">
        <v>43601</v>
      </c>
      <c r="I44" s="4" t="s">
        <v>283</v>
      </c>
      <c r="J44" s="21"/>
    </row>
    <row r="45" spans="1:11" s="228" customFormat="1" x14ac:dyDescent="0.25">
      <c r="A45" s="61" t="s">
        <v>91</v>
      </c>
      <c r="B45" s="14">
        <v>43636</v>
      </c>
      <c r="C45" s="13">
        <v>1089</v>
      </c>
      <c r="D45" s="13" t="s">
        <v>282</v>
      </c>
      <c r="E45" s="13" t="s">
        <v>62</v>
      </c>
      <c r="F45" s="37">
        <v>15015</v>
      </c>
      <c r="G45" s="29" t="s">
        <v>8049</v>
      </c>
      <c r="H45" s="14">
        <v>43601</v>
      </c>
      <c r="I45" s="4" t="s">
        <v>283</v>
      </c>
      <c r="J45" s="21"/>
    </row>
    <row r="46" spans="1:11" s="228" customFormat="1" x14ac:dyDescent="0.25">
      <c r="A46" s="61" t="s">
        <v>358</v>
      </c>
      <c r="B46" s="14">
        <v>43636</v>
      </c>
      <c r="C46" s="13">
        <v>1089</v>
      </c>
      <c r="D46" s="13" t="s">
        <v>282</v>
      </c>
      <c r="E46" s="13" t="s">
        <v>62</v>
      </c>
      <c r="F46" s="37">
        <v>5720</v>
      </c>
      <c r="G46" s="29" t="s">
        <v>8050</v>
      </c>
      <c r="H46" s="14">
        <v>43601</v>
      </c>
      <c r="I46" s="4" t="s">
        <v>283</v>
      </c>
      <c r="J46" s="21"/>
    </row>
    <row r="47" spans="1:11" s="228" customFormat="1" x14ac:dyDescent="0.25">
      <c r="A47" s="61" t="s">
        <v>92</v>
      </c>
      <c r="B47" s="14">
        <v>43636</v>
      </c>
      <c r="C47" s="13">
        <v>1089</v>
      </c>
      <c r="D47" s="13" t="s">
        <v>282</v>
      </c>
      <c r="E47" s="13" t="s">
        <v>62</v>
      </c>
      <c r="F47" s="37">
        <v>22880</v>
      </c>
      <c r="G47" s="29" t="s">
        <v>8051</v>
      </c>
      <c r="H47" s="14">
        <v>43601</v>
      </c>
      <c r="I47" s="4" t="s">
        <v>283</v>
      </c>
      <c r="J47" s="21"/>
    </row>
    <row r="48" spans="1:11" s="228" customFormat="1" x14ac:dyDescent="0.25">
      <c r="A48" s="61" t="s">
        <v>92</v>
      </c>
      <c r="B48" s="14">
        <v>43636</v>
      </c>
      <c r="C48" s="13">
        <v>1090</v>
      </c>
      <c r="D48" s="13" t="s">
        <v>250</v>
      </c>
      <c r="E48" s="13" t="s">
        <v>62</v>
      </c>
      <c r="F48" s="37">
        <f>562625-200000</f>
        <v>362625</v>
      </c>
      <c r="G48" s="29" t="s">
        <v>7030</v>
      </c>
      <c r="H48" s="14">
        <v>43565</v>
      </c>
      <c r="I48" s="4" t="s">
        <v>2159</v>
      </c>
      <c r="J48" s="21"/>
    </row>
    <row r="49" spans="1:11" s="228" customFormat="1" x14ac:dyDescent="0.25">
      <c r="A49" s="61" t="s">
        <v>92</v>
      </c>
      <c r="B49" s="14">
        <v>43636</v>
      </c>
      <c r="C49" s="13">
        <v>1090</v>
      </c>
      <c r="D49" s="13" t="s">
        <v>250</v>
      </c>
      <c r="E49" s="13" t="s">
        <v>62</v>
      </c>
      <c r="F49" s="37">
        <v>409062.5</v>
      </c>
      <c r="G49" s="29" t="s">
        <v>7033</v>
      </c>
      <c r="H49" s="14">
        <v>43570</v>
      </c>
      <c r="I49" s="4" t="s">
        <v>2159</v>
      </c>
      <c r="J49" s="21"/>
    </row>
    <row r="50" spans="1:11" s="228" customFormat="1" ht="27.6" x14ac:dyDescent="0.25">
      <c r="A50" s="61" t="s">
        <v>6102</v>
      </c>
      <c r="B50" s="14">
        <v>43636</v>
      </c>
      <c r="C50" s="13">
        <v>1091</v>
      </c>
      <c r="D50" s="13" t="s">
        <v>29</v>
      </c>
      <c r="E50" s="13" t="s">
        <v>62</v>
      </c>
      <c r="F50" s="4">
        <v>226100</v>
      </c>
      <c r="G50" s="28" t="s">
        <v>4265</v>
      </c>
      <c r="H50" s="14">
        <v>43571</v>
      </c>
      <c r="I50" s="4" t="s">
        <v>95</v>
      </c>
      <c r="J50" s="21"/>
    </row>
    <row r="51" spans="1:11" s="228" customFormat="1" x14ac:dyDescent="0.25">
      <c r="A51" s="61" t="s">
        <v>103</v>
      </c>
      <c r="B51" s="14">
        <v>43636</v>
      </c>
      <c r="C51" s="13">
        <v>1092</v>
      </c>
      <c r="D51" s="13" t="s">
        <v>2047</v>
      </c>
      <c r="E51" s="13" t="s">
        <v>62</v>
      </c>
      <c r="F51" s="37">
        <v>13600</v>
      </c>
      <c r="G51" s="29" t="s">
        <v>8067</v>
      </c>
      <c r="H51" s="14">
        <v>43600</v>
      </c>
      <c r="I51" s="4" t="s">
        <v>95</v>
      </c>
      <c r="J51" s="21"/>
    </row>
    <row r="52" spans="1:11" s="228" customFormat="1" x14ac:dyDescent="0.25">
      <c r="A52" s="61" t="s">
        <v>55</v>
      </c>
      <c r="B52" s="14">
        <v>43636</v>
      </c>
      <c r="C52" s="13">
        <v>1093</v>
      </c>
      <c r="D52" s="13" t="s">
        <v>1985</v>
      </c>
      <c r="E52" s="13" t="s">
        <v>62</v>
      </c>
      <c r="F52" s="37">
        <v>26000</v>
      </c>
      <c r="G52" s="29" t="s">
        <v>3813</v>
      </c>
      <c r="H52" s="14">
        <v>43585</v>
      </c>
      <c r="I52" s="4" t="s">
        <v>122</v>
      </c>
      <c r="J52" s="21"/>
    </row>
    <row r="53" spans="1:11" s="228" customFormat="1" x14ac:dyDescent="0.25">
      <c r="A53" s="61" t="s">
        <v>442</v>
      </c>
      <c r="B53" s="14">
        <v>43636</v>
      </c>
      <c r="C53" s="13">
        <v>1094</v>
      </c>
      <c r="D53" s="13" t="s">
        <v>692</v>
      </c>
      <c r="E53" s="13" t="s">
        <v>62</v>
      </c>
      <c r="F53" s="37">
        <v>123750</v>
      </c>
      <c r="G53" s="29" t="s">
        <v>99</v>
      </c>
      <c r="H53" s="14">
        <v>43605</v>
      </c>
      <c r="I53" s="4" t="s">
        <v>419</v>
      </c>
      <c r="J53" s="21"/>
    </row>
    <row r="54" spans="1:11" s="97" customFormat="1" x14ac:dyDescent="0.25">
      <c r="A54" s="13" t="s">
        <v>1255</v>
      </c>
      <c r="B54" s="126">
        <v>43636</v>
      </c>
      <c r="C54" s="13">
        <v>489</v>
      </c>
      <c r="D54" s="13" t="s">
        <v>590</v>
      </c>
      <c r="E54" s="13" t="s">
        <v>691</v>
      </c>
      <c r="F54" s="4">
        <v>1100000</v>
      </c>
      <c r="G54" s="29" t="s">
        <v>1323</v>
      </c>
      <c r="H54" s="14">
        <v>42746</v>
      </c>
      <c r="I54" s="4" t="s">
        <v>159</v>
      </c>
      <c r="J54" s="22"/>
      <c r="K54" s="134"/>
    </row>
    <row r="55" spans="1:11" s="97" customFormat="1" x14ac:dyDescent="0.25">
      <c r="A55" s="61" t="s">
        <v>1350</v>
      </c>
      <c r="B55" s="126">
        <v>43636</v>
      </c>
      <c r="C55" s="13">
        <v>490</v>
      </c>
      <c r="D55" s="13" t="s">
        <v>6868</v>
      </c>
      <c r="E55" s="13" t="s">
        <v>691</v>
      </c>
      <c r="F55" s="37">
        <v>20103.36</v>
      </c>
      <c r="G55" s="210" t="s">
        <v>9195</v>
      </c>
      <c r="H55" s="211">
        <v>43578</v>
      </c>
      <c r="I55" s="4" t="s">
        <v>9197</v>
      </c>
      <c r="J55" s="22"/>
      <c r="K55" s="134"/>
    </row>
    <row r="56" spans="1:11" s="97" customFormat="1" x14ac:dyDescent="0.25">
      <c r="A56" s="61" t="s">
        <v>1350</v>
      </c>
      <c r="B56" s="126">
        <v>43636</v>
      </c>
      <c r="C56" s="13">
        <v>490</v>
      </c>
      <c r="D56" s="13" t="s">
        <v>6868</v>
      </c>
      <c r="E56" s="13" t="s">
        <v>691</v>
      </c>
      <c r="F56" s="37">
        <v>64917.23</v>
      </c>
      <c r="G56" s="210" t="s">
        <v>9196</v>
      </c>
      <c r="H56" s="211">
        <v>43578</v>
      </c>
      <c r="I56" s="4" t="s">
        <v>9198</v>
      </c>
      <c r="J56" s="22"/>
      <c r="K56" s="134"/>
    </row>
    <row r="57" spans="1:11" s="97" customFormat="1" x14ac:dyDescent="0.25">
      <c r="A57" s="61" t="s">
        <v>1350</v>
      </c>
      <c r="B57" s="126">
        <v>43636</v>
      </c>
      <c r="C57" s="13">
        <v>490</v>
      </c>
      <c r="D57" s="13" t="s">
        <v>6868</v>
      </c>
      <c r="E57" s="13" t="s">
        <v>691</v>
      </c>
      <c r="F57" s="37">
        <v>20103.36</v>
      </c>
      <c r="G57" s="210" t="s">
        <v>9199</v>
      </c>
      <c r="H57" s="211">
        <v>43613</v>
      </c>
      <c r="I57" s="4" t="s">
        <v>9197</v>
      </c>
      <c r="J57" s="22"/>
      <c r="K57" s="134"/>
    </row>
    <row r="58" spans="1:11" s="97" customFormat="1" x14ac:dyDescent="0.25">
      <c r="A58" s="61" t="s">
        <v>637</v>
      </c>
      <c r="B58" s="126">
        <v>43636</v>
      </c>
      <c r="C58" s="13">
        <v>491</v>
      </c>
      <c r="D58" s="13" t="s">
        <v>157</v>
      </c>
      <c r="E58" s="13" t="s">
        <v>691</v>
      </c>
      <c r="F58" s="4">
        <v>15160.8</v>
      </c>
      <c r="G58" s="29" t="s">
        <v>7777</v>
      </c>
      <c r="H58" s="14">
        <v>43593</v>
      </c>
      <c r="I58" s="4" t="s">
        <v>7778</v>
      </c>
      <c r="J58" s="22"/>
      <c r="K58" s="134"/>
    </row>
    <row r="59" spans="1:11" s="93" customFormat="1" x14ac:dyDescent="0.25">
      <c r="A59" s="61" t="s">
        <v>1350</v>
      </c>
      <c r="B59" s="126">
        <v>43636</v>
      </c>
      <c r="C59" s="13">
        <v>492</v>
      </c>
      <c r="D59" s="13" t="s">
        <v>666</v>
      </c>
      <c r="E59" s="13" t="s">
        <v>691</v>
      </c>
      <c r="F59" s="4">
        <v>54270</v>
      </c>
      <c r="G59" s="29" t="s">
        <v>7771</v>
      </c>
      <c r="H59" s="14">
        <v>43592</v>
      </c>
      <c r="I59" s="4" t="s">
        <v>7772</v>
      </c>
      <c r="J59" s="16"/>
      <c r="K59" s="92"/>
    </row>
    <row r="60" spans="1:11" s="228" customFormat="1" x14ac:dyDescent="0.25">
      <c r="A60" s="61" t="s">
        <v>1350</v>
      </c>
      <c r="B60" s="126">
        <v>43636</v>
      </c>
      <c r="C60" s="13">
        <v>493</v>
      </c>
      <c r="D60" s="13" t="s">
        <v>944</v>
      </c>
      <c r="E60" s="13" t="s">
        <v>691</v>
      </c>
      <c r="F60" s="37">
        <v>155250</v>
      </c>
      <c r="G60" s="29" t="s">
        <v>1299</v>
      </c>
      <c r="H60" s="14">
        <v>43571</v>
      </c>
      <c r="I60" s="4" t="s">
        <v>402</v>
      </c>
      <c r="J60" s="21"/>
    </row>
    <row r="61" spans="1:11" s="228" customFormat="1" x14ac:dyDescent="0.25">
      <c r="A61" s="61" t="s">
        <v>637</v>
      </c>
      <c r="B61" s="126">
        <v>43636</v>
      </c>
      <c r="C61" s="13">
        <v>494</v>
      </c>
      <c r="D61" s="13" t="s">
        <v>1099</v>
      </c>
      <c r="E61" s="13" t="s">
        <v>691</v>
      </c>
      <c r="F61" s="37">
        <v>21114.9</v>
      </c>
      <c r="G61" s="29" t="s">
        <v>3132</v>
      </c>
      <c r="H61" s="14">
        <v>43564</v>
      </c>
      <c r="I61" s="4" t="s">
        <v>461</v>
      </c>
      <c r="J61" s="21"/>
    </row>
    <row r="62" spans="1:11" s="228" customFormat="1" x14ac:dyDescent="0.25">
      <c r="A62" s="61" t="s">
        <v>1350</v>
      </c>
      <c r="B62" s="126">
        <v>43636</v>
      </c>
      <c r="C62" s="13">
        <v>495</v>
      </c>
      <c r="D62" s="13" t="s">
        <v>447</v>
      </c>
      <c r="E62" s="13" t="s">
        <v>691</v>
      </c>
      <c r="F62" s="37">
        <v>50000</v>
      </c>
      <c r="G62" s="29" t="s">
        <v>1529</v>
      </c>
      <c r="H62" s="14">
        <v>43592</v>
      </c>
      <c r="I62" s="4" t="s">
        <v>6425</v>
      </c>
      <c r="J62" s="21"/>
    </row>
    <row r="63" spans="1:11" s="228" customFormat="1" x14ac:dyDescent="0.25">
      <c r="A63" s="61" t="s">
        <v>637</v>
      </c>
      <c r="B63" s="126">
        <v>43636</v>
      </c>
      <c r="C63" s="13">
        <v>496</v>
      </c>
      <c r="D63" s="13" t="s">
        <v>282</v>
      </c>
      <c r="E63" s="13" t="s">
        <v>691</v>
      </c>
      <c r="F63" s="37">
        <v>37180</v>
      </c>
      <c r="G63" s="29" t="s">
        <v>8054</v>
      </c>
      <c r="H63" s="14">
        <v>43601</v>
      </c>
      <c r="I63" s="4" t="s">
        <v>283</v>
      </c>
      <c r="J63" s="21"/>
    </row>
    <row r="64" spans="1:11" s="228" customFormat="1" x14ac:dyDescent="0.25">
      <c r="A64" s="61" t="s">
        <v>1350</v>
      </c>
      <c r="B64" s="126">
        <v>43636</v>
      </c>
      <c r="C64" s="13">
        <v>497</v>
      </c>
      <c r="D64" s="13" t="s">
        <v>80</v>
      </c>
      <c r="E64" s="13" t="s">
        <v>691</v>
      </c>
      <c r="F64" s="37">
        <v>11520</v>
      </c>
      <c r="G64" s="29" t="s">
        <v>9074</v>
      </c>
      <c r="H64" s="14">
        <v>43604</v>
      </c>
      <c r="I64" s="4" t="s">
        <v>354</v>
      </c>
      <c r="J64" s="21"/>
    </row>
    <row r="65" spans="1:11" s="228" customFormat="1" x14ac:dyDescent="0.25">
      <c r="A65" s="61" t="s">
        <v>1350</v>
      </c>
      <c r="B65" s="126">
        <v>43636</v>
      </c>
      <c r="C65" s="13">
        <v>498</v>
      </c>
      <c r="D65" s="13" t="s">
        <v>4870</v>
      </c>
      <c r="E65" s="13" t="s">
        <v>691</v>
      </c>
      <c r="F65" s="37">
        <f>108000-58000</f>
        <v>50000</v>
      </c>
      <c r="G65" s="29" t="s">
        <v>7426</v>
      </c>
      <c r="H65" s="14">
        <v>43568</v>
      </c>
      <c r="I65" s="4" t="s">
        <v>5346</v>
      </c>
      <c r="J65" s="21"/>
    </row>
    <row r="66" spans="1:11" s="97" customFormat="1" x14ac:dyDescent="0.25">
      <c r="A66" s="61" t="s">
        <v>1147</v>
      </c>
      <c r="B66" s="14">
        <v>43636</v>
      </c>
      <c r="C66" s="13">
        <v>1172</v>
      </c>
      <c r="D66" s="13" t="s">
        <v>869</v>
      </c>
      <c r="E66" s="13" t="s">
        <v>808</v>
      </c>
      <c r="F66" s="4">
        <v>97035.23</v>
      </c>
      <c r="G66" s="28" t="s">
        <v>7835</v>
      </c>
      <c r="H66" s="14">
        <v>43599</v>
      </c>
      <c r="I66" s="4" t="s">
        <v>6211</v>
      </c>
      <c r="J66" s="22"/>
      <c r="K66" s="134"/>
    </row>
    <row r="67" spans="1:11" s="97" customFormat="1" x14ac:dyDescent="0.25">
      <c r="A67" s="61" t="s">
        <v>1316</v>
      </c>
      <c r="B67" s="14">
        <v>43636</v>
      </c>
      <c r="C67" s="13">
        <v>1172</v>
      </c>
      <c r="D67" s="13" t="s">
        <v>869</v>
      </c>
      <c r="E67" s="13" t="s">
        <v>808</v>
      </c>
      <c r="F67" s="4">
        <v>41544.019999999997</v>
      </c>
      <c r="G67" s="28" t="s">
        <v>7836</v>
      </c>
      <c r="H67" s="14">
        <v>43599</v>
      </c>
      <c r="I67" s="4" t="s">
        <v>268</v>
      </c>
      <c r="J67" s="22"/>
      <c r="K67" s="134"/>
    </row>
    <row r="68" spans="1:11" s="97" customFormat="1" x14ac:dyDescent="0.25">
      <c r="A68" s="61" t="s">
        <v>1148</v>
      </c>
      <c r="B68" s="14">
        <v>43636</v>
      </c>
      <c r="C68" s="13">
        <v>1172</v>
      </c>
      <c r="D68" s="13" t="s">
        <v>869</v>
      </c>
      <c r="E68" s="13" t="s">
        <v>808</v>
      </c>
      <c r="F68" s="4">
        <v>38726.11</v>
      </c>
      <c r="G68" s="28" t="s">
        <v>7837</v>
      </c>
      <c r="H68" s="14">
        <v>43600</v>
      </c>
      <c r="I68" s="4" t="s">
        <v>268</v>
      </c>
      <c r="J68" s="22"/>
      <c r="K68" s="134"/>
    </row>
    <row r="69" spans="1:11" s="97" customFormat="1" x14ac:dyDescent="0.25">
      <c r="A69" s="61" t="s">
        <v>659</v>
      </c>
      <c r="B69" s="14">
        <v>43636</v>
      </c>
      <c r="C69" s="13">
        <v>1168</v>
      </c>
      <c r="D69" s="13" t="s">
        <v>1065</v>
      </c>
      <c r="E69" s="13" t="s">
        <v>808</v>
      </c>
      <c r="F69" s="4">
        <v>15091.34</v>
      </c>
      <c r="G69" s="29" t="s">
        <v>5031</v>
      </c>
      <c r="H69" s="14">
        <v>43598</v>
      </c>
      <c r="I69" s="4" t="s">
        <v>7821</v>
      </c>
      <c r="J69" s="22"/>
      <c r="K69" s="134"/>
    </row>
    <row r="70" spans="1:11" s="97" customFormat="1" x14ac:dyDescent="0.25">
      <c r="A70" s="61" t="s">
        <v>1316</v>
      </c>
      <c r="B70" s="14">
        <v>43636</v>
      </c>
      <c r="C70" s="13">
        <v>1168</v>
      </c>
      <c r="D70" s="13" t="s">
        <v>1065</v>
      </c>
      <c r="E70" s="13" t="s">
        <v>808</v>
      </c>
      <c r="F70" s="4">
        <v>10299.42</v>
      </c>
      <c r="G70" s="29" t="s">
        <v>4132</v>
      </c>
      <c r="H70" s="14">
        <v>43599</v>
      </c>
      <c r="I70" s="4" t="s">
        <v>7822</v>
      </c>
      <c r="J70" s="22"/>
      <c r="K70" s="134"/>
    </row>
    <row r="71" spans="1:11" s="97" customFormat="1" x14ac:dyDescent="0.25">
      <c r="A71" s="61" t="s">
        <v>1148</v>
      </c>
      <c r="B71" s="14">
        <v>43636</v>
      </c>
      <c r="C71" s="13">
        <v>1156</v>
      </c>
      <c r="D71" s="13" t="s">
        <v>280</v>
      </c>
      <c r="E71" s="13" t="s">
        <v>808</v>
      </c>
      <c r="F71" s="4">
        <v>2510</v>
      </c>
      <c r="G71" s="29" t="s">
        <v>4380</v>
      </c>
      <c r="H71" s="14">
        <v>43592</v>
      </c>
      <c r="I71" s="4" t="s">
        <v>7806</v>
      </c>
      <c r="J71" s="22"/>
      <c r="K71" s="134"/>
    </row>
    <row r="72" spans="1:11" s="97" customFormat="1" x14ac:dyDescent="0.25">
      <c r="A72" s="61" t="s">
        <v>1147</v>
      </c>
      <c r="B72" s="14">
        <v>43636</v>
      </c>
      <c r="C72" s="13">
        <v>1157</v>
      </c>
      <c r="D72" s="13" t="s">
        <v>814</v>
      </c>
      <c r="E72" s="13" t="s">
        <v>808</v>
      </c>
      <c r="F72" s="4">
        <v>78556.800000000003</v>
      </c>
      <c r="G72" s="29" t="s">
        <v>7519</v>
      </c>
      <c r="H72" s="14">
        <v>43585</v>
      </c>
      <c r="I72" s="4" t="s">
        <v>142</v>
      </c>
      <c r="J72" s="22"/>
      <c r="K72" s="134"/>
    </row>
    <row r="73" spans="1:11" s="97" customFormat="1" ht="27.6" x14ac:dyDescent="0.25">
      <c r="A73" s="61" t="s">
        <v>659</v>
      </c>
      <c r="B73" s="14">
        <v>43636</v>
      </c>
      <c r="C73" s="13">
        <v>1158</v>
      </c>
      <c r="D73" s="13" t="s">
        <v>70</v>
      </c>
      <c r="E73" s="13" t="s">
        <v>808</v>
      </c>
      <c r="F73" s="37">
        <v>6590</v>
      </c>
      <c r="G73" s="29" t="s">
        <v>8386</v>
      </c>
      <c r="H73" s="14">
        <v>43607</v>
      </c>
      <c r="I73" s="4" t="s">
        <v>1756</v>
      </c>
      <c r="J73" s="22"/>
      <c r="K73" s="134"/>
    </row>
    <row r="74" spans="1:11" s="93" customFormat="1" x14ac:dyDescent="0.25">
      <c r="A74" s="13" t="s">
        <v>1148</v>
      </c>
      <c r="B74" s="14">
        <v>43636</v>
      </c>
      <c r="C74" s="13">
        <v>1159</v>
      </c>
      <c r="D74" s="13" t="s">
        <v>666</v>
      </c>
      <c r="E74" s="13" t="s">
        <v>808</v>
      </c>
      <c r="F74" s="4">
        <v>38000</v>
      </c>
      <c r="G74" s="28" t="s">
        <v>8119</v>
      </c>
      <c r="H74" s="14">
        <v>43600</v>
      </c>
      <c r="I74" s="4" t="s">
        <v>1303</v>
      </c>
      <c r="J74" s="16"/>
      <c r="K74" s="92"/>
    </row>
    <row r="75" spans="1:11" s="228" customFormat="1" x14ac:dyDescent="0.25">
      <c r="A75" s="61" t="s">
        <v>659</v>
      </c>
      <c r="B75" s="14">
        <v>43636</v>
      </c>
      <c r="C75" s="13">
        <v>1160</v>
      </c>
      <c r="D75" s="13" t="s">
        <v>1099</v>
      </c>
      <c r="E75" s="13" t="s">
        <v>808</v>
      </c>
      <c r="F75" s="37">
        <v>50547</v>
      </c>
      <c r="G75" s="29" t="s">
        <v>8259</v>
      </c>
      <c r="H75" s="14">
        <v>43573</v>
      </c>
      <c r="I75" s="4" t="s">
        <v>461</v>
      </c>
      <c r="J75" s="21"/>
    </row>
    <row r="76" spans="1:11" s="228" customFormat="1" ht="27.6" x14ac:dyDescent="0.25">
      <c r="A76" s="61" t="s">
        <v>7653</v>
      </c>
      <c r="B76" s="14">
        <v>43636</v>
      </c>
      <c r="C76" s="13">
        <v>1173</v>
      </c>
      <c r="D76" s="13" t="s">
        <v>381</v>
      </c>
      <c r="E76" s="13" t="s">
        <v>808</v>
      </c>
      <c r="F76" s="37">
        <v>75000</v>
      </c>
      <c r="G76" s="29" t="s">
        <v>3362</v>
      </c>
      <c r="H76" s="14">
        <v>43585</v>
      </c>
      <c r="I76" s="4" t="s">
        <v>95</v>
      </c>
      <c r="J76" s="21"/>
    </row>
    <row r="77" spans="1:11" s="228" customFormat="1" x14ac:dyDescent="0.25">
      <c r="A77" s="61" t="s">
        <v>1147</v>
      </c>
      <c r="B77" s="14">
        <v>43636</v>
      </c>
      <c r="C77" s="13">
        <v>1161</v>
      </c>
      <c r="D77" s="13" t="s">
        <v>5347</v>
      </c>
      <c r="E77" s="13" t="s">
        <v>808</v>
      </c>
      <c r="F77" s="37">
        <v>57600</v>
      </c>
      <c r="G77" s="29" t="s">
        <v>3142</v>
      </c>
      <c r="H77" s="14">
        <v>43591</v>
      </c>
      <c r="I77" s="4" t="s">
        <v>164</v>
      </c>
      <c r="J77" s="21"/>
    </row>
    <row r="78" spans="1:11" s="228" customFormat="1" ht="27.6" x14ac:dyDescent="0.25">
      <c r="A78" s="61" t="s">
        <v>1806</v>
      </c>
      <c r="B78" s="14">
        <v>43636</v>
      </c>
      <c r="C78" s="13">
        <v>1164</v>
      </c>
      <c r="D78" s="13" t="s">
        <v>2047</v>
      </c>
      <c r="E78" s="13" t="s">
        <v>808</v>
      </c>
      <c r="F78" s="4">
        <v>37400</v>
      </c>
      <c r="G78" s="28" t="s">
        <v>89</v>
      </c>
      <c r="H78" s="14">
        <v>43584</v>
      </c>
      <c r="I78" s="4" t="s">
        <v>95</v>
      </c>
      <c r="J78" s="21"/>
    </row>
    <row r="79" spans="1:11" s="228" customFormat="1" x14ac:dyDescent="0.25">
      <c r="A79" s="61" t="s">
        <v>1316</v>
      </c>
      <c r="B79" s="14">
        <v>43636</v>
      </c>
      <c r="C79" s="13">
        <v>1166</v>
      </c>
      <c r="D79" s="13" t="s">
        <v>1985</v>
      </c>
      <c r="E79" s="13" t="s">
        <v>808</v>
      </c>
      <c r="F79" s="37">
        <v>38750</v>
      </c>
      <c r="G79" s="29" t="s">
        <v>50</v>
      </c>
      <c r="H79" s="14">
        <v>43585</v>
      </c>
      <c r="I79" s="4" t="s">
        <v>122</v>
      </c>
      <c r="J79" s="21"/>
    </row>
    <row r="80" spans="1:11" s="228" customFormat="1" ht="41.4" x14ac:dyDescent="0.25">
      <c r="A80" s="61" t="s">
        <v>7693</v>
      </c>
      <c r="B80" s="14">
        <v>43636</v>
      </c>
      <c r="C80" s="13">
        <v>1166</v>
      </c>
      <c r="D80" s="13" t="s">
        <v>1985</v>
      </c>
      <c r="E80" s="13" t="s">
        <v>808</v>
      </c>
      <c r="F80" s="37">
        <v>59200</v>
      </c>
      <c r="G80" s="29" t="s">
        <v>158</v>
      </c>
      <c r="H80" s="14">
        <v>43585</v>
      </c>
      <c r="I80" s="4" t="s">
        <v>122</v>
      </c>
      <c r="J80" s="21"/>
    </row>
    <row r="81" spans="1:11" s="228" customFormat="1" ht="41.4" x14ac:dyDescent="0.25">
      <c r="A81" s="61" t="s">
        <v>7694</v>
      </c>
      <c r="B81" s="14">
        <v>43636</v>
      </c>
      <c r="C81" s="13">
        <v>1166</v>
      </c>
      <c r="D81" s="13" t="s">
        <v>1985</v>
      </c>
      <c r="E81" s="13" t="s">
        <v>808</v>
      </c>
      <c r="F81" s="37">
        <v>53900</v>
      </c>
      <c r="G81" s="29" t="s">
        <v>68</v>
      </c>
      <c r="H81" s="14">
        <v>43585</v>
      </c>
      <c r="I81" s="4" t="s">
        <v>122</v>
      </c>
      <c r="J81" s="21"/>
    </row>
    <row r="82" spans="1:11" s="228" customFormat="1" x14ac:dyDescent="0.25">
      <c r="A82" s="61" t="s">
        <v>1316</v>
      </c>
      <c r="B82" s="14">
        <v>43636</v>
      </c>
      <c r="C82" s="13">
        <v>1166</v>
      </c>
      <c r="D82" s="13" t="s">
        <v>1985</v>
      </c>
      <c r="E82" s="13" t="s">
        <v>808</v>
      </c>
      <c r="F82" s="37">
        <v>19550</v>
      </c>
      <c r="G82" s="29" t="s">
        <v>176</v>
      </c>
      <c r="H82" s="14">
        <v>43585</v>
      </c>
      <c r="I82" s="4" t="s">
        <v>122</v>
      </c>
      <c r="J82" s="21"/>
    </row>
    <row r="83" spans="1:11" s="228" customFormat="1" x14ac:dyDescent="0.25">
      <c r="A83" s="61" t="s">
        <v>1316</v>
      </c>
      <c r="B83" s="14">
        <v>43636</v>
      </c>
      <c r="C83" s="13">
        <v>1169</v>
      </c>
      <c r="D83" s="13" t="s">
        <v>692</v>
      </c>
      <c r="E83" s="13" t="s">
        <v>808</v>
      </c>
      <c r="F83" s="37">
        <f>163625-100000</f>
        <v>63625</v>
      </c>
      <c r="G83" s="29" t="s">
        <v>1271</v>
      </c>
      <c r="H83" s="14">
        <v>43605</v>
      </c>
      <c r="I83" s="4" t="s">
        <v>419</v>
      </c>
      <c r="J83" s="21"/>
    </row>
    <row r="84" spans="1:11" s="228" customFormat="1" x14ac:dyDescent="0.25">
      <c r="A84" s="61" t="s">
        <v>1149</v>
      </c>
      <c r="B84" s="14">
        <v>43636</v>
      </c>
      <c r="C84" s="13">
        <v>1169</v>
      </c>
      <c r="D84" s="13" t="s">
        <v>692</v>
      </c>
      <c r="E84" s="13" t="s">
        <v>808</v>
      </c>
      <c r="F84" s="37">
        <v>23375</v>
      </c>
      <c r="G84" s="29" t="s">
        <v>132</v>
      </c>
      <c r="H84" s="14">
        <v>43605</v>
      </c>
      <c r="I84" s="4" t="s">
        <v>419</v>
      </c>
      <c r="J84" s="21"/>
    </row>
    <row r="85" spans="1:11" s="97" customFormat="1" x14ac:dyDescent="0.25">
      <c r="A85" s="61" t="s">
        <v>659</v>
      </c>
      <c r="B85" s="14">
        <v>43637</v>
      </c>
      <c r="C85" s="13">
        <v>1162</v>
      </c>
      <c r="D85" s="13" t="s">
        <v>448</v>
      </c>
      <c r="E85" s="13" t="s">
        <v>808</v>
      </c>
      <c r="F85" s="4">
        <f>768740-50000*2-60000-300000</f>
        <v>308740</v>
      </c>
      <c r="G85" s="29" t="s">
        <v>4931</v>
      </c>
      <c r="H85" s="14">
        <v>43522</v>
      </c>
      <c r="I85" s="4" t="s">
        <v>63</v>
      </c>
      <c r="J85" s="22"/>
      <c r="K85" s="134"/>
    </row>
    <row r="86" spans="1:11" s="228" customFormat="1" x14ac:dyDescent="0.25">
      <c r="A86" s="61" t="s">
        <v>1147</v>
      </c>
      <c r="B86" s="14">
        <v>43637</v>
      </c>
      <c r="C86" s="13">
        <v>1163</v>
      </c>
      <c r="D86" s="13" t="s">
        <v>29</v>
      </c>
      <c r="E86" s="13" t="s">
        <v>808</v>
      </c>
      <c r="F86" s="37">
        <v>282150</v>
      </c>
      <c r="G86" s="29" t="s">
        <v>4383</v>
      </c>
      <c r="H86" s="14">
        <v>43570</v>
      </c>
      <c r="I86" s="4" t="s">
        <v>1061</v>
      </c>
      <c r="J86" s="21"/>
    </row>
    <row r="87" spans="1:11" s="228" customFormat="1" x14ac:dyDescent="0.25">
      <c r="A87" s="61" t="s">
        <v>1350</v>
      </c>
      <c r="B87" s="14">
        <v>43637</v>
      </c>
      <c r="C87" s="13">
        <v>1027</v>
      </c>
      <c r="D87" s="13" t="s">
        <v>1430</v>
      </c>
      <c r="E87" s="13" t="s">
        <v>130</v>
      </c>
      <c r="F87" s="37">
        <v>153430</v>
      </c>
      <c r="G87" s="29" t="s">
        <v>8573</v>
      </c>
      <c r="H87" s="14">
        <v>43616</v>
      </c>
      <c r="I87" s="4" t="s">
        <v>182</v>
      </c>
      <c r="J87" s="21"/>
    </row>
    <row r="88" spans="1:11" s="228" customFormat="1" x14ac:dyDescent="0.25">
      <c r="A88" s="61" t="s">
        <v>1316</v>
      </c>
      <c r="B88" s="14">
        <v>43637</v>
      </c>
      <c r="C88" s="13">
        <v>1027</v>
      </c>
      <c r="D88" s="13" t="s">
        <v>1430</v>
      </c>
      <c r="E88" s="13" t="s">
        <v>130</v>
      </c>
      <c r="F88" s="37">
        <v>144720</v>
      </c>
      <c r="G88" s="29" t="s">
        <v>8574</v>
      </c>
      <c r="H88" s="14">
        <v>43616</v>
      </c>
      <c r="I88" s="4" t="s">
        <v>182</v>
      </c>
      <c r="J88" s="21"/>
    </row>
    <row r="89" spans="1:11" s="228" customFormat="1" x14ac:dyDescent="0.25">
      <c r="A89" s="61" t="s">
        <v>1148</v>
      </c>
      <c r="B89" s="14">
        <v>43637</v>
      </c>
      <c r="C89" s="13">
        <v>1028</v>
      </c>
      <c r="D89" s="13" t="s">
        <v>971</v>
      </c>
      <c r="E89" s="13" t="s">
        <v>130</v>
      </c>
      <c r="F89" s="37">
        <v>48240</v>
      </c>
      <c r="G89" s="29" t="s">
        <v>4098</v>
      </c>
      <c r="H89" s="14">
        <v>43585</v>
      </c>
      <c r="I89" s="4" t="s">
        <v>182</v>
      </c>
      <c r="J89" s="21"/>
    </row>
    <row r="90" spans="1:11" s="228" customFormat="1" x14ac:dyDescent="0.25">
      <c r="A90" s="61" t="s">
        <v>55</v>
      </c>
      <c r="B90" s="14">
        <v>43637</v>
      </c>
      <c r="C90" s="13">
        <v>1028</v>
      </c>
      <c r="D90" s="13" t="s">
        <v>971</v>
      </c>
      <c r="E90" s="13" t="s">
        <v>130</v>
      </c>
      <c r="F90" s="37">
        <v>18090</v>
      </c>
      <c r="G90" s="29" t="s">
        <v>1154</v>
      </c>
      <c r="H90" s="14">
        <v>43585</v>
      </c>
      <c r="I90" s="4" t="s">
        <v>182</v>
      </c>
      <c r="J90" s="21"/>
    </row>
    <row r="91" spans="1:11" s="228" customFormat="1" x14ac:dyDescent="0.25">
      <c r="A91" s="61" t="s">
        <v>358</v>
      </c>
      <c r="B91" s="14">
        <v>43637</v>
      </c>
      <c r="C91" s="13">
        <v>1028</v>
      </c>
      <c r="D91" s="13" t="s">
        <v>971</v>
      </c>
      <c r="E91" s="13" t="s">
        <v>130</v>
      </c>
      <c r="F91" s="37">
        <v>126630</v>
      </c>
      <c r="G91" s="29" t="s">
        <v>152</v>
      </c>
      <c r="H91" s="14">
        <v>43585</v>
      </c>
      <c r="I91" s="4" t="s">
        <v>182</v>
      </c>
      <c r="J91" s="21"/>
    </row>
    <row r="92" spans="1:11" s="228" customFormat="1" x14ac:dyDescent="0.25">
      <c r="A92" s="61" t="s">
        <v>1316</v>
      </c>
      <c r="B92" s="14">
        <v>43637</v>
      </c>
      <c r="C92" s="13">
        <v>1028</v>
      </c>
      <c r="D92" s="13" t="s">
        <v>971</v>
      </c>
      <c r="E92" s="13" t="s">
        <v>130</v>
      </c>
      <c r="F92" s="37">
        <v>6030</v>
      </c>
      <c r="G92" s="29" t="s">
        <v>153</v>
      </c>
      <c r="H92" s="14">
        <v>43585</v>
      </c>
      <c r="I92" s="4" t="s">
        <v>182</v>
      </c>
      <c r="J92" s="21"/>
    </row>
    <row r="93" spans="1:11" s="228" customFormat="1" x14ac:dyDescent="0.25">
      <c r="A93" s="61" t="s">
        <v>1148</v>
      </c>
      <c r="B93" s="14">
        <v>43637</v>
      </c>
      <c r="C93" s="13">
        <v>1028</v>
      </c>
      <c r="D93" s="13" t="s">
        <v>971</v>
      </c>
      <c r="E93" s="13" t="s">
        <v>130</v>
      </c>
      <c r="F93" s="37">
        <v>48240</v>
      </c>
      <c r="G93" s="29" t="s">
        <v>1510</v>
      </c>
      <c r="H93" s="14">
        <v>43616</v>
      </c>
      <c r="I93" s="4" t="s">
        <v>182</v>
      </c>
      <c r="J93" s="21"/>
    </row>
    <row r="94" spans="1:11" s="228" customFormat="1" x14ac:dyDescent="0.25">
      <c r="A94" s="61" t="s">
        <v>1316</v>
      </c>
      <c r="B94" s="14">
        <v>43637</v>
      </c>
      <c r="C94" s="13">
        <v>1028</v>
      </c>
      <c r="D94" s="13" t="s">
        <v>971</v>
      </c>
      <c r="E94" s="13" t="s">
        <v>130</v>
      </c>
      <c r="F94" s="37">
        <v>12060</v>
      </c>
      <c r="G94" s="29" t="s">
        <v>1164</v>
      </c>
      <c r="H94" s="14">
        <v>43616</v>
      </c>
      <c r="I94" s="4" t="s">
        <v>182</v>
      </c>
      <c r="J94" s="21"/>
    </row>
    <row r="95" spans="1:11" s="97" customFormat="1" x14ac:dyDescent="0.25">
      <c r="A95" s="68" t="s">
        <v>160</v>
      </c>
      <c r="B95" s="14">
        <v>43637</v>
      </c>
      <c r="C95" s="13">
        <v>1171</v>
      </c>
      <c r="D95" s="13" t="s">
        <v>982</v>
      </c>
      <c r="E95" s="13" t="s">
        <v>808</v>
      </c>
      <c r="F95" s="4">
        <v>750000</v>
      </c>
      <c r="G95" s="29" t="s">
        <v>1094</v>
      </c>
      <c r="H95" s="14">
        <v>42992</v>
      </c>
      <c r="I95" s="4" t="s">
        <v>1093</v>
      </c>
      <c r="J95" s="22"/>
      <c r="K95" s="134"/>
    </row>
    <row r="96" spans="1:11" s="228" customFormat="1" x14ac:dyDescent="0.25">
      <c r="A96" s="61" t="s">
        <v>659</v>
      </c>
      <c r="B96" s="14">
        <v>43637</v>
      </c>
      <c r="C96" s="13">
        <v>1165</v>
      </c>
      <c r="D96" s="13" t="s">
        <v>5888</v>
      </c>
      <c r="E96" s="13" t="s">
        <v>808</v>
      </c>
      <c r="F96" s="37">
        <f>303875-200000</f>
        <v>103875</v>
      </c>
      <c r="G96" s="29" t="s">
        <v>111</v>
      </c>
      <c r="H96" s="14">
        <v>43577</v>
      </c>
      <c r="I96" s="4" t="s">
        <v>402</v>
      </c>
      <c r="J96" s="21"/>
    </row>
    <row r="97" spans="1:256" s="228" customFormat="1" x14ac:dyDescent="0.25">
      <c r="A97" s="61" t="s">
        <v>659</v>
      </c>
      <c r="B97" s="14">
        <v>43637</v>
      </c>
      <c r="C97" s="13">
        <v>1165</v>
      </c>
      <c r="D97" s="13" t="s">
        <v>5888</v>
      </c>
      <c r="E97" s="13" t="s">
        <v>808</v>
      </c>
      <c r="F97" s="37">
        <v>167875</v>
      </c>
      <c r="G97" s="29" t="s">
        <v>2819</v>
      </c>
      <c r="H97" s="14">
        <v>43584</v>
      </c>
      <c r="I97" s="4" t="s">
        <v>402</v>
      </c>
      <c r="J97" s="21"/>
    </row>
    <row r="98" spans="1:256" s="93" customFormat="1" x14ac:dyDescent="0.25">
      <c r="A98" s="61" t="s">
        <v>310</v>
      </c>
      <c r="B98" s="14"/>
      <c r="C98" s="13"/>
      <c r="D98" s="13" t="s">
        <v>1491</v>
      </c>
      <c r="E98" s="13" t="s">
        <v>958</v>
      </c>
      <c r="F98" s="4">
        <f>1477307.19-749760.9-554456.5</f>
        <v>173089.78999999992</v>
      </c>
      <c r="G98" s="29" t="s">
        <v>1855</v>
      </c>
      <c r="H98" s="14">
        <v>43572</v>
      </c>
      <c r="I98" s="4" t="s">
        <v>7478</v>
      </c>
      <c r="J98" s="16"/>
      <c r="K98" s="92"/>
    </row>
    <row r="99" spans="1:256" s="97" customFormat="1" ht="14.1" customHeight="1" x14ac:dyDescent="0.25">
      <c r="A99" s="211" t="s">
        <v>956</v>
      </c>
      <c r="B99" s="14"/>
      <c r="C99" s="13"/>
      <c r="D99" s="218" t="s">
        <v>590</v>
      </c>
      <c r="E99" s="218" t="s">
        <v>481</v>
      </c>
      <c r="F99" s="4">
        <v>1100000</v>
      </c>
      <c r="G99" s="28" t="s">
        <v>5771</v>
      </c>
      <c r="H99" s="14">
        <v>43347</v>
      </c>
      <c r="I99" s="32" t="s">
        <v>159</v>
      </c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  <c r="EG99" s="50"/>
      <c r="EH99" s="50"/>
      <c r="EI99" s="50"/>
      <c r="EJ99" s="50"/>
      <c r="EK99" s="50"/>
      <c r="EL99" s="50"/>
      <c r="EM99" s="50"/>
      <c r="EN99" s="50"/>
      <c r="EO99" s="50"/>
      <c r="EP99" s="50"/>
      <c r="EQ99" s="50"/>
      <c r="ER99" s="50"/>
      <c r="ES99" s="50"/>
      <c r="ET99" s="50"/>
      <c r="EU99" s="50"/>
      <c r="EV99" s="50"/>
      <c r="EW99" s="50"/>
      <c r="EX99" s="50"/>
      <c r="EY99" s="50"/>
      <c r="EZ99" s="50"/>
      <c r="FA99" s="50"/>
      <c r="FB99" s="50"/>
      <c r="FC99" s="50"/>
      <c r="FD99" s="50"/>
      <c r="FE99" s="50"/>
      <c r="FF99" s="50"/>
      <c r="FG99" s="50"/>
      <c r="FH99" s="50"/>
      <c r="FI99" s="50"/>
      <c r="FJ99" s="50"/>
      <c r="FK99" s="50"/>
      <c r="FL99" s="50"/>
      <c r="FM99" s="50"/>
      <c r="FN99" s="50"/>
      <c r="FO99" s="50"/>
      <c r="FP99" s="50"/>
      <c r="FQ99" s="50"/>
      <c r="FR99" s="50"/>
      <c r="FS99" s="50"/>
      <c r="FT99" s="50"/>
      <c r="FU99" s="50"/>
      <c r="FV99" s="50"/>
      <c r="FW99" s="50"/>
      <c r="FX99" s="50"/>
      <c r="FY99" s="50"/>
      <c r="FZ99" s="50"/>
      <c r="GA99" s="50"/>
      <c r="GB99" s="50"/>
      <c r="GC99" s="50"/>
      <c r="GD99" s="50"/>
      <c r="GE99" s="50"/>
      <c r="GF99" s="50"/>
      <c r="GG99" s="50"/>
      <c r="GH99" s="50"/>
      <c r="GI99" s="50"/>
      <c r="GJ99" s="50"/>
      <c r="GK99" s="50"/>
      <c r="GL99" s="50"/>
      <c r="GM99" s="50"/>
      <c r="GN99" s="50"/>
      <c r="GO99" s="50"/>
      <c r="GP99" s="50"/>
      <c r="GQ99" s="50"/>
      <c r="GR99" s="50"/>
      <c r="GS99" s="50"/>
      <c r="GT99" s="50"/>
      <c r="GU99" s="50"/>
      <c r="GV99" s="50"/>
      <c r="GW99" s="50"/>
      <c r="GX99" s="50"/>
      <c r="GY99" s="50"/>
      <c r="GZ99" s="50"/>
      <c r="HA99" s="50"/>
      <c r="HB99" s="50"/>
      <c r="HC99" s="50"/>
      <c r="HD99" s="50"/>
      <c r="HE99" s="50"/>
      <c r="HF99" s="50"/>
      <c r="HG99" s="50"/>
      <c r="HH99" s="50"/>
      <c r="HI99" s="50"/>
      <c r="HJ99" s="50"/>
      <c r="HK99" s="50"/>
      <c r="HL99" s="50"/>
      <c r="HM99" s="50"/>
      <c r="HN99" s="50"/>
      <c r="HO99" s="50"/>
      <c r="HP99" s="50"/>
      <c r="HQ99" s="50"/>
      <c r="HR99" s="50"/>
      <c r="HS99" s="50"/>
      <c r="HT99" s="50"/>
      <c r="HU99" s="50"/>
      <c r="HV99" s="50"/>
      <c r="HW99" s="50"/>
      <c r="HX99" s="50"/>
      <c r="HY99" s="50"/>
      <c r="HZ99" s="50"/>
      <c r="IA99" s="50"/>
      <c r="IB99" s="50"/>
      <c r="IC99" s="50"/>
      <c r="ID99" s="50"/>
      <c r="IE99" s="50"/>
      <c r="IF99" s="50"/>
      <c r="IG99" s="50"/>
      <c r="IH99" s="50"/>
      <c r="II99" s="50"/>
      <c r="IJ99" s="50"/>
      <c r="IK99" s="50"/>
      <c r="IL99" s="50"/>
      <c r="IM99" s="50"/>
      <c r="IN99" s="50"/>
      <c r="IO99" s="50"/>
      <c r="IP99" s="50"/>
      <c r="IQ99" s="50"/>
      <c r="IR99" s="50"/>
      <c r="IS99" s="50"/>
      <c r="IT99" s="50"/>
      <c r="IU99" s="50"/>
      <c r="IV99" s="50"/>
    </row>
    <row r="100" spans="1:256" s="97" customFormat="1" x14ac:dyDescent="0.25">
      <c r="A100" s="61" t="s">
        <v>358</v>
      </c>
      <c r="B100" s="14"/>
      <c r="C100" s="13"/>
      <c r="D100" s="13" t="s">
        <v>157</v>
      </c>
      <c r="E100" s="13" t="s">
        <v>62</v>
      </c>
      <c r="F100" s="37">
        <v>400000</v>
      </c>
      <c r="G100" s="29" t="s">
        <v>8840</v>
      </c>
      <c r="H100" s="14">
        <v>43602</v>
      </c>
      <c r="I100" s="4" t="s">
        <v>305</v>
      </c>
      <c r="J100" s="133"/>
      <c r="K100" s="22"/>
      <c r="L100" s="134"/>
    </row>
    <row r="101" spans="1:256" s="97" customFormat="1" x14ac:dyDescent="0.25">
      <c r="A101" s="13" t="s">
        <v>442</v>
      </c>
      <c r="B101" s="14"/>
      <c r="C101" s="13"/>
      <c r="D101" s="13" t="s">
        <v>589</v>
      </c>
      <c r="E101" s="13" t="s">
        <v>62</v>
      </c>
      <c r="F101" s="4">
        <f>852592-410000</f>
        <v>442592</v>
      </c>
      <c r="G101" s="28" t="s">
        <v>7474</v>
      </c>
      <c r="H101" s="14">
        <v>43584</v>
      </c>
      <c r="I101" s="4" t="s">
        <v>423</v>
      </c>
      <c r="J101" s="133"/>
      <c r="K101" s="22"/>
      <c r="L101" s="134"/>
    </row>
    <row r="102" spans="1:256" s="97" customFormat="1" x14ac:dyDescent="0.25">
      <c r="A102" s="61" t="s">
        <v>442</v>
      </c>
      <c r="B102" s="14"/>
      <c r="C102" s="13"/>
      <c r="D102" s="13" t="s">
        <v>589</v>
      </c>
      <c r="E102" s="13" t="s">
        <v>62</v>
      </c>
      <c r="F102" s="4">
        <v>848000</v>
      </c>
      <c r="G102" s="29" t="s">
        <v>8108</v>
      </c>
      <c r="H102" s="14">
        <v>43601</v>
      </c>
      <c r="I102" s="4" t="s">
        <v>423</v>
      </c>
      <c r="J102" s="133"/>
      <c r="K102" s="22"/>
      <c r="L102" s="134"/>
    </row>
    <row r="103" spans="1:256" s="97" customFormat="1" x14ac:dyDescent="0.25">
      <c r="A103" s="61" t="s">
        <v>442</v>
      </c>
      <c r="B103" s="14"/>
      <c r="C103" s="13"/>
      <c r="D103" s="13" t="s">
        <v>589</v>
      </c>
      <c r="E103" s="13" t="s">
        <v>62</v>
      </c>
      <c r="F103" s="4">
        <v>766141.5</v>
      </c>
      <c r="G103" s="29" t="s">
        <v>8110</v>
      </c>
      <c r="H103" s="14">
        <v>43606</v>
      </c>
      <c r="I103" s="4" t="s">
        <v>421</v>
      </c>
      <c r="J103" s="133"/>
      <c r="K103" s="22"/>
      <c r="L103" s="134"/>
    </row>
    <row r="104" spans="1:256" s="97" customFormat="1" x14ac:dyDescent="0.25">
      <c r="A104" s="61" t="s">
        <v>455</v>
      </c>
      <c r="B104" s="14"/>
      <c r="C104" s="13"/>
      <c r="D104" s="13" t="s">
        <v>254</v>
      </c>
      <c r="E104" s="13" t="s">
        <v>958</v>
      </c>
      <c r="F104" s="37">
        <v>835999.92</v>
      </c>
      <c r="G104" s="29" t="s">
        <v>8288</v>
      </c>
      <c r="H104" s="14">
        <v>43606</v>
      </c>
      <c r="I104" s="4" t="s">
        <v>421</v>
      </c>
      <c r="J104" s="133"/>
      <c r="K104" s="22"/>
      <c r="L104" s="134"/>
    </row>
    <row r="105" spans="1:256" s="97" customFormat="1" ht="27.6" x14ac:dyDescent="0.25">
      <c r="A105" s="61" t="s">
        <v>455</v>
      </c>
      <c r="B105" s="14"/>
      <c r="C105" s="13"/>
      <c r="D105" s="13" t="s">
        <v>7763</v>
      </c>
      <c r="E105" s="13" t="s">
        <v>958</v>
      </c>
      <c r="F105" s="37">
        <v>436500</v>
      </c>
      <c r="G105" s="29" t="s">
        <v>8623</v>
      </c>
      <c r="H105" s="14">
        <v>43612</v>
      </c>
      <c r="I105" s="4" t="s">
        <v>6138</v>
      </c>
      <c r="J105" s="133"/>
      <c r="K105" s="22"/>
      <c r="L105" s="134"/>
    </row>
    <row r="106" spans="1:256" s="97" customFormat="1" x14ac:dyDescent="0.25">
      <c r="A106" s="13" t="s">
        <v>311</v>
      </c>
      <c r="B106" s="14"/>
      <c r="C106" s="13"/>
      <c r="D106" s="13" t="s">
        <v>249</v>
      </c>
      <c r="E106" s="13" t="s">
        <v>958</v>
      </c>
      <c r="F106" s="4">
        <v>844843.44</v>
      </c>
      <c r="G106" s="28" t="s">
        <v>7475</v>
      </c>
      <c r="H106" s="14">
        <v>43577</v>
      </c>
      <c r="I106" s="4" t="s">
        <v>7476</v>
      </c>
      <c r="J106" s="133"/>
      <c r="K106" s="22"/>
      <c r="L106" s="134"/>
    </row>
    <row r="107" spans="1:256" s="97" customFormat="1" x14ac:dyDescent="0.25">
      <c r="A107" s="13" t="s">
        <v>311</v>
      </c>
      <c r="B107" s="14"/>
      <c r="C107" s="13"/>
      <c r="D107" s="13" t="s">
        <v>249</v>
      </c>
      <c r="E107" s="13" t="s">
        <v>958</v>
      </c>
      <c r="F107" s="4">
        <v>756285.9</v>
      </c>
      <c r="G107" s="28" t="s">
        <v>960</v>
      </c>
      <c r="H107" s="14">
        <v>43577</v>
      </c>
      <c r="I107" s="4" t="s">
        <v>421</v>
      </c>
      <c r="J107" s="133"/>
      <c r="K107" s="22"/>
      <c r="L107" s="134"/>
    </row>
    <row r="108" spans="1:256" s="97" customFormat="1" x14ac:dyDescent="0.25">
      <c r="A108" s="68" t="s">
        <v>1350</v>
      </c>
      <c r="B108" s="14"/>
      <c r="C108" s="13"/>
      <c r="D108" s="13" t="s">
        <v>740</v>
      </c>
      <c r="E108" s="218" t="s">
        <v>691</v>
      </c>
      <c r="F108" s="4">
        <v>823000</v>
      </c>
      <c r="G108" s="70" t="s">
        <v>7445</v>
      </c>
      <c r="H108" s="211">
        <v>43563</v>
      </c>
      <c r="I108" s="32" t="s">
        <v>1876</v>
      </c>
      <c r="J108" s="133"/>
      <c r="K108" s="22"/>
      <c r="L108" s="134"/>
    </row>
    <row r="109" spans="1:256" s="97" customFormat="1" x14ac:dyDescent="0.25">
      <c r="A109" s="61" t="s">
        <v>1350</v>
      </c>
      <c r="B109" s="14"/>
      <c r="C109" s="13"/>
      <c r="D109" s="13" t="s">
        <v>249</v>
      </c>
      <c r="E109" s="13" t="s">
        <v>691</v>
      </c>
      <c r="F109" s="4">
        <v>113680</v>
      </c>
      <c r="G109" s="28" t="s">
        <v>5494</v>
      </c>
      <c r="H109" s="14">
        <v>43581</v>
      </c>
      <c r="I109" s="4" t="s">
        <v>3526</v>
      </c>
      <c r="J109" s="133"/>
      <c r="K109" s="22"/>
      <c r="L109" s="134"/>
    </row>
    <row r="110" spans="1:256" s="97" customFormat="1" x14ac:dyDescent="0.25">
      <c r="A110" s="61" t="s">
        <v>1149</v>
      </c>
      <c r="B110" s="14"/>
      <c r="C110" s="13"/>
      <c r="D110" s="13" t="s">
        <v>487</v>
      </c>
      <c r="E110" s="13" t="s">
        <v>808</v>
      </c>
      <c r="F110" s="4">
        <f>861393.6-270000-227800</f>
        <v>363593.6</v>
      </c>
      <c r="G110" s="29" t="s">
        <v>2955</v>
      </c>
      <c r="H110" s="14">
        <v>43543</v>
      </c>
      <c r="I110" s="4" t="s">
        <v>421</v>
      </c>
      <c r="J110" s="133"/>
      <c r="K110" s="22"/>
      <c r="L110" s="134"/>
    </row>
    <row r="111" spans="1:256" s="97" customFormat="1" x14ac:dyDescent="0.25">
      <c r="A111" s="61" t="s">
        <v>1148</v>
      </c>
      <c r="B111" s="14"/>
      <c r="C111" s="13"/>
      <c r="D111" s="13" t="s">
        <v>539</v>
      </c>
      <c r="E111" s="13" t="s">
        <v>808</v>
      </c>
      <c r="F111" s="4">
        <v>948600</v>
      </c>
      <c r="G111" s="29" t="s">
        <v>7517</v>
      </c>
      <c r="H111" s="14">
        <v>43606</v>
      </c>
      <c r="I111" s="4" t="s">
        <v>1998</v>
      </c>
      <c r="J111" s="133"/>
      <c r="K111" s="22"/>
      <c r="L111" s="134"/>
    </row>
    <row r="112" spans="1:256" s="97" customFormat="1" x14ac:dyDescent="0.25">
      <c r="A112" s="61" t="s">
        <v>1148</v>
      </c>
      <c r="B112" s="14"/>
      <c r="C112" s="13"/>
      <c r="D112" s="13" t="s">
        <v>276</v>
      </c>
      <c r="E112" s="13" t="s">
        <v>808</v>
      </c>
      <c r="F112" s="4">
        <f>876040-350000-200000</f>
        <v>326040</v>
      </c>
      <c r="G112" s="29" t="s">
        <v>2152</v>
      </c>
      <c r="H112" s="14">
        <v>43563</v>
      </c>
      <c r="I112" s="4" t="s">
        <v>421</v>
      </c>
      <c r="J112" s="133"/>
      <c r="K112" s="22"/>
      <c r="L112" s="134"/>
    </row>
    <row r="113" spans="1:12" s="97" customFormat="1" x14ac:dyDescent="0.25">
      <c r="A113" s="61" t="s">
        <v>1148</v>
      </c>
      <c r="B113" s="14"/>
      <c r="C113" s="13"/>
      <c r="D113" s="13" t="s">
        <v>276</v>
      </c>
      <c r="E113" s="13" t="s">
        <v>808</v>
      </c>
      <c r="F113" s="4">
        <v>850000</v>
      </c>
      <c r="G113" s="29" t="s">
        <v>5132</v>
      </c>
      <c r="H113" s="14">
        <v>43573</v>
      </c>
      <c r="I113" s="4" t="s">
        <v>1349</v>
      </c>
      <c r="J113" s="133"/>
      <c r="K113" s="22"/>
      <c r="L113" s="134"/>
    </row>
    <row r="114" spans="1:12" s="97" customFormat="1" x14ac:dyDescent="0.25">
      <c r="A114" s="61" t="s">
        <v>659</v>
      </c>
      <c r="B114" s="14"/>
      <c r="C114" s="13"/>
      <c r="D114" s="13" t="s">
        <v>276</v>
      </c>
      <c r="E114" s="13" t="s">
        <v>808</v>
      </c>
      <c r="F114" s="4">
        <v>858000</v>
      </c>
      <c r="G114" s="29" t="s">
        <v>4668</v>
      </c>
      <c r="H114" s="14">
        <v>43574</v>
      </c>
      <c r="I114" s="4" t="s">
        <v>423</v>
      </c>
      <c r="J114" s="133"/>
      <c r="K114" s="22"/>
      <c r="L114" s="134"/>
    </row>
    <row r="115" spans="1:12" s="97" customFormat="1" x14ac:dyDescent="0.25">
      <c r="A115" s="61" t="s">
        <v>1147</v>
      </c>
      <c r="B115" s="14"/>
      <c r="C115" s="13"/>
      <c r="D115" s="13" t="s">
        <v>254</v>
      </c>
      <c r="E115" s="13" t="s">
        <v>808</v>
      </c>
      <c r="F115" s="37">
        <f>838000.08-738537.92</f>
        <v>99462.159999999916</v>
      </c>
      <c r="G115" s="29" t="s">
        <v>8287</v>
      </c>
      <c r="H115" s="14">
        <v>43605</v>
      </c>
      <c r="I115" s="4" t="s">
        <v>1207</v>
      </c>
      <c r="J115" s="133"/>
      <c r="K115" s="22"/>
      <c r="L115" s="134"/>
    </row>
    <row r="116" spans="1:12" s="97" customFormat="1" x14ac:dyDescent="0.25">
      <c r="A116" s="61" t="s">
        <v>659</v>
      </c>
      <c r="B116" s="14"/>
      <c r="C116" s="13"/>
      <c r="D116" s="13" t="s">
        <v>6642</v>
      </c>
      <c r="E116" s="13" t="s">
        <v>808</v>
      </c>
      <c r="F116" s="4">
        <v>841712.5</v>
      </c>
      <c r="G116" s="29" t="s">
        <v>5764</v>
      </c>
      <c r="H116" s="14">
        <v>43600</v>
      </c>
      <c r="I116" s="4" t="s">
        <v>8107</v>
      </c>
      <c r="J116" s="133"/>
      <c r="K116" s="22"/>
      <c r="L116" s="134"/>
    </row>
    <row r="117" spans="1:12" s="97" customFormat="1" x14ac:dyDescent="0.25">
      <c r="A117" s="61" t="s">
        <v>1316</v>
      </c>
      <c r="B117" s="14"/>
      <c r="C117" s="13"/>
      <c r="D117" s="13" t="s">
        <v>8111</v>
      </c>
      <c r="E117" s="13" t="s">
        <v>808</v>
      </c>
      <c r="F117" s="4">
        <v>950000</v>
      </c>
      <c r="G117" s="29" t="s">
        <v>8116</v>
      </c>
      <c r="H117" s="14">
        <v>43601</v>
      </c>
      <c r="I117" s="4" t="s">
        <v>443</v>
      </c>
      <c r="J117" s="133"/>
      <c r="K117" s="22"/>
      <c r="L117" s="134"/>
    </row>
    <row r="118" spans="1:12" s="97" customFormat="1" x14ac:dyDescent="0.25">
      <c r="A118" s="61" t="s">
        <v>1148</v>
      </c>
      <c r="B118" s="14"/>
      <c r="C118" s="13"/>
      <c r="D118" s="13" t="s">
        <v>1827</v>
      </c>
      <c r="E118" s="13" t="s">
        <v>808</v>
      </c>
      <c r="F118" s="4">
        <v>864000</v>
      </c>
      <c r="G118" s="29" t="s">
        <v>66</v>
      </c>
      <c r="H118" s="14">
        <v>43573</v>
      </c>
      <c r="I118" s="4" t="s">
        <v>4921</v>
      </c>
      <c r="J118" s="133"/>
      <c r="K118" s="22"/>
      <c r="L118" s="134"/>
    </row>
    <row r="119" spans="1:12" s="97" customFormat="1" x14ac:dyDescent="0.25">
      <c r="A119" s="61" t="s">
        <v>1147</v>
      </c>
      <c r="B119" s="14"/>
      <c r="C119" s="13"/>
      <c r="D119" s="13" t="s">
        <v>243</v>
      </c>
      <c r="E119" s="13" t="s">
        <v>808</v>
      </c>
      <c r="F119" s="4">
        <v>501060</v>
      </c>
      <c r="G119" s="29" t="s">
        <v>2001</v>
      </c>
      <c r="H119" s="14">
        <v>43582</v>
      </c>
      <c r="I119" s="4" t="s">
        <v>1207</v>
      </c>
      <c r="J119" s="133"/>
      <c r="K119" s="22"/>
      <c r="L119" s="134"/>
    </row>
    <row r="120" spans="1:12" s="97" customFormat="1" x14ac:dyDescent="0.25">
      <c r="A120" s="61" t="s">
        <v>1147</v>
      </c>
      <c r="B120" s="14"/>
      <c r="C120" s="13"/>
      <c r="D120" s="13" t="s">
        <v>243</v>
      </c>
      <c r="E120" s="13" t="s">
        <v>808</v>
      </c>
      <c r="F120" s="4">
        <v>939257.5</v>
      </c>
      <c r="G120" s="29" t="s">
        <v>1205</v>
      </c>
      <c r="H120" s="14">
        <v>43601</v>
      </c>
      <c r="I120" s="4" t="s">
        <v>8117</v>
      </c>
      <c r="J120" s="133"/>
      <c r="K120" s="22"/>
      <c r="L120" s="134"/>
    </row>
    <row r="121" spans="1:12" s="97" customFormat="1" x14ac:dyDescent="0.25">
      <c r="A121" s="61" t="s">
        <v>1149</v>
      </c>
      <c r="B121" s="14"/>
      <c r="C121" s="13"/>
      <c r="D121" s="13" t="s">
        <v>249</v>
      </c>
      <c r="E121" s="13" t="s">
        <v>808</v>
      </c>
      <c r="F121" s="4">
        <v>824767.5</v>
      </c>
      <c r="G121" s="29" t="s">
        <v>6826</v>
      </c>
      <c r="H121" s="14">
        <v>43574</v>
      </c>
      <c r="I121" s="4" t="s">
        <v>423</v>
      </c>
      <c r="J121" s="133"/>
      <c r="K121" s="22"/>
      <c r="L121" s="134"/>
    </row>
    <row r="122" spans="1:12" s="97" customFormat="1" x14ac:dyDescent="0.25">
      <c r="A122" s="61" t="s">
        <v>1149</v>
      </c>
      <c r="B122" s="14"/>
      <c r="C122" s="13"/>
      <c r="D122" s="13" t="s">
        <v>249</v>
      </c>
      <c r="E122" s="13" t="s">
        <v>808</v>
      </c>
      <c r="F122" s="4">
        <v>765506.4</v>
      </c>
      <c r="G122" s="29" t="s">
        <v>7132</v>
      </c>
      <c r="H122" s="14">
        <v>43574</v>
      </c>
      <c r="I122" s="4" t="s">
        <v>421</v>
      </c>
      <c r="J122" s="133"/>
      <c r="K122" s="22"/>
      <c r="L122" s="134"/>
    </row>
    <row r="123" spans="1:12" s="97" customFormat="1" x14ac:dyDescent="0.25">
      <c r="A123" s="13" t="s">
        <v>1147</v>
      </c>
      <c r="B123" s="14"/>
      <c r="C123" s="13"/>
      <c r="D123" s="13" t="s">
        <v>1032</v>
      </c>
      <c r="E123" s="13" t="s">
        <v>808</v>
      </c>
      <c r="F123" s="4">
        <v>171150</v>
      </c>
      <c r="G123" s="28" t="s">
        <v>7829</v>
      </c>
      <c r="H123" s="14">
        <v>43579</v>
      </c>
      <c r="I123" s="4" t="s">
        <v>142</v>
      </c>
      <c r="J123" s="133"/>
      <c r="K123" s="22"/>
      <c r="L123" s="134"/>
    </row>
    <row r="124" spans="1:12" s="97" customFormat="1" x14ac:dyDescent="0.25">
      <c r="A124" s="32" t="s">
        <v>659</v>
      </c>
      <c r="B124" s="14"/>
      <c r="C124" s="13"/>
      <c r="D124" s="13" t="s">
        <v>814</v>
      </c>
      <c r="E124" s="13" t="s">
        <v>808</v>
      </c>
      <c r="F124" s="4">
        <v>40200</v>
      </c>
      <c r="G124" s="28" t="s">
        <v>7517</v>
      </c>
      <c r="H124" s="14">
        <v>43584</v>
      </c>
      <c r="I124" s="4" t="s">
        <v>7518</v>
      </c>
      <c r="J124" s="133"/>
      <c r="K124" s="22"/>
      <c r="L124" s="134"/>
    </row>
    <row r="125" spans="1:12" s="97" customFormat="1" x14ac:dyDescent="0.25">
      <c r="A125" s="61" t="s">
        <v>1316</v>
      </c>
      <c r="B125" s="14"/>
      <c r="C125" s="13"/>
      <c r="D125" s="13" t="s">
        <v>157</v>
      </c>
      <c r="E125" s="13" t="s">
        <v>808</v>
      </c>
      <c r="F125" s="4">
        <v>5574.8</v>
      </c>
      <c r="G125" s="29" t="s">
        <v>7789</v>
      </c>
      <c r="H125" s="14">
        <v>43599</v>
      </c>
      <c r="I125" s="4" t="s">
        <v>395</v>
      </c>
      <c r="J125" s="133"/>
      <c r="K125" s="22"/>
      <c r="L125" s="134"/>
    </row>
    <row r="126" spans="1:12" s="97" customFormat="1" x14ac:dyDescent="0.25">
      <c r="A126" s="61" t="s">
        <v>1148</v>
      </c>
      <c r="B126" s="14"/>
      <c r="C126" s="13"/>
      <c r="D126" s="13" t="s">
        <v>516</v>
      </c>
      <c r="E126" s="13" t="s">
        <v>808</v>
      </c>
      <c r="F126" s="37">
        <v>100000</v>
      </c>
      <c r="G126" s="29" t="s">
        <v>6185</v>
      </c>
      <c r="H126" s="14">
        <v>43600</v>
      </c>
      <c r="I126" s="4" t="s">
        <v>8373</v>
      </c>
      <c r="J126" s="133"/>
      <c r="K126" s="22"/>
      <c r="L126" s="134"/>
    </row>
    <row r="127" spans="1:12" s="97" customFormat="1" x14ac:dyDescent="0.25">
      <c r="A127" s="61" t="s">
        <v>92</v>
      </c>
      <c r="B127" s="14"/>
      <c r="C127" s="13"/>
      <c r="D127" s="13" t="s">
        <v>7839</v>
      </c>
      <c r="E127" s="13" t="s">
        <v>62</v>
      </c>
      <c r="F127" s="4">
        <f>300000-50000</f>
        <v>250000</v>
      </c>
      <c r="G127" s="29" t="s">
        <v>1451</v>
      </c>
      <c r="H127" s="14">
        <v>43598</v>
      </c>
      <c r="I127" s="4" t="s">
        <v>6866</v>
      </c>
      <c r="J127" s="133"/>
      <c r="K127" s="22"/>
      <c r="L127" s="134"/>
    </row>
    <row r="128" spans="1:12" s="97" customFormat="1" x14ac:dyDescent="0.25">
      <c r="A128" s="61" t="s">
        <v>442</v>
      </c>
      <c r="B128" s="14"/>
      <c r="C128" s="13"/>
      <c r="D128" s="13" t="s">
        <v>869</v>
      </c>
      <c r="E128" s="13" t="s">
        <v>62</v>
      </c>
      <c r="F128" s="4">
        <v>200000</v>
      </c>
      <c r="G128" s="28" t="s">
        <v>7838</v>
      </c>
      <c r="H128" s="14">
        <v>43600</v>
      </c>
      <c r="I128" s="4" t="s">
        <v>572</v>
      </c>
      <c r="J128" s="133"/>
      <c r="K128" s="22"/>
      <c r="L128" s="134"/>
    </row>
    <row r="129" spans="1:12" s="97" customFormat="1" x14ac:dyDescent="0.25">
      <c r="A129" s="13" t="s">
        <v>358</v>
      </c>
      <c r="B129" s="14"/>
      <c r="C129" s="13"/>
      <c r="D129" s="13" t="s">
        <v>1065</v>
      </c>
      <c r="E129" s="13" t="s">
        <v>62</v>
      </c>
      <c r="F129" s="4">
        <v>4285.96</v>
      </c>
      <c r="G129" s="28" t="s">
        <v>1188</v>
      </c>
      <c r="H129" s="14">
        <v>43600</v>
      </c>
      <c r="I129" s="4" t="s">
        <v>7823</v>
      </c>
      <c r="J129" s="133"/>
      <c r="K129" s="22"/>
      <c r="L129" s="134"/>
    </row>
    <row r="130" spans="1:12" s="97" customFormat="1" x14ac:dyDescent="0.25">
      <c r="A130" s="61" t="s">
        <v>91</v>
      </c>
      <c r="B130" s="14"/>
      <c r="C130" s="13"/>
      <c r="D130" s="13" t="s">
        <v>280</v>
      </c>
      <c r="E130" s="13" t="s">
        <v>62</v>
      </c>
      <c r="F130" s="4">
        <v>14745</v>
      </c>
      <c r="G130" s="29" t="s">
        <v>3122</v>
      </c>
      <c r="H130" s="14">
        <v>43585</v>
      </c>
      <c r="I130" s="4" t="s">
        <v>7804</v>
      </c>
      <c r="J130" s="133"/>
      <c r="K130" s="22"/>
      <c r="L130" s="134"/>
    </row>
    <row r="131" spans="1:12" s="97" customFormat="1" x14ac:dyDescent="0.25">
      <c r="A131" s="61" t="s">
        <v>92</v>
      </c>
      <c r="B131" s="14"/>
      <c r="C131" s="13"/>
      <c r="D131" s="13" t="s">
        <v>280</v>
      </c>
      <c r="E131" s="13" t="s">
        <v>62</v>
      </c>
      <c r="F131" s="4">
        <v>144845</v>
      </c>
      <c r="G131" s="29" t="s">
        <v>3872</v>
      </c>
      <c r="H131" s="14">
        <v>43599</v>
      </c>
      <c r="I131" s="4" t="s">
        <v>7811</v>
      </c>
      <c r="J131" s="133"/>
      <c r="K131" s="22"/>
      <c r="L131" s="134"/>
    </row>
    <row r="132" spans="1:12" s="97" customFormat="1" x14ac:dyDescent="0.25">
      <c r="A132" s="61" t="s">
        <v>91</v>
      </c>
      <c r="B132" s="14"/>
      <c r="C132" s="13"/>
      <c r="D132" s="13" t="s">
        <v>814</v>
      </c>
      <c r="E132" s="13" t="s">
        <v>62</v>
      </c>
      <c r="F132" s="4">
        <v>8738</v>
      </c>
      <c r="G132" s="29" t="s">
        <v>7803</v>
      </c>
      <c r="H132" s="14">
        <v>43593</v>
      </c>
      <c r="I132" s="4" t="s">
        <v>5049</v>
      </c>
      <c r="J132" s="133"/>
      <c r="K132" s="22"/>
      <c r="L132" s="134"/>
    </row>
    <row r="133" spans="1:12" s="97" customFormat="1" x14ac:dyDescent="0.25">
      <c r="A133" s="61" t="s">
        <v>442</v>
      </c>
      <c r="B133" s="14"/>
      <c r="C133" s="13"/>
      <c r="D133" s="13" t="s">
        <v>814</v>
      </c>
      <c r="E133" s="13" t="s">
        <v>62</v>
      </c>
      <c r="F133" s="37">
        <v>17771.8</v>
      </c>
      <c r="G133" s="29" t="s">
        <v>8434</v>
      </c>
      <c r="H133" s="14">
        <v>43601</v>
      </c>
      <c r="I133" s="4" t="s">
        <v>8435</v>
      </c>
      <c r="J133" s="133"/>
      <c r="K133" s="22"/>
      <c r="L133" s="134"/>
    </row>
    <row r="134" spans="1:12" s="97" customFormat="1" x14ac:dyDescent="0.25">
      <c r="A134" s="61" t="s">
        <v>92</v>
      </c>
      <c r="B134" s="14"/>
      <c r="C134" s="13"/>
      <c r="D134" s="13" t="s">
        <v>304</v>
      </c>
      <c r="E134" s="13" t="s">
        <v>62</v>
      </c>
      <c r="F134" s="4">
        <v>136006</v>
      </c>
      <c r="G134" s="29" t="s">
        <v>7801</v>
      </c>
      <c r="H134" s="14">
        <v>43600</v>
      </c>
      <c r="I134" s="4" t="s">
        <v>7802</v>
      </c>
      <c r="J134" s="133"/>
      <c r="K134" s="22"/>
      <c r="L134" s="134"/>
    </row>
    <row r="135" spans="1:12" s="93" customFormat="1" x14ac:dyDescent="0.25">
      <c r="A135" s="61" t="s">
        <v>442</v>
      </c>
      <c r="B135" s="14"/>
      <c r="C135" s="13"/>
      <c r="D135" s="13" t="s">
        <v>203</v>
      </c>
      <c r="E135" s="13" t="s">
        <v>62</v>
      </c>
      <c r="F135" s="4">
        <v>166758</v>
      </c>
      <c r="G135" s="29" t="s">
        <v>7791</v>
      </c>
      <c r="H135" s="14">
        <v>43600</v>
      </c>
      <c r="I135" s="4" t="s">
        <v>7792</v>
      </c>
      <c r="J135" s="130"/>
      <c r="K135" s="16"/>
      <c r="L135" s="92"/>
    </row>
    <row r="136" spans="1:12" s="97" customFormat="1" x14ac:dyDescent="0.25">
      <c r="A136" s="61" t="s">
        <v>442</v>
      </c>
      <c r="B136" s="14"/>
      <c r="C136" s="13"/>
      <c r="D136" s="13" t="s">
        <v>157</v>
      </c>
      <c r="E136" s="13" t="s">
        <v>62</v>
      </c>
      <c r="F136" s="37">
        <v>101835.9</v>
      </c>
      <c r="G136" s="29" t="s">
        <v>8394</v>
      </c>
      <c r="H136" s="14">
        <v>43600</v>
      </c>
      <c r="I136" s="4" t="s">
        <v>8395</v>
      </c>
      <c r="J136" s="133"/>
      <c r="K136" s="22"/>
      <c r="L136" s="134"/>
    </row>
    <row r="137" spans="1:12" s="97" customFormat="1" x14ac:dyDescent="0.25">
      <c r="A137" s="61" t="s">
        <v>91</v>
      </c>
      <c r="B137" s="14"/>
      <c r="C137" s="13"/>
      <c r="D137" s="13" t="s">
        <v>157</v>
      </c>
      <c r="E137" s="13" t="s">
        <v>62</v>
      </c>
      <c r="F137" s="37">
        <v>49451.12</v>
      </c>
      <c r="G137" s="29" t="s">
        <v>8396</v>
      </c>
      <c r="H137" s="14">
        <v>43600</v>
      </c>
      <c r="I137" s="4" t="s">
        <v>8397</v>
      </c>
      <c r="J137" s="133"/>
      <c r="K137" s="22"/>
      <c r="L137" s="134"/>
    </row>
    <row r="138" spans="1:12" s="97" customFormat="1" x14ac:dyDescent="0.25">
      <c r="A138" s="61" t="s">
        <v>91</v>
      </c>
      <c r="B138" s="14"/>
      <c r="C138" s="13"/>
      <c r="D138" s="13" t="s">
        <v>157</v>
      </c>
      <c r="E138" s="13" t="s">
        <v>62</v>
      </c>
      <c r="F138" s="37">
        <v>23640</v>
      </c>
      <c r="G138" s="29" t="s">
        <v>8398</v>
      </c>
      <c r="H138" s="14">
        <v>43601</v>
      </c>
      <c r="I138" s="4" t="s">
        <v>966</v>
      </c>
      <c r="J138" s="133"/>
      <c r="K138" s="22"/>
      <c r="L138" s="134"/>
    </row>
    <row r="139" spans="1:12" s="93" customFormat="1" x14ac:dyDescent="0.25">
      <c r="A139" s="61" t="s">
        <v>442</v>
      </c>
      <c r="B139" s="14"/>
      <c r="C139" s="13"/>
      <c r="D139" s="13" t="s">
        <v>1491</v>
      </c>
      <c r="E139" s="13" t="s">
        <v>62</v>
      </c>
      <c r="F139" s="4">
        <v>84641.43</v>
      </c>
      <c r="G139" s="29" t="s">
        <v>7481</v>
      </c>
      <c r="H139" s="14">
        <v>43581</v>
      </c>
      <c r="I139" s="4" t="s">
        <v>7478</v>
      </c>
      <c r="J139" s="130"/>
      <c r="K139" s="16"/>
      <c r="L139" s="92"/>
    </row>
    <row r="140" spans="1:12" s="97" customFormat="1" x14ac:dyDescent="0.25">
      <c r="A140" s="61" t="s">
        <v>310</v>
      </c>
      <c r="B140" s="14"/>
      <c r="C140" s="13"/>
      <c r="D140" s="13" t="s">
        <v>868</v>
      </c>
      <c r="E140" s="13" t="s">
        <v>958</v>
      </c>
      <c r="F140" s="4">
        <v>17085</v>
      </c>
      <c r="G140" s="29" t="s">
        <v>7820</v>
      </c>
      <c r="H140" s="14">
        <v>43600</v>
      </c>
      <c r="I140" s="4" t="s">
        <v>345</v>
      </c>
      <c r="J140" s="133"/>
      <c r="K140" s="22"/>
      <c r="L140" s="134"/>
    </row>
    <row r="141" spans="1:12" s="97" customFormat="1" x14ac:dyDescent="0.25">
      <c r="A141" s="61" t="s">
        <v>310</v>
      </c>
      <c r="B141" s="14"/>
      <c r="C141" s="13"/>
      <c r="D141" s="13" t="s">
        <v>280</v>
      </c>
      <c r="E141" s="13" t="s">
        <v>958</v>
      </c>
      <c r="F141" s="4">
        <v>158285</v>
      </c>
      <c r="G141" s="29" t="s">
        <v>1403</v>
      </c>
      <c r="H141" s="14">
        <v>43600</v>
      </c>
      <c r="I141" s="4" t="s">
        <v>7812</v>
      </c>
      <c r="J141" s="133"/>
      <c r="K141" s="22"/>
      <c r="L141" s="134"/>
    </row>
    <row r="142" spans="1:12" s="97" customFormat="1" x14ac:dyDescent="0.25">
      <c r="A142" s="61" t="s">
        <v>455</v>
      </c>
      <c r="B142" s="14"/>
      <c r="C142" s="13"/>
      <c r="D142" s="13" t="s">
        <v>6177</v>
      </c>
      <c r="E142" s="13" t="s">
        <v>958</v>
      </c>
      <c r="F142" s="4">
        <f>429062.5-200000</f>
        <v>229062.5</v>
      </c>
      <c r="G142" s="29" t="s">
        <v>7246</v>
      </c>
      <c r="H142" s="14">
        <v>43599</v>
      </c>
      <c r="I142" s="4" t="s">
        <v>7796</v>
      </c>
      <c r="J142" s="133"/>
      <c r="K142" s="22"/>
      <c r="L142" s="134"/>
    </row>
    <row r="143" spans="1:12" s="97" customFormat="1" ht="27.6" x14ac:dyDescent="0.25">
      <c r="A143" s="61" t="s">
        <v>311</v>
      </c>
      <c r="B143" s="14"/>
      <c r="C143" s="13"/>
      <c r="D143" s="13" t="s">
        <v>3438</v>
      </c>
      <c r="E143" s="13" t="s">
        <v>958</v>
      </c>
      <c r="F143" s="4">
        <v>48123.45</v>
      </c>
      <c r="G143" s="29" t="s">
        <v>4755</v>
      </c>
      <c r="H143" s="14">
        <v>43592</v>
      </c>
      <c r="I143" s="4" t="s">
        <v>7793</v>
      </c>
      <c r="J143" s="133"/>
      <c r="K143" s="22"/>
      <c r="L143" s="134"/>
    </row>
    <row r="144" spans="1:12" s="97" customFormat="1" x14ac:dyDescent="0.25">
      <c r="A144" s="61" t="s">
        <v>455</v>
      </c>
      <c r="B144" s="14"/>
      <c r="C144" s="13"/>
      <c r="D144" s="13" t="s">
        <v>157</v>
      </c>
      <c r="E144" s="13" t="s">
        <v>958</v>
      </c>
      <c r="F144" s="4">
        <v>72000</v>
      </c>
      <c r="G144" s="29" t="s">
        <v>7776</v>
      </c>
      <c r="H144" s="14">
        <v>43593</v>
      </c>
      <c r="I144" s="4" t="s">
        <v>6502</v>
      </c>
      <c r="J144" s="133"/>
      <c r="K144" s="22"/>
      <c r="L144" s="134"/>
    </row>
    <row r="145" spans="1:12" s="97" customFormat="1" x14ac:dyDescent="0.25">
      <c r="A145" s="61" t="s">
        <v>455</v>
      </c>
      <c r="B145" s="14"/>
      <c r="C145" s="13"/>
      <c r="D145" s="13" t="s">
        <v>157</v>
      </c>
      <c r="E145" s="13" t="s">
        <v>958</v>
      </c>
      <c r="F145" s="4">
        <v>37218.800000000003</v>
      </c>
      <c r="G145" s="29" t="s">
        <v>7786</v>
      </c>
      <c r="H145" s="14">
        <v>43599</v>
      </c>
      <c r="I145" s="4" t="s">
        <v>6502</v>
      </c>
      <c r="J145" s="133"/>
      <c r="K145" s="22"/>
      <c r="L145" s="134"/>
    </row>
    <row r="146" spans="1:12" s="93" customFormat="1" x14ac:dyDescent="0.25">
      <c r="A146" s="61" t="s">
        <v>455</v>
      </c>
      <c r="B146" s="14"/>
      <c r="C146" s="13"/>
      <c r="D146" s="13" t="s">
        <v>1491</v>
      </c>
      <c r="E146" s="13" t="s">
        <v>958</v>
      </c>
      <c r="F146" s="4">
        <f>338942.8-100000</f>
        <v>238942.8</v>
      </c>
      <c r="G146" s="29" t="s">
        <v>7775</v>
      </c>
      <c r="H146" s="14">
        <v>43591</v>
      </c>
      <c r="I146" s="4" t="s">
        <v>7478</v>
      </c>
      <c r="J146" s="130"/>
      <c r="K146" s="16"/>
      <c r="L146" s="92"/>
    </row>
    <row r="147" spans="1:12" s="97" customFormat="1" x14ac:dyDescent="0.25">
      <c r="A147" s="61" t="s">
        <v>1350</v>
      </c>
      <c r="B147" s="14"/>
      <c r="C147" s="13"/>
      <c r="D147" s="13" t="s">
        <v>7839</v>
      </c>
      <c r="E147" s="13" t="s">
        <v>691</v>
      </c>
      <c r="F147" s="37">
        <v>43660</v>
      </c>
      <c r="G147" s="29" t="s">
        <v>2002</v>
      </c>
      <c r="H147" s="14">
        <v>43598</v>
      </c>
      <c r="I147" s="4" t="s">
        <v>63</v>
      </c>
      <c r="J147" s="133"/>
      <c r="K147" s="22"/>
      <c r="L147" s="134"/>
    </row>
    <row r="148" spans="1:12" s="97" customFormat="1" x14ac:dyDescent="0.25">
      <c r="A148" s="61" t="s">
        <v>1350</v>
      </c>
      <c r="B148" s="14"/>
      <c r="C148" s="13"/>
      <c r="D148" s="13" t="s">
        <v>5047</v>
      </c>
      <c r="E148" s="13" t="s">
        <v>691</v>
      </c>
      <c r="F148" s="4">
        <f>209392-100000</f>
        <v>109392</v>
      </c>
      <c r="G148" s="28" t="s">
        <v>5640</v>
      </c>
      <c r="H148" s="14">
        <v>43593</v>
      </c>
      <c r="I148" s="4" t="s">
        <v>5048</v>
      </c>
      <c r="J148" s="133"/>
      <c r="K148" s="22"/>
      <c r="L148" s="134"/>
    </row>
    <row r="149" spans="1:12" s="97" customFormat="1" x14ac:dyDescent="0.25">
      <c r="A149" s="61" t="s">
        <v>637</v>
      </c>
      <c r="B149" s="14"/>
      <c r="C149" s="13"/>
      <c r="D149" s="13" t="s">
        <v>157</v>
      </c>
      <c r="E149" s="13" t="s">
        <v>691</v>
      </c>
      <c r="F149" s="4">
        <v>25998.799999999999</v>
      </c>
      <c r="G149" s="29" t="s">
        <v>7790</v>
      </c>
      <c r="H149" s="14">
        <v>43599</v>
      </c>
      <c r="I149" s="4" t="s">
        <v>6170</v>
      </c>
      <c r="J149" s="133"/>
      <c r="K149" s="22"/>
      <c r="L149" s="134"/>
    </row>
    <row r="150" spans="1:12" s="228" customFormat="1" x14ac:dyDescent="0.25">
      <c r="A150" s="61" t="s">
        <v>1350</v>
      </c>
      <c r="B150" s="14"/>
      <c r="C150" s="13"/>
      <c r="D150" s="13" t="s">
        <v>944</v>
      </c>
      <c r="E150" s="13" t="s">
        <v>691</v>
      </c>
      <c r="F150" s="37">
        <v>164250</v>
      </c>
      <c r="G150" s="29" t="s">
        <v>3387</v>
      </c>
      <c r="H150" s="14">
        <v>43578</v>
      </c>
      <c r="I150" s="4" t="s">
        <v>402</v>
      </c>
      <c r="J150" s="22"/>
      <c r="K150" s="21"/>
    </row>
    <row r="151" spans="1:12" s="228" customFormat="1" x14ac:dyDescent="0.25">
      <c r="A151" s="61" t="s">
        <v>637</v>
      </c>
      <c r="B151" s="14"/>
      <c r="C151" s="13"/>
      <c r="D151" s="13" t="s">
        <v>1099</v>
      </c>
      <c r="E151" s="13" t="s">
        <v>691</v>
      </c>
      <c r="F151" s="37">
        <v>51417</v>
      </c>
      <c r="G151" s="29" t="s">
        <v>8260</v>
      </c>
      <c r="H151" s="14">
        <v>43579</v>
      </c>
      <c r="I151" s="4" t="s">
        <v>461</v>
      </c>
      <c r="J151" s="22"/>
      <c r="K151" s="21"/>
    </row>
    <row r="152" spans="1:12" s="228" customFormat="1" x14ac:dyDescent="0.25">
      <c r="A152" s="61" t="s">
        <v>1350</v>
      </c>
      <c r="B152" s="14"/>
      <c r="C152" s="13"/>
      <c r="D152" s="13" t="s">
        <v>447</v>
      </c>
      <c r="E152" s="13" t="s">
        <v>691</v>
      </c>
      <c r="F152" s="37">
        <v>50000</v>
      </c>
      <c r="G152" s="29" t="s">
        <v>1529</v>
      </c>
      <c r="H152" s="14">
        <v>43592</v>
      </c>
      <c r="I152" s="4" t="s">
        <v>6425</v>
      </c>
      <c r="J152" s="22"/>
      <c r="K152" s="21"/>
    </row>
    <row r="153" spans="1:12" s="228" customFormat="1" x14ac:dyDescent="0.25">
      <c r="A153" s="61" t="s">
        <v>1350</v>
      </c>
      <c r="B153" s="14"/>
      <c r="C153" s="13"/>
      <c r="D153" s="13" t="s">
        <v>4870</v>
      </c>
      <c r="E153" s="13" t="s">
        <v>691</v>
      </c>
      <c r="F153" s="37">
        <v>30000</v>
      </c>
      <c r="G153" s="29" t="s">
        <v>8269</v>
      </c>
      <c r="H153" s="14">
        <v>43585</v>
      </c>
      <c r="I153" s="4" t="s">
        <v>5346</v>
      </c>
      <c r="J153" s="22"/>
      <c r="K153" s="21"/>
    </row>
    <row r="154" spans="1:12" s="228" customFormat="1" x14ac:dyDescent="0.25">
      <c r="A154" s="61" t="s">
        <v>1350</v>
      </c>
      <c r="B154" s="14"/>
      <c r="C154" s="13"/>
      <c r="D154" s="13" t="s">
        <v>1688</v>
      </c>
      <c r="E154" s="13" t="s">
        <v>691</v>
      </c>
      <c r="F154" s="37">
        <v>18240</v>
      </c>
      <c r="G154" s="29" t="s">
        <v>8586</v>
      </c>
      <c r="H154" s="14">
        <v>43600</v>
      </c>
      <c r="I154" s="4" t="s">
        <v>8587</v>
      </c>
      <c r="J154" s="22"/>
      <c r="K154" s="21"/>
    </row>
    <row r="155" spans="1:12" s="228" customFormat="1" x14ac:dyDescent="0.25">
      <c r="A155" s="61" t="s">
        <v>1350</v>
      </c>
      <c r="B155" s="14"/>
      <c r="C155" s="13"/>
      <c r="D155" s="13" t="s">
        <v>692</v>
      </c>
      <c r="E155" s="13" t="s">
        <v>691</v>
      </c>
      <c r="F155" s="37">
        <v>26125</v>
      </c>
      <c r="G155" s="29" t="s">
        <v>558</v>
      </c>
      <c r="H155" s="14">
        <v>43605</v>
      </c>
      <c r="I155" s="4" t="s">
        <v>419</v>
      </c>
      <c r="J155" s="22"/>
      <c r="K155" s="21"/>
    </row>
    <row r="156" spans="1:12" s="228" customFormat="1" x14ac:dyDescent="0.25">
      <c r="A156" s="61" t="s">
        <v>455</v>
      </c>
      <c r="B156" s="14"/>
      <c r="C156" s="13"/>
      <c r="D156" s="13" t="s">
        <v>5345</v>
      </c>
      <c r="E156" s="13" t="s">
        <v>958</v>
      </c>
      <c r="F156" s="37">
        <v>65000</v>
      </c>
      <c r="G156" s="29" t="s">
        <v>4</v>
      </c>
      <c r="H156" s="14">
        <v>43575</v>
      </c>
      <c r="I156" s="4" t="s">
        <v>5346</v>
      </c>
      <c r="J156" s="22"/>
      <c r="K156" s="21"/>
    </row>
    <row r="157" spans="1:12" s="228" customFormat="1" x14ac:dyDescent="0.25">
      <c r="A157" s="61" t="s">
        <v>455</v>
      </c>
      <c r="B157" s="14"/>
      <c r="C157" s="13"/>
      <c r="D157" s="13" t="s">
        <v>282</v>
      </c>
      <c r="E157" s="13" t="s">
        <v>958</v>
      </c>
      <c r="F157" s="37">
        <v>23595</v>
      </c>
      <c r="G157" s="29" t="s">
        <v>8055</v>
      </c>
      <c r="H157" s="14">
        <v>43601</v>
      </c>
      <c r="I157" s="4" t="s">
        <v>283</v>
      </c>
      <c r="J157" s="22"/>
      <c r="K157" s="21"/>
    </row>
    <row r="158" spans="1:12" s="228" customFormat="1" x14ac:dyDescent="0.25">
      <c r="A158" s="61" t="s">
        <v>310</v>
      </c>
      <c r="B158" s="14"/>
      <c r="C158" s="13"/>
      <c r="D158" s="13" t="s">
        <v>692</v>
      </c>
      <c r="E158" s="13" t="s">
        <v>958</v>
      </c>
      <c r="F158" s="37">
        <v>11000</v>
      </c>
      <c r="G158" s="29" t="s">
        <v>762</v>
      </c>
      <c r="H158" s="14">
        <v>43605</v>
      </c>
      <c r="I158" s="4" t="s">
        <v>419</v>
      </c>
      <c r="J158" s="22"/>
      <c r="K158" s="21"/>
    </row>
    <row r="159" spans="1:12" s="228" customFormat="1" x14ac:dyDescent="0.25">
      <c r="A159" s="61" t="s">
        <v>310</v>
      </c>
      <c r="B159" s="14"/>
      <c r="C159" s="13"/>
      <c r="D159" s="13" t="s">
        <v>692</v>
      </c>
      <c r="E159" s="13" t="s">
        <v>958</v>
      </c>
      <c r="F159" s="37">
        <v>72000</v>
      </c>
      <c r="G159" s="29" t="s">
        <v>791</v>
      </c>
      <c r="H159" s="14">
        <v>43605</v>
      </c>
      <c r="I159" s="4" t="s">
        <v>419</v>
      </c>
      <c r="J159" s="22"/>
      <c r="K159" s="21"/>
    </row>
    <row r="160" spans="1:12" s="97" customFormat="1" x14ac:dyDescent="0.25">
      <c r="A160" s="61" t="s">
        <v>91</v>
      </c>
      <c r="B160" s="14"/>
      <c r="C160" s="13"/>
      <c r="D160" s="13" t="s">
        <v>811</v>
      </c>
      <c r="E160" s="13" t="s">
        <v>62</v>
      </c>
      <c r="F160" s="37">
        <v>29750</v>
      </c>
      <c r="G160" s="29" t="s">
        <v>6445</v>
      </c>
      <c r="H160" s="14">
        <v>43636</v>
      </c>
      <c r="I160" s="4" t="s">
        <v>9276</v>
      </c>
      <c r="J160" s="133"/>
      <c r="K160" s="22"/>
      <c r="L160" s="134"/>
    </row>
    <row r="161" spans="1:11" s="228" customFormat="1" x14ac:dyDescent="0.25">
      <c r="A161" s="61" t="s">
        <v>442</v>
      </c>
      <c r="B161" s="14"/>
      <c r="C161" s="13"/>
      <c r="D161" s="13" t="s">
        <v>282</v>
      </c>
      <c r="E161" s="13" t="s">
        <v>62</v>
      </c>
      <c r="F161" s="37">
        <v>49335</v>
      </c>
      <c r="G161" s="29" t="s">
        <v>8261</v>
      </c>
      <c r="H161" s="14">
        <v>43608</v>
      </c>
      <c r="I161" s="4" t="s">
        <v>283</v>
      </c>
      <c r="J161" s="22"/>
      <c r="K161" s="21"/>
    </row>
    <row r="162" spans="1:11" s="228" customFormat="1" x14ac:dyDescent="0.25">
      <c r="A162" s="61" t="s">
        <v>91</v>
      </c>
      <c r="B162" s="14"/>
      <c r="C162" s="13"/>
      <c r="D162" s="13" t="s">
        <v>282</v>
      </c>
      <c r="E162" s="13" t="s">
        <v>62</v>
      </c>
      <c r="F162" s="37">
        <v>23595</v>
      </c>
      <c r="G162" s="29" t="s">
        <v>8262</v>
      </c>
      <c r="H162" s="14">
        <v>43608</v>
      </c>
      <c r="I162" s="4" t="s">
        <v>283</v>
      </c>
      <c r="J162" s="22"/>
      <c r="K162" s="21"/>
    </row>
    <row r="163" spans="1:11" s="228" customFormat="1" x14ac:dyDescent="0.25">
      <c r="A163" s="61" t="s">
        <v>92</v>
      </c>
      <c r="B163" s="14"/>
      <c r="C163" s="13"/>
      <c r="D163" s="13" t="s">
        <v>282</v>
      </c>
      <c r="E163" s="13" t="s">
        <v>62</v>
      </c>
      <c r="F163" s="37">
        <v>23595</v>
      </c>
      <c r="G163" s="29" t="s">
        <v>8263</v>
      </c>
      <c r="H163" s="14">
        <v>43608</v>
      </c>
      <c r="I163" s="4" t="s">
        <v>283</v>
      </c>
      <c r="J163" s="22"/>
      <c r="K163" s="21"/>
    </row>
    <row r="164" spans="1:11" s="228" customFormat="1" x14ac:dyDescent="0.25">
      <c r="A164" s="61" t="s">
        <v>358</v>
      </c>
      <c r="B164" s="14"/>
      <c r="C164" s="13"/>
      <c r="D164" s="13" t="s">
        <v>282</v>
      </c>
      <c r="E164" s="13" t="s">
        <v>62</v>
      </c>
      <c r="F164" s="37">
        <v>7150</v>
      </c>
      <c r="G164" s="29" t="s">
        <v>8264</v>
      </c>
      <c r="H164" s="14">
        <v>43608</v>
      </c>
      <c r="I164" s="4" t="s">
        <v>283</v>
      </c>
      <c r="J164" s="22"/>
      <c r="K164" s="21"/>
    </row>
    <row r="165" spans="1:11" s="228" customFormat="1" x14ac:dyDescent="0.25">
      <c r="A165" s="61" t="s">
        <v>358</v>
      </c>
      <c r="B165" s="14"/>
      <c r="C165" s="13"/>
      <c r="D165" s="13" t="s">
        <v>29</v>
      </c>
      <c r="E165" s="13" t="s">
        <v>62</v>
      </c>
      <c r="F165" s="37">
        <v>161200</v>
      </c>
      <c r="G165" s="29" t="s">
        <v>5376</v>
      </c>
      <c r="H165" s="14">
        <v>43577</v>
      </c>
      <c r="I165" s="4" t="s">
        <v>419</v>
      </c>
      <c r="J165" s="22"/>
      <c r="K165" s="21"/>
    </row>
    <row r="166" spans="1:11" s="228" customFormat="1" x14ac:dyDescent="0.25">
      <c r="A166" s="61" t="s">
        <v>442</v>
      </c>
      <c r="B166" s="14"/>
      <c r="C166" s="13"/>
      <c r="D166" s="13" t="s">
        <v>2115</v>
      </c>
      <c r="E166" s="13" t="s">
        <v>62</v>
      </c>
      <c r="F166" s="37">
        <v>331500</v>
      </c>
      <c r="G166" s="29" t="s">
        <v>3813</v>
      </c>
      <c r="H166" s="14">
        <v>43585</v>
      </c>
      <c r="I166" s="4" t="s">
        <v>8271</v>
      </c>
      <c r="J166" s="22"/>
      <c r="K166" s="21"/>
    </row>
    <row r="167" spans="1:11" s="228" customFormat="1" x14ac:dyDescent="0.25">
      <c r="A167" s="61" t="s">
        <v>358</v>
      </c>
      <c r="B167" s="14"/>
      <c r="C167" s="13"/>
      <c r="D167" s="13" t="s">
        <v>431</v>
      </c>
      <c r="E167" s="13" t="s">
        <v>62</v>
      </c>
      <c r="F167" s="37">
        <v>69700</v>
      </c>
      <c r="G167" s="29" t="s">
        <v>3432</v>
      </c>
      <c r="H167" s="14">
        <v>43602</v>
      </c>
      <c r="I167" s="4" t="s">
        <v>95</v>
      </c>
      <c r="J167" s="22"/>
      <c r="K167" s="21"/>
    </row>
    <row r="168" spans="1:11" s="228" customFormat="1" ht="27.6" x14ac:dyDescent="0.25">
      <c r="A168" s="61" t="s">
        <v>7653</v>
      </c>
      <c r="B168" s="14"/>
      <c r="C168" s="13"/>
      <c r="D168" s="13" t="s">
        <v>381</v>
      </c>
      <c r="E168" s="13" t="s">
        <v>808</v>
      </c>
      <c r="F168" s="37">
        <f>244800-50000*2-75000</f>
        <v>69800</v>
      </c>
      <c r="G168" s="29" t="s">
        <v>3362</v>
      </c>
      <c r="H168" s="14">
        <v>43585</v>
      </c>
      <c r="I168" s="4" t="s">
        <v>95</v>
      </c>
      <c r="J168" s="22"/>
      <c r="K168" s="21"/>
    </row>
    <row r="169" spans="1:11" s="228" customFormat="1" x14ac:dyDescent="0.25">
      <c r="A169" s="61" t="s">
        <v>659</v>
      </c>
      <c r="B169" s="14"/>
      <c r="C169" s="13"/>
      <c r="D169" s="13" t="s">
        <v>250</v>
      </c>
      <c r="E169" s="13" t="s">
        <v>808</v>
      </c>
      <c r="F169" s="37">
        <v>500000</v>
      </c>
      <c r="G169" s="29" t="s">
        <v>7425</v>
      </c>
      <c r="H169" s="14">
        <v>43569</v>
      </c>
      <c r="I169" s="4" t="s">
        <v>402</v>
      </c>
      <c r="J169" s="22"/>
      <c r="K169" s="21"/>
    </row>
    <row r="170" spans="1:11" s="228" customFormat="1" ht="27.6" x14ac:dyDescent="0.25">
      <c r="A170" s="61" t="s">
        <v>1894</v>
      </c>
      <c r="B170" s="14"/>
      <c r="C170" s="13"/>
      <c r="D170" s="13" t="s">
        <v>29</v>
      </c>
      <c r="E170" s="13" t="s">
        <v>808</v>
      </c>
      <c r="F170" s="4">
        <v>127450</v>
      </c>
      <c r="G170" s="28" t="s">
        <v>1239</v>
      </c>
      <c r="H170" s="14">
        <v>43573</v>
      </c>
      <c r="I170" s="4" t="s">
        <v>87</v>
      </c>
      <c r="J170" s="22"/>
      <c r="K170" s="21"/>
    </row>
    <row r="171" spans="1:11" s="228" customFormat="1" x14ac:dyDescent="0.25">
      <c r="A171" s="61" t="s">
        <v>1316</v>
      </c>
      <c r="B171" s="14"/>
      <c r="C171" s="13"/>
      <c r="D171" s="13" t="s">
        <v>29</v>
      </c>
      <c r="E171" s="13" t="s">
        <v>808</v>
      </c>
      <c r="F171" s="4">
        <v>19950</v>
      </c>
      <c r="G171" s="28" t="s">
        <v>5465</v>
      </c>
      <c r="H171" s="14">
        <v>43577</v>
      </c>
      <c r="I171" s="4" t="s">
        <v>87</v>
      </c>
      <c r="J171" s="22"/>
      <c r="K171" s="21"/>
    </row>
    <row r="172" spans="1:11" s="228" customFormat="1" x14ac:dyDescent="0.25">
      <c r="A172" s="61" t="s">
        <v>8068</v>
      </c>
      <c r="B172" s="14"/>
      <c r="C172" s="13"/>
      <c r="D172" s="13" t="s">
        <v>2047</v>
      </c>
      <c r="E172" s="13" t="s">
        <v>808</v>
      </c>
      <c r="F172" s="37">
        <v>56100</v>
      </c>
      <c r="G172" s="29" t="s">
        <v>7689</v>
      </c>
      <c r="H172" s="14">
        <v>43600</v>
      </c>
      <c r="I172" s="4" t="s">
        <v>95</v>
      </c>
      <c r="J172" s="22"/>
      <c r="K172" s="21"/>
    </row>
    <row r="173" spans="1:11" s="228" customFormat="1" ht="27.6" x14ac:dyDescent="0.25">
      <c r="A173" s="61" t="s">
        <v>3851</v>
      </c>
      <c r="B173" s="14"/>
      <c r="C173" s="13"/>
      <c r="D173" s="13" t="s">
        <v>2047</v>
      </c>
      <c r="E173" s="13" t="s">
        <v>808</v>
      </c>
      <c r="F173" s="37">
        <v>56100</v>
      </c>
      <c r="G173" s="29" t="s">
        <v>6793</v>
      </c>
      <c r="H173" s="14">
        <v>43600</v>
      </c>
      <c r="I173" s="4" t="s">
        <v>95</v>
      </c>
      <c r="J173" s="22"/>
      <c r="K173" s="21"/>
    </row>
    <row r="174" spans="1:11" s="228" customFormat="1" x14ac:dyDescent="0.25">
      <c r="A174" s="61" t="s">
        <v>659</v>
      </c>
      <c r="B174" s="14"/>
      <c r="C174" s="13"/>
      <c r="D174" s="13" t="s">
        <v>5888</v>
      </c>
      <c r="E174" s="13" t="s">
        <v>808</v>
      </c>
      <c r="F174" s="37">
        <v>129375</v>
      </c>
      <c r="G174" s="29" t="s">
        <v>299</v>
      </c>
      <c r="H174" s="14">
        <v>43591</v>
      </c>
      <c r="I174" s="4" t="s">
        <v>402</v>
      </c>
      <c r="J174" s="22"/>
      <c r="K174" s="21"/>
    </row>
    <row r="175" spans="1:11" s="228" customFormat="1" x14ac:dyDescent="0.25">
      <c r="A175" s="61" t="s">
        <v>1148</v>
      </c>
      <c r="B175" s="14"/>
      <c r="C175" s="13"/>
      <c r="D175" s="13" t="s">
        <v>6788</v>
      </c>
      <c r="E175" s="13" t="s">
        <v>808</v>
      </c>
      <c r="F175" s="37">
        <v>15000</v>
      </c>
      <c r="G175" s="29" t="s">
        <v>5130</v>
      </c>
      <c r="H175" s="14">
        <v>43599</v>
      </c>
      <c r="I175" s="4" t="s">
        <v>354</v>
      </c>
      <c r="J175" s="22"/>
      <c r="K175" s="21"/>
    </row>
    <row r="176" spans="1:11" s="228" customFormat="1" x14ac:dyDescent="0.25">
      <c r="A176" s="61" t="s">
        <v>5258</v>
      </c>
      <c r="B176" s="14"/>
      <c r="C176" s="13"/>
      <c r="D176" s="13" t="s">
        <v>6788</v>
      </c>
      <c r="E176" s="13" t="s">
        <v>808</v>
      </c>
      <c r="F176" s="37">
        <v>13750</v>
      </c>
      <c r="G176" s="29" t="s">
        <v>8589</v>
      </c>
      <c r="H176" s="14">
        <v>43602</v>
      </c>
      <c r="I176" s="4" t="s">
        <v>354</v>
      </c>
      <c r="J176" s="22"/>
      <c r="K176" s="21"/>
    </row>
    <row r="177" spans="1:11" s="228" customFormat="1" x14ac:dyDescent="0.25">
      <c r="A177" s="61" t="s">
        <v>1148</v>
      </c>
      <c r="B177" s="14"/>
      <c r="C177" s="13"/>
      <c r="D177" s="13" t="s">
        <v>6788</v>
      </c>
      <c r="E177" s="13" t="s">
        <v>808</v>
      </c>
      <c r="F177" s="37">
        <v>13750</v>
      </c>
      <c r="G177" s="29" t="s">
        <v>8590</v>
      </c>
      <c r="H177" s="14">
        <v>43610</v>
      </c>
      <c r="I177" s="4" t="s">
        <v>354</v>
      </c>
      <c r="J177" s="22"/>
      <c r="K177" s="21"/>
    </row>
    <row r="178" spans="1:11" s="228" customFormat="1" x14ac:dyDescent="0.25">
      <c r="A178" s="61" t="s">
        <v>455</v>
      </c>
      <c r="B178" s="14"/>
      <c r="C178" s="13"/>
      <c r="D178" s="13" t="s">
        <v>1430</v>
      </c>
      <c r="E178" s="13" t="s">
        <v>130</v>
      </c>
      <c r="F178" s="37">
        <v>253260</v>
      </c>
      <c r="G178" s="29" t="s">
        <v>8576</v>
      </c>
      <c r="H178" s="14">
        <v>43616</v>
      </c>
      <c r="I178" s="4" t="s">
        <v>182</v>
      </c>
      <c r="J178" s="22"/>
      <c r="K178" s="21"/>
    </row>
    <row r="179" spans="1:11" s="228" customFormat="1" x14ac:dyDescent="0.25">
      <c r="A179" s="61" t="s">
        <v>637</v>
      </c>
      <c r="B179" s="14"/>
      <c r="C179" s="13"/>
      <c r="D179" s="13" t="s">
        <v>1430</v>
      </c>
      <c r="E179" s="13" t="s">
        <v>130</v>
      </c>
      <c r="F179" s="37">
        <v>126630</v>
      </c>
      <c r="G179" s="29" t="s">
        <v>8578</v>
      </c>
      <c r="H179" s="14">
        <v>43616</v>
      </c>
      <c r="I179" s="4" t="s">
        <v>182</v>
      </c>
      <c r="J179" s="22"/>
      <c r="K179" s="21"/>
    </row>
    <row r="180" spans="1:11" s="228" customFormat="1" x14ac:dyDescent="0.25">
      <c r="A180" s="13" t="s">
        <v>91</v>
      </c>
      <c r="B180" s="14"/>
      <c r="C180" s="13"/>
      <c r="D180" s="13" t="s">
        <v>971</v>
      </c>
      <c r="E180" s="13" t="s">
        <v>130</v>
      </c>
      <c r="F180" s="37">
        <v>400000</v>
      </c>
      <c r="G180" s="29" t="s">
        <v>3870</v>
      </c>
      <c r="H180" s="14">
        <v>43585</v>
      </c>
      <c r="I180" s="4" t="s">
        <v>182</v>
      </c>
      <c r="J180" s="22"/>
      <c r="K180" s="21"/>
    </row>
  </sheetData>
  <autoFilter ref="A1:I1"/>
  <phoneticPr fontId="8" type="noConversion"/>
  <pageMargins left="0.39370078740157483" right="0.19685039370078741" top="0.39370078740157483" bottom="0.19685039370078741" header="0.31496062992125984" footer="0.31496062992125984"/>
  <pageSetup paperSize="9" scale="97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E1FFFF"/>
    <pageSetUpPr fitToPage="1"/>
  </sheetPr>
  <dimension ref="A1:S263"/>
  <sheetViews>
    <sheetView zoomScaleNormal="100" workbookViewId="0">
      <pane ySplit="3" topLeftCell="A4" activePane="bottomLeft" state="frozen"/>
      <selection activeCell="F116" sqref="F116"/>
      <selection pane="bottomLeft" activeCell="F115" sqref="F115"/>
    </sheetView>
  </sheetViews>
  <sheetFormatPr defaultColWidth="9.44140625" defaultRowHeight="13.8" x14ac:dyDescent="0.25"/>
  <cols>
    <col min="1" max="1" width="14.5546875" style="1" customWidth="1"/>
    <col min="2" max="2" width="14.77734375" style="1" customWidth="1"/>
    <col min="3" max="3" width="7" style="54" customWidth="1"/>
    <col min="4" max="4" width="21.33203125" style="1" customWidth="1"/>
    <col min="5" max="5" width="13" style="1" customWidth="1"/>
    <col min="6" max="6" width="17.5546875" style="31" customWidth="1"/>
    <col min="7" max="7" width="16.88671875" style="1" customWidth="1"/>
    <col min="8" max="8" width="11" style="30" customWidth="1"/>
    <col min="9" max="9" width="36.5546875" style="1" customWidth="1"/>
    <col min="10" max="10" width="12" style="16" customWidth="1"/>
    <col min="11" max="11" width="6.44140625" style="5" customWidth="1"/>
    <col min="12" max="16384" width="9.44140625" style="2"/>
  </cols>
  <sheetData>
    <row r="1" spans="1:12" ht="27.6" x14ac:dyDescent="0.25">
      <c r="D1" s="162" t="s">
        <v>3925</v>
      </c>
      <c r="F1" s="31" t="s">
        <v>6066</v>
      </c>
      <c r="G1" s="31"/>
    </row>
    <row r="2" spans="1:12" s="8" customFormat="1" ht="36" customHeight="1" x14ac:dyDescent="0.25">
      <c r="A2" s="6" t="s">
        <v>192</v>
      </c>
      <c r="B2" s="6" t="s">
        <v>186</v>
      </c>
      <c r="C2" s="42"/>
      <c r="D2" s="6" t="s">
        <v>109</v>
      </c>
      <c r="E2" s="6" t="s">
        <v>121</v>
      </c>
      <c r="F2" s="243" t="s">
        <v>56</v>
      </c>
      <c r="G2" s="6" t="s">
        <v>58</v>
      </c>
      <c r="H2" s="43" t="s">
        <v>636</v>
      </c>
      <c r="I2" s="7" t="s">
        <v>10</v>
      </c>
      <c r="J2" s="18"/>
      <c r="K2" s="15"/>
    </row>
    <row r="3" spans="1:12" s="8" customFormat="1" ht="18.75" customHeight="1" x14ac:dyDescent="0.25">
      <c r="A3" s="55"/>
      <c r="B3" s="9"/>
      <c r="C3" s="64"/>
      <c r="D3" s="24"/>
      <c r="E3" s="9"/>
      <c r="F3" s="12">
        <f>SUM(F4:F264)</f>
        <v>27346785.27</v>
      </c>
      <c r="G3" s="12"/>
      <c r="H3" s="56"/>
      <c r="I3" s="10"/>
      <c r="J3" s="19"/>
      <c r="K3" s="15"/>
    </row>
    <row r="4" spans="1:12" s="93" customFormat="1" ht="6.6" customHeight="1" x14ac:dyDescent="0.25">
      <c r="A4" s="77">
        <v>0</v>
      </c>
      <c r="B4" s="14"/>
      <c r="C4" s="13"/>
      <c r="D4" s="13"/>
      <c r="E4" s="13"/>
      <c r="F4" s="4"/>
      <c r="G4" s="29"/>
      <c r="H4" s="14"/>
      <c r="I4" s="4"/>
      <c r="J4" s="132"/>
      <c r="K4" s="18"/>
      <c r="L4" s="95"/>
    </row>
    <row r="5" spans="1:12" s="228" customFormat="1" x14ac:dyDescent="0.25">
      <c r="A5" s="61" t="s">
        <v>455</v>
      </c>
      <c r="B5" s="14"/>
      <c r="C5" s="13"/>
      <c r="D5" s="13" t="s">
        <v>944</v>
      </c>
      <c r="E5" s="13" t="s">
        <v>958</v>
      </c>
      <c r="F5" s="37">
        <v>18000</v>
      </c>
      <c r="G5" s="29" t="s">
        <v>4046</v>
      </c>
      <c r="H5" s="14">
        <v>43585</v>
      </c>
      <c r="I5" s="4" t="s">
        <v>402</v>
      </c>
      <c r="J5" s="22"/>
      <c r="K5" s="21"/>
    </row>
    <row r="6" spans="1:12" s="228" customFormat="1" x14ac:dyDescent="0.25">
      <c r="A6" s="61" t="s">
        <v>1350</v>
      </c>
      <c r="B6" s="14"/>
      <c r="C6" s="13"/>
      <c r="D6" s="13" t="s">
        <v>944</v>
      </c>
      <c r="E6" s="13" t="s">
        <v>691</v>
      </c>
      <c r="F6" s="37">
        <v>148500</v>
      </c>
      <c r="G6" s="29" t="s">
        <v>4875</v>
      </c>
      <c r="H6" s="14">
        <v>43598</v>
      </c>
      <c r="I6" s="4" t="s">
        <v>402</v>
      </c>
      <c r="J6" s="22"/>
      <c r="K6" s="21"/>
    </row>
    <row r="7" spans="1:12" s="228" customFormat="1" x14ac:dyDescent="0.25">
      <c r="A7" s="68" t="s">
        <v>1350</v>
      </c>
      <c r="B7" s="14"/>
      <c r="C7" s="13"/>
      <c r="D7" s="13" t="s">
        <v>944</v>
      </c>
      <c r="E7" s="218" t="s">
        <v>691</v>
      </c>
      <c r="F7" s="4">
        <v>157500</v>
      </c>
      <c r="G7" s="29" t="s">
        <v>6790</v>
      </c>
      <c r="H7" s="14">
        <v>43605</v>
      </c>
      <c r="I7" s="4" t="s">
        <v>402</v>
      </c>
      <c r="J7" s="22"/>
      <c r="K7" s="21"/>
    </row>
    <row r="8" spans="1:12" s="228" customFormat="1" x14ac:dyDescent="0.25">
      <c r="A8" s="61" t="s">
        <v>455</v>
      </c>
      <c r="B8" s="14"/>
      <c r="C8" s="13"/>
      <c r="D8" s="13" t="s">
        <v>944</v>
      </c>
      <c r="E8" s="13" t="s">
        <v>958</v>
      </c>
      <c r="F8" s="4">
        <v>13500</v>
      </c>
      <c r="G8" s="28" t="s">
        <v>5134</v>
      </c>
      <c r="H8" s="14">
        <v>43609</v>
      </c>
      <c r="I8" s="4" t="s">
        <v>337</v>
      </c>
      <c r="J8" s="22"/>
      <c r="K8" s="21"/>
    </row>
    <row r="9" spans="1:12" s="228" customFormat="1" x14ac:dyDescent="0.25">
      <c r="A9" s="61" t="s">
        <v>1350</v>
      </c>
      <c r="B9" s="14"/>
      <c r="C9" s="13"/>
      <c r="D9" s="13" t="s">
        <v>944</v>
      </c>
      <c r="E9" s="13" t="s">
        <v>691</v>
      </c>
      <c r="F9" s="4">
        <v>164250</v>
      </c>
      <c r="G9" s="28" t="s">
        <v>763</v>
      </c>
      <c r="H9" s="14">
        <v>43613</v>
      </c>
      <c r="I9" s="4" t="s">
        <v>402</v>
      </c>
      <c r="J9" s="22"/>
      <c r="K9" s="21"/>
    </row>
    <row r="10" spans="1:12" s="228" customFormat="1" x14ac:dyDescent="0.25">
      <c r="A10" s="61" t="s">
        <v>311</v>
      </c>
      <c r="B10" s="14"/>
      <c r="C10" s="13"/>
      <c r="D10" s="13" t="s">
        <v>944</v>
      </c>
      <c r="E10" s="13" t="s">
        <v>958</v>
      </c>
      <c r="F10" s="37">
        <v>285750</v>
      </c>
      <c r="G10" s="29" t="s">
        <v>792</v>
      </c>
      <c r="H10" s="14">
        <v>43616</v>
      </c>
      <c r="I10" s="4" t="s">
        <v>402</v>
      </c>
      <c r="J10" s="22"/>
      <c r="K10" s="21"/>
    </row>
    <row r="11" spans="1:12" s="228" customFormat="1" x14ac:dyDescent="0.25">
      <c r="A11" s="61" t="s">
        <v>103</v>
      </c>
      <c r="B11" s="14"/>
      <c r="C11" s="13"/>
      <c r="D11" s="13" t="s">
        <v>944</v>
      </c>
      <c r="E11" s="13" t="s">
        <v>62</v>
      </c>
      <c r="F11" s="37">
        <v>13500</v>
      </c>
      <c r="G11" s="29" t="s">
        <v>8797</v>
      </c>
      <c r="H11" s="14">
        <v>43616</v>
      </c>
      <c r="I11" s="4" t="s">
        <v>337</v>
      </c>
      <c r="J11" s="22"/>
      <c r="K11" s="21"/>
    </row>
    <row r="12" spans="1:12" s="228" customFormat="1" x14ac:dyDescent="0.25">
      <c r="A12" s="61" t="s">
        <v>1350</v>
      </c>
      <c r="B12" s="14"/>
      <c r="C12" s="13"/>
      <c r="D12" s="13" t="s">
        <v>944</v>
      </c>
      <c r="E12" s="13" t="s">
        <v>691</v>
      </c>
      <c r="F12" s="37">
        <v>94500</v>
      </c>
      <c r="G12" s="29" t="s">
        <v>9065</v>
      </c>
      <c r="H12" s="14">
        <v>43616</v>
      </c>
      <c r="I12" s="4" t="s">
        <v>402</v>
      </c>
      <c r="J12" s="22"/>
      <c r="K12" s="21"/>
    </row>
    <row r="13" spans="1:12" s="228" customFormat="1" x14ac:dyDescent="0.25">
      <c r="A13" s="61" t="s">
        <v>311</v>
      </c>
      <c r="B13" s="14"/>
      <c r="C13" s="13"/>
      <c r="D13" s="13" t="s">
        <v>944</v>
      </c>
      <c r="E13" s="13" t="s">
        <v>958</v>
      </c>
      <c r="F13" s="37">
        <v>175500</v>
      </c>
      <c r="G13" s="29" t="s">
        <v>5384</v>
      </c>
      <c r="H13" s="14">
        <v>43626</v>
      </c>
      <c r="I13" s="4" t="s">
        <v>402</v>
      </c>
      <c r="J13" s="22"/>
      <c r="K13" s="21"/>
    </row>
    <row r="14" spans="1:12" s="228" customFormat="1" x14ac:dyDescent="0.25">
      <c r="A14" s="61" t="s">
        <v>1350</v>
      </c>
      <c r="B14" s="14"/>
      <c r="C14" s="13"/>
      <c r="D14" s="13" t="s">
        <v>944</v>
      </c>
      <c r="E14" s="13" t="s">
        <v>691</v>
      </c>
      <c r="F14" s="4">
        <v>164250</v>
      </c>
      <c r="G14" s="28" t="s">
        <v>8644</v>
      </c>
      <c r="H14" s="14">
        <v>43627</v>
      </c>
      <c r="I14" s="4" t="s">
        <v>402</v>
      </c>
      <c r="J14" s="22"/>
      <c r="K14" s="21"/>
    </row>
    <row r="15" spans="1:12" s="228" customFormat="1" x14ac:dyDescent="0.25">
      <c r="A15" s="61" t="s">
        <v>659</v>
      </c>
      <c r="B15" s="14"/>
      <c r="C15" s="13"/>
      <c r="D15" s="13" t="s">
        <v>1099</v>
      </c>
      <c r="E15" s="13" t="s">
        <v>808</v>
      </c>
      <c r="F15" s="37">
        <v>50547</v>
      </c>
      <c r="G15" s="29" t="s">
        <v>6120</v>
      </c>
      <c r="H15" s="14">
        <v>43592</v>
      </c>
      <c r="I15" s="4" t="s">
        <v>461</v>
      </c>
      <c r="J15" s="22"/>
      <c r="K15" s="21"/>
    </row>
    <row r="16" spans="1:12" s="228" customFormat="1" x14ac:dyDescent="0.25">
      <c r="A16" s="61" t="s">
        <v>637</v>
      </c>
      <c r="B16" s="14"/>
      <c r="C16" s="13"/>
      <c r="D16" s="13" t="s">
        <v>1099</v>
      </c>
      <c r="E16" s="13" t="s">
        <v>691</v>
      </c>
      <c r="F16" s="37">
        <v>24360</v>
      </c>
      <c r="G16" s="29" t="s">
        <v>3423</v>
      </c>
      <c r="H16" s="14">
        <v>43598</v>
      </c>
      <c r="I16" s="4" t="s">
        <v>14</v>
      </c>
      <c r="J16" s="22"/>
      <c r="K16" s="21"/>
    </row>
    <row r="17" spans="1:11" s="228" customFormat="1" x14ac:dyDescent="0.25">
      <c r="A17" s="61" t="s">
        <v>1350</v>
      </c>
      <c r="B17" s="14"/>
      <c r="C17" s="13"/>
      <c r="D17" s="13" t="s">
        <v>1099</v>
      </c>
      <c r="E17" s="13" t="s">
        <v>691</v>
      </c>
      <c r="F17" s="37">
        <v>47989.2</v>
      </c>
      <c r="G17" s="29" t="s">
        <v>9066</v>
      </c>
      <c r="H17" s="14">
        <v>43598</v>
      </c>
      <c r="I17" s="4" t="s">
        <v>461</v>
      </c>
      <c r="J17" s="22"/>
      <c r="K17" s="21"/>
    </row>
    <row r="18" spans="1:11" s="228" customFormat="1" x14ac:dyDescent="0.25">
      <c r="A18" s="61" t="s">
        <v>311</v>
      </c>
      <c r="B18" s="14"/>
      <c r="C18" s="13"/>
      <c r="D18" s="13" t="s">
        <v>1099</v>
      </c>
      <c r="E18" s="13" t="s">
        <v>958</v>
      </c>
      <c r="F18" s="37">
        <v>51121.2</v>
      </c>
      <c r="G18" s="29" t="s">
        <v>1400</v>
      </c>
      <c r="H18" s="14">
        <v>43608</v>
      </c>
      <c r="I18" s="4" t="s">
        <v>14</v>
      </c>
      <c r="J18" s="22"/>
      <c r="K18" s="21"/>
    </row>
    <row r="19" spans="1:11" s="228" customFormat="1" x14ac:dyDescent="0.25">
      <c r="A19" s="61" t="s">
        <v>659</v>
      </c>
      <c r="B19" s="14"/>
      <c r="C19" s="13"/>
      <c r="D19" s="13" t="s">
        <v>1099</v>
      </c>
      <c r="E19" s="13" t="s">
        <v>808</v>
      </c>
      <c r="F19" s="37">
        <v>21663</v>
      </c>
      <c r="G19" s="29" t="s">
        <v>2813</v>
      </c>
      <c r="H19" s="14">
        <v>43608</v>
      </c>
      <c r="I19" s="4" t="s">
        <v>461</v>
      </c>
      <c r="J19" s="22"/>
      <c r="K19" s="21"/>
    </row>
    <row r="20" spans="1:11" s="228" customFormat="1" x14ac:dyDescent="0.25">
      <c r="A20" s="61" t="s">
        <v>1316</v>
      </c>
      <c r="B20" s="14"/>
      <c r="C20" s="13"/>
      <c r="D20" s="13" t="s">
        <v>9067</v>
      </c>
      <c r="E20" s="13" t="s">
        <v>808</v>
      </c>
      <c r="F20" s="37">
        <v>59300</v>
      </c>
      <c r="G20" s="29" t="s">
        <v>317</v>
      </c>
      <c r="H20" s="14">
        <v>43616</v>
      </c>
      <c r="I20" s="4" t="s">
        <v>1602</v>
      </c>
      <c r="J20" s="22"/>
      <c r="K20" s="21"/>
    </row>
    <row r="21" spans="1:11" s="228" customFormat="1" x14ac:dyDescent="0.25">
      <c r="A21" s="61" t="s">
        <v>311</v>
      </c>
      <c r="B21" s="14"/>
      <c r="C21" s="13"/>
      <c r="D21" s="13" t="s">
        <v>9067</v>
      </c>
      <c r="E21" s="13" t="s">
        <v>958</v>
      </c>
      <c r="F21" s="37">
        <v>290000</v>
      </c>
      <c r="G21" s="29" t="s">
        <v>26</v>
      </c>
      <c r="H21" s="14">
        <v>43626</v>
      </c>
      <c r="I21" s="4" t="s">
        <v>9068</v>
      </c>
      <c r="J21" s="22"/>
      <c r="K21" s="21"/>
    </row>
    <row r="22" spans="1:11" s="228" customFormat="1" x14ac:dyDescent="0.25">
      <c r="A22" s="61" t="s">
        <v>1350</v>
      </c>
      <c r="B22" s="14"/>
      <c r="C22" s="13"/>
      <c r="D22" s="13" t="s">
        <v>447</v>
      </c>
      <c r="E22" s="13" t="s">
        <v>691</v>
      </c>
      <c r="F22" s="37">
        <f>168500-50000*2</f>
        <v>68500</v>
      </c>
      <c r="G22" s="29" t="s">
        <v>1529</v>
      </c>
      <c r="H22" s="14">
        <v>43592</v>
      </c>
      <c r="I22" s="4" t="s">
        <v>6425</v>
      </c>
      <c r="J22" s="22"/>
      <c r="K22" s="21"/>
    </row>
    <row r="23" spans="1:11" s="228" customFormat="1" x14ac:dyDescent="0.25">
      <c r="A23" s="68" t="s">
        <v>455</v>
      </c>
      <c r="B23" s="14"/>
      <c r="C23" s="13"/>
      <c r="D23" s="13" t="s">
        <v>381</v>
      </c>
      <c r="E23" s="218" t="s">
        <v>958</v>
      </c>
      <c r="F23" s="4">
        <v>30400</v>
      </c>
      <c r="G23" s="29" t="s">
        <v>71</v>
      </c>
      <c r="H23" s="14">
        <v>43616</v>
      </c>
      <c r="I23" s="4" t="s">
        <v>95</v>
      </c>
      <c r="J23" s="22"/>
      <c r="K23" s="21"/>
    </row>
    <row r="24" spans="1:11" s="228" customFormat="1" ht="27.6" x14ac:dyDescent="0.25">
      <c r="A24" s="68" t="s">
        <v>6103</v>
      </c>
      <c r="B24" s="14"/>
      <c r="C24" s="13"/>
      <c r="D24" s="13" t="s">
        <v>381</v>
      </c>
      <c r="E24" s="218" t="s">
        <v>62</v>
      </c>
      <c r="F24" s="4">
        <v>33600</v>
      </c>
      <c r="G24" s="29" t="s">
        <v>26</v>
      </c>
      <c r="H24" s="14">
        <v>43616</v>
      </c>
      <c r="I24" s="4" t="s">
        <v>95</v>
      </c>
      <c r="J24" s="22"/>
      <c r="K24" s="21"/>
    </row>
    <row r="25" spans="1:11" s="228" customFormat="1" ht="41.4" x14ac:dyDescent="0.25">
      <c r="A25" s="61" t="s">
        <v>8571</v>
      </c>
      <c r="B25" s="14"/>
      <c r="C25" s="13"/>
      <c r="D25" s="13" t="s">
        <v>381</v>
      </c>
      <c r="E25" s="13" t="s">
        <v>808</v>
      </c>
      <c r="F25" s="37">
        <v>153600</v>
      </c>
      <c r="G25" s="29" t="s">
        <v>306</v>
      </c>
      <c r="H25" s="14">
        <v>43616</v>
      </c>
      <c r="I25" s="4" t="s">
        <v>95</v>
      </c>
      <c r="J25" s="22"/>
      <c r="K25" s="21"/>
    </row>
    <row r="26" spans="1:11" s="228" customFormat="1" x14ac:dyDescent="0.25">
      <c r="A26" s="61" t="s">
        <v>455</v>
      </c>
      <c r="B26" s="14"/>
      <c r="C26" s="13"/>
      <c r="D26" s="13" t="s">
        <v>5345</v>
      </c>
      <c r="E26" s="13" t="s">
        <v>958</v>
      </c>
      <c r="F26" s="37">
        <v>126500</v>
      </c>
      <c r="G26" s="29" t="s">
        <v>317</v>
      </c>
      <c r="H26" s="14">
        <v>43591</v>
      </c>
      <c r="I26" s="4" t="s">
        <v>5346</v>
      </c>
      <c r="J26" s="22"/>
      <c r="K26" s="21"/>
    </row>
    <row r="27" spans="1:11" s="228" customFormat="1" x14ac:dyDescent="0.25">
      <c r="A27" s="61" t="s">
        <v>455</v>
      </c>
      <c r="B27" s="14"/>
      <c r="C27" s="13"/>
      <c r="D27" s="13" t="s">
        <v>5345</v>
      </c>
      <c r="E27" s="13" t="s">
        <v>958</v>
      </c>
      <c r="F27" s="37">
        <v>181500</v>
      </c>
      <c r="G27" s="29" t="s">
        <v>306</v>
      </c>
      <c r="H27" s="14">
        <v>43607</v>
      </c>
      <c r="I27" s="4" t="s">
        <v>5346</v>
      </c>
      <c r="J27" s="22"/>
      <c r="K27" s="21"/>
    </row>
    <row r="28" spans="1:11" s="228" customFormat="1" x14ac:dyDescent="0.25">
      <c r="A28" s="61" t="s">
        <v>455</v>
      </c>
      <c r="B28" s="14"/>
      <c r="C28" s="13"/>
      <c r="D28" s="13" t="s">
        <v>5345</v>
      </c>
      <c r="E28" s="13" t="s">
        <v>958</v>
      </c>
      <c r="F28" s="37">
        <v>103400</v>
      </c>
      <c r="G28" s="29" t="s">
        <v>478</v>
      </c>
      <c r="H28" s="14">
        <v>43616</v>
      </c>
      <c r="I28" s="4" t="s">
        <v>5346</v>
      </c>
      <c r="J28" s="22"/>
      <c r="K28" s="21"/>
    </row>
    <row r="29" spans="1:11" s="228" customFormat="1" x14ac:dyDescent="0.25">
      <c r="A29" s="61" t="s">
        <v>455</v>
      </c>
      <c r="B29" s="14"/>
      <c r="C29" s="13"/>
      <c r="D29" s="13" t="s">
        <v>282</v>
      </c>
      <c r="E29" s="13" t="s">
        <v>958</v>
      </c>
      <c r="F29" s="37">
        <v>25025</v>
      </c>
      <c r="G29" s="29" t="s">
        <v>8265</v>
      </c>
      <c r="H29" s="14">
        <v>43608</v>
      </c>
      <c r="I29" s="4" t="s">
        <v>283</v>
      </c>
      <c r="J29" s="22"/>
      <c r="K29" s="21"/>
    </row>
    <row r="30" spans="1:11" s="228" customFormat="1" x14ac:dyDescent="0.25">
      <c r="A30" s="61" t="s">
        <v>1316</v>
      </c>
      <c r="B30" s="14"/>
      <c r="C30" s="13"/>
      <c r="D30" s="13" t="s">
        <v>282</v>
      </c>
      <c r="E30" s="13" t="s">
        <v>808</v>
      </c>
      <c r="F30" s="37">
        <v>2860</v>
      </c>
      <c r="G30" s="29" t="s">
        <v>8266</v>
      </c>
      <c r="H30" s="14">
        <v>43608</v>
      </c>
      <c r="I30" s="4" t="s">
        <v>283</v>
      </c>
      <c r="J30" s="22"/>
      <c r="K30" s="21"/>
    </row>
    <row r="31" spans="1:11" s="228" customFormat="1" x14ac:dyDescent="0.25">
      <c r="A31" s="61" t="s">
        <v>1148</v>
      </c>
      <c r="B31" s="14"/>
      <c r="C31" s="13"/>
      <c r="D31" s="13" t="s">
        <v>282</v>
      </c>
      <c r="E31" s="13" t="s">
        <v>808</v>
      </c>
      <c r="F31" s="37">
        <v>7865</v>
      </c>
      <c r="G31" s="29" t="s">
        <v>8267</v>
      </c>
      <c r="H31" s="14">
        <v>43608</v>
      </c>
      <c r="I31" s="4" t="s">
        <v>283</v>
      </c>
      <c r="J31" s="22"/>
      <c r="K31" s="21"/>
    </row>
    <row r="32" spans="1:11" s="228" customFormat="1" x14ac:dyDescent="0.25">
      <c r="A32" s="61" t="s">
        <v>659</v>
      </c>
      <c r="B32" s="14"/>
      <c r="C32" s="13"/>
      <c r="D32" s="13" t="s">
        <v>282</v>
      </c>
      <c r="E32" s="13" t="s">
        <v>808</v>
      </c>
      <c r="F32" s="37">
        <v>1430</v>
      </c>
      <c r="G32" s="29" t="s">
        <v>8268</v>
      </c>
      <c r="H32" s="14">
        <v>43608</v>
      </c>
      <c r="I32" s="4" t="s">
        <v>283</v>
      </c>
      <c r="J32" s="22"/>
      <c r="K32" s="21"/>
    </row>
    <row r="33" spans="1:11" s="228" customFormat="1" x14ac:dyDescent="0.25">
      <c r="A33" s="61" t="s">
        <v>442</v>
      </c>
      <c r="B33" s="14"/>
      <c r="C33" s="13"/>
      <c r="D33" s="13" t="s">
        <v>282</v>
      </c>
      <c r="E33" s="13" t="s">
        <v>62</v>
      </c>
      <c r="F33" s="37">
        <v>59345</v>
      </c>
      <c r="G33" s="29" t="s">
        <v>8798</v>
      </c>
      <c r="H33" s="14">
        <v>43616</v>
      </c>
      <c r="I33" s="4" t="s">
        <v>283</v>
      </c>
      <c r="J33" s="22"/>
      <c r="K33" s="21"/>
    </row>
    <row r="34" spans="1:11" s="228" customFormat="1" x14ac:dyDescent="0.25">
      <c r="A34" s="61" t="s">
        <v>91</v>
      </c>
      <c r="B34" s="14"/>
      <c r="C34" s="13"/>
      <c r="D34" s="13" t="s">
        <v>282</v>
      </c>
      <c r="E34" s="13" t="s">
        <v>62</v>
      </c>
      <c r="F34" s="37">
        <v>27170</v>
      </c>
      <c r="G34" s="29" t="s">
        <v>8799</v>
      </c>
      <c r="H34" s="14">
        <v>43616</v>
      </c>
      <c r="I34" s="4" t="s">
        <v>283</v>
      </c>
      <c r="J34" s="22"/>
      <c r="K34" s="21"/>
    </row>
    <row r="35" spans="1:11" s="228" customFormat="1" x14ac:dyDescent="0.25">
      <c r="A35" s="61" t="s">
        <v>92</v>
      </c>
      <c r="B35" s="14"/>
      <c r="C35" s="13"/>
      <c r="D35" s="13" t="s">
        <v>282</v>
      </c>
      <c r="E35" s="13" t="s">
        <v>62</v>
      </c>
      <c r="F35" s="37">
        <v>32175</v>
      </c>
      <c r="G35" s="29" t="s">
        <v>8800</v>
      </c>
      <c r="H35" s="14">
        <v>43616</v>
      </c>
      <c r="I35" s="4" t="s">
        <v>283</v>
      </c>
      <c r="J35" s="22"/>
      <c r="K35" s="21"/>
    </row>
    <row r="36" spans="1:11" s="228" customFormat="1" x14ac:dyDescent="0.25">
      <c r="A36" s="61" t="s">
        <v>358</v>
      </c>
      <c r="B36" s="14"/>
      <c r="C36" s="13"/>
      <c r="D36" s="13" t="s">
        <v>282</v>
      </c>
      <c r="E36" s="13" t="s">
        <v>62</v>
      </c>
      <c r="F36" s="37">
        <v>8580</v>
      </c>
      <c r="G36" s="29" t="s">
        <v>8801</v>
      </c>
      <c r="H36" s="14">
        <v>43616</v>
      </c>
      <c r="I36" s="4" t="s">
        <v>283</v>
      </c>
      <c r="J36" s="22"/>
      <c r="K36" s="21"/>
    </row>
    <row r="37" spans="1:11" s="228" customFormat="1" x14ac:dyDescent="0.25">
      <c r="A37" s="61" t="s">
        <v>455</v>
      </c>
      <c r="B37" s="14"/>
      <c r="C37" s="13"/>
      <c r="D37" s="13" t="s">
        <v>282</v>
      </c>
      <c r="E37" s="13" t="s">
        <v>958</v>
      </c>
      <c r="F37" s="37">
        <v>32175</v>
      </c>
      <c r="G37" s="29" t="s">
        <v>8802</v>
      </c>
      <c r="H37" s="14">
        <v>43616</v>
      </c>
      <c r="I37" s="4" t="s">
        <v>283</v>
      </c>
      <c r="J37" s="22"/>
      <c r="K37" s="21"/>
    </row>
    <row r="38" spans="1:11" s="228" customFormat="1" x14ac:dyDescent="0.25">
      <c r="A38" s="61" t="s">
        <v>1148</v>
      </c>
      <c r="B38" s="14"/>
      <c r="C38" s="13"/>
      <c r="D38" s="13" t="s">
        <v>282</v>
      </c>
      <c r="E38" s="13" t="s">
        <v>808</v>
      </c>
      <c r="F38" s="37">
        <v>7865</v>
      </c>
      <c r="G38" s="29" t="s">
        <v>8804</v>
      </c>
      <c r="H38" s="14">
        <v>43616</v>
      </c>
      <c r="I38" s="4" t="s">
        <v>283</v>
      </c>
      <c r="J38" s="22"/>
      <c r="K38" s="21"/>
    </row>
    <row r="39" spans="1:11" s="228" customFormat="1" x14ac:dyDescent="0.25">
      <c r="A39" s="61" t="s">
        <v>1316</v>
      </c>
      <c r="B39" s="14"/>
      <c r="C39" s="13"/>
      <c r="D39" s="13" t="s">
        <v>282</v>
      </c>
      <c r="E39" s="13" t="s">
        <v>808</v>
      </c>
      <c r="F39" s="37">
        <v>7150</v>
      </c>
      <c r="G39" s="29" t="s">
        <v>8805</v>
      </c>
      <c r="H39" s="14">
        <v>43616</v>
      </c>
      <c r="I39" s="4" t="s">
        <v>283</v>
      </c>
      <c r="J39" s="22"/>
      <c r="K39" s="21"/>
    </row>
    <row r="40" spans="1:11" s="228" customFormat="1" x14ac:dyDescent="0.25">
      <c r="A40" s="61" t="s">
        <v>659</v>
      </c>
      <c r="B40" s="14"/>
      <c r="C40" s="13"/>
      <c r="D40" s="13" t="s">
        <v>282</v>
      </c>
      <c r="E40" s="13" t="s">
        <v>808</v>
      </c>
      <c r="F40" s="37">
        <v>1430</v>
      </c>
      <c r="G40" s="29" t="s">
        <v>8806</v>
      </c>
      <c r="H40" s="14">
        <v>43616</v>
      </c>
      <c r="I40" s="4" t="s">
        <v>283</v>
      </c>
      <c r="J40" s="22"/>
      <c r="K40" s="21"/>
    </row>
    <row r="41" spans="1:11" s="228" customFormat="1" x14ac:dyDescent="0.25">
      <c r="A41" s="61" t="s">
        <v>1316</v>
      </c>
      <c r="B41" s="14"/>
      <c r="C41" s="13"/>
      <c r="D41" s="13" t="s">
        <v>282</v>
      </c>
      <c r="E41" s="13" t="s">
        <v>808</v>
      </c>
      <c r="F41" s="37">
        <v>5005</v>
      </c>
      <c r="G41" s="29" t="s">
        <v>8807</v>
      </c>
      <c r="H41" s="14">
        <v>43622</v>
      </c>
      <c r="I41" s="4" t="s">
        <v>283</v>
      </c>
      <c r="J41" s="22"/>
      <c r="K41" s="21"/>
    </row>
    <row r="42" spans="1:11" s="228" customFormat="1" x14ac:dyDescent="0.25">
      <c r="A42" s="61" t="s">
        <v>442</v>
      </c>
      <c r="B42" s="14"/>
      <c r="C42" s="13"/>
      <c r="D42" s="13" t="s">
        <v>282</v>
      </c>
      <c r="E42" s="13" t="s">
        <v>62</v>
      </c>
      <c r="F42" s="37">
        <v>40755</v>
      </c>
      <c r="G42" s="29" t="s">
        <v>8808</v>
      </c>
      <c r="H42" s="14">
        <v>43622</v>
      </c>
      <c r="I42" s="4" t="s">
        <v>283</v>
      </c>
      <c r="J42" s="22"/>
      <c r="K42" s="21"/>
    </row>
    <row r="43" spans="1:11" s="228" customFormat="1" x14ac:dyDescent="0.25">
      <c r="A43" s="61" t="s">
        <v>91</v>
      </c>
      <c r="B43" s="14"/>
      <c r="C43" s="13"/>
      <c r="D43" s="13" t="s">
        <v>282</v>
      </c>
      <c r="E43" s="13" t="s">
        <v>62</v>
      </c>
      <c r="F43" s="37">
        <v>12155</v>
      </c>
      <c r="G43" s="29" t="s">
        <v>8809</v>
      </c>
      <c r="H43" s="14">
        <v>43622</v>
      </c>
      <c r="I43" s="4" t="s">
        <v>283</v>
      </c>
      <c r="J43" s="22"/>
      <c r="K43" s="21"/>
    </row>
    <row r="44" spans="1:11" s="228" customFormat="1" x14ac:dyDescent="0.25">
      <c r="A44" s="61" t="s">
        <v>92</v>
      </c>
      <c r="B44" s="14"/>
      <c r="C44" s="13"/>
      <c r="D44" s="13" t="s">
        <v>282</v>
      </c>
      <c r="E44" s="13" t="s">
        <v>62</v>
      </c>
      <c r="F44" s="37">
        <v>10725</v>
      </c>
      <c r="G44" s="29" t="s">
        <v>8810</v>
      </c>
      <c r="H44" s="14">
        <v>43622</v>
      </c>
      <c r="I44" s="4" t="s">
        <v>283</v>
      </c>
      <c r="J44" s="22"/>
      <c r="K44" s="21"/>
    </row>
    <row r="45" spans="1:11" s="228" customFormat="1" x14ac:dyDescent="0.25">
      <c r="A45" s="61" t="s">
        <v>358</v>
      </c>
      <c r="B45" s="14"/>
      <c r="C45" s="13"/>
      <c r="D45" s="13" t="s">
        <v>282</v>
      </c>
      <c r="E45" s="13" t="s">
        <v>62</v>
      </c>
      <c r="F45" s="37">
        <v>4290</v>
      </c>
      <c r="G45" s="29" t="s">
        <v>8811</v>
      </c>
      <c r="H45" s="14">
        <v>43622</v>
      </c>
      <c r="I45" s="4" t="s">
        <v>283</v>
      </c>
      <c r="J45" s="22"/>
      <c r="K45" s="21"/>
    </row>
    <row r="46" spans="1:11" s="228" customFormat="1" x14ac:dyDescent="0.25">
      <c r="A46" s="61" t="s">
        <v>455</v>
      </c>
      <c r="B46" s="14"/>
      <c r="C46" s="13"/>
      <c r="D46" s="13" t="s">
        <v>282</v>
      </c>
      <c r="E46" s="13" t="s">
        <v>958</v>
      </c>
      <c r="F46" s="4">
        <v>14300</v>
      </c>
      <c r="G46" s="28" t="s">
        <v>8812</v>
      </c>
      <c r="H46" s="14">
        <v>43622</v>
      </c>
      <c r="I46" s="4" t="s">
        <v>283</v>
      </c>
      <c r="J46" s="22"/>
      <c r="K46" s="21"/>
    </row>
    <row r="47" spans="1:11" s="228" customFormat="1" x14ac:dyDescent="0.25">
      <c r="A47" s="61" t="s">
        <v>637</v>
      </c>
      <c r="B47" s="14"/>
      <c r="C47" s="13"/>
      <c r="D47" s="13" t="s">
        <v>282</v>
      </c>
      <c r="E47" s="13" t="s">
        <v>691</v>
      </c>
      <c r="F47" s="37">
        <v>23595</v>
      </c>
      <c r="G47" s="29" t="s">
        <v>8813</v>
      </c>
      <c r="H47" s="14">
        <v>43622</v>
      </c>
      <c r="I47" s="4" t="s">
        <v>283</v>
      </c>
      <c r="J47" s="22"/>
      <c r="K47" s="21"/>
    </row>
    <row r="48" spans="1:11" s="228" customFormat="1" x14ac:dyDescent="0.25">
      <c r="A48" s="61" t="s">
        <v>1148</v>
      </c>
      <c r="B48" s="14"/>
      <c r="C48" s="13"/>
      <c r="D48" s="13" t="s">
        <v>282</v>
      </c>
      <c r="E48" s="13" t="s">
        <v>808</v>
      </c>
      <c r="F48" s="37">
        <v>7865</v>
      </c>
      <c r="G48" s="29" t="s">
        <v>8814</v>
      </c>
      <c r="H48" s="14">
        <v>43622</v>
      </c>
      <c r="I48" s="4" t="s">
        <v>283</v>
      </c>
      <c r="J48" s="22"/>
      <c r="K48" s="21"/>
    </row>
    <row r="49" spans="1:11" s="228" customFormat="1" x14ac:dyDescent="0.25">
      <c r="A49" s="61" t="s">
        <v>442</v>
      </c>
      <c r="B49" s="14"/>
      <c r="C49" s="13"/>
      <c r="D49" s="13" t="s">
        <v>282</v>
      </c>
      <c r="E49" s="13" t="s">
        <v>62</v>
      </c>
      <c r="F49" s="37">
        <v>56485</v>
      </c>
      <c r="G49" s="29" t="s">
        <v>9069</v>
      </c>
      <c r="H49" s="14">
        <v>43629</v>
      </c>
      <c r="I49" s="4" t="s">
        <v>283</v>
      </c>
      <c r="J49" s="22"/>
      <c r="K49" s="21"/>
    </row>
    <row r="50" spans="1:11" s="228" customFormat="1" x14ac:dyDescent="0.25">
      <c r="A50" s="61" t="s">
        <v>91</v>
      </c>
      <c r="B50" s="14"/>
      <c r="C50" s="13"/>
      <c r="D50" s="13" t="s">
        <v>282</v>
      </c>
      <c r="E50" s="13" t="s">
        <v>62</v>
      </c>
      <c r="F50" s="37">
        <v>17875</v>
      </c>
      <c r="G50" s="29" t="s">
        <v>9070</v>
      </c>
      <c r="H50" s="14">
        <v>43629</v>
      </c>
      <c r="I50" s="4" t="s">
        <v>283</v>
      </c>
      <c r="J50" s="22"/>
      <c r="K50" s="21"/>
    </row>
    <row r="51" spans="1:11" s="228" customFormat="1" x14ac:dyDescent="0.25">
      <c r="A51" s="61" t="s">
        <v>92</v>
      </c>
      <c r="B51" s="14"/>
      <c r="C51" s="13"/>
      <c r="D51" s="13" t="s">
        <v>282</v>
      </c>
      <c r="E51" s="13" t="s">
        <v>62</v>
      </c>
      <c r="F51" s="37">
        <v>20020</v>
      </c>
      <c r="G51" s="29" t="s">
        <v>9071</v>
      </c>
      <c r="H51" s="14">
        <v>43629</v>
      </c>
      <c r="I51" s="4" t="s">
        <v>283</v>
      </c>
      <c r="J51" s="22"/>
      <c r="K51" s="21"/>
    </row>
    <row r="52" spans="1:11" s="228" customFormat="1" x14ac:dyDescent="0.25">
      <c r="A52" s="61" t="s">
        <v>358</v>
      </c>
      <c r="B52" s="14"/>
      <c r="C52" s="13"/>
      <c r="D52" s="13" t="s">
        <v>282</v>
      </c>
      <c r="E52" s="13" t="s">
        <v>62</v>
      </c>
      <c r="F52" s="37">
        <v>5005</v>
      </c>
      <c r="G52" s="29" t="s">
        <v>9072</v>
      </c>
      <c r="H52" s="14">
        <v>43629</v>
      </c>
      <c r="I52" s="4" t="s">
        <v>283</v>
      </c>
      <c r="J52" s="22"/>
      <c r="K52" s="21"/>
    </row>
    <row r="53" spans="1:11" s="228" customFormat="1" x14ac:dyDescent="0.25">
      <c r="A53" s="61" t="s">
        <v>455</v>
      </c>
      <c r="B53" s="14"/>
      <c r="C53" s="13"/>
      <c r="D53" s="13" t="s">
        <v>282</v>
      </c>
      <c r="E53" s="13" t="s">
        <v>958</v>
      </c>
      <c r="F53" s="37">
        <v>25025</v>
      </c>
      <c r="G53" s="29" t="s">
        <v>9073</v>
      </c>
      <c r="H53" s="14">
        <v>43629</v>
      </c>
      <c r="I53" s="4" t="s">
        <v>283</v>
      </c>
      <c r="J53" s="22"/>
      <c r="K53" s="21"/>
    </row>
    <row r="54" spans="1:11" s="228" customFormat="1" x14ac:dyDescent="0.25">
      <c r="A54" s="61" t="s">
        <v>637</v>
      </c>
      <c r="B54" s="14"/>
      <c r="C54" s="13"/>
      <c r="D54" s="13" t="s">
        <v>282</v>
      </c>
      <c r="E54" s="13" t="s">
        <v>691</v>
      </c>
      <c r="F54" s="37">
        <v>43615</v>
      </c>
      <c r="G54" s="29" t="s">
        <v>8087</v>
      </c>
      <c r="H54" s="14">
        <v>43629</v>
      </c>
      <c r="I54" s="4" t="s">
        <v>283</v>
      </c>
      <c r="J54" s="22"/>
      <c r="K54" s="21"/>
    </row>
    <row r="55" spans="1:11" s="228" customFormat="1" x14ac:dyDescent="0.25">
      <c r="A55" s="61" t="s">
        <v>1316</v>
      </c>
      <c r="B55" s="14"/>
      <c r="C55" s="13"/>
      <c r="D55" s="13" t="s">
        <v>282</v>
      </c>
      <c r="E55" s="13" t="s">
        <v>808</v>
      </c>
      <c r="F55" s="37">
        <v>8580</v>
      </c>
      <c r="G55" s="29" t="s">
        <v>4896</v>
      </c>
      <c r="H55" s="14">
        <v>43629</v>
      </c>
      <c r="I55" s="4" t="s">
        <v>283</v>
      </c>
      <c r="J55" s="22"/>
      <c r="K55" s="21"/>
    </row>
    <row r="56" spans="1:11" s="228" customFormat="1" x14ac:dyDescent="0.25">
      <c r="A56" s="61" t="s">
        <v>1148</v>
      </c>
      <c r="B56" s="14"/>
      <c r="C56" s="13"/>
      <c r="D56" s="13" t="s">
        <v>282</v>
      </c>
      <c r="E56" s="13" t="s">
        <v>808</v>
      </c>
      <c r="F56" s="37">
        <v>7150</v>
      </c>
      <c r="G56" s="29" t="s">
        <v>5661</v>
      </c>
      <c r="H56" s="14">
        <v>43629</v>
      </c>
      <c r="I56" s="4" t="s">
        <v>283</v>
      </c>
      <c r="J56" s="22"/>
      <c r="K56" s="21"/>
    </row>
    <row r="57" spans="1:11" s="228" customFormat="1" x14ac:dyDescent="0.25">
      <c r="A57" s="61" t="s">
        <v>659</v>
      </c>
      <c r="B57" s="14"/>
      <c r="C57" s="13"/>
      <c r="D57" s="13" t="s">
        <v>282</v>
      </c>
      <c r="E57" s="13" t="s">
        <v>808</v>
      </c>
      <c r="F57" s="37">
        <v>2145</v>
      </c>
      <c r="G57" s="29" t="s">
        <v>8079</v>
      </c>
      <c r="H57" s="14">
        <v>43629</v>
      </c>
      <c r="I57" s="4" t="s">
        <v>283</v>
      </c>
      <c r="J57" s="22"/>
      <c r="K57" s="21"/>
    </row>
    <row r="58" spans="1:11" s="228" customFormat="1" x14ac:dyDescent="0.25">
      <c r="A58" s="61" t="s">
        <v>442</v>
      </c>
      <c r="B58" s="14"/>
      <c r="C58" s="13"/>
      <c r="D58" s="13" t="s">
        <v>282</v>
      </c>
      <c r="E58" s="13" t="s">
        <v>62</v>
      </c>
      <c r="F58" s="37">
        <v>53625</v>
      </c>
      <c r="G58" s="29" t="s">
        <v>9360</v>
      </c>
      <c r="H58" s="14">
        <v>43636</v>
      </c>
      <c r="I58" s="4" t="s">
        <v>283</v>
      </c>
      <c r="J58" s="22"/>
      <c r="K58" s="21"/>
    </row>
    <row r="59" spans="1:11" s="228" customFormat="1" x14ac:dyDescent="0.25">
      <c r="A59" s="61" t="s">
        <v>91</v>
      </c>
      <c r="B59" s="14"/>
      <c r="C59" s="13"/>
      <c r="D59" s="13" t="s">
        <v>282</v>
      </c>
      <c r="E59" s="13" t="s">
        <v>62</v>
      </c>
      <c r="F59" s="37">
        <v>15730</v>
      </c>
      <c r="G59" s="29" t="s">
        <v>9361</v>
      </c>
      <c r="H59" s="14">
        <v>43636</v>
      </c>
      <c r="I59" s="4" t="s">
        <v>283</v>
      </c>
      <c r="J59" s="22"/>
      <c r="K59" s="21"/>
    </row>
    <row r="60" spans="1:11" s="228" customFormat="1" x14ac:dyDescent="0.25">
      <c r="A60" s="61" t="s">
        <v>92</v>
      </c>
      <c r="B60" s="14"/>
      <c r="C60" s="13"/>
      <c r="D60" s="13" t="s">
        <v>282</v>
      </c>
      <c r="E60" s="13" t="s">
        <v>62</v>
      </c>
      <c r="F60" s="37">
        <v>14300</v>
      </c>
      <c r="G60" s="29" t="s">
        <v>6143</v>
      </c>
      <c r="H60" s="14">
        <v>43636</v>
      </c>
      <c r="I60" s="4" t="s">
        <v>283</v>
      </c>
      <c r="J60" s="22"/>
      <c r="K60" s="21"/>
    </row>
    <row r="61" spans="1:11" s="228" customFormat="1" x14ac:dyDescent="0.25">
      <c r="A61" s="61" t="s">
        <v>358</v>
      </c>
      <c r="B61" s="14"/>
      <c r="C61" s="13"/>
      <c r="D61" s="13" t="s">
        <v>282</v>
      </c>
      <c r="E61" s="13" t="s">
        <v>62</v>
      </c>
      <c r="F61" s="37">
        <v>6435</v>
      </c>
      <c r="G61" s="29" t="s">
        <v>9362</v>
      </c>
      <c r="H61" s="14">
        <v>43636</v>
      </c>
      <c r="I61" s="4" t="s">
        <v>283</v>
      </c>
      <c r="J61" s="22"/>
      <c r="K61" s="21"/>
    </row>
    <row r="62" spans="1:11" s="228" customFormat="1" x14ac:dyDescent="0.25">
      <c r="A62" s="61" t="s">
        <v>637</v>
      </c>
      <c r="B62" s="14"/>
      <c r="C62" s="13"/>
      <c r="D62" s="13" t="s">
        <v>282</v>
      </c>
      <c r="E62" s="13" t="s">
        <v>691</v>
      </c>
      <c r="F62" s="37">
        <v>35035</v>
      </c>
      <c r="G62" s="29" t="s">
        <v>9363</v>
      </c>
      <c r="H62" s="14">
        <v>43636</v>
      </c>
      <c r="I62" s="4" t="s">
        <v>283</v>
      </c>
      <c r="J62" s="22"/>
      <c r="K62" s="21"/>
    </row>
    <row r="63" spans="1:11" s="228" customFormat="1" x14ac:dyDescent="0.25">
      <c r="A63" s="61" t="s">
        <v>1316</v>
      </c>
      <c r="B63" s="14"/>
      <c r="C63" s="13"/>
      <c r="D63" s="13" t="s">
        <v>282</v>
      </c>
      <c r="E63" s="13" t="s">
        <v>808</v>
      </c>
      <c r="F63" s="37">
        <v>5720</v>
      </c>
      <c r="G63" s="29" t="s">
        <v>9364</v>
      </c>
      <c r="H63" s="14">
        <v>43636</v>
      </c>
      <c r="I63" s="4" t="s">
        <v>283</v>
      </c>
      <c r="J63" s="22"/>
      <c r="K63" s="21"/>
    </row>
    <row r="64" spans="1:11" s="228" customFormat="1" x14ac:dyDescent="0.25">
      <c r="A64" s="61" t="s">
        <v>1148</v>
      </c>
      <c r="B64" s="14"/>
      <c r="C64" s="13"/>
      <c r="D64" s="13" t="s">
        <v>282</v>
      </c>
      <c r="E64" s="13" t="s">
        <v>808</v>
      </c>
      <c r="F64" s="37">
        <v>8580</v>
      </c>
      <c r="G64" s="29" t="s">
        <v>9365</v>
      </c>
      <c r="H64" s="14">
        <v>43636</v>
      </c>
      <c r="I64" s="4" t="s">
        <v>283</v>
      </c>
      <c r="J64" s="22"/>
      <c r="K64" s="21"/>
    </row>
    <row r="65" spans="1:11" s="228" customFormat="1" x14ac:dyDescent="0.25">
      <c r="A65" s="61" t="s">
        <v>659</v>
      </c>
      <c r="B65" s="14"/>
      <c r="C65" s="13"/>
      <c r="D65" s="13" t="s">
        <v>282</v>
      </c>
      <c r="E65" s="13" t="s">
        <v>808</v>
      </c>
      <c r="F65" s="37">
        <v>2145</v>
      </c>
      <c r="G65" s="29" t="s">
        <v>9366</v>
      </c>
      <c r="H65" s="14">
        <v>43636</v>
      </c>
      <c r="I65" s="4" t="s">
        <v>283</v>
      </c>
      <c r="J65" s="22"/>
      <c r="K65" s="21"/>
    </row>
    <row r="66" spans="1:11" s="228" customFormat="1" x14ac:dyDescent="0.25">
      <c r="A66" s="61" t="s">
        <v>455</v>
      </c>
      <c r="B66" s="14"/>
      <c r="C66" s="13"/>
      <c r="D66" s="13" t="s">
        <v>282</v>
      </c>
      <c r="E66" s="13" t="s">
        <v>958</v>
      </c>
      <c r="F66" s="4">
        <v>25740</v>
      </c>
      <c r="G66" s="28" t="s">
        <v>9367</v>
      </c>
      <c r="H66" s="14">
        <v>43636</v>
      </c>
      <c r="I66" s="4" t="s">
        <v>283</v>
      </c>
      <c r="J66" s="22"/>
      <c r="K66" s="21"/>
    </row>
    <row r="67" spans="1:11" s="228" customFormat="1" x14ac:dyDescent="0.25">
      <c r="A67" s="61" t="s">
        <v>310</v>
      </c>
      <c r="B67" s="14"/>
      <c r="C67" s="13"/>
      <c r="D67" s="13" t="s">
        <v>1430</v>
      </c>
      <c r="E67" s="13" t="s">
        <v>130</v>
      </c>
      <c r="F67" s="37">
        <v>466320</v>
      </c>
      <c r="G67" s="29" t="s">
        <v>8572</v>
      </c>
      <c r="H67" s="14">
        <v>43616</v>
      </c>
      <c r="I67" s="4" t="s">
        <v>182</v>
      </c>
      <c r="J67" s="22"/>
      <c r="K67" s="21"/>
    </row>
    <row r="68" spans="1:11" s="228" customFormat="1" x14ac:dyDescent="0.25">
      <c r="A68" s="61" t="s">
        <v>311</v>
      </c>
      <c r="B68" s="14"/>
      <c r="C68" s="13"/>
      <c r="D68" s="13" t="s">
        <v>1430</v>
      </c>
      <c r="E68" s="13" t="s">
        <v>130</v>
      </c>
      <c r="F68" s="37">
        <v>633150</v>
      </c>
      <c r="G68" s="29" t="s">
        <v>8575</v>
      </c>
      <c r="H68" s="14">
        <v>43616</v>
      </c>
      <c r="I68" s="4" t="s">
        <v>182</v>
      </c>
      <c r="J68" s="22"/>
      <c r="K68" s="21"/>
    </row>
    <row r="69" spans="1:11" s="228" customFormat="1" x14ac:dyDescent="0.25">
      <c r="A69" s="61" t="s">
        <v>659</v>
      </c>
      <c r="B69" s="14"/>
      <c r="C69" s="13"/>
      <c r="D69" s="13" t="s">
        <v>1430</v>
      </c>
      <c r="E69" s="13" t="s">
        <v>130</v>
      </c>
      <c r="F69" s="37">
        <v>108540</v>
      </c>
      <c r="G69" s="29" t="s">
        <v>8577</v>
      </c>
      <c r="H69" s="14">
        <v>43616</v>
      </c>
      <c r="I69" s="4" t="s">
        <v>182</v>
      </c>
      <c r="J69" s="22"/>
      <c r="K69" s="21"/>
    </row>
    <row r="70" spans="1:11" s="228" customFormat="1" x14ac:dyDescent="0.25">
      <c r="A70" s="61" t="s">
        <v>91</v>
      </c>
      <c r="B70" s="14"/>
      <c r="C70" s="13"/>
      <c r="D70" s="13" t="s">
        <v>971</v>
      </c>
      <c r="E70" s="13" t="s">
        <v>130</v>
      </c>
      <c r="F70" s="37">
        <f>596970-400000</f>
        <v>196970</v>
      </c>
      <c r="G70" s="29" t="s">
        <v>3870</v>
      </c>
      <c r="H70" s="14">
        <v>43585</v>
      </c>
      <c r="I70" s="4" t="s">
        <v>182</v>
      </c>
      <c r="J70" s="22"/>
      <c r="K70" s="21"/>
    </row>
    <row r="71" spans="1:11" s="228" customFormat="1" x14ac:dyDescent="0.25">
      <c r="A71" s="61" t="s">
        <v>442</v>
      </c>
      <c r="B71" s="14"/>
      <c r="C71" s="13"/>
      <c r="D71" s="13" t="s">
        <v>971</v>
      </c>
      <c r="E71" s="13" t="s">
        <v>130</v>
      </c>
      <c r="F71" s="37">
        <v>568160</v>
      </c>
      <c r="G71" s="29" t="s">
        <v>150</v>
      </c>
      <c r="H71" s="14">
        <v>43585</v>
      </c>
      <c r="I71" s="4" t="s">
        <v>182</v>
      </c>
      <c r="J71" s="22"/>
      <c r="K71" s="21"/>
    </row>
    <row r="72" spans="1:11" s="228" customFormat="1" x14ac:dyDescent="0.25">
      <c r="A72" s="61" t="s">
        <v>91</v>
      </c>
      <c r="B72" s="14"/>
      <c r="C72" s="13"/>
      <c r="D72" s="13" t="s">
        <v>971</v>
      </c>
      <c r="E72" s="13" t="s">
        <v>130</v>
      </c>
      <c r="F72" s="37">
        <v>469670</v>
      </c>
      <c r="G72" s="29" t="s">
        <v>5200</v>
      </c>
      <c r="H72" s="14">
        <v>43616</v>
      </c>
      <c r="I72" s="4" t="s">
        <v>182</v>
      </c>
      <c r="J72" s="22"/>
      <c r="K72" s="21"/>
    </row>
    <row r="73" spans="1:11" s="228" customFormat="1" x14ac:dyDescent="0.25">
      <c r="A73" s="61" t="s">
        <v>358</v>
      </c>
      <c r="B73" s="14"/>
      <c r="C73" s="13"/>
      <c r="D73" s="13" t="s">
        <v>971</v>
      </c>
      <c r="E73" s="13" t="s">
        <v>130</v>
      </c>
      <c r="F73" s="37">
        <v>144720</v>
      </c>
      <c r="G73" s="29" t="s">
        <v>1210</v>
      </c>
      <c r="H73" s="14">
        <v>43616</v>
      </c>
      <c r="I73" s="4" t="s">
        <v>182</v>
      </c>
      <c r="J73" s="22"/>
      <c r="K73" s="21"/>
    </row>
    <row r="74" spans="1:11" s="228" customFormat="1" x14ac:dyDescent="0.25">
      <c r="A74" s="61" t="s">
        <v>442</v>
      </c>
      <c r="B74" s="14"/>
      <c r="C74" s="13"/>
      <c r="D74" s="13" t="s">
        <v>971</v>
      </c>
      <c r="E74" s="13" t="s">
        <v>130</v>
      </c>
      <c r="F74" s="37">
        <v>527960</v>
      </c>
      <c r="G74" s="29" t="s">
        <v>1319</v>
      </c>
      <c r="H74" s="14">
        <v>43616</v>
      </c>
      <c r="I74" s="4" t="s">
        <v>182</v>
      </c>
      <c r="J74" s="22"/>
      <c r="K74" s="21"/>
    </row>
    <row r="75" spans="1:11" s="228" customFormat="1" x14ac:dyDescent="0.25">
      <c r="A75" s="61" t="s">
        <v>103</v>
      </c>
      <c r="B75" s="14"/>
      <c r="C75" s="13"/>
      <c r="D75" s="13" t="s">
        <v>80</v>
      </c>
      <c r="E75" s="13" t="s">
        <v>62</v>
      </c>
      <c r="F75" s="37">
        <v>92160</v>
      </c>
      <c r="G75" s="29" t="s">
        <v>8580</v>
      </c>
      <c r="H75" s="14">
        <v>43616</v>
      </c>
      <c r="I75" s="4" t="s">
        <v>354</v>
      </c>
      <c r="J75" s="22"/>
      <c r="K75" s="21"/>
    </row>
    <row r="76" spans="1:11" s="228" customFormat="1" ht="27.6" x14ac:dyDescent="0.25">
      <c r="A76" s="61" t="s">
        <v>1806</v>
      </c>
      <c r="B76" s="14"/>
      <c r="C76" s="13"/>
      <c r="D76" s="13" t="s">
        <v>80</v>
      </c>
      <c r="E76" s="13" t="s">
        <v>808</v>
      </c>
      <c r="F76" s="37">
        <v>378480</v>
      </c>
      <c r="G76" s="29" t="s">
        <v>8581</v>
      </c>
      <c r="H76" s="14">
        <v>43616</v>
      </c>
      <c r="I76" s="4" t="s">
        <v>2157</v>
      </c>
      <c r="J76" s="22"/>
      <c r="K76" s="21"/>
    </row>
    <row r="77" spans="1:11" s="228" customFormat="1" ht="27.6" x14ac:dyDescent="0.25">
      <c r="A77" s="61" t="s">
        <v>1894</v>
      </c>
      <c r="B77" s="14"/>
      <c r="C77" s="13"/>
      <c r="D77" s="13" t="s">
        <v>80</v>
      </c>
      <c r="E77" s="13" t="s">
        <v>808</v>
      </c>
      <c r="F77" s="37">
        <v>303780</v>
      </c>
      <c r="G77" s="29" t="s">
        <v>2271</v>
      </c>
      <c r="H77" s="14">
        <v>43631</v>
      </c>
      <c r="I77" s="4" t="s">
        <v>2157</v>
      </c>
      <c r="J77" s="22"/>
      <c r="K77" s="21"/>
    </row>
    <row r="78" spans="1:11" s="228" customFormat="1" x14ac:dyDescent="0.25">
      <c r="A78" s="61" t="s">
        <v>659</v>
      </c>
      <c r="B78" s="14"/>
      <c r="C78" s="13"/>
      <c r="D78" s="13" t="s">
        <v>250</v>
      </c>
      <c r="E78" s="13" t="s">
        <v>808</v>
      </c>
      <c r="F78" s="37">
        <v>21000</v>
      </c>
      <c r="G78" s="29" t="s">
        <v>7680</v>
      </c>
      <c r="H78" s="14">
        <v>43580</v>
      </c>
      <c r="I78" s="4" t="s">
        <v>4088</v>
      </c>
      <c r="J78" s="22"/>
      <c r="K78" s="21"/>
    </row>
    <row r="79" spans="1:11" s="228" customFormat="1" x14ac:dyDescent="0.25">
      <c r="A79" s="61" t="s">
        <v>659</v>
      </c>
      <c r="B79" s="14"/>
      <c r="C79" s="13"/>
      <c r="D79" s="13" t="s">
        <v>250</v>
      </c>
      <c r="E79" s="13" t="s">
        <v>808</v>
      </c>
      <c r="F79" s="37">
        <v>48875</v>
      </c>
      <c r="G79" s="29" t="s">
        <v>7682</v>
      </c>
      <c r="H79" s="14">
        <v>43583</v>
      </c>
      <c r="I79" s="4" t="s">
        <v>402</v>
      </c>
      <c r="J79" s="22"/>
      <c r="K79" s="21"/>
    </row>
    <row r="80" spans="1:11" s="228" customFormat="1" x14ac:dyDescent="0.25">
      <c r="A80" s="61" t="s">
        <v>92</v>
      </c>
      <c r="B80" s="14"/>
      <c r="C80" s="13"/>
      <c r="D80" s="13" t="s">
        <v>250</v>
      </c>
      <c r="E80" s="13" t="s">
        <v>62</v>
      </c>
      <c r="F80" s="37">
        <v>1009375</v>
      </c>
      <c r="G80" s="29" t="s">
        <v>7683</v>
      </c>
      <c r="H80" s="14">
        <v>43584</v>
      </c>
      <c r="I80" s="4" t="s">
        <v>2159</v>
      </c>
      <c r="J80" s="22"/>
      <c r="K80" s="21"/>
    </row>
    <row r="81" spans="1:11" s="228" customFormat="1" x14ac:dyDescent="0.25">
      <c r="A81" s="61" t="s">
        <v>659</v>
      </c>
      <c r="B81" s="14"/>
      <c r="C81" s="13"/>
      <c r="D81" s="13" t="s">
        <v>250</v>
      </c>
      <c r="E81" s="13" t="s">
        <v>808</v>
      </c>
      <c r="F81" s="37">
        <v>397375</v>
      </c>
      <c r="G81" s="29" t="s">
        <v>7684</v>
      </c>
      <c r="H81" s="14">
        <v>43585</v>
      </c>
      <c r="I81" s="4" t="s">
        <v>402</v>
      </c>
      <c r="J81" s="22"/>
      <c r="K81" s="21"/>
    </row>
    <row r="82" spans="1:11" s="228" customFormat="1" x14ac:dyDescent="0.25">
      <c r="A82" s="61" t="s">
        <v>659</v>
      </c>
      <c r="B82" s="14"/>
      <c r="C82" s="13"/>
      <c r="D82" s="13" t="s">
        <v>250</v>
      </c>
      <c r="E82" s="13" t="s">
        <v>808</v>
      </c>
      <c r="F82" s="37">
        <v>635375</v>
      </c>
      <c r="G82" s="29" t="s">
        <v>7685</v>
      </c>
      <c r="H82" s="14">
        <v>43585</v>
      </c>
      <c r="I82" s="4" t="s">
        <v>402</v>
      </c>
      <c r="J82" s="22"/>
      <c r="K82" s="21"/>
    </row>
    <row r="83" spans="1:11" s="228" customFormat="1" x14ac:dyDescent="0.25">
      <c r="A83" s="61" t="s">
        <v>659</v>
      </c>
      <c r="B83" s="14"/>
      <c r="C83" s="13"/>
      <c r="D83" s="13" t="s">
        <v>250</v>
      </c>
      <c r="E83" s="13" t="s">
        <v>808</v>
      </c>
      <c r="F83" s="37">
        <v>48875</v>
      </c>
      <c r="G83" s="29" t="s">
        <v>7686</v>
      </c>
      <c r="H83" s="14">
        <v>43585</v>
      </c>
      <c r="I83" s="4" t="s">
        <v>402</v>
      </c>
      <c r="J83" s="22"/>
      <c r="K83" s="21"/>
    </row>
    <row r="84" spans="1:11" s="228" customFormat="1" x14ac:dyDescent="0.25">
      <c r="A84" s="61" t="s">
        <v>659</v>
      </c>
      <c r="B84" s="14"/>
      <c r="C84" s="13"/>
      <c r="D84" s="13" t="s">
        <v>250</v>
      </c>
      <c r="E84" s="13" t="s">
        <v>808</v>
      </c>
      <c r="F84" s="4">
        <v>121125</v>
      </c>
      <c r="G84" s="28" t="s">
        <v>7687</v>
      </c>
      <c r="H84" s="14">
        <v>43585</v>
      </c>
      <c r="I84" s="4" t="s">
        <v>4088</v>
      </c>
      <c r="J84" s="22"/>
      <c r="K84" s="21"/>
    </row>
    <row r="85" spans="1:11" s="228" customFormat="1" x14ac:dyDescent="0.25">
      <c r="A85" s="61" t="s">
        <v>659</v>
      </c>
      <c r="B85" s="14"/>
      <c r="C85" s="13"/>
      <c r="D85" s="13" t="s">
        <v>250</v>
      </c>
      <c r="E85" s="13" t="s">
        <v>808</v>
      </c>
      <c r="F85" s="4">
        <v>319437.5</v>
      </c>
      <c r="G85" s="28" t="s">
        <v>7688</v>
      </c>
      <c r="H85" s="14">
        <v>43585</v>
      </c>
      <c r="I85" s="4" t="s">
        <v>4088</v>
      </c>
      <c r="J85" s="22"/>
      <c r="K85" s="21"/>
    </row>
    <row r="86" spans="1:11" s="228" customFormat="1" x14ac:dyDescent="0.25">
      <c r="A86" s="61" t="s">
        <v>92</v>
      </c>
      <c r="B86" s="14"/>
      <c r="C86" s="13"/>
      <c r="D86" s="13" t="s">
        <v>250</v>
      </c>
      <c r="E86" s="13" t="s">
        <v>62</v>
      </c>
      <c r="F86" s="37">
        <v>245437.5</v>
      </c>
      <c r="G86" s="29" t="s">
        <v>8058</v>
      </c>
      <c r="H86" s="14">
        <v>43587</v>
      </c>
      <c r="I86" s="4" t="s">
        <v>2159</v>
      </c>
      <c r="J86" s="22"/>
      <c r="K86" s="21"/>
    </row>
    <row r="87" spans="1:11" s="228" customFormat="1" x14ac:dyDescent="0.25">
      <c r="A87" s="61" t="s">
        <v>103</v>
      </c>
      <c r="B87" s="14"/>
      <c r="C87" s="13"/>
      <c r="D87" s="13" t="s">
        <v>250</v>
      </c>
      <c r="E87" s="13" t="s">
        <v>62</v>
      </c>
      <c r="F87" s="37">
        <v>46750</v>
      </c>
      <c r="G87" s="29" t="s">
        <v>8059</v>
      </c>
      <c r="H87" s="14">
        <v>43589</v>
      </c>
      <c r="I87" s="4" t="s">
        <v>337</v>
      </c>
      <c r="J87" s="22"/>
      <c r="K87" s="21"/>
    </row>
    <row r="88" spans="1:11" s="228" customFormat="1" x14ac:dyDescent="0.25">
      <c r="A88" s="61" t="s">
        <v>442</v>
      </c>
      <c r="B88" s="14"/>
      <c r="C88" s="13"/>
      <c r="D88" s="13" t="s">
        <v>250</v>
      </c>
      <c r="E88" s="13" t="s">
        <v>62</v>
      </c>
      <c r="F88" s="37">
        <v>223687.5</v>
      </c>
      <c r="G88" s="29" t="s">
        <v>8060</v>
      </c>
      <c r="H88" s="14">
        <v>43590</v>
      </c>
      <c r="I88" s="4" t="s">
        <v>2159</v>
      </c>
      <c r="J88" s="22"/>
      <c r="K88" s="21"/>
    </row>
    <row r="89" spans="1:11" s="228" customFormat="1" x14ac:dyDescent="0.25">
      <c r="A89" s="61" t="s">
        <v>659</v>
      </c>
      <c r="B89" s="14"/>
      <c r="C89" s="13"/>
      <c r="D89" s="13" t="s">
        <v>250</v>
      </c>
      <c r="E89" s="13" t="s">
        <v>808</v>
      </c>
      <c r="F89" s="37">
        <v>248625</v>
      </c>
      <c r="G89" s="29" t="s">
        <v>8061</v>
      </c>
      <c r="H89" s="14">
        <v>43597</v>
      </c>
      <c r="I89" s="4" t="s">
        <v>402</v>
      </c>
      <c r="J89" s="22"/>
      <c r="K89" s="21"/>
    </row>
    <row r="90" spans="1:11" s="228" customFormat="1" x14ac:dyDescent="0.25">
      <c r="A90" s="61" t="s">
        <v>659</v>
      </c>
      <c r="B90" s="14"/>
      <c r="C90" s="13"/>
      <c r="D90" s="13" t="s">
        <v>250</v>
      </c>
      <c r="E90" s="13" t="s">
        <v>808</v>
      </c>
      <c r="F90" s="37">
        <v>74375</v>
      </c>
      <c r="G90" s="29" t="s">
        <v>8062</v>
      </c>
      <c r="H90" s="14">
        <v>43600</v>
      </c>
      <c r="I90" s="4" t="s">
        <v>402</v>
      </c>
      <c r="J90" s="22"/>
      <c r="K90" s="21"/>
    </row>
    <row r="91" spans="1:11" s="228" customFormat="1" x14ac:dyDescent="0.25">
      <c r="A91" s="61" t="s">
        <v>659</v>
      </c>
      <c r="B91" s="14"/>
      <c r="C91" s="13"/>
      <c r="D91" s="13" t="s">
        <v>250</v>
      </c>
      <c r="E91" s="13" t="s">
        <v>808</v>
      </c>
      <c r="F91" s="37">
        <v>280500</v>
      </c>
      <c r="G91" s="29" t="s">
        <v>8063</v>
      </c>
      <c r="H91" s="14">
        <v>43600</v>
      </c>
      <c r="I91" s="4" t="s">
        <v>402</v>
      </c>
      <c r="J91" s="22"/>
      <c r="K91" s="21"/>
    </row>
    <row r="92" spans="1:11" s="228" customFormat="1" x14ac:dyDescent="0.25">
      <c r="A92" s="61" t="s">
        <v>659</v>
      </c>
      <c r="B92" s="14"/>
      <c r="C92" s="13"/>
      <c r="D92" s="13" t="s">
        <v>250</v>
      </c>
      <c r="E92" s="13" t="s">
        <v>808</v>
      </c>
      <c r="F92" s="37">
        <v>617100</v>
      </c>
      <c r="G92" s="29" t="s">
        <v>8064</v>
      </c>
      <c r="H92" s="14">
        <v>43600</v>
      </c>
      <c r="I92" s="4" t="s">
        <v>402</v>
      </c>
      <c r="J92" s="22"/>
      <c r="K92" s="21"/>
    </row>
    <row r="93" spans="1:11" s="228" customFormat="1" x14ac:dyDescent="0.25">
      <c r="A93" s="61" t="s">
        <v>659</v>
      </c>
      <c r="B93" s="14"/>
      <c r="C93" s="13"/>
      <c r="D93" s="13" t="s">
        <v>250</v>
      </c>
      <c r="E93" s="13" t="s">
        <v>808</v>
      </c>
      <c r="F93" s="37">
        <v>27562.5</v>
      </c>
      <c r="G93" s="29" t="s">
        <v>8815</v>
      </c>
      <c r="H93" s="14">
        <v>43600</v>
      </c>
      <c r="I93" s="4" t="s">
        <v>4088</v>
      </c>
      <c r="J93" s="22"/>
      <c r="K93" s="21"/>
    </row>
    <row r="94" spans="1:11" s="228" customFormat="1" x14ac:dyDescent="0.25">
      <c r="A94" s="61" t="s">
        <v>103</v>
      </c>
      <c r="B94" s="14"/>
      <c r="C94" s="13"/>
      <c r="D94" s="13" t="s">
        <v>250</v>
      </c>
      <c r="E94" s="13" t="s">
        <v>62</v>
      </c>
      <c r="F94" s="37">
        <v>26125</v>
      </c>
      <c r="G94" s="29" t="s">
        <v>8816</v>
      </c>
      <c r="H94" s="14">
        <v>43602</v>
      </c>
      <c r="I94" s="4" t="s">
        <v>337</v>
      </c>
      <c r="J94" s="22"/>
      <c r="K94" s="21"/>
    </row>
    <row r="95" spans="1:11" s="228" customFormat="1" x14ac:dyDescent="0.25">
      <c r="A95" s="61" t="s">
        <v>442</v>
      </c>
      <c r="B95" s="14"/>
      <c r="C95" s="13"/>
      <c r="D95" s="13" t="s">
        <v>250</v>
      </c>
      <c r="E95" s="13" t="s">
        <v>62</v>
      </c>
      <c r="F95" s="37">
        <v>12375</v>
      </c>
      <c r="G95" s="29" t="s">
        <v>8817</v>
      </c>
      <c r="H95" s="14">
        <v>43603</v>
      </c>
      <c r="I95" s="4" t="s">
        <v>337</v>
      </c>
      <c r="J95" s="22"/>
      <c r="K95" s="21"/>
    </row>
    <row r="96" spans="1:11" s="228" customFormat="1" x14ac:dyDescent="0.25">
      <c r="A96" s="61" t="s">
        <v>358</v>
      </c>
      <c r="B96" s="14"/>
      <c r="C96" s="13"/>
      <c r="D96" s="13" t="s">
        <v>250</v>
      </c>
      <c r="E96" s="13" t="s">
        <v>62</v>
      </c>
      <c r="F96" s="37">
        <v>34000</v>
      </c>
      <c r="G96" s="29" t="s">
        <v>8818</v>
      </c>
      <c r="H96" s="14">
        <v>43605</v>
      </c>
      <c r="I96" s="4" t="s">
        <v>402</v>
      </c>
      <c r="J96" s="22"/>
      <c r="K96" s="21"/>
    </row>
    <row r="97" spans="1:11" s="228" customFormat="1" x14ac:dyDescent="0.25">
      <c r="A97" s="61" t="s">
        <v>1350</v>
      </c>
      <c r="B97" s="14"/>
      <c r="C97" s="13"/>
      <c r="D97" s="13" t="s">
        <v>250</v>
      </c>
      <c r="E97" s="13" t="s">
        <v>691</v>
      </c>
      <c r="F97" s="37">
        <v>198750</v>
      </c>
      <c r="G97" s="29" t="s">
        <v>8819</v>
      </c>
      <c r="H97" s="14">
        <v>43605</v>
      </c>
      <c r="I97" s="4" t="s">
        <v>8820</v>
      </c>
      <c r="J97" s="22"/>
      <c r="K97" s="21"/>
    </row>
    <row r="98" spans="1:11" s="228" customFormat="1" x14ac:dyDescent="0.25">
      <c r="A98" s="61" t="s">
        <v>442</v>
      </c>
      <c r="B98" s="14"/>
      <c r="C98" s="13"/>
      <c r="D98" s="13" t="s">
        <v>250</v>
      </c>
      <c r="E98" s="13" t="s">
        <v>62</v>
      </c>
      <c r="F98" s="37">
        <v>11000</v>
      </c>
      <c r="G98" s="29" t="s">
        <v>8821</v>
      </c>
      <c r="H98" s="14">
        <v>43606</v>
      </c>
      <c r="I98" s="4" t="s">
        <v>337</v>
      </c>
      <c r="J98" s="22"/>
      <c r="K98" s="21"/>
    </row>
    <row r="99" spans="1:11" s="228" customFormat="1" x14ac:dyDescent="0.25">
      <c r="A99" s="61" t="s">
        <v>659</v>
      </c>
      <c r="B99" s="14"/>
      <c r="C99" s="13"/>
      <c r="D99" s="13" t="s">
        <v>250</v>
      </c>
      <c r="E99" s="13" t="s">
        <v>808</v>
      </c>
      <c r="F99" s="37">
        <v>106875</v>
      </c>
      <c r="G99" s="29" t="s">
        <v>8822</v>
      </c>
      <c r="H99" s="14">
        <v>43609</v>
      </c>
      <c r="I99" s="4" t="s">
        <v>4088</v>
      </c>
      <c r="J99" s="22"/>
      <c r="K99" s="21"/>
    </row>
    <row r="100" spans="1:11" s="228" customFormat="1" x14ac:dyDescent="0.25">
      <c r="A100" s="61" t="s">
        <v>103</v>
      </c>
      <c r="B100" s="14"/>
      <c r="C100" s="13"/>
      <c r="D100" s="13" t="s">
        <v>250</v>
      </c>
      <c r="E100" s="13" t="s">
        <v>62</v>
      </c>
      <c r="F100" s="37">
        <v>11000</v>
      </c>
      <c r="G100" s="29" t="s">
        <v>8823</v>
      </c>
      <c r="H100" s="14">
        <v>43614</v>
      </c>
      <c r="I100" s="4" t="s">
        <v>337</v>
      </c>
      <c r="J100" s="22"/>
      <c r="K100" s="21"/>
    </row>
    <row r="101" spans="1:11" s="228" customFormat="1" x14ac:dyDescent="0.25">
      <c r="A101" s="61" t="s">
        <v>103</v>
      </c>
      <c r="B101" s="14"/>
      <c r="C101" s="13"/>
      <c r="D101" s="13" t="s">
        <v>250</v>
      </c>
      <c r="E101" s="13" t="s">
        <v>62</v>
      </c>
      <c r="F101" s="37">
        <v>12375</v>
      </c>
      <c r="G101" s="29" t="s">
        <v>8824</v>
      </c>
      <c r="H101" s="14">
        <v>43614</v>
      </c>
      <c r="I101" s="4" t="s">
        <v>337</v>
      </c>
      <c r="J101" s="22"/>
      <c r="K101" s="21"/>
    </row>
    <row r="102" spans="1:11" s="228" customFormat="1" x14ac:dyDescent="0.25">
      <c r="A102" s="61" t="s">
        <v>659</v>
      </c>
      <c r="B102" s="14"/>
      <c r="C102" s="13"/>
      <c r="D102" s="13" t="s">
        <v>250</v>
      </c>
      <c r="E102" s="13" t="s">
        <v>808</v>
      </c>
      <c r="F102" s="37">
        <v>374000</v>
      </c>
      <c r="G102" s="29" t="s">
        <v>8825</v>
      </c>
      <c r="H102" s="14">
        <v>43615</v>
      </c>
      <c r="I102" s="4" t="s">
        <v>402</v>
      </c>
      <c r="J102" s="22"/>
      <c r="K102" s="21"/>
    </row>
    <row r="103" spans="1:11" s="228" customFormat="1" x14ac:dyDescent="0.25">
      <c r="A103" s="61" t="s">
        <v>103</v>
      </c>
      <c r="B103" s="14"/>
      <c r="C103" s="13"/>
      <c r="D103" s="13" t="s">
        <v>250</v>
      </c>
      <c r="E103" s="13" t="s">
        <v>62</v>
      </c>
      <c r="F103" s="37">
        <v>12375</v>
      </c>
      <c r="G103" s="29" t="s">
        <v>8826</v>
      </c>
      <c r="H103" s="14">
        <v>43615</v>
      </c>
      <c r="I103" s="4" t="s">
        <v>337</v>
      </c>
      <c r="J103" s="22"/>
      <c r="K103" s="21"/>
    </row>
    <row r="104" spans="1:11" s="228" customFormat="1" x14ac:dyDescent="0.25">
      <c r="A104" s="61" t="s">
        <v>103</v>
      </c>
      <c r="B104" s="14"/>
      <c r="C104" s="13"/>
      <c r="D104" s="13" t="s">
        <v>250</v>
      </c>
      <c r="E104" s="13" t="s">
        <v>62</v>
      </c>
      <c r="F104" s="37">
        <v>11000</v>
      </c>
      <c r="G104" s="29" t="s">
        <v>8827</v>
      </c>
      <c r="H104" s="14">
        <v>43615</v>
      </c>
      <c r="I104" s="4" t="s">
        <v>337</v>
      </c>
      <c r="J104" s="22"/>
      <c r="K104" s="21"/>
    </row>
    <row r="105" spans="1:11" s="228" customFormat="1" x14ac:dyDescent="0.25">
      <c r="A105" s="61" t="s">
        <v>103</v>
      </c>
      <c r="B105" s="14"/>
      <c r="C105" s="13"/>
      <c r="D105" s="13" t="s">
        <v>250</v>
      </c>
      <c r="E105" s="13" t="s">
        <v>62</v>
      </c>
      <c r="F105" s="37">
        <v>12375</v>
      </c>
      <c r="G105" s="29" t="s">
        <v>8828</v>
      </c>
      <c r="H105" s="14">
        <v>43616</v>
      </c>
      <c r="I105" s="4" t="s">
        <v>337</v>
      </c>
      <c r="J105" s="22"/>
      <c r="K105" s="21"/>
    </row>
    <row r="106" spans="1:11" s="228" customFormat="1" x14ac:dyDescent="0.25">
      <c r="A106" s="61" t="s">
        <v>442</v>
      </c>
      <c r="B106" s="14"/>
      <c r="C106" s="13"/>
      <c r="D106" s="13" t="s">
        <v>250</v>
      </c>
      <c r="E106" s="13" t="s">
        <v>62</v>
      </c>
      <c r="F106" s="37">
        <v>12375</v>
      </c>
      <c r="G106" s="29" t="s">
        <v>8829</v>
      </c>
      <c r="H106" s="14">
        <v>43616</v>
      </c>
      <c r="I106" s="4" t="s">
        <v>337</v>
      </c>
      <c r="J106" s="22"/>
      <c r="K106" s="21"/>
    </row>
    <row r="107" spans="1:11" s="228" customFormat="1" x14ac:dyDescent="0.25">
      <c r="A107" s="61" t="s">
        <v>659</v>
      </c>
      <c r="B107" s="14"/>
      <c r="C107" s="13"/>
      <c r="D107" s="13" t="s">
        <v>250</v>
      </c>
      <c r="E107" s="13" t="s">
        <v>808</v>
      </c>
      <c r="F107" s="37">
        <v>799425</v>
      </c>
      <c r="G107" s="29" t="s">
        <v>8830</v>
      </c>
      <c r="H107" s="14">
        <v>43616</v>
      </c>
      <c r="I107" s="4" t="s">
        <v>402</v>
      </c>
      <c r="J107" s="22"/>
      <c r="K107" s="21"/>
    </row>
    <row r="108" spans="1:11" s="228" customFormat="1" x14ac:dyDescent="0.25">
      <c r="A108" s="61" t="s">
        <v>659</v>
      </c>
      <c r="B108" s="14"/>
      <c r="C108" s="13"/>
      <c r="D108" s="13" t="s">
        <v>250</v>
      </c>
      <c r="E108" s="13" t="s">
        <v>808</v>
      </c>
      <c r="F108" s="37">
        <v>359125</v>
      </c>
      <c r="G108" s="29" t="s">
        <v>8831</v>
      </c>
      <c r="H108" s="14">
        <v>43616</v>
      </c>
      <c r="I108" s="4" t="s">
        <v>402</v>
      </c>
      <c r="J108" s="22"/>
      <c r="K108" s="21"/>
    </row>
    <row r="109" spans="1:11" s="228" customFormat="1" x14ac:dyDescent="0.25">
      <c r="A109" s="61" t="s">
        <v>659</v>
      </c>
      <c r="B109" s="14"/>
      <c r="C109" s="13"/>
      <c r="D109" s="13" t="s">
        <v>250</v>
      </c>
      <c r="E109" s="13" t="s">
        <v>808</v>
      </c>
      <c r="F109" s="37">
        <v>412062.5</v>
      </c>
      <c r="G109" s="29" t="s">
        <v>8832</v>
      </c>
      <c r="H109" s="14">
        <v>43616</v>
      </c>
      <c r="I109" s="4" t="s">
        <v>4088</v>
      </c>
      <c r="J109" s="22"/>
      <c r="K109" s="21"/>
    </row>
    <row r="110" spans="1:11" s="228" customFormat="1" x14ac:dyDescent="0.25">
      <c r="A110" s="61" t="s">
        <v>103</v>
      </c>
      <c r="B110" s="14"/>
      <c r="C110" s="13"/>
      <c r="D110" s="13" t="s">
        <v>250</v>
      </c>
      <c r="E110" s="13" t="s">
        <v>62</v>
      </c>
      <c r="F110" s="37">
        <v>12000</v>
      </c>
      <c r="G110" s="29" t="s">
        <v>9368</v>
      </c>
      <c r="H110" s="14">
        <v>43617</v>
      </c>
      <c r="I110" s="4" t="s">
        <v>337</v>
      </c>
      <c r="J110" s="22"/>
      <c r="K110" s="21"/>
    </row>
    <row r="111" spans="1:11" s="228" customFormat="1" x14ac:dyDescent="0.25">
      <c r="A111" s="61" t="s">
        <v>442</v>
      </c>
      <c r="B111" s="14"/>
      <c r="C111" s="13"/>
      <c r="D111" s="13" t="s">
        <v>250</v>
      </c>
      <c r="E111" s="13" t="s">
        <v>62</v>
      </c>
      <c r="F111" s="37">
        <v>13500</v>
      </c>
      <c r="G111" s="29" t="s">
        <v>9369</v>
      </c>
      <c r="H111" s="14">
        <v>43617</v>
      </c>
      <c r="I111" s="4" t="s">
        <v>337</v>
      </c>
      <c r="J111" s="22"/>
      <c r="K111" s="21"/>
    </row>
    <row r="112" spans="1:11" s="228" customFormat="1" x14ac:dyDescent="0.25">
      <c r="A112" s="61" t="s">
        <v>442</v>
      </c>
      <c r="B112" s="14"/>
      <c r="C112" s="13"/>
      <c r="D112" s="13" t="s">
        <v>250</v>
      </c>
      <c r="E112" s="13" t="s">
        <v>62</v>
      </c>
      <c r="F112" s="37">
        <v>15000</v>
      </c>
      <c r="G112" s="29" t="s">
        <v>9370</v>
      </c>
      <c r="H112" s="14">
        <v>43622</v>
      </c>
      <c r="I112" s="4" t="s">
        <v>337</v>
      </c>
      <c r="J112" s="22"/>
      <c r="K112" s="21"/>
    </row>
    <row r="113" spans="1:19" s="228" customFormat="1" x14ac:dyDescent="0.25">
      <c r="A113" s="61" t="s">
        <v>659</v>
      </c>
      <c r="B113" s="14"/>
      <c r="C113" s="13"/>
      <c r="D113" s="13" t="s">
        <v>250</v>
      </c>
      <c r="E113" s="13" t="s">
        <v>808</v>
      </c>
      <c r="F113" s="37">
        <v>257125</v>
      </c>
      <c r="G113" s="29" t="s">
        <v>9371</v>
      </c>
      <c r="H113" s="14">
        <v>43631</v>
      </c>
      <c r="I113" s="4" t="s">
        <v>402</v>
      </c>
      <c r="J113" s="22"/>
      <c r="K113" s="21"/>
    </row>
    <row r="114" spans="1:19" s="228" customFormat="1" x14ac:dyDescent="0.25">
      <c r="A114" s="61" t="s">
        <v>659</v>
      </c>
      <c r="B114" s="14"/>
      <c r="C114" s="13"/>
      <c r="D114" s="13" t="s">
        <v>250</v>
      </c>
      <c r="E114" s="13" t="s">
        <v>808</v>
      </c>
      <c r="F114" s="37">
        <v>677875</v>
      </c>
      <c r="G114" s="29" t="s">
        <v>9372</v>
      </c>
      <c r="H114" s="14">
        <v>43631</v>
      </c>
      <c r="I114" s="4" t="s">
        <v>402</v>
      </c>
      <c r="J114" s="22"/>
      <c r="K114" s="21"/>
    </row>
    <row r="115" spans="1:19" s="534" customFormat="1" x14ac:dyDescent="0.25">
      <c r="A115" s="530" t="s">
        <v>311</v>
      </c>
      <c r="B115" s="521"/>
      <c r="C115" s="522"/>
      <c r="D115" s="522" t="s">
        <v>4870</v>
      </c>
      <c r="E115" s="522" t="s">
        <v>958</v>
      </c>
      <c r="F115" s="523">
        <f>2981495.37-1000000*2</f>
        <v>981495.37000000011</v>
      </c>
      <c r="G115" s="531" t="s">
        <v>6407</v>
      </c>
      <c r="H115" s="521">
        <v>43525</v>
      </c>
      <c r="I115" s="525" t="s">
        <v>6283</v>
      </c>
      <c r="J115" s="532"/>
      <c r="K115" s="533"/>
    </row>
    <row r="116" spans="1:19" s="529" customFormat="1" x14ac:dyDescent="0.25">
      <c r="A116" s="520" t="s">
        <v>455</v>
      </c>
      <c r="B116" s="521" t="s">
        <v>8968</v>
      </c>
      <c r="C116" s="522"/>
      <c r="D116" s="522" t="s">
        <v>4870</v>
      </c>
      <c r="E116" s="522" t="s">
        <v>958</v>
      </c>
      <c r="F116" s="523">
        <v>5500</v>
      </c>
      <c r="G116" s="524" t="s">
        <v>5078</v>
      </c>
      <c r="H116" s="521">
        <v>43489</v>
      </c>
      <c r="I116" s="525" t="s">
        <v>63</v>
      </c>
      <c r="J116" s="532"/>
      <c r="K116" s="533"/>
      <c r="L116" s="526"/>
      <c r="M116" s="527"/>
      <c r="N116" s="526"/>
      <c r="O116" s="526"/>
      <c r="P116" s="528"/>
      <c r="Q116" s="528"/>
      <c r="R116" s="528"/>
      <c r="S116" s="528"/>
    </row>
    <row r="117" spans="1:19" s="534" customFormat="1" x14ac:dyDescent="0.25">
      <c r="A117" s="530" t="s">
        <v>310</v>
      </c>
      <c r="B117" s="521" t="s">
        <v>8968</v>
      </c>
      <c r="C117" s="522"/>
      <c r="D117" s="522" t="s">
        <v>4870</v>
      </c>
      <c r="E117" s="522" t="s">
        <v>958</v>
      </c>
      <c r="F117" s="523">
        <v>9600</v>
      </c>
      <c r="G117" s="531" t="s">
        <v>7428</v>
      </c>
      <c r="H117" s="521">
        <v>43582</v>
      </c>
      <c r="I117" s="525" t="s">
        <v>164</v>
      </c>
      <c r="J117" s="532"/>
      <c r="K117" s="533"/>
    </row>
    <row r="118" spans="1:19" s="228" customFormat="1" x14ac:dyDescent="0.25">
      <c r="A118" s="61" t="s">
        <v>1350</v>
      </c>
      <c r="B118" s="14"/>
      <c r="C118" s="13"/>
      <c r="D118" s="13" t="s">
        <v>4870</v>
      </c>
      <c r="E118" s="13" t="s">
        <v>691</v>
      </c>
      <c r="F118" s="37">
        <v>105000</v>
      </c>
      <c r="G118" s="29" t="s">
        <v>8065</v>
      </c>
      <c r="H118" s="14">
        <v>43583</v>
      </c>
      <c r="I118" s="4" t="s">
        <v>5346</v>
      </c>
      <c r="J118" s="22"/>
      <c r="K118" s="21"/>
    </row>
    <row r="119" spans="1:19" s="228" customFormat="1" x14ac:dyDescent="0.25">
      <c r="A119" s="61" t="s">
        <v>1350</v>
      </c>
      <c r="B119" s="14"/>
      <c r="C119" s="13"/>
      <c r="D119" s="13" t="s">
        <v>4870</v>
      </c>
      <c r="E119" s="13" t="s">
        <v>691</v>
      </c>
      <c r="F119" s="37">
        <v>73500</v>
      </c>
      <c r="G119" s="29" t="s">
        <v>8270</v>
      </c>
      <c r="H119" s="14">
        <v>43591</v>
      </c>
      <c r="I119" s="4" t="s">
        <v>5346</v>
      </c>
      <c r="J119" s="22"/>
      <c r="K119" s="21"/>
    </row>
    <row r="120" spans="1:19" s="228" customFormat="1" x14ac:dyDescent="0.25">
      <c r="A120" s="61" t="s">
        <v>1455</v>
      </c>
      <c r="B120" s="14"/>
      <c r="C120" s="13"/>
      <c r="D120" s="13" t="s">
        <v>4870</v>
      </c>
      <c r="E120" s="13" t="s">
        <v>691</v>
      </c>
      <c r="F120" s="37">
        <v>61500</v>
      </c>
      <c r="G120" s="29" t="s">
        <v>9075</v>
      </c>
      <c r="H120" s="14">
        <v>43615</v>
      </c>
      <c r="I120" s="4" t="s">
        <v>5346</v>
      </c>
      <c r="J120" s="22"/>
      <c r="K120" s="21"/>
    </row>
    <row r="121" spans="1:19" s="228" customFormat="1" x14ac:dyDescent="0.25">
      <c r="A121" s="61" t="s">
        <v>92</v>
      </c>
      <c r="B121" s="14"/>
      <c r="C121" s="13"/>
      <c r="D121" s="13" t="s">
        <v>29</v>
      </c>
      <c r="E121" s="13" t="s">
        <v>62</v>
      </c>
      <c r="F121" s="37">
        <v>35875</v>
      </c>
      <c r="G121" s="29" t="s">
        <v>901</v>
      </c>
      <c r="H121" s="14">
        <v>43577</v>
      </c>
      <c r="I121" s="4" t="s">
        <v>87</v>
      </c>
      <c r="J121" s="22"/>
      <c r="K121" s="21"/>
    </row>
    <row r="122" spans="1:19" s="228" customFormat="1" x14ac:dyDescent="0.25">
      <c r="A122" s="61" t="s">
        <v>1148</v>
      </c>
      <c r="B122" s="14"/>
      <c r="C122" s="13"/>
      <c r="D122" s="13" t="s">
        <v>29</v>
      </c>
      <c r="E122" s="13" t="s">
        <v>808</v>
      </c>
      <c r="F122" s="37">
        <v>7000</v>
      </c>
      <c r="G122" s="29" t="s">
        <v>6793</v>
      </c>
      <c r="H122" s="14">
        <v>43577</v>
      </c>
      <c r="I122" s="4" t="s">
        <v>87</v>
      </c>
      <c r="J122" s="22"/>
      <c r="K122" s="21"/>
    </row>
    <row r="123" spans="1:19" s="228" customFormat="1" x14ac:dyDescent="0.25">
      <c r="A123" s="61" t="s">
        <v>358</v>
      </c>
      <c r="B123" s="14"/>
      <c r="C123" s="13"/>
      <c r="D123" s="13" t="s">
        <v>29</v>
      </c>
      <c r="E123" s="13" t="s">
        <v>62</v>
      </c>
      <c r="F123" s="37">
        <v>49600</v>
      </c>
      <c r="G123" s="29" t="s">
        <v>1153</v>
      </c>
      <c r="H123" s="14">
        <v>43584</v>
      </c>
      <c r="I123" s="4" t="s">
        <v>419</v>
      </c>
      <c r="J123" s="22"/>
      <c r="K123" s="21"/>
    </row>
    <row r="124" spans="1:19" s="228" customFormat="1" x14ac:dyDescent="0.25">
      <c r="A124" s="61" t="s">
        <v>92</v>
      </c>
      <c r="B124" s="14"/>
      <c r="C124" s="13"/>
      <c r="D124" s="13" t="s">
        <v>29</v>
      </c>
      <c r="E124" s="13" t="s">
        <v>62</v>
      </c>
      <c r="F124" s="37">
        <v>21000</v>
      </c>
      <c r="G124" s="29" t="s">
        <v>8066</v>
      </c>
      <c r="H124" s="14">
        <v>43584</v>
      </c>
      <c r="I124" s="4" t="s">
        <v>87</v>
      </c>
      <c r="J124" s="22"/>
      <c r="K124" s="21"/>
    </row>
    <row r="125" spans="1:19" s="228" customFormat="1" ht="27.6" x14ac:dyDescent="0.25">
      <c r="A125" s="61" t="s">
        <v>6102</v>
      </c>
      <c r="B125" s="14"/>
      <c r="C125" s="13"/>
      <c r="D125" s="13" t="s">
        <v>29</v>
      </c>
      <c r="E125" s="13" t="s">
        <v>62</v>
      </c>
      <c r="F125" s="4">
        <v>170000</v>
      </c>
      <c r="G125" s="28" t="s">
        <v>1711</v>
      </c>
      <c r="H125" s="14">
        <v>43585</v>
      </c>
      <c r="I125" s="4" t="s">
        <v>95</v>
      </c>
      <c r="J125" s="22"/>
      <c r="K125" s="21"/>
    </row>
    <row r="126" spans="1:19" s="228" customFormat="1" x14ac:dyDescent="0.25">
      <c r="A126" s="61" t="s">
        <v>1148</v>
      </c>
      <c r="B126" s="14"/>
      <c r="C126" s="13"/>
      <c r="D126" s="13" t="s">
        <v>29</v>
      </c>
      <c r="E126" s="13" t="s">
        <v>808</v>
      </c>
      <c r="F126" s="4">
        <v>414000</v>
      </c>
      <c r="G126" s="28" t="s">
        <v>3845</v>
      </c>
      <c r="H126" s="14">
        <v>43585</v>
      </c>
      <c r="I126" s="4" t="s">
        <v>511</v>
      </c>
      <c r="J126" s="22"/>
      <c r="K126" s="21"/>
    </row>
    <row r="127" spans="1:19" s="228" customFormat="1" x14ac:dyDescent="0.25">
      <c r="A127" s="13" t="s">
        <v>1147</v>
      </c>
      <c r="B127" s="14"/>
      <c r="C127" s="13"/>
      <c r="D127" s="13" t="s">
        <v>29</v>
      </c>
      <c r="E127" s="13" t="s">
        <v>808</v>
      </c>
      <c r="F127" s="4">
        <v>49875</v>
      </c>
      <c r="G127" s="28" t="s">
        <v>1432</v>
      </c>
      <c r="H127" s="14">
        <v>43585</v>
      </c>
      <c r="I127" s="4" t="s">
        <v>87</v>
      </c>
      <c r="J127" s="22"/>
      <c r="K127" s="21"/>
    </row>
    <row r="128" spans="1:19" s="228" customFormat="1" x14ac:dyDescent="0.25">
      <c r="A128" s="13" t="s">
        <v>1316</v>
      </c>
      <c r="B128" s="14"/>
      <c r="C128" s="13"/>
      <c r="D128" s="13" t="s">
        <v>29</v>
      </c>
      <c r="E128" s="13" t="s">
        <v>808</v>
      </c>
      <c r="F128" s="4">
        <v>38950</v>
      </c>
      <c r="G128" s="28" t="s">
        <v>1514</v>
      </c>
      <c r="H128" s="14">
        <v>43585</v>
      </c>
      <c r="I128" s="4" t="s">
        <v>87</v>
      </c>
      <c r="J128" s="22"/>
      <c r="K128" s="21"/>
    </row>
    <row r="129" spans="1:11" s="228" customFormat="1" x14ac:dyDescent="0.25">
      <c r="A129" s="61" t="s">
        <v>1147</v>
      </c>
      <c r="B129" s="14"/>
      <c r="C129" s="13"/>
      <c r="D129" s="13" t="s">
        <v>29</v>
      </c>
      <c r="E129" s="13" t="s">
        <v>808</v>
      </c>
      <c r="F129" s="37">
        <v>360525</v>
      </c>
      <c r="G129" s="29" t="s">
        <v>1795</v>
      </c>
      <c r="H129" s="14">
        <v>43585</v>
      </c>
      <c r="I129" s="4" t="s">
        <v>1061</v>
      </c>
      <c r="J129" s="22"/>
      <c r="K129" s="21"/>
    </row>
    <row r="130" spans="1:11" s="228" customFormat="1" x14ac:dyDescent="0.25">
      <c r="A130" s="61" t="s">
        <v>311</v>
      </c>
      <c r="B130" s="14"/>
      <c r="C130" s="13"/>
      <c r="D130" s="13" t="s">
        <v>29</v>
      </c>
      <c r="E130" s="13" t="s">
        <v>958</v>
      </c>
      <c r="F130" s="37">
        <v>121500</v>
      </c>
      <c r="G130" s="29" t="s">
        <v>1205</v>
      </c>
      <c r="H130" s="14">
        <v>43585</v>
      </c>
      <c r="I130" s="4" t="s">
        <v>511</v>
      </c>
      <c r="J130" s="22"/>
      <c r="K130" s="21"/>
    </row>
    <row r="131" spans="1:11" s="228" customFormat="1" x14ac:dyDescent="0.25">
      <c r="A131" s="61" t="s">
        <v>310</v>
      </c>
      <c r="B131" s="14"/>
      <c r="C131" s="13"/>
      <c r="D131" s="13" t="s">
        <v>29</v>
      </c>
      <c r="E131" s="13" t="s">
        <v>958</v>
      </c>
      <c r="F131" s="37">
        <v>9500</v>
      </c>
      <c r="G131" s="29" t="s">
        <v>5468</v>
      </c>
      <c r="H131" s="14">
        <v>43593</v>
      </c>
      <c r="I131" s="4" t="s">
        <v>87</v>
      </c>
      <c r="J131" s="22"/>
      <c r="K131" s="21"/>
    </row>
    <row r="132" spans="1:11" s="228" customFormat="1" x14ac:dyDescent="0.25">
      <c r="A132" s="61" t="s">
        <v>311</v>
      </c>
      <c r="B132" s="14"/>
      <c r="C132" s="13"/>
      <c r="D132" s="13" t="s">
        <v>29</v>
      </c>
      <c r="E132" s="13" t="s">
        <v>958</v>
      </c>
      <c r="F132" s="37">
        <v>110200</v>
      </c>
      <c r="G132" s="29" t="s">
        <v>7949</v>
      </c>
      <c r="H132" s="14">
        <v>43598</v>
      </c>
      <c r="I132" s="4" t="s">
        <v>511</v>
      </c>
      <c r="J132" s="22"/>
      <c r="K132" s="21"/>
    </row>
    <row r="133" spans="1:11" s="228" customFormat="1" x14ac:dyDescent="0.25">
      <c r="A133" s="61" t="s">
        <v>637</v>
      </c>
      <c r="B133" s="14"/>
      <c r="C133" s="13"/>
      <c r="D133" s="13" t="s">
        <v>29</v>
      </c>
      <c r="E133" s="13" t="s">
        <v>691</v>
      </c>
      <c r="F133" s="37">
        <v>16625</v>
      </c>
      <c r="G133" s="29" t="s">
        <v>1189</v>
      </c>
      <c r="H133" s="14">
        <v>43601</v>
      </c>
      <c r="I133" s="4" t="s">
        <v>87</v>
      </c>
      <c r="J133" s="22"/>
      <c r="K133" s="21"/>
    </row>
    <row r="134" spans="1:11" s="228" customFormat="1" x14ac:dyDescent="0.25">
      <c r="A134" s="61" t="s">
        <v>92</v>
      </c>
      <c r="B134" s="14"/>
      <c r="C134" s="13"/>
      <c r="D134" s="13" t="s">
        <v>29</v>
      </c>
      <c r="E134" s="13" t="s">
        <v>62</v>
      </c>
      <c r="F134" s="37">
        <v>166600</v>
      </c>
      <c r="G134" s="29" t="s">
        <v>3499</v>
      </c>
      <c r="H134" s="14">
        <v>43605</v>
      </c>
      <c r="I134" s="4" t="s">
        <v>95</v>
      </c>
      <c r="J134" s="22"/>
      <c r="K134" s="21"/>
    </row>
    <row r="135" spans="1:11" s="228" customFormat="1" x14ac:dyDescent="0.25">
      <c r="A135" s="61" t="s">
        <v>311</v>
      </c>
      <c r="B135" s="14"/>
      <c r="C135" s="13"/>
      <c r="D135" s="13" t="s">
        <v>29</v>
      </c>
      <c r="E135" s="13" t="s">
        <v>958</v>
      </c>
      <c r="F135" s="37">
        <v>14250</v>
      </c>
      <c r="G135" s="29" t="s">
        <v>5590</v>
      </c>
      <c r="H135" s="14">
        <v>43605</v>
      </c>
      <c r="I135" s="4" t="s">
        <v>87</v>
      </c>
      <c r="J135" s="22"/>
      <c r="K135" s="21"/>
    </row>
    <row r="136" spans="1:11" s="228" customFormat="1" x14ac:dyDescent="0.25">
      <c r="A136" s="61" t="s">
        <v>659</v>
      </c>
      <c r="B136" s="14"/>
      <c r="C136" s="13"/>
      <c r="D136" s="13" t="s">
        <v>29</v>
      </c>
      <c r="E136" s="13" t="s">
        <v>808</v>
      </c>
      <c r="F136" s="37">
        <v>88350</v>
      </c>
      <c r="G136" s="29" t="s">
        <v>5494</v>
      </c>
      <c r="H136" s="14">
        <v>43605</v>
      </c>
      <c r="I136" s="4" t="s">
        <v>8582</v>
      </c>
      <c r="J136" s="22"/>
      <c r="K136" s="21"/>
    </row>
    <row r="137" spans="1:11" s="228" customFormat="1" x14ac:dyDescent="0.25">
      <c r="A137" s="61" t="s">
        <v>1316</v>
      </c>
      <c r="B137" s="14"/>
      <c r="C137" s="13"/>
      <c r="D137" s="13" t="s">
        <v>29</v>
      </c>
      <c r="E137" s="13" t="s">
        <v>808</v>
      </c>
      <c r="F137" s="37">
        <v>55825</v>
      </c>
      <c r="G137" s="29" t="s">
        <v>1544</v>
      </c>
      <c r="H137" s="14">
        <v>43605</v>
      </c>
      <c r="I137" s="4" t="s">
        <v>87</v>
      </c>
      <c r="J137" s="22"/>
      <c r="K137" s="21"/>
    </row>
    <row r="138" spans="1:11" s="228" customFormat="1" ht="27.6" x14ac:dyDescent="0.25">
      <c r="A138" s="61" t="s">
        <v>1894</v>
      </c>
      <c r="B138" s="14"/>
      <c r="C138" s="13"/>
      <c r="D138" s="13" t="s">
        <v>29</v>
      </c>
      <c r="E138" s="13" t="s">
        <v>808</v>
      </c>
      <c r="F138" s="37">
        <v>297900</v>
      </c>
      <c r="G138" s="29" t="s">
        <v>1341</v>
      </c>
      <c r="H138" s="14">
        <v>43605</v>
      </c>
      <c r="I138" s="4" t="s">
        <v>511</v>
      </c>
      <c r="J138" s="22"/>
      <c r="K138" s="21"/>
    </row>
    <row r="139" spans="1:11" s="228" customFormat="1" x14ac:dyDescent="0.25">
      <c r="A139" s="61" t="s">
        <v>1147</v>
      </c>
      <c r="B139" s="14"/>
      <c r="C139" s="13"/>
      <c r="D139" s="13" t="s">
        <v>29</v>
      </c>
      <c r="E139" s="13" t="s">
        <v>808</v>
      </c>
      <c r="F139" s="37">
        <v>51300</v>
      </c>
      <c r="G139" s="29" t="s">
        <v>2405</v>
      </c>
      <c r="H139" s="14">
        <v>43607</v>
      </c>
      <c r="I139" s="4" t="s">
        <v>87</v>
      </c>
      <c r="J139" s="22"/>
      <c r="K139" s="21"/>
    </row>
    <row r="140" spans="1:11" s="228" customFormat="1" x14ac:dyDescent="0.25">
      <c r="A140" s="61" t="s">
        <v>659</v>
      </c>
      <c r="B140" s="14"/>
      <c r="C140" s="13"/>
      <c r="D140" s="13" t="s">
        <v>29</v>
      </c>
      <c r="E140" s="13" t="s">
        <v>808</v>
      </c>
      <c r="F140" s="37">
        <v>292100</v>
      </c>
      <c r="G140" s="29" t="s">
        <v>8583</v>
      </c>
      <c r="H140" s="14">
        <v>43613</v>
      </c>
      <c r="I140" s="4" t="s">
        <v>8584</v>
      </c>
      <c r="J140" s="22"/>
      <c r="K140" s="21"/>
    </row>
    <row r="141" spans="1:11" s="228" customFormat="1" x14ac:dyDescent="0.25">
      <c r="A141" s="61" t="s">
        <v>659</v>
      </c>
      <c r="B141" s="14"/>
      <c r="C141" s="13"/>
      <c r="D141" s="13" t="s">
        <v>29</v>
      </c>
      <c r="E141" s="13" t="s">
        <v>808</v>
      </c>
      <c r="F141" s="37">
        <v>146500</v>
      </c>
      <c r="G141" s="29" t="s">
        <v>1327</v>
      </c>
      <c r="H141" s="14">
        <v>43614</v>
      </c>
      <c r="I141" s="4" t="s">
        <v>2163</v>
      </c>
      <c r="J141" s="22"/>
      <c r="K141" s="21"/>
    </row>
    <row r="142" spans="1:11" s="228" customFormat="1" x14ac:dyDescent="0.25">
      <c r="A142" s="61" t="s">
        <v>1316</v>
      </c>
      <c r="B142" s="14"/>
      <c r="C142" s="13"/>
      <c r="D142" s="13" t="s">
        <v>29</v>
      </c>
      <c r="E142" s="13" t="s">
        <v>808</v>
      </c>
      <c r="F142" s="37">
        <v>20900</v>
      </c>
      <c r="G142" s="29" t="s">
        <v>8472</v>
      </c>
      <c r="H142" s="14">
        <v>43614</v>
      </c>
      <c r="I142" s="4" t="s">
        <v>87</v>
      </c>
      <c r="J142" s="22"/>
      <c r="K142" s="21"/>
    </row>
    <row r="143" spans="1:11" s="228" customFormat="1" x14ac:dyDescent="0.25">
      <c r="A143" s="61" t="s">
        <v>1148</v>
      </c>
      <c r="B143" s="14"/>
      <c r="C143" s="13"/>
      <c r="D143" s="13" t="s">
        <v>29</v>
      </c>
      <c r="E143" s="13" t="s">
        <v>808</v>
      </c>
      <c r="F143" s="37">
        <v>20125</v>
      </c>
      <c r="G143" s="29" t="s">
        <v>6735</v>
      </c>
      <c r="H143" s="14">
        <v>43615</v>
      </c>
      <c r="I143" s="4" t="s">
        <v>87</v>
      </c>
      <c r="J143" s="22"/>
      <c r="K143" s="21"/>
    </row>
    <row r="144" spans="1:11" s="228" customFormat="1" ht="27.6" x14ac:dyDescent="0.25">
      <c r="A144" s="61" t="s">
        <v>1894</v>
      </c>
      <c r="B144" s="14"/>
      <c r="C144" s="13"/>
      <c r="D144" s="13" t="s">
        <v>29</v>
      </c>
      <c r="E144" s="13" t="s">
        <v>808</v>
      </c>
      <c r="F144" s="37">
        <v>199800</v>
      </c>
      <c r="G144" s="29" t="s">
        <v>1253</v>
      </c>
      <c r="H144" s="14">
        <v>43616</v>
      </c>
      <c r="I144" s="4" t="s">
        <v>511</v>
      </c>
      <c r="J144" s="22"/>
      <c r="K144" s="21"/>
    </row>
    <row r="145" spans="1:11" s="228" customFormat="1" x14ac:dyDescent="0.25">
      <c r="A145" s="61" t="s">
        <v>311</v>
      </c>
      <c r="B145" s="14"/>
      <c r="C145" s="13"/>
      <c r="D145" s="13" t="s">
        <v>29</v>
      </c>
      <c r="E145" s="13" t="s">
        <v>958</v>
      </c>
      <c r="F145" s="37">
        <v>104975</v>
      </c>
      <c r="G145" s="29" t="s">
        <v>1565</v>
      </c>
      <c r="H145" s="14">
        <v>43616</v>
      </c>
      <c r="I145" s="4" t="s">
        <v>87</v>
      </c>
      <c r="J145" s="22"/>
      <c r="K145" s="21"/>
    </row>
    <row r="146" spans="1:11" s="228" customFormat="1" x14ac:dyDescent="0.25">
      <c r="A146" s="61" t="s">
        <v>1316</v>
      </c>
      <c r="B146" s="14"/>
      <c r="C146" s="13"/>
      <c r="D146" s="13" t="s">
        <v>29</v>
      </c>
      <c r="E146" s="13" t="s">
        <v>808</v>
      </c>
      <c r="F146" s="37">
        <v>20125</v>
      </c>
      <c r="G146" s="29" t="s">
        <v>1515</v>
      </c>
      <c r="H146" s="14">
        <v>43616</v>
      </c>
      <c r="I146" s="4" t="s">
        <v>87</v>
      </c>
      <c r="J146" s="22"/>
      <c r="K146" s="21"/>
    </row>
    <row r="147" spans="1:11" s="228" customFormat="1" x14ac:dyDescent="0.25">
      <c r="A147" s="61" t="s">
        <v>92</v>
      </c>
      <c r="B147" s="14"/>
      <c r="C147" s="13"/>
      <c r="D147" s="13" t="s">
        <v>29</v>
      </c>
      <c r="E147" s="13" t="s">
        <v>62</v>
      </c>
      <c r="F147" s="37">
        <v>161500</v>
      </c>
      <c r="G147" s="29" t="s">
        <v>5524</v>
      </c>
      <c r="H147" s="14">
        <v>43616</v>
      </c>
      <c r="I147" s="4" t="s">
        <v>95</v>
      </c>
      <c r="J147" s="22"/>
      <c r="K147" s="21"/>
    </row>
    <row r="148" spans="1:11" s="228" customFormat="1" x14ac:dyDescent="0.25">
      <c r="A148" s="61" t="s">
        <v>1147</v>
      </c>
      <c r="B148" s="14"/>
      <c r="C148" s="13"/>
      <c r="D148" s="13" t="s">
        <v>29</v>
      </c>
      <c r="E148" s="13" t="s">
        <v>808</v>
      </c>
      <c r="F148" s="37">
        <v>8550</v>
      </c>
      <c r="G148" s="29" t="s">
        <v>1884</v>
      </c>
      <c r="H148" s="14">
        <v>43621</v>
      </c>
      <c r="I148" s="4" t="s">
        <v>87</v>
      </c>
      <c r="J148" s="22"/>
      <c r="K148" s="21"/>
    </row>
    <row r="149" spans="1:11" s="228" customFormat="1" x14ac:dyDescent="0.25">
      <c r="A149" s="61" t="s">
        <v>311</v>
      </c>
      <c r="B149" s="14"/>
      <c r="C149" s="13"/>
      <c r="D149" s="13" t="s">
        <v>29</v>
      </c>
      <c r="E149" s="13" t="s">
        <v>958</v>
      </c>
      <c r="F149" s="37">
        <v>114125</v>
      </c>
      <c r="G149" s="29" t="s">
        <v>9373</v>
      </c>
      <c r="H149" s="14">
        <v>43628</v>
      </c>
      <c r="I149" s="4" t="s">
        <v>87</v>
      </c>
      <c r="J149" s="22"/>
      <c r="K149" s="21"/>
    </row>
    <row r="150" spans="1:11" s="228" customFormat="1" x14ac:dyDescent="0.25">
      <c r="A150" s="61" t="s">
        <v>1316</v>
      </c>
      <c r="B150" s="14"/>
      <c r="C150" s="13"/>
      <c r="D150" s="13" t="s">
        <v>29</v>
      </c>
      <c r="E150" s="13" t="s">
        <v>808</v>
      </c>
      <c r="F150" s="37">
        <v>68875</v>
      </c>
      <c r="G150" s="29" t="s">
        <v>2814</v>
      </c>
      <c r="H150" s="14">
        <v>43629</v>
      </c>
      <c r="I150" s="4" t="s">
        <v>87</v>
      </c>
      <c r="J150" s="22"/>
      <c r="K150" s="21"/>
    </row>
    <row r="151" spans="1:11" s="228" customFormat="1" x14ac:dyDescent="0.25">
      <c r="A151" s="61" t="s">
        <v>92</v>
      </c>
      <c r="B151" s="14"/>
      <c r="C151" s="13"/>
      <c r="D151" s="13" t="s">
        <v>29</v>
      </c>
      <c r="E151" s="13" t="s">
        <v>62</v>
      </c>
      <c r="F151" s="37">
        <v>171700</v>
      </c>
      <c r="G151" s="29" t="s">
        <v>3619</v>
      </c>
      <c r="H151" s="14">
        <v>43630</v>
      </c>
      <c r="I151" s="4" t="s">
        <v>95</v>
      </c>
      <c r="J151" s="22"/>
      <c r="K151" s="21"/>
    </row>
    <row r="152" spans="1:11" s="228" customFormat="1" x14ac:dyDescent="0.25">
      <c r="A152" s="61" t="s">
        <v>1316</v>
      </c>
      <c r="B152" s="14"/>
      <c r="C152" s="13"/>
      <c r="D152" s="13" t="s">
        <v>29</v>
      </c>
      <c r="E152" s="13" t="s">
        <v>808</v>
      </c>
      <c r="F152" s="37">
        <v>9625</v>
      </c>
      <c r="G152" s="29" t="s">
        <v>7852</v>
      </c>
      <c r="H152" s="14">
        <v>43630</v>
      </c>
      <c r="I152" s="4" t="s">
        <v>87</v>
      </c>
      <c r="J152" s="22"/>
      <c r="K152" s="21"/>
    </row>
    <row r="153" spans="1:11" s="228" customFormat="1" x14ac:dyDescent="0.25">
      <c r="A153" s="61" t="s">
        <v>1147</v>
      </c>
      <c r="B153" s="14"/>
      <c r="C153" s="13"/>
      <c r="D153" s="13" t="s">
        <v>29</v>
      </c>
      <c r="E153" s="13" t="s">
        <v>808</v>
      </c>
      <c r="F153" s="37">
        <v>18400</v>
      </c>
      <c r="G153" s="29" t="s">
        <v>1351</v>
      </c>
      <c r="H153" s="14">
        <v>43635</v>
      </c>
      <c r="I153" s="4" t="s">
        <v>87</v>
      </c>
      <c r="J153" s="22"/>
      <c r="K153" s="21"/>
    </row>
    <row r="154" spans="1:11" s="228" customFormat="1" x14ac:dyDescent="0.25">
      <c r="A154" s="61" t="s">
        <v>310</v>
      </c>
      <c r="B154" s="14" t="s">
        <v>8994</v>
      </c>
      <c r="C154" s="13"/>
      <c r="D154" s="13" t="s">
        <v>2047</v>
      </c>
      <c r="E154" s="13" t="s">
        <v>958</v>
      </c>
      <c r="F154" s="37">
        <v>51000</v>
      </c>
      <c r="G154" s="29" t="s">
        <v>1009</v>
      </c>
      <c r="H154" s="14">
        <v>43614</v>
      </c>
      <c r="I154" s="4" t="s">
        <v>95</v>
      </c>
      <c r="J154" s="22"/>
      <c r="K154" s="21"/>
    </row>
    <row r="155" spans="1:11" s="228" customFormat="1" x14ac:dyDescent="0.25">
      <c r="A155" s="61" t="s">
        <v>310</v>
      </c>
      <c r="B155" s="14" t="s">
        <v>8994</v>
      </c>
      <c r="C155" s="13"/>
      <c r="D155" s="13" t="s">
        <v>2047</v>
      </c>
      <c r="E155" s="13" t="s">
        <v>958</v>
      </c>
      <c r="F155" s="37">
        <v>52700</v>
      </c>
      <c r="G155" s="29" t="s">
        <v>631</v>
      </c>
      <c r="H155" s="14">
        <v>43614</v>
      </c>
      <c r="I155" s="4" t="s">
        <v>95</v>
      </c>
      <c r="J155" s="22"/>
      <c r="K155" s="21"/>
    </row>
    <row r="156" spans="1:11" s="228" customFormat="1" x14ac:dyDescent="0.25">
      <c r="A156" s="61" t="s">
        <v>310</v>
      </c>
      <c r="B156" s="14" t="s">
        <v>8994</v>
      </c>
      <c r="C156" s="13"/>
      <c r="D156" s="13" t="s">
        <v>2047</v>
      </c>
      <c r="E156" s="13" t="s">
        <v>958</v>
      </c>
      <c r="F156" s="37">
        <v>40800</v>
      </c>
      <c r="G156" s="29" t="s">
        <v>6035</v>
      </c>
      <c r="H156" s="14">
        <v>43614</v>
      </c>
      <c r="I156" s="4" t="s">
        <v>95</v>
      </c>
      <c r="J156" s="22"/>
      <c r="K156" s="21"/>
    </row>
    <row r="157" spans="1:11" s="228" customFormat="1" x14ac:dyDescent="0.25">
      <c r="A157" s="61" t="s">
        <v>310</v>
      </c>
      <c r="B157" s="14" t="s">
        <v>8994</v>
      </c>
      <c r="C157" s="13"/>
      <c r="D157" s="13" t="s">
        <v>2047</v>
      </c>
      <c r="E157" s="13" t="s">
        <v>958</v>
      </c>
      <c r="F157" s="37">
        <v>40800</v>
      </c>
      <c r="G157" s="29" t="s">
        <v>8563</v>
      </c>
      <c r="H157" s="14">
        <v>43614</v>
      </c>
      <c r="I157" s="4" t="s">
        <v>95</v>
      </c>
      <c r="J157" s="22"/>
      <c r="K157" s="21"/>
    </row>
    <row r="158" spans="1:11" s="228" customFormat="1" x14ac:dyDescent="0.25">
      <c r="A158" s="61" t="s">
        <v>310</v>
      </c>
      <c r="B158" s="14" t="s">
        <v>8994</v>
      </c>
      <c r="C158" s="13"/>
      <c r="D158" s="13" t="s">
        <v>2047</v>
      </c>
      <c r="E158" s="13" t="s">
        <v>958</v>
      </c>
      <c r="F158" s="37">
        <v>45900</v>
      </c>
      <c r="G158" s="29" t="s">
        <v>3228</v>
      </c>
      <c r="H158" s="14">
        <v>43614</v>
      </c>
      <c r="I158" s="4" t="s">
        <v>95</v>
      </c>
      <c r="J158" s="22"/>
      <c r="K158" s="21"/>
    </row>
    <row r="159" spans="1:11" s="228" customFormat="1" x14ac:dyDescent="0.25">
      <c r="A159" s="61" t="s">
        <v>310</v>
      </c>
      <c r="B159" s="14" t="s">
        <v>8994</v>
      </c>
      <c r="C159" s="13"/>
      <c r="D159" s="13" t="s">
        <v>2047</v>
      </c>
      <c r="E159" s="13" t="s">
        <v>958</v>
      </c>
      <c r="F159" s="37">
        <v>39100</v>
      </c>
      <c r="G159" s="29" t="s">
        <v>4116</v>
      </c>
      <c r="H159" s="14">
        <v>43614</v>
      </c>
      <c r="I159" s="4" t="s">
        <v>95</v>
      </c>
      <c r="J159" s="22"/>
      <c r="K159" s="21"/>
    </row>
    <row r="160" spans="1:11" s="228" customFormat="1" x14ac:dyDescent="0.25">
      <c r="A160" s="61" t="s">
        <v>310</v>
      </c>
      <c r="B160" s="14" t="s">
        <v>8994</v>
      </c>
      <c r="C160" s="13"/>
      <c r="D160" s="13" t="s">
        <v>2047</v>
      </c>
      <c r="E160" s="13" t="s">
        <v>958</v>
      </c>
      <c r="F160" s="4">
        <v>44200</v>
      </c>
      <c r="G160" s="28" t="s">
        <v>8585</v>
      </c>
      <c r="H160" s="14">
        <v>43614</v>
      </c>
      <c r="I160" s="4" t="s">
        <v>95</v>
      </c>
      <c r="J160" s="22"/>
      <c r="K160" s="21"/>
    </row>
    <row r="161" spans="1:11" s="228" customFormat="1" ht="27.6" x14ac:dyDescent="0.25">
      <c r="A161" s="61" t="s">
        <v>6103</v>
      </c>
      <c r="B161" s="14" t="s">
        <v>8994</v>
      </c>
      <c r="C161" s="13"/>
      <c r="D161" s="13" t="s">
        <v>2047</v>
      </c>
      <c r="E161" s="13" t="s">
        <v>62</v>
      </c>
      <c r="F161" s="37">
        <v>34000</v>
      </c>
      <c r="G161" s="29" t="s">
        <v>3230</v>
      </c>
      <c r="H161" s="14">
        <v>43614</v>
      </c>
      <c r="I161" s="4" t="s">
        <v>95</v>
      </c>
      <c r="J161" s="22"/>
      <c r="K161" s="21"/>
    </row>
    <row r="162" spans="1:11" s="228" customFormat="1" ht="27.6" x14ac:dyDescent="0.25">
      <c r="A162" s="61" t="s">
        <v>6783</v>
      </c>
      <c r="B162" s="14" t="s">
        <v>8994</v>
      </c>
      <c r="C162" s="13"/>
      <c r="D162" s="13" t="s">
        <v>2047</v>
      </c>
      <c r="E162" s="13" t="s">
        <v>62</v>
      </c>
      <c r="F162" s="37">
        <v>25500</v>
      </c>
      <c r="G162" s="29" t="s">
        <v>6826</v>
      </c>
      <c r="H162" s="14">
        <v>43614</v>
      </c>
      <c r="I162" s="4" t="s">
        <v>95</v>
      </c>
      <c r="J162" s="22"/>
      <c r="K162" s="21"/>
    </row>
    <row r="163" spans="1:11" s="228" customFormat="1" x14ac:dyDescent="0.25">
      <c r="A163" s="61" t="s">
        <v>455</v>
      </c>
      <c r="B163" s="14" t="s">
        <v>8994</v>
      </c>
      <c r="C163" s="13"/>
      <c r="D163" s="13" t="s">
        <v>2047</v>
      </c>
      <c r="E163" s="13" t="s">
        <v>958</v>
      </c>
      <c r="F163" s="37">
        <v>17000</v>
      </c>
      <c r="G163" s="29" t="s">
        <v>7132</v>
      </c>
      <c r="H163" s="14">
        <v>43614</v>
      </c>
      <c r="I163" s="4" t="s">
        <v>95</v>
      </c>
      <c r="J163" s="22"/>
      <c r="K163" s="21"/>
    </row>
    <row r="164" spans="1:11" s="228" customFormat="1" x14ac:dyDescent="0.25">
      <c r="A164" s="61" t="s">
        <v>1455</v>
      </c>
      <c r="B164" s="14" t="s">
        <v>8994</v>
      </c>
      <c r="C164" s="13"/>
      <c r="D164" s="13" t="s">
        <v>2047</v>
      </c>
      <c r="E164" s="13" t="s">
        <v>691</v>
      </c>
      <c r="F164" s="37">
        <v>35700</v>
      </c>
      <c r="G164" s="29" t="s">
        <v>8517</v>
      </c>
      <c r="H164" s="14">
        <v>43614</v>
      </c>
      <c r="I164" s="4" t="s">
        <v>95</v>
      </c>
      <c r="J164" s="22"/>
      <c r="K164" s="21"/>
    </row>
    <row r="165" spans="1:11" s="228" customFormat="1" x14ac:dyDescent="0.25">
      <c r="A165" s="61" t="s">
        <v>659</v>
      </c>
      <c r="B165" s="14" t="s">
        <v>8994</v>
      </c>
      <c r="C165" s="13"/>
      <c r="D165" s="13" t="s">
        <v>2047</v>
      </c>
      <c r="E165" s="13" t="s">
        <v>808</v>
      </c>
      <c r="F165" s="37">
        <v>17000</v>
      </c>
      <c r="G165" s="29" t="s">
        <v>7475</v>
      </c>
      <c r="H165" s="14">
        <v>43614</v>
      </c>
      <c r="I165" s="4" t="s">
        <v>95</v>
      </c>
      <c r="J165" s="22"/>
      <c r="K165" s="21"/>
    </row>
    <row r="166" spans="1:11" s="228" customFormat="1" x14ac:dyDescent="0.25">
      <c r="A166" s="61" t="s">
        <v>1316</v>
      </c>
      <c r="B166" s="14" t="s">
        <v>8994</v>
      </c>
      <c r="C166" s="13"/>
      <c r="D166" s="13" t="s">
        <v>2047</v>
      </c>
      <c r="E166" s="13" t="s">
        <v>808</v>
      </c>
      <c r="F166" s="37">
        <v>8500</v>
      </c>
      <c r="G166" s="29" t="s">
        <v>8118</v>
      </c>
      <c r="H166" s="14">
        <v>43616</v>
      </c>
      <c r="I166" s="4" t="s">
        <v>95</v>
      </c>
      <c r="J166" s="22"/>
      <c r="K166" s="21"/>
    </row>
    <row r="167" spans="1:11" s="228" customFormat="1" x14ac:dyDescent="0.25">
      <c r="A167" s="61" t="s">
        <v>659</v>
      </c>
      <c r="B167" s="14"/>
      <c r="C167" s="13"/>
      <c r="D167" s="13" t="s">
        <v>2047</v>
      </c>
      <c r="E167" s="13" t="s">
        <v>808</v>
      </c>
      <c r="F167" s="37">
        <v>35700</v>
      </c>
      <c r="G167" s="29" t="s">
        <v>5524</v>
      </c>
      <c r="H167" s="14">
        <v>43633</v>
      </c>
      <c r="I167" s="4" t="s">
        <v>95</v>
      </c>
      <c r="J167" s="22"/>
      <c r="K167" s="21"/>
    </row>
    <row r="168" spans="1:11" s="228" customFormat="1" x14ac:dyDescent="0.25">
      <c r="A168" s="61" t="s">
        <v>659</v>
      </c>
      <c r="B168" s="14"/>
      <c r="C168" s="13"/>
      <c r="D168" s="13" t="s">
        <v>2047</v>
      </c>
      <c r="E168" s="13" t="s">
        <v>808</v>
      </c>
      <c r="F168" s="37">
        <v>40800</v>
      </c>
      <c r="G168" s="29" t="s">
        <v>1496</v>
      </c>
      <c r="H168" s="14">
        <v>43633</v>
      </c>
      <c r="I168" s="4" t="s">
        <v>95</v>
      </c>
      <c r="J168" s="22"/>
      <c r="K168" s="21"/>
    </row>
    <row r="169" spans="1:11" s="228" customFormat="1" ht="27.6" x14ac:dyDescent="0.25">
      <c r="A169" s="61" t="s">
        <v>6448</v>
      </c>
      <c r="B169" s="14"/>
      <c r="C169" s="13"/>
      <c r="D169" s="13" t="s">
        <v>2047</v>
      </c>
      <c r="E169" s="13" t="s">
        <v>808</v>
      </c>
      <c r="F169" s="37">
        <v>37400</v>
      </c>
      <c r="G169" s="29" t="s">
        <v>9076</v>
      </c>
      <c r="H169" s="14">
        <v>43633</v>
      </c>
      <c r="I169" s="4" t="s">
        <v>95</v>
      </c>
      <c r="J169" s="22"/>
      <c r="K169" s="21"/>
    </row>
    <row r="170" spans="1:11" s="228" customFormat="1" x14ac:dyDescent="0.25">
      <c r="A170" s="61" t="s">
        <v>1147</v>
      </c>
      <c r="B170" s="14"/>
      <c r="C170" s="13"/>
      <c r="D170" s="13" t="s">
        <v>2047</v>
      </c>
      <c r="E170" s="13" t="s">
        <v>808</v>
      </c>
      <c r="F170" s="37">
        <v>35700</v>
      </c>
      <c r="G170" s="29" t="s">
        <v>9077</v>
      </c>
      <c r="H170" s="14">
        <v>43633</v>
      </c>
      <c r="I170" s="4" t="s">
        <v>95</v>
      </c>
      <c r="J170" s="22"/>
      <c r="K170" s="21"/>
    </row>
    <row r="171" spans="1:11" s="228" customFormat="1" x14ac:dyDescent="0.25">
      <c r="A171" s="61" t="s">
        <v>358</v>
      </c>
      <c r="B171" s="14"/>
      <c r="C171" s="13"/>
      <c r="D171" s="13" t="s">
        <v>2047</v>
      </c>
      <c r="E171" s="13" t="s">
        <v>62</v>
      </c>
      <c r="F171" s="37">
        <v>42500</v>
      </c>
      <c r="G171" s="29" t="s">
        <v>2677</v>
      </c>
      <c r="H171" s="14">
        <v>43633</v>
      </c>
      <c r="I171" s="4" t="s">
        <v>95</v>
      </c>
      <c r="J171" s="22"/>
      <c r="K171" s="21"/>
    </row>
    <row r="172" spans="1:11" s="228" customFormat="1" ht="27.6" x14ac:dyDescent="0.25">
      <c r="A172" s="61" t="s">
        <v>6103</v>
      </c>
      <c r="B172" s="14"/>
      <c r="C172" s="13"/>
      <c r="D172" s="13" t="s">
        <v>2047</v>
      </c>
      <c r="E172" s="13" t="s">
        <v>62</v>
      </c>
      <c r="F172" s="37">
        <v>34000</v>
      </c>
      <c r="G172" s="29" t="s">
        <v>1705</v>
      </c>
      <c r="H172" s="14">
        <v>43633</v>
      </c>
      <c r="I172" s="4" t="s">
        <v>95</v>
      </c>
      <c r="J172" s="22"/>
      <c r="K172" s="21"/>
    </row>
    <row r="173" spans="1:11" s="228" customFormat="1" x14ac:dyDescent="0.25">
      <c r="A173" s="61" t="s">
        <v>310</v>
      </c>
      <c r="B173" s="14"/>
      <c r="C173" s="13"/>
      <c r="D173" s="13" t="s">
        <v>2047</v>
      </c>
      <c r="E173" s="13" t="s">
        <v>958</v>
      </c>
      <c r="F173" s="37">
        <v>37400</v>
      </c>
      <c r="G173" s="29" t="s">
        <v>1853</v>
      </c>
      <c r="H173" s="14">
        <v>43633</v>
      </c>
      <c r="I173" s="4" t="s">
        <v>95</v>
      </c>
      <c r="J173" s="22"/>
      <c r="K173" s="21"/>
    </row>
    <row r="174" spans="1:11" s="228" customFormat="1" ht="27.6" x14ac:dyDescent="0.25">
      <c r="A174" s="61" t="s">
        <v>9078</v>
      </c>
      <c r="B174" s="14"/>
      <c r="C174" s="13"/>
      <c r="D174" s="13" t="s">
        <v>2047</v>
      </c>
      <c r="E174" s="13" t="s">
        <v>958</v>
      </c>
      <c r="F174" s="37">
        <v>32300</v>
      </c>
      <c r="G174" s="29" t="s">
        <v>1457</v>
      </c>
      <c r="H174" s="14">
        <v>43633</v>
      </c>
      <c r="I174" s="4" t="s">
        <v>95</v>
      </c>
      <c r="J174" s="22"/>
      <c r="K174" s="21"/>
    </row>
    <row r="175" spans="1:11" s="228" customFormat="1" x14ac:dyDescent="0.25">
      <c r="A175" s="61" t="s">
        <v>1350</v>
      </c>
      <c r="B175" s="14"/>
      <c r="C175" s="13"/>
      <c r="D175" s="13" t="s">
        <v>2047</v>
      </c>
      <c r="E175" s="13" t="s">
        <v>691</v>
      </c>
      <c r="F175" s="37">
        <v>39100</v>
      </c>
      <c r="G175" s="29" t="s">
        <v>715</v>
      </c>
      <c r="H175" s="14">
        <v>43633</v>
      </c>
      <c r="I175" s="4" t="s">
        <v>95</v>
      </c>
      <c r="J175" s="22"/>
      <c r="K175" s="21"/>
    </row>
    <row r="176" spans="1:11" s="228" customFormat="1" x14ac:dyDescent="0.25">
      <c r="A176" s="61" t="s">
        <v>1455</v>
      </c>
      <c r="B176" s="14"/>
      <c r="C176" s="13"/>
      <c r="D176" s="13" t="s">
        <v>2047</v>
      </c>
      <c r="E176" s="13" t="s">
        <v>691</v>
      </c>
      <c r="F176" s="37">
        <v>40800</v>
      </c>
      <c r="G176" s="29" t="s">
        <v>8472</v>
      </c>
      <c r="H176" s="14">
        <v>43633</v>
      </c>
      <c r="I176" s="4" t="s">
        <v>95</v>
      </c>
      <c r="J176" s="22"/>
      <c r="K176" s="21"/>
    </row>
    <row r="177" spans="1:11" s="228" customFormat="1" x14ac:dyDescent="0.25">
      <c r="A177" s="61" t="s">
        <v>659</v>
      </c>
      <c r="B177" s="14"/>
      <c r="C177" s="13"/>
      <c r="D177" s="13" t="s">
        <v>5888</v>
      </c>
      <c r="E177" s="13" t="s">
        <v>808</v>
      </c>
      <c r="F177" s="37">
        <f>329375-129375-100000</f>
        <v>100000</v>
      </c>
      <c r="G177" s="29" t="s">
        <v>299</v>
      </c>
      <c r="H177" s="14">
        <v>43591</v>
      </c>
      <c r="I177" s="4" t="s">
        <v>402</v>
      </c>
      <c r="J177" s="22"/>
      <c r="K177" s="21"/>
    </row>
    <row r="178" spans="1:11" s="228" customFormat="1" x14ac:dyDescent="0.25">
      <c r="A178" s="61" t="s">
        <v>659</v>
      </c>
      <c r="B178" s="14"/>
      <c r="C178" s="13"/>
      <c r="D178" s="13" t="s">
        <v>5888</v>
      </c>
      <c r="E178" s="13" t="s">
        <v>808</v>
      </c>
      <c r="F178" s="37">
        <v>274125</v>
      </c>
      <c r="G178" s="29" t="s">
        <v>4</v>
      </c>
      <c r="H178" s="14">
        <v>43598</v>
      </c>
      <c r="I178" s="4" t="s">
        <v>402</v>
      </c>
      <c r="J178" s="22"/>
      <c r="K178" s="21"/>
    </row>
    <row r="179" spans="1:11" s="228" customFormat="1" x14ac:dyDescent="0.25">
      <c r="A179" s="61" t="s">
        <v>659</v>
      </c>
      <c r="B179" s="14"/>
      <c r="C179" s="13"/>
      <c r="D179" s="13" t="s">
        <v>5888</v>
      </c>
      <c r="E179" s="13" t="s">
        <v>808</v>
      </c>
      <c r="F179" s="37">
        <v>329375</v>
      </c>
      <c r="G179" s="29" t="s">
        <v>196</v>
      </c>
      <c r="H179" s="14">
        <v>43606</v>
      </c>
      <c r="I179" s="4" t="s">
        <v>402</v>
      </c>
      <c r="J179" s="22"/>
      <c r="K179" s="21"/>
    </row>
    <row r="180" spans="1:11" s="228" customFormat="1" x14ac:dyDescent="0.25">
      <c r="A180" s="61" t="s">
        <v>659</v>
      </c>
      <c r="B180" s="14"/>
      <c r="C180" s="13"/>
      <c r="D180" s="13" t="s">
        <v>5888</v>
      </c>
      <c r="E180" s="13" t="s">
        <v>808</v>
      </c>
      <c r="F180" s="37">
        <v>233750</v>
      </c>
      <c r="G180" s="29" t="s">
        <v>317</v>
      </c>
      <c r="H180" s="14">
        <v>43612</v>
      </c>
      <c r="I180" s="4" t="s">
        <v>402</v>
      </c>
      <c r="J180" s="22"/>
      <c r="K180" s="21"/>
    </row>
    <row r="181" spans="1:11" s="228" customFormat="1" x14ac:dyDescent="0.25">
      <c r="A181" s="61" t="s">
        <v>659</v>
      </c>
      <c r="B181" s="14"/>
      <c r="C181" s="13"/>
      <c r="D181" s="13" t="s">
        <v>5888</v>
      </c>
      <c r="E181" s="13" t="s">
        <v>808</v>
      </c>
      <c r="F181" s="37">
        <v>250750</v>
      </c>
      <c r="G181" s="29" t="s">
        <v>27</v>
      </c>
      <c r="H181" s="14">
        <v>43619</v>
      </c>
      <c r="I181" s="4" t="s">
        <v>402</v>
      </c>
      <c r="J181" s="22"/>
      <c r="K181" s="21"/>
    </row>
    <row r="182" spans="1:11" s="228" customFormat="1" x14ac:dyDescent="0.25">
      <c r="A182" s="61" t="s">
        <v>659</v>
      </c>
      <c r="B182" s="14"/>
      <c r="C182" s="13"/>
      <c r="D182" s="13" t="s">
        <v>5888</v>
      </c>
      <c r="E182" s="13" t="s">
        <v>808</v>
      </c>
      <c r="F182" s="37">
        <v>244375</v>
      </c>
      <c r="G182" s="29" t="s">
        <v>145</v>
      </c>
      <c r="H182" s="14">
        <v>43626</v>
      </c>
      <c r="I182" s="4" t="s">
        <v>402</v>
      </c>
      <c r="J182" s="22"/>
      <c r="K182" s="21"/>
    </row>
    <row r="183" spans="1:11" s="228" customFormat="1" x14ac:dyDescent="0.25">
      <c r="A183" s="61" t="s">
        <v>659</v>
      </c>
      <c r="B183" s="14"/>
      <c r="C183" s="13"/>
      <c r="D183" s="13" t="s">
        <v>5888</v>
      </c>
      <c r="E183" s="13" t="s">
        <v>808</v>
      </c>
      <c r="F183" s="37">
        <v>193375</v>
      </c>
      <c r="G183" s="29" t="s">
        <v>71</v>
      </c>
      <c r="H183" s="14">
        <v>43630</v>
      </c>
      <c r="I183" s="4" t="s">
        <v>402</v>
      </c>
      <c r="J183" s="22"/>
      <c r="K183" s="21"/>
    </row>
    <row r="184" spans="1:11" s="228" customFormat="1" x14ac:dyDescent="0.25">
      <c r="A184" s="61" t="s">
        <v>659</v>
      </c>
      <c r="B184" s="14"/>
      <c r="C184" s="13"/>
      <c r="D184" s="13" t="s">
        <v>5888</v>
      </c>
      <c r="E184" s="13" t="s">
        <v>808</v>
      </c>
      <c r="F184" s="37">
        <v>116875</v>
      </c>
      <c r="G184" s="29" t="s">
        <v>26</v>
      </c>
      <c r="H184" s="14">
        <v>43639</v>
      </c>
      <c r="I184" s="4" t="s">
        <v>402</v>
      </c>
      <c r="J184" s="22"/>
      <c r="K184" s="21"/>
    </row>
    <row r="185" spans="1:11" s="228" customFormat="1" x14ac:dyDescent="0.25">
      <c r="A185" s="61" t="s">
        <v>1350</v>
      </c>
      <c r="B185" s="14" t="s">
        <v>9005</v>
      </c>
      <c r="C185" s="13"/>
      <c r="D185" s="13" t="s">
        <v>1985</v>
      </c>
      <c r="E185" s="13" t="s">
        <v>691</v>
      </c>
      <c r="F185" s="37">
        <v>19550</v>
      </c>
      <c r="G185" s="29" t="s">
        <v>729</v>
      </c>
      <c r="H185" s="14">
        <v>43616</v>
      </c>
      <c r="I185" s="4" t="s">
        <v>122</v>
      </c>
      <c r="J185" s="22"/>
      <c r="K185" s="21"/>
    </row>
    <row r="186" spans="1:11" s="228" customFormat="1" x14ac:dyDescent="0.25">
      <c r="A186" s="61" t="s">
        <v>1455</v>
      </c>
      <c r="B186" s="14" t="s">
        <v>9005</v>
      </c>
      <c r="C186" s="13"/>
      <c r="D186" s="13" t="s">
        <v>1985</v>
      </c>
      <c r="E186" s="13" t="s">
        <v>691</v>
      </c>
      <c r="F186" s="37">
        <v>26350</v>
      </c>
      <c r="G186" s="29" t="s">
        <v>3122</v>
      </c>
      <c r="H186" s="14">
        <v>43616</v>
      </c>
      <c r="I186" s="4" t="s">
        <v>122</v>
      </c>
      <c r="J186" s="22"/>
      <c r="K186" s="21"/>
    </row>
    <row r="187" spans="1:11" s="228" customFormat="1" x14ac:dyDescent="0.25">
      <c r="A187" s="61" t="s">
        <v>637</v>
      </c>
      <c r="B187" s="14" t="s">
        <v>9005</v>
      </c>
      <c r="C187" s="13"/>
      <c r="D187" s="13" t="s">
        <v>1985</v>
      </c>
      <c r="E187" s="13" t="s">
        <v>691</v>
      </c>
      <c r="F187" s="37">
        <v>8800</v>
      </c>
      <c r="G187" s="29" t="s">
        <v>1334</v>
      </c>
      <c r="H187" s="14">
        <v>43616</v>
      </c>
      <c r="I187" s="4" t="s">
        <v>122</v>
      </c>
      <c r="J187" s="22"/>
      <c r="K187" s="21"/>
    </row>
    <row r="188" spans="1:11" s="228" customFormat="1" x14ac:dyDescent="0.25">
      <c r="A188" s="61" t="s">
        <v>637</v>
      </c>
      <c r="B188" s="14" t="s">
        <v>9005</v>
      </c>
      <c r="C188" s="13"/>
      <c r="D188" s="13" t="s">
        <v>1985</v>
      </c>
      <c r="E188" s="13" t="s">
        <v>691</v>
      </c>
      <c r="F188" s="37">
        <v>31450</v>
      </c>
      <c r="G188" s="29" t="s">
        <v>3394</v>
      </c>
      <c r="H188" s="14">
        <v>43616</v>
      </c>
      <c r="I188" s="4" t="s">
        <v>122</v>
      </c>
      <c r="J188" s="22"/>
      <c r="K188" s="21"/>
    </row>
    <row r="189" spans="1:11" s="228" customFormat="1" x14ac:dyDescent="0.25">
      <c r="A189" s="14" t="s">
        <v>7691</v>
      </c>
      <c r="B189" s="14" t="s">
        <v>9005</v>
      </c>
      <c r="C189" s="13"/>
      <c r="D189" s="13" t="s">
        <v>1985</v>
      </c>
      <c r="E189" s="13" t="s">
        <v>62</v>
      </c>
      <c r="F189" s="37">
        <v>162800</v>
      </c>
      <c r="G189" s="29" t="s">
        <v>3609</v>
      </c>
      <c r="H189" s="14">
        <v>43616</v>
      </c>
      <c r="I189" s="4" t="s">
        <v>122</v>
      </c>
      <c r="J189" s="22"/>
      <c r="K189" s="21"/>
    </row>
    <row r="190" spans="1:11" s="228" customFormat="1" x14ac:dyDescent="0.25">
      <c r="A190" s="14" t="s">
        <v>311</v>
      </c>
      <c r="B190" s="14" t="s">
        <v>9005</v>
      </c>
      <c r="C190" s="13"/>
      <c r="D190" s="13" t="s">
        <v>1985</v>
      </c>
      <c r="E190" s="13" t="s">
        <v>958</v>
      </c>
      <c r="F190" s="37">
        <v>96200</v>
      </c>
      <c r="G190" s="29" t="s">
        <v>1454</v>
      </c>
      <c r="H190" s="14">
        <v>43616</v>
      </c>
      <c r="I190" s="4" t="s">
        <v>122</v>
      </c>
      <c r="J190" s="22"/>
      <c r="K190" s="21"/>
    </row>
    <row r="191" spans="1:11" s="228" customFormat="1" x14ac:dyDescent="0.25">
      <c r="A191" s="61" t="s">
        <v>659</v>
      </c>
      <c r="B191" s="14" t="s">
        <v>9005</v>
      </c>
      <c r="C191" s="13"/>
      <c r="D191" s="13" t="s">
        <v>1985</v>
      </c>
      <c r="E191" s="13" t="s">
        <v>808</v>
      </c>
      <c r="F191" s="37">
        <v>158750</v>
      </c>
      <c r="G191" s="29" t="s">
        <v>1452</v>
      </c>
      <c r="H191" s="14">
        <v>43616</v>
      </c>
      <c r="I191" s="4" t="s">
        <v>6425</v>
      </c>
      <c r="J191" s="22"/>
      <c r="K191" s="21"/>
    </row>
    <row r="192" spans="1:11" s="228" customFormat="1" x14ac:dyDescent="0.25">
      <c r="A192" s="61" t="s">
        <v>1147</v>
      </c>
      <c r="B192" s="14"/>
      <c r="C192" s="13"/>
      <c r="D192" s="13" t="s">
        <v>692</v>
      </c>
      <c r="E192" s="13" t="s">
        <v>808</v>
      </c>
      <c r="F192" s="37">
        <f>307125-105000</f>
        <v>202125</v>
      </c>
      <c r="G192" s="29" t="s">
        <v>1568</v>
      </c>
      <c r="H192" s="14">
        <v>43605</v>
      </c>
      <c r="I192" s="4" t="s">
        <v>2027</v>
      </c>
      <c r="J192" s="22"/>
      <c r="K192" s="21"/>
    </row>
    <row r="193" spans="1:11" s="228" customFormat="1" x14ac:dyDescent="0.25">
      <c r="A193" s="61" t="s">
        <v>659</v>
      </c>
      <c r="B193" s="14"/>
      <c r="C193" s="13"/>
      <c r="D193" s="13" t="s">
        <v>692</v>
      </c>
      <c r="E193" s="13" t="s">
        <v>808</v>
      </c>
      <c r="F193" s="37">
        <v>17875</v>
      </c>
      <c r="G193" s="29" t="s">
        <v>1549</v>
      </c>
      <c r="H193" s="14">
        <v>43605</v>
      </c>
      <c r="I193" s="4" t="s">
        <v>419</v>
      </c>
      <c r="J193" s="22"/>
      <c r="K193" s="21"/>
    </row>
    <row r="194" spans="1:11" s="228" customFormat="1" x14ac:dyDescent="0.25">
      <c r="A194" s="61" t="s">
        <v>442</v>
      </c>
      <c r="B194" s="14"/>
      <c r="C194" s="13"/>
      <c r="D194" s="13" t="s">
        <v>692</v>
      </c>
      <c r="E194" s="13" t="s">
        <v>62</v>
      </c>
      <c r="F194" s="37">
        <v>138875</v>
      </c>
      <c r="G194" s="29" t="s">
        <v>3279</v>
      </c>
      <c r="H194" s="14">
        <v>43620</v>
      </c>
      <c r="I194" s="4" t="s">
        <v>419</v>
      </c>
      <c r="J194" s="22"/>
      <c r="K194" s="21"/>
    </row>
    <row r="195" spans="1:11" s="228" customFormat="1" x14ac:dyDescent="0.25">
      <c r="A195" s="13" t="s">
        <v>358</v>
      </c>
      <c r="B195" s="14"/>
      <c r="C195" s="13"/>
      <c r="D195" s="13" t="s">
        <v>692</v>
      </c>
      <c r="E195" s="13" t="s">
        <v>62</v>
      </c>
      <c r="F195" s="4">
        <v>88000</v>
      </c>
      <c r="G195" s="28" t="s">
        <v>3280</v>
      </c>
      <c r="H195" s="14">
        <v>43620</v>
      </c>
      <c r="I195" s="4" t="s">
        <v>419</v>
      </c>
      <c r="J195" s="22"/>
      <c r="K195" s="21"/>
    </row>
    <row r="196" spans="1:11" s="228" customFormat="1" x14ac:dyDescent="0.25">
      <c r="A196" s="61" t="s">
        <v>358</v>
      </c>
      <c r="B196" s="14"/>
      <c r="C196" s="13"/>
      <c r="D196" s="13" t="s">
        <v>692</v>
      </c>
      <c r="E196" s="13" t="s">
        <v>62</v>
      </c>
      <c r="F196" s="37">
        <v>91200</v>
      </c>
      <c r="G196" s="29" t="s">
        <v>376</v>
      </c>
      <c r="H196" s="14">
        <v>43620</v>
      </c>
      <c r="I196" s="4" t="s">
        <v>419</v>
      </c>
      <c r="J196" s="22"/>
      <c r="K196" s="21"/>
    </row>
    <row r="197" spans="1:11" s="228" customFormat="1" x14ac:dyDescent="0.25">
      <c r="A197" s="61" t="s">
        <v>1147</v>
      </c>
      <c r="B197" s="14"/>
      <c r="C197" s="13"/>
      <c r="D197" s="13" t="s">
        <v>692</v>
      </c>
      <c r="E197" s="13" t="s">
        <v>808</v>
      </c>
      <c r="F197" s="37">
        <v>259875</v>
      </c>
      <c r="G197" s="29" t="s">
        <v>32</v>
      </c>
      <c r="H197" s="14">
        <v>43620</v>
      </c>
      <c r="I197" s="4" t="s">
        <v>2027</v>
      </c>
      <c r="J197" s="22"/>
      <c r="K197" s="21"/>
    </row>
    <row r="198" spans="1:11" s="228" customFormat="1" x14ac:dyDescent="0.25">
      <c r="A198" s="61" t="s">
        <v>659</v>
      </c>
      <c r="B198" s="14"/>
      <c r="C198" s="13"/>
      <c r="D198" s="13" t="s">
        <v>692</v>
      </c>
      <c r="E198" s="13" t="s">
        <v>808</v>
      </c>
      <c r="F198" s="37">
        <v>97625</v>
      </c>
      <c r="G198" s="29" t="s">
        <v>3316</v>
      </c>
      <c r="H198" s="14">
        <v>43620</v>
      </c>
      <c r="I198" s="4" t="s">
        <v>419</v>
      </c>
      <c r="J198" s="22"/>
      <c r="K198" s="21"/>
    </row>
    <row r="199" spans="1:11" s="228" customFormat="1" x14ac:dyDescent="0.25">
      <c r="A199" s="61" t="s">
        <v>310</v>
      </c>
      <c r="B199" s="14"/>
      <c r="C199" s="13"/>
      <c r="D199" s="13" t="s">
        <v>692</v>
      </c>
      <c r="E199" s="13" t="s">
        <v>958</v>
      </c>
      <c r="F199" s="37">
        <v>51200</v>
      </c>
      <c r="G199" s="29" t="s">
        <v>3281</v>
      </c>
      <c r="H199" s="14">
        <v>43620</v>
      </c>
      <c r="I199" s="4" t="s">
        <v>419</v>
      </c>
      <c r="J199" s="22"/>
      <c r="K199" s="21"/>
    </row>
    <row r="200" spans="1:11" s="228" customFormat="1" x14ac:dyDescent="0.25">
      <c r="A200" s="61" t="s">
        <v>310</v>
      </c>
      <c r="B200" s="14"/>
      <c r="C200" s="13"/>
      <c r="D200" s="13" t="s">
        <v>692</v>
      </c>
      <c r="E200" s="13" t="s">
        <v>958</v>
      </c>
      <c r="F200" s="37">
        <v>24000</v>
      </c>
      <c r="G200" s="29" t="s">
        <v>74</v>
      </c>
      <c r="H200" s="14">
        <v>43620</v>
      </c>
      <c r="I200" s="4" t="s">
        <v>419</v>
      </c>
      <c r="J200" s="22"/>
      <c r="K200" s="21"/>
    </row>
    <row r="201" spans="1:11" s="228" customFormat="1" x14ac:dyDescent="0.25">
      <c r="A201" s="61" t="s">
        <v>659</v>
      </c>
      <c r="B201" s="14"/>
      <c r="C201" s="13"/>
      <c r="D201" s="13" t="s">
        <v>2115</v>
      </c>
      <c r="E201" s="13" t="s">
        <v>808</v>
      </c>
      <c r="F201" s="4">
        <v>42250</v>
      </c>
      <c r="G201" s="28" t="s">
        <v>3281</v>
      </c>
      <c r="H201" s="14">
        <v>43585</v>
      </c>
      <c r="I201" s="4" t="s">
        <v>164</v>
      </c>
      <c r="J201" s="22"/>
      <c r="K201" s="21"/>
    </row>
    <row r="202" spans="1:11" s="228" customFormat="1" x14ac:dyDescent="0.25">
      <c r="A202" s="61" t="s">
        <v>1148</v>
      </c>
      <c r="B202" s="14"/>
      <c r="C202" s="13"/>
      <c r="D202" s="13" t="s">
        <v>2115</v>
      </c>
      <c r="E202" s="13" t="s">
        <v>808</v>
      </c>
      <c r="F202" s="4">
        <v>800775</v>
      </c>
      <c r="G202" s="28" t="s">
        <v>74</v>
      </c>
      <c r="H202" s="14">
        <v>43585</v>
      </c>
      <c r="I202" s="4" t="s">
        <v>164</v>
      </c>
      <c r="J202" s="22"/>
      <c r="K202" s="21"/>
    </row>
    <row r="203" spans="1:11" s="228" customFormat="1" x14ac:dyDescent="0.25">
      <c r="A203" s="61" t="s">
        <v>455</v>
      </c>
      <c r="B203" s="14"/>
      <c r="C203" s="13"/>
      <c r="D203" s="13" t="s">
        <v>2115</v>
      </c>
      <c r="E203" s="13" t="s">
        <v>958</v>
      </c>
      <c r="F203" s="37">
        <v>169200</v>
      </c>
      <c r="G203" s="29" t="s">
        <v>32</v>
      </c>
      <c r="H203" s="14">
        <v>43585</v>
      </c>
      <c r="I203" s="4" t="s">
        <v>8271</v>
      </c>
      <c r="J203" s="22"/>
      <c r="K203" s="21"/>
    </row>
    <row r="204" spans="1:11" s="228" customFormat="1" x14ac:dyDescent="0.25">
      <c r="A204" s="61" t="s">
        <v>1316</v>
      </c>
      <c r="B204" s="14"/>
      <c r="C204" s="13"/>
      <c r="D204" s="13" t="s">
        <v>2115</v>
      </c>
      <c r="E204" s="13" t="s">
        <v>808</v>
      </c>
      <c r="F204" s="37">
        <v>94750</v>
      </c>
      <c r="G204" s="29" t="s">
        <v>3316</v>
      </c>
      <c r="H204" s="14">
        <v>43585</v>
      </c>
      <c r="I204" s="4" t="s">
        <v>9079</v>
      </c>
      <c r="J204" s="22"/>
      <c r="K204" s="21"/>
    </row>
    <row r="205" spans="1:11" s="228" customFormat="1" x14ac:dyDescent="0.25">
      <c r="A205" s="61" t="s">
        <v>1147</v>
      </c>
      <c r="B205" s="14"/>
      <c r="C205" s="13"/>
      <c r="D205" s="13" t="s">
        <v>2115</v>
      </c>
      <c r="E205" s="13" t="s">
        <v>808</v>
      </c>
      <c r="F205" s="37">
        <v>419250</v>
      </c>
      <c r="G205" s="29" t="s">
        <v>1133</v>
      </c>
      <c r="H205" s="14">
        <v>43607</v>
      </c>
      <c r="I205" s="4" t="s">
        <v>164</v>
      </c>
      <c r="J205" s="22"/>
      <c r="K205" s="21"/>
    </row>
    <row r="206" spans="1:11" s="228" customFormat="1" x14ac:dyDescent="0.25">
      <c r="A206" s="61" t="s">
        <v>310</v>
      </c>
      <c r="B206" s="14"/>
      <c r="C206" s="13"/>
      <c r="D206" s="13" t="s">
        <v>2115</v>
      </c>
      <c r="E206" s="13" t="s">
        <v>958</v>
      </c>
      <c r="F206" s="37">
        <v>194325</v>
      </c>
      <c r="G206" s="29" t="s">
        <v>4931</v>
      </c>
      <c r="H206" s="14">
        <v>43607</v>
      </c>
      <c r="I206" s="4" t="s">
        <v>9080</v>
      </c>
      <c r="J206" s="22"/>
      <c r="K206" s="21"/>
    </row>
    <row r="207" spans="1:11" s="228" customFormat="1" x14ac:dyDescent="0.25">
      <c r="A207" s="61" t="s">
        <v>1148</v>
      </c>
      <c r="B207" s="14"/>
      <c r="C207" s="13"/>
      <c r="D207" s="13" t="s">
        <v>2115</v>
      </c>
      <c r="E207" s="13" t="s">
        <v>808</v>
      </c>
      <c r="F207" s="37">
        <v>394100</v>
      </c>
      <c r="G207" s="29" t="s">
        <v>5450</v>
      </c>
      <c r="H207" s="14">
        <v>43616</v>
      </c>
      <c r="I207" s="4" t="s">
        <v>164</v>
      </c>
      <c r="J207" s="22"/>
      <c r="K207" s="21"/>
    </row>
    <row r="208" spans="1:11" s="228" customFormat="1" x14ac:dyDescent="0.25">
      <c r="A208" s="61" t="s">
        <v>311</v>
      </c>
      <c r="B208" s="14"/>
      <c r="C208" s="13"/>
      <c r="D208" s="13" t="s">
        <v>2115</v>
      </c>
      <c r="E208" s="13" t="s">
        <v>958</v>
      </c>
      <c r="F208" s="37">
        <v>267550</v>
      </c>
      <c r="G208" s="29" t="s">
        <v>4046</v>
      </c>
      <c r="H208" s="14">
        <v>43616</v>
      </c>
      <c r="I208" s="4" t="s">
        <v>2385</v>
      </c>
      <c r="J208" s="22"/>
      <c r="K208" s="21"/>
    </row>
    <row r="209" spans="1:11" s="228" customFormat="1" x14ac:dyDescent="0.25">
      <c r="A209" s="61" t="s">
        <v>455</v>
      </c>
      <c r="B209" s="14"/>
      <c r="C209" s="13"/>
      <c r="D209" s="13" t="s">
        <v>2115</v>
      </c>
      <c r="E209" s="13" t="s">
        <v>958</v>
      </c>
      <c r="F209" s="37">
        <v>269800</v>
      </c>
      <c r="G209" s="29" t="s">
        <v>7807</v>
      </c>
      <c r="H209" s="14">
        <v>43616</v>
      </c>
      <c r="I209" s="4" t="s">
        <v>8271</v>
      </c>
      <c r="J209" s="22"/>
      <c r="K209" s="21"/>
    </row>
    <row r="210" spans="1:11" s="228" customFormat="1" x14ac:dyDescent="0.25">
      <c r="A210" s="61" t="s">
        <v>310</v>
      </c>
      <c r="B210" s="14"/>
      <c r="C210" s="13"/>
      <c r="D210" s="13" t="s">
        <v>2115</v>
      </c>
      <c r="E210" s="13" t="s">
        <v>958</v>
      </c>
      <c r="F210" s="37">
        <v>198600</v>
      </c>
      <c r="G210" s="29" t="s">
        <v>7809</v>
      </c>
      <c r="H210" s="14">
        <v>43616</v>
      </c>
      <c r="I210" s="4" t="s">
        <v>9080</v>
      </c>
      <c r="J210" s="22"/>
      <c r="K210" s="21"/>
    </row>
    <row r="211" spans="1:11" s="228" customFormat="1" x14ac:dyDescent="0.25">
      <c r="A211" s="61" t="s">
        <v>442</v>
      </c>
      <c r="B211" s="14"/>
      <c r="C211" s="13"/>
      <c r="D211" s="13" t="s">
        <v>2115</v>
      </c>
      <c r="E211" s="13" t="s">
        <v>62</v>
      </c>
      <c r="F211" s="37">
        <v>96000</v>
      </c>
      <c r="G211" s="29" t="s">
        <v>7204</v>
      </c>
      <c r="H211" s="14">
        <v>43616</v>
      </c>
      <c r="I211" s="4" t="s">
        <v>8271</v>
      </c>
      <c r="J211" s="22"/>
      <c r="K211" s="21"/>
    </row>
    <row r="212" spans="1:11" s="228" customFormat="1" x14ac:dyDescent="0.25">
      <c r="A212" s="61" t="s">
        <v>358</v>
      </c>
      <c r="B212" s="14"/>
      <c r="C212" s="13"/>
      <c r="D212" s="13" t="s">
        <v>2115</v>
      </c>
      <c r="E212" s="13" t="s">
        <v>62</v>
      </c>
      <c r="F212" s="37">
        <v>33750</v>
      </c>
      <c r="G212" s="29" t="s">
        <v>3872</v>
      </c>
      <c r="H212" s="14">
        <v>43616</v>
      </c>
      <c r="I212" s="4" t="s">
        <v>164</v>
      </c>
      <c r="J212" s="22"/>
      <c r="K212" s="21"/>
    </row>
    <row r="213" spans="1:11" s="228" customFormat="1" x14ac:dyDescent="0.25">
      <c r="A213" s="61" t="s">
        <v>103</v>
      </c>
      <c r="B213" s="14"/>
      <c r="C213" s="13"/>
      <c r="D213" s="13" t="s">
        <v>2115</v>
      </c>
      <c r="E213" s="13" t="s">
        <v>62</v>
      </c>
      <c r="F213" s="37">
        <v>12150</v>
      </c>
      <c r="G213" s="29" t="s">
        <v>3977</v>
      </c>
      <c r="H213" s="14">
        <v>43616</v>
      </c>
      <c r="I213" s="4" t="s">
        <v>164</v>
      </c>
      <c r="J213" s="22"/>
      <c r="K213" s="21"/>
    </row>
    <row r="214" spans="1:11" s="228" customFormat="1" x14ac:dyDescent="0.25">
      <c r="A214" s="61" t="s">
        <v>103</v>
      </c>
      <c r="B214" s="14"/>
      <c r="C214" s="13"/>
      <c r="D214" s="13" t="s">
        <v>2115</v>
      </c>
      <c r="E214" s="13" t="s">
        <v>62</v>
      </c>
      <c r="F214" s="37">
        <v>17000</v>
      </c>
      <c r="G214" s="29" t="s">
        <v>3874</v>
      </c>
      <c r="H214" s="14">
        <v>43616</v>
      </c>
      <c r="I214" s="4" t="s">
        <v>8833</v>
      </c>
      <c r="J214" s="22"/>
      <c r="K214" s="21"/>
    </row>
    <row r="215" spans="1:11" s="228" customFormat="1" x14ac:dyDescent="0.25">
      <c r="A215" s="61" t="s">
        <v>637</v>
      </c>
      <c r="B215" s="14"/>
      <c r="C215" s="13"/>
      <c r="D215" s="13" t="s">
        <v>2115</v>
      </c>
      <c r="E215" s="13" t="s">
        <v>691</v>
      </c>
      <c r="F215" s="37">
        <v>198250</v>
      </c>
      <c r="G215" s="29" t="s">
        <v>7898</v>
      </c>
      <c r="H215" s="14">
        <v>43616</v>
      </c>
      <c r="I215" s="4" t="s">
        <v>164</v>
      </c>
      <c r="J215" s="22"/>
      <c r="K215" s="21"/>
    </row>
    <row r="216" spans="1:11" s="228" customFormat="1" x14ac:dyDescent="0.25">
      <c r="A216" s="61" t="s">
        <v>1350</v>
      </c>
      <c r="B216" s="14"/>
      <c r="C216" s="13"/>
      <c r="D216" s="13" t="s">
        <v>431</v>
      </c>
      <c r="E216" s="13" t="s">
        <v>691</v>
      </c>
      <c r="F216" s="37">
        <v>17000</v>
      </c>
      <c r="G216" s="29" t="s">
        <v>2910</v>
      </c>
      <c r="H216" s="14">
        <v>43619</v>
      </c>
      <c r="I216" s="4" t="s">
        <v>95</v>
      </c>
      <c r="J216" s="22"/>
      <c r="K216" s="21"/>
    </row>
    <row r="217" spans="1:11" s="228" customFormat="1" x14ac:dyDescent="0.25">
      <c r="A217" s="61" t="s">
        <v>1147</v>
      </c>
      <c r="B217" s="14"/>
      <c r="C217" s="13"/>
      <c r="D217" s="13" t="s">
        <v>431</v>
      </c>
      <c r="E217" s="13" t="s">
        <v>808</v>
      </c>
      <c r="F217" s="37">
        <v>17000</v>
      </c>
      <c r="G217" s="29" t="s">
        <v>1146</v>
      </c>
      <c r="H217" s="14">
        <v>43621</v>
      </c>
      <c r="I217" s="4" t="s">
        <v>95</v>
      </c>
      <c r="J217" s="22"/>
      <c r="K217" s="21"/>
    </row>
    <row r="218" spans="1:11" s="228" customFormat="1" x14ac:dyDescent="0.25">
      <c r="A218" s="61" t="s">
        <v>358</v>
      </c>
      <c r="B218" s="14"/>
      <c r="C218" s="13"/>
      <c r="D218" s="13" t="s">
        <v>431</v>
      </c>
      <c r="E218" s="13" t="s">
        <v>62</v>
      </c>
      <c r="F218" s="37">
        <v>13600</v>
      </c>
      <c r="G218" s="29" t="s">
        <v>177</v>
      </c>
      <c r="H218" s="14">
        <v>43626</v>
      </c>
      <c r="I218" s="4" t="s">
        <v>95</v>
      </c>
      <c r="J218" s="22"/>
      <c r="K218" s="21"/>
    </row>
    <row r="219" spans="1:11" s="228" customFormat="1" x14ac:dyDescent="0.25">
      <c r="A219" s="61" t="s">
        <v>1147</v>
      </c>
      <c r="B219" s="14"/>
      <c r="C219" s="13"/>
      <c r="D219" s="13" t="s">
        <v>431</v>
      </c>
      <c r="E219" s="13" t="s">
        <v>808</v>
      </c>
      <c r="F219" s="37">
        <v>19550</v>
      </c>
      <c r="G219" s="29" t="s">
        <v>42</v>
      </c>
      <c r="H219" s="14">
        <v>43635</v>
      </c>
      <c r="I219" s="4" t="s">
        <v>95</v>
      </c>
      <c r="J219" s="22"/>
      <c r="K219" s="21"/>
    </row>
    <row r="220" spans="1:11" s="228" customFormat="1" x14ac:dyDescent="0.25">
      <c r="A220" s="61" t="s">
        <v>103</v>
      </c>
      <c r="B220" s="14"/>
      <c r="C220" s="13"/>
      <c r="D220" s="13" t="s">
        <v>6788</v>
      </c>
      <c r="E220" s="13" t="s">
        <v>62</v>
      </c>
      <c r="F220" s="37">
        <v>58125</v>
      </c>
      <c r="G220" s="29" t="s">
        <v>7289</v>
      </c>
      <c r="H220" s="14">
        <v>43602</v>
      </c>
      <c r="I220" s="4" t="s">
        <v>354</v>
      </c>
      <c r="J220" s="22"/>
      <c r="K220" s="21"/>
    </row>
    <row r="221" spans="1:11" s="228" customFormat="1" x14ac:dyDescent="0.25">
      <c r="A221" s="61" t="s">
        <v>8591</v>
      </c>
      <c r="B221" s="14"/>
      <c r="C221" s="13"/>
      <c r="D221" s="13" t="s">
        <v>6788</v>
      </c>
      <c r="E221" s="13" t="s">
        <v>958</v>
      </c>
      <c r="F221" s="37">
        <v>28750</v>
      </c>
      <c r="G221" s="29" t="s">
        <v>8592</v>
      </c>
      <c r="H221" s="14">
        <v>43614</v>
      </c>
      <c r="I221" s="4" t="s">
        <v>354</v>
      </c>
      <c r="J221" s="22"/>
      <c r="K221" s="21"/>
    </row>
    <row r="222" spans="1:11" s="228" customFormat="1" x14ac:dyDescent="0.25">
      <c r="A222" s="61" t="s">
        <v>103</v>
      </c>
      <c r="B222" s="14"/>
      <c r="C222" s="13"/>
      <c r="D222" s="13" t="s">
        <v>6788</v>
      </c>
      <c r="E222" s="13" t="s">
        <v>62</v>
      </c>
      <c r="F222" s="37">
        <v>30000</v>
      </c>
      <c r="G222" s="29" t="s">
        <v>6365</v>
      </c>
      <c r="H222" s="14">
        <v>43614</v>
      </c>
      <c r="I222" s="4" t="s">
        <v>354</v>
      </c>
      <c r="J222" s="22"/>
      <c r="K222" s="21"/>
    </row>
    <row r="223" spans="1:11" s="228" customFormat="1" x14ac:dyDescent="0.25">
      <c r="A223" s="61" t="s">
        <v>103</v>
      </c>
      <c r="B223" s="14"/>
      <c r="C223" s="13"/>
      <c r="D223" s="13" t="s">
        <v>6788</v>
      </c>
      <c r="E223" s="13" t="s">
        <v>62</v>
      </c>
      <c r="F223" s="37">
        <v>27500</v>
      </c>
      <c r="G223" s="29" t="s">
        <v>8593</v>
      </c>
      <c r="H223" s="14">
        <v>43615</v>
      </c>
      <c r="I223" s="4" t="s">
        <v>354</v>
      </c>
      <c r="J223" s="22"/>
      <c r="K223" s="21"/>
    </row>
    <row r="224" spans="1:11" s="228" customFormat="1" x14ac:dyDescent="0.25">
      <c r="A224" s="61" t="s">
        <v>103</v>
      </c>
      <c r="B224" s="14"/>
      <c r="C224" s="13"/>
      <c r="D224" s="13" t="s">
        <v>6788</v>
      </c>
      <c r="E224" s="13" t="s">
        <v>62</v>
      </c>
      <c r="F224" s="37">
        <v>12500</v>
      </c>
      <c r="G224" s="29" t="s">
        <v>9374</v>
      </c>
      <c r="H224" s="14">
        <v>43616</v>
      </c>
      <c r="I224" s="4" t="s">
        <v>354</v>
      </c>
      <c r="J224" s="22"/>
      <c r="K224" s="21"/>
    </row>
    <row r="225" spans="1:11" s="228" customFormat="1" x14ac:dyDescent="0.25">
      <c r="A225" s="61" t="s">
        <v>495</v>
      </c>
      <c r="B225" s="14"/>
      <c r="C225" s="13"/>
      <c r="D225" s="13" t="s">
        <v>6788</v>
      </c>
      <c r="E225" s="13" t="s">
        <v>808</v>
      </c>
      <c r="F225" s="37">
        <v>12500</v>
      </c>
      <c r="G225" s="29" t="s">
        <v>7080</v>
      </c>
      <c r="H225" s="14">
        <v>43617</v>
      </c>
      <c r="I225" s="4" t="s">
        <v>354</v>
      </c>
      <c r="J225" s="22"/>
      <c r="K225" s="21"/>
    </row>
    <row r="226" spans="1:11" s="228" customFormat="1" x14ac:dyDescent="0.25">
      <c r="A226" s="61" t="s">
        <v>103</v>
      </c>
      <c r="B226" s="14"/>
      <c r="C226" s="13"/>
      <c r="D226" s="13" t="s">
        <v>6788</v>
      </c>
      <c r="E226" s="13" t="s">
        <v>62</v>
      </c>
      <c r="F226" s="37">
        <v>17600</v>
      </c>
      <c r="G226" s="29" t="s">
        <v>1896</v>
      </c>
      <c r="H226" s="14">
        <v>43621</v>
      </c>
      <c r="I226" s="4" t="s">
        <v>95</v>
      </c>
      <c r="J226" s="22"/>
      <c r="K226" s="21"/>
    </row>
    <row r="227" spans="1:11" s="228" customFormat="1" x14ac:dyDescent="0.25">
      <c r="A227" s="61" t="s">
        <v>103</v>
      </c>
      <c r="B227" s="14"/>
      <c r="C227" s="13"/>
      <c r="D227" s="13" t="s">
        <v>6788</v>
      </c>
      <c r="E227" s="13" t="s">
        <v>62</v>
      </c>
      <c r="F227" s="37">
        <v>16000</v>
      </c>
      <c r="G227" s="29" t="s">
        <v>9375</v>
      </c>
      <c r="H227" s="14">
        <v>43623</v>
      </c>
      <c r="I227" s="4" t="s">
        <v>95</v>
      </c>
      <c r="J227" s="22"/>
      <c r="K227" s="21"/>
    </row>
    <row r="228" spans="1:11" s="228" customFormat="1" x14ac:dyDescent="0.25">
      <c r="A228" s="61" t="s">
        <v>659</v>
      </c>
      <c r="B228" s="14"/>
      <c r="C228" s="13"/>
      <c r="D228" s="13" t="s">
        <v>6788</v>
      </c>
      <c r="E228" s="13" t="s">
        <v>808</v>
      </c>
      <c r="F228" s="37">
        <v>7000</v>
      </c>
      <c r="G228" s="29" t="s">
        <v>1569</v>
      </c>
      <c r="H228" s="14">
        <v>43630</v>
      </c>
      <c r="I228" s="4" t="s">
        <v>354</v>
      </c>
      <c r="J228" s="22"/>
      <c r="K228" s="21"/>
    </row>
    <row r="229" spans="1:11" s="228" customFormat="1" x14ac:dyDescent="0.25">
      <c r="A229" s="61" t="s">
        <v>103</v>
      </c>
      <c r="B229" s="14"/>
      <c r="C229" s="13"/>
      <c r="D229" s="13" t="s">
        <v>6788</v>
      </c>
      <c r="E229" s="13" t="s">
        <v>62</v>
      </c>
      <c r="F229" s="37">
        <v>7500</v>
      </c>
      <c r="G229" s="29" t="s">
        <v>9376</v>
      </c>
      <c r="H229" s="14">
        <v>43635</v>
      </c>
      <c r="I229" s="4" t="s">
        <v>354</v>
      </c>
      <c r="J229" s="22"/>
      <c r="K229" s="21"/>
    </row>
    <row r="230" spans="1:11" s="228" customFormat="1" x14ac:dyDescent="0.25">
      <c r="A230" s="61" t="s">
        <v>637</v>
      </c>
      <c r="B230" s="14"/>
      <c r="C230" s="13"/>
      <c r="D230" s="13" t="s">
        <v>149</v>
      </c>
      <c r="E230" s="13" t="s">
        <v>691</v>
      </c>
      <c r="F230" s="37">
        <v>500</v>
      </c>
      <c r="G230" s="29" t="s">
        <v>2150</v>
      </c>
      <c r="H230" s="14">
        <v>43545</v>
      </c>
      <c r="I230" s="4" t="s">
        <v>5899</v>
      </c>
      <c r="J230" s="22"/>
      <c r="K230" s="21"/>
    </row>
    <row r="231" spans="1:11" s="228" customFormat="1" x14ac:dyDescent="0.25">
      <c r="A231" s="61" t="s">
        <v>1455</v>
      </c>
      <c r="B231" s="14"/>
      <c r="C231" s="13"/>
      <c r="D231" s="13" t="s">
        <v>149</v>
      </c>
      <c r="E231" s="13" t="s">
        <v>691</v>
      </c>
      <c r="F231" s="37">
        <v>28000</v>
      </c>
      <c r="G231" s="29" t="s">
        <v>7051</v>
      </c>
      <c r="H231" s="14">
        <v>43555</v>
      </c>
      <c r="I231" s="4" t="s">
        <v>7046</v>
      </c>
      <c r="J231" s="22"/>
      <c r="K231" s="21"/>
    </row>
    <row r="232" spans="1:11" s="228" customFormat="1" x14ac:dyDescent="0.25">
      <c r="A232" s="61" t="s">
        <v>637</v>
      </c>
      <c r="B232" s="14"/>
      <c r="C232" s="13"/>
      <c r="D232" s="13" t="s">
        <v>149</v>
      </c>
      <c r="E232" s="13" t="s">
        <v>691</v>
      </c>
      <c r="F232" s="37">
        <v>1000</v>
      </c>
      <c r="G232" s="29" t="s">
        <v>2109</v>
      </c>
      <c r="H232" s="14">
        <v>43571</v>
      </c>
      <c r="I232" s="4" t="s">
        <v>7056</v>
      </c>
      <c r="J232" s="22"/>
      <c r="K232" s="21"/>
    </row>
    <row r="233" spans="1:11" s="228" customFormat="1" x14ac:dyDescent="0.25">
      <c r="A233" s="61" t="s">
        <v>91</v>
      </c>
      <c r="B233" s="14"/>
      <c r="C233" s="13"/>
      <c r="D233" s="13" t="s">
        <v>149</v>
      </c>
      <c r="E233" s="13" t="s">
        <v>62</v>
      </c>
      <c r="F233" s="37">
        <v>42500</v>
      </c>
      <c r="G233" s="29" t="s">
        <v>2817</v>
      </c>
      <c r="H233" s="14">
        <v>43571</v>
      </c>
      <c r="I233" s="4" t="s">
        <v>7056</v>
      </c>
      <c r="J233" s="22"/>
      <c r="K233" s="21"/>
    </row>
    <row r="234" spans="1:11" s="228" customFormat="1" x14ac:dyDescent="0.25">
      <c r="A234" s="61" t="s">
        <v>442</v>
      </c>
      <c r="B234" s="14"/>
      <c r="C234" s="13"/>
      <c r="D234" s="13" t="s">
        <v>149</v>
      </c>
      <c r="E234" s="13" t="s">
        <v>62</v>
      </c>
      <c r="F234" s="37">
        <v>16000</v>
      </c>
      <c r="G234" s="29" t="s">
        <v>7058</v>
      </c>
      <c r="H234" s="14">
        <v>43571</v>
      </c>
      <c r="I234" s="4" t="s">
        <v>7056</v>
      </c>
      <c r="J234" s="22"/>
      <c r="K234" s="21"/>
    </row>
    <row r="235" spans="1:11" s="228" customFormat="1" x14ac:dyDescent="0.25">
      <c r="A235" s="13" t="s">
        <v>358</v>
      </c>
      <c r="B235" s="14"/>
      <c r="C235" s="13"/>
      <c r="D235" s="13" t="s">
        <v>149</v>
      </c>
      <c r="E235" s="13" t="s">
        <v>62</v>
      </c>
      <c r="F235" s="4">
        <v>2500</v>
      </c>
      <c r="G235" s="28" t="s">
        <v>7059</v>
      </c>
      <c r="H235" s="14">
        <v>43571</v>
      </c>
      <c r="I235" s="4" t="s">
        <v>7056</v>
      </c>
      <c r="J235" s="22"/>
      <c r="K235" s="21"/>
    </row>
    <row r="236" spans="1:11" s="228" customFormat="1" x14ac:dyDescent="0.25">
      <c r="A236" s="61" t="s">
        <v>5258</v>
      </c>
      <c r="B236" s="14"/>
      <c r="C236" s="13"/>
      <c r="D236" s="13" t="s">
        <v>149</v>
      </c>
      <c r="E236" s="13" t="s">
        <v>808</v>
      </c>
      <c r="F236" s="37">
        <v>7500</v>
      </c>
      <c r="G236" s="29" t="s">
        <v>7060</v>
      </c>
      <c r="H236" s="14">
        <v>43571</v>
      </c>
      <c r="I236" s="4" t="s">
        <v>7056</v>
      </c>
      <c r="J236" s="22"/>
      <c r="K236" s="21"/>
    </row>
    <row r="237" spans="1:11" s="228" customFormat="1" x14ac:dyDescent="0.25">
      <c r="A237" s="61" t="s">
        <v>1316</v>
      </c>
      <c r="B237" s="14"/>
      <c r="C237" s="13"/>
      <c r="D237" s="13" t="s">
        <v>149</v>
      </c>
      <c r="E237" s="13" t="s">
        <v>808</v>
      </c>
      <c r="F237" s="37">
        <v>2500</v>
      </c>
      <c r="G237" s="29" t="s">
        <v>1758</v>
      </c>
      <c r="H237" s="14">
        <v>43571</v>
      </c>
      <c r="I237" s="4" t="s">
        <v>7056</v>
      </c>
      <c r="J237" s="22"/>
      <c r="K237" s="21"/>
    </row>
    <row r="238" spans="1:11" s="228" customFormat="1" x14ac:dyDescent="0.25">
      <c r="A238" s="61" t="s">
        <v>659</v>
      </c>
      <c r="B238" s="14"/>
      <c r="C238" s="13"/>
      <c r="D238" s="13" t="s">
        <v>149</v>
      </c>
      <c r="E238" s="13" t="s">
        <v>808</v>
      </c>
      <c r="F238" s="4">
        <v>9217</v>
      </c>
      <c r="G238" s="28" t="s">
        <v>8069</v>
      </c>
      <c r="H238" s="14">
        <v>43585</v>
      </c>
      <c r="I238" s="4" t="s">
        <v>8070</v>
      </c>
      <c r="J238" s="22"/>
      <c r="K238" s="21"/>
    </row>
    <row r="239" spans="1:11" s="228" customFormat="1" x14ac:dyDescent="0.25">
      <c r="A239" s="61" t="s">
        <v>2320</v>
      </c>
      <c r="B239" s="14"/>
      <c r="C239" s="13"/>
      <c r="D239" s="13" t="s">
        <v>149</v>
      </c>
      <c r="E239" s="13" t="s">
        <v>808</v>
      </c>
      <c r="F239" s="4">
        <v>14000</v>
      </c>
      <c r="G239" s="28" t="s">
        <v>8071</v>
      </c>
      <c r="H239" s="14">
        <v>43585</v>
      </c>
      <c r="I239" s="4" t="s">
        <v>8070</v>
      </c>
      <c r="J239" s="22"/>
      <c r="K239" s="21"/>
    </row>
    <row r="240" spans="1:11" s="228" customFormat="1" x14ac:dyDescent="0.25">
      <c r="A240" s="61" t="s">
        <v>1972</v>
      </c>
      <c r="B240" s="14"/>
      <c r="C240" s="13"/>
      <c r="D240" s="13" t="s">
        <v>149</v>
      </c>
      <c r="E240" s="13" t="s">
        <v>60</v>
      </c>
      <c r="F240" s="4">
        <v>7000</v>
      </c>
      <c r="G240" s="28" t="s">
        <v>8072</v>
      </c>
      <c r="H240" s="14">
        <v>43585</v>
      </c>
      <c r="I240" s="4" t="s">
        <v>8070</v>
      </c>
      <c r="J240" s="22"/>
      <c r="K240" s="21"/>
    </row>
    <row r="241" spans="1:11" s="228" customFormat="1" x14ac:dyDescent="0.25">
      <c r="A241" s="61" t="s">
        <v>349</v>
      </c>
      <c r="B241" s="14"/>
      <c r="C241" s="13"/>
      <c r="D241" s="13" t="s">
        <v>149</v>
      </c>
      <c r="E241" s="13" t="s">
        <v>62</v>
      </c>
      <c r="F241" s="37">
        <v>40500</v>
      </c>
      <c r="G241" s="29" t="s">
        <v>8073</v>
      </c>
      <c r="H241" s="14">
        <v>43585</v>
      </c>
      <c r="I241" s="4" t="s">
        <v>8070</v>
      </c>
      <c r="J241" s="22"/>
      <c r="K241" s="21"/>
    </row>
    <row r="242" spans="1:11" s="228" customFormat="1" x14ac:dyDescent="0.25">
      <c r="A242" s="61" t="s">
        <v>455</v>
      </c>
      <c r="B242" s="14"/>
      <c r="C242" s="13"/>
      <c r="D242" s="13" t="s">
        <v>149</v>
      </c>
      <c r="E242" s="13" t="s">
        <v>958</v>
      </c>
      <c r="F242" s="37">
        <v>7000</v>
      </c>
      <c r="G242" s="29" t="s">
        <v>2369</v>
      </c>
      <c r="H242" s="14">
        <v>43585</v>
      </c>
      <c r="I242" s="4" t="s">
        <v>8070</v>
      </c>
      <c r="J242" s="22"/>
      <c r="K242" s="21"/>
    </row>
    <row r="243" spans="1:11" s="228" customFormat="1" x14ac:dyDescent="0.25">
      <c r="A243" s="61" t="s">
        <v>310</v>
      </c>
      <c r="B243" s="14"/>
      <c r="C243" s="13"/>
      <c r="D243" s="13" t="s">
        <v>149</v>
      </c>
      <c r="E243" s="13" t="s">
        <v>958</v>
      </c>
      <c r="F243" s="37">
        <v>7000</v>
      </c>
      <c r="G243" s="29" t="s">
        <v>8074</v>
      </c>
      <c r="H243" s="14">
        <v>43585</v>
      </c>
      <c r="I243" s="4" t="s">
        <v>8070</v>
      </c>
      <c r="J243" s="22"/>
      <c r="K243" s="21"/>
    </row>
    <row r="244" spans="1:11" s="228" customFormat="1" x14ac:dyDescent="0.25">
      <c r="A244" s="61" t="s">
        <v>1455</v>
      </c>
      <c r="B244" s="14"/>
      <c r="C244" s="13"/>
      <c r="D244" s="13" t="s">
        <v>149</v>
      </c>
      <c r="E244" s="13" t="s">
        <v>691</v>
      </c>
      <c r="F244" s="37">
        <v>28000</v>
      </c>
      <c r="G244" s="29" t="s">
        <v>8076</v>
      </c>
      <c r="H244" s="14">
        <v>43585</v>
      </c>
      <c r="I244" s="4" t="s">
        <v>8070</v>
      </c>
      <c r="J244" s="22"/>
      <c r="K244" s="21"/>
    </row>
    <row r="245" spans="1:11" s="228" customFormat="1" x14ac:dyDescent="0.25">
      <c r="A245" s="61" t="s">
        <v>310</v>
      </c>
      <c r="B245" s="14"/>
      <c r="C245" s="13"/>
      <c r="D245" s="13" t="s">
        <v>149</v>
      </c>
      <c r="E245" s="13" t="s">
        <v>958</v>
      </c>
      <c r="F245" s="37">
        <v>8000</v>
      </c>
      <c r="G245" s="29" t="s">
        <v>8077</v>
      </c>
      <c r="H245" s="14">
        <v>43600</v>
      </c>
      <c r="I245" s="4" t="s">
        <v>8078</v>
      </c>
      <c r="J245" s="22"/>
      <c r="K245" s="21"/>
    </row>
    <row r="246" spans="1:11" s="228" customFormat="1" x14ac:dyDescent="0.25">
      <c r="A246" s="61" t="s">
        <v>455</v>
      </c>
      <c r="B246" s="14"/>
      <c r="C246" s="13"/>
      <c r="D246" s="13" t="s">
        <v>149</v>
      </c>
      <c r="E246" s="13" t="s">
        <v>958</v>
      </c>
      <c r="F246" s="4">
        <v>10500</v>
      </c>
      <c r="G246" s="28" t="s">
        <v>8079</v>
      </c>
      <c r="H246" s="14">
        <v>43600</v>
      </c>
      <c r="I246" s="4" t="s">
        <v>8078</v>
      </c>
      <c r="J246" s="22"/>
      <c r="K246" s="21"/>
    </row>
    <row r="247" spans="1:11" s="228" customFormat="1" x14ac:dyDescent="0.25">
      <c r="A247" s="13" t="s">
        <v>261</v>
      </c>
      <c r="B247" s="14"/>
      <c r="C247" s="13"/>
      <c r="D247" s="13" t="s">
        <v>149</v>
      </c>
      <c r="E247" s="13" t="s">
        <v>808</v>
      </c>
      <c r="F247" s="4">
        <v>9000</v>
      </c>
      <c r="G247" s="28" t="s">
        <v>8082</v>
      </c>
      <c r="H247" s="14">
        <v>43600</v>
      </c>
      <c r="I247" s="4" t="s">
        <v>8078</v>
      </c>
      <c r="J247" s="22"/>
      <c r="K247" s="21"/>
    </row>
    <row r="248" spans="1:11" s="228" customFormat="1" x14ac:dyDescent="0.25">
      <c r="A248" s="13" t="s">
        <v>261</v>
      </c>
      <c r="B248" s="14"/>
      <c r="C248" s="13"/>
      <c r="D248" s="13" t="s">
        <v>149</v>
      </c>
      <c r="E248" s="13" t="s">
        <v>808</v>
      </c>
      <c r="F248" s="4">
        <v>2100</v>
      </c>
      <c r="G248" s="28" t="s">
        <v>8083</v>
      </c>
      <c r="H248" s="14">
        <v>43600</v>
      </c>
      <c r="I248" s="4" t="s">
        <v>8084</v>
      </c>
      <c r="J248" s="22"/>
      <c r="K248" s="21"/>
    </row>
    <row r="249" spans="1:11" s="228" customFormat="1" x14ac:dyDescent="0.25">
      <c r="A249" s="13" t="s">
        <v>2320</v>
      </c>
      <c r="B249" s="14"/>
      <c r="C249" s="13"/>
      <c r="D249" s="13" t="s">
        <v>149</v>
      </c>
      <c r="E249" s="13" t="s">
        <v>808</v>
      </c>
      <c r="F249" s="4">
        <v>9000</v>
      </c>
      <c r="G249" s="28" t="s">
        <v>8085</v>
      </c>
      <c r="H249" s="14">
        <v>43600</v>
      </c>
      <c r="I249" s="4" t="s">
        <v>8078</v>
      </c>
      <c r="J249" s="22"/>
      <c r="K249" s="21"/>
    </row>
    <row r="250" spans="1:11" s="228" customFormat="1" x14ac:dyDescent="0.25">
      <c r="A250" s="61" t="s">
        <v>2320</v>
      </c>
      <c r="B250" s="14"/>
      <c r="C250" s="13"/>
      <c r="D250" s="13" t="s">
        <v>149</v>
      </c>
      <c r="E250" s="13" t="s">
        <v>808</v>
      </c>
      <c r="F250" s="37">
        <v>2800</v>
      </c>
      <c r="G250" s="29" t="s">
        <v>8086</v>
      </c>
      <c r="H250" s="14">
        <v>43585</v>
      </c>
      <c r="I250" s="4" t="s">
        <v>8084</v>
      </c>
      <c r="J250" s="22"/>
      <c r="K250" s="21"/>
    </row>
    <row r="251" spans="1:11" s="228" customFormat="1" x14ac:dyDescent="0.25">
      <c r="A251" s="61" t="s">
        <v>1316</v>
      </c>
      <c r="B251" s="14"/>
      <c r="C251" s="13"/>
      <c r="D251" s="13" t="s">
        <v>149</v>
      </c>
      <c r="E251" s="13" t="s">
        <v>808</v>
      </c>
      <c r="F251" s="37">
        <v>6000</v>
      </c>
      <c r="G251" s="29" t="s">
        <v>4728</v>
      </c>
      <c r="H251" s="14">
        <v>43600</v>
      </c>
      <c r="I251" s="4" t="s">
        <v>8078</v>
      </c>
      <c r="J251" s="22"/>
      <c r="K251" s="21"/>
    </row>
    <row r="252" spans="1:11" s="228" customFormat="1" x14ac:dyDescent="0.25">
      <c r="A252" s="61" t="s">
        <v>1316</v>
      </c>
      <c r="B252" s="14"/>
      <c r="C252" s="13"/>
      <c r="D252" s="13" t="s">
        <v>149</v>
      </c>
      <c r="E252" s="13" t="s">
        <v>808</v>
      </c>
      <c r="F252" s="37">
        <v>4900</v>
      </c>
      <c r="G252" s="29" t="s">
        <v>8087</v>
      </c>
      <c r="H252" s="14">
        <v>43600</v>
      </c>
      <c r="I252" s="4" t="s">
        <v>8084</v>
      </c>
      <c r="J252" s="22"/>
      <c r="K252" s="21"/>
    </row>
    <row r="253" spans="1:11" s="228" customFormat="1" x14ac:dyDescent="0.25">
      <c r="A253" s="61" t="s">
        <v>1350</v>
      </c>
      <c r="B253" s="14"/>
      <c r="C253" s="13"/>
      <c r="D253" s="13" t="s">
        <v>149</v>
      </c>
      <c r="E253" s="13" t="s">
        <v>691</v>
      </c>
      <c r="F253" s="37">
        <v>1000</v>
      </c>
      <c r="G253" s="29" t="s">
        <v>8088</v>
      </c>
      <c r="H253" s="14">
        <v>43600</v>
      </c>
      <c r="I253" s="4" t="s">
        <v>8078</v>
      </c>
      <c r="J253" s="22"/>
      <c r="K253" s="21"/>
    </row>
    <row r="254" spans="1:11" s="228" customFormat="1" x14ac:dyDescent="0.25">
      <c r="A254" s="61" t="s">
        <v>442</v>
      </c>
      <c r="B254" s="14"/>
      <c r="C254" s="13"/>
      <c r="D254" s="13" t="s">
        <v>149</v>
      </c>
      <c r="E254" s="13" t="s">
        <v>62</v>
      </c>
      <c r="F254" s="37">
        <v>20500</v>
      </c>
      <c r="G254" s="29" t="s">
        <v>8089</v>
      </c>
      <c r="H254" s="14">
        <v>43601</v>
      </c>
      <c r="I254" s="4" t="s">
        <v>8078</v>
      </c>
      <c r="J254" s="22"/>
      <c r="K254" s="21"/>
    </row>
    <row r="255" spans="1:11" s="228" customFormat="1" x14ac:dyDescent="0.25">
      <c r="A255" s="61" t="s">
        <v>358</v>
      </c>
      <c r="B255" s="14"/>
      <c r="C255" s="13"/>
      <c r="D255" s="13" t="s">
        <v>149</v>
      </c>
      <c r="E255" s="13" t="s">
        <v>62</v>
      </c>
      <c r="F255" s="37">
        <v>1500</v>
      </c>
      <c r="G255" s="29" t="s">
        <v>8090</v>
      </c>
      <c r="H255" s="14">
        <v>43601</v>
      </c>
      <c r="I255" s="4" t="s">
        <v>8078</v>
      </c>
      <c r="J255" s="22"/>
      <c r="K255" s="21"/>
    </row>
    <row r="256" spans="1:11" s="228" customFormat="1" x14ac:dyDescent="0.25">
      <c r="A256" s="61" t="s">
        <v>91</v>
      </c>
      <c r="B256" s="14"/>
      <c r="C256" s="13"/>
      <c r="D256" s="13" t="s">
        <v>149</v>
      </c>
      <c r="E256" s="13" t="s">
        <v>62</v>
      </c>
      <c r="F256" s="37">
        <v>40000</v>
      </c>
      <c r="G256" s="29" t="s">
        <v>8091</v>
      </c>
      <c r="H256" s="14">
        <v>43601</v>
      </c>
      <c r="I256" s="4" t="s">
        <v>8078</v>
      </c>
      <c r="J256" s="22"/>
      <c r="K256" s="21"/>
    </row>
    <row r="257" spans="1:11" s="228" customFormat="1" x14ac:dyDescent="0.25">
      <c r="A257" s="61" t="s">
        <v>91</v>
      </c>
      <c r="B257" s="14"/>
      <c r="C257" s="13"/>
      <c r="D257" s="13" t="s">
        <v>149</v>
      </c>
      <c r="E257" s="13" t="s">
        <v>62</v>
      </c>
      <c r="F257" s="37">
        <v>9100</v>
      </c>
      <c r="G257" s="29" t="s">
        <v>8092</v>
      </c>
      <c r="H257" s="14">
        <v>43601</v>
      </c>
      <c r="I257" s="4" t="s">
        <v>8084</v>
      </c>
      <c r="J257" s="22"/>
      <c r="K257" s="21"/>
    </row>
    <row r="258" spans="1:11" x14ac:dyDescent="0.25">
      <c r="A258" s="13"/>
      <c r="B258" s="14"/>
      <c r="C258" s="13"/>
      <c r="D258" s="13"/>
      <c r="E258" s="13"/>
      <c r="F258" s="37"/>
      <c r="G258" s="29"/>
      <c r="H258" s="14"/>
      <c r="I258" s="4"/>
    </row>
    <row r="259" spans="1:11" x14ac:dyDescent="0.25">
      <c r="A259" s="13"/>
      <c r="B259" s="14"/>
      <c r="C259" s="13"/>
      <c r="D259" s="13"/>
      <c r="E259" s="13"/>
      <c r="F259" s="37"/>
      <c r="G259" s="29"/>
      <c r="H259" s="14"/>
      <c r="I259" s="4"/>
    </row>
    <row r="260" spans="1:11" x14ac:dyDescent="0.25">
      <c r="A260" s="13"/>
      <c r="B260" s="14"/>
      <c r="C260" s="13"/>
      <c r="D260" s="13"/>
      <c r="E260" s="13"/>
      <c r="F260" s="37"/>
      <c r="G260" s="29"/>
      <c r="H260" s="14"/>
      <c r="I260" s="4"/>
    </row>
    <row r="261" spans="1:11" x14ac:dyDescent="0.25">
      <c r="A261" s="13"/>
      <c r="B261" s="14"/>
      <c r="C261" s="13"/>
      <c r="D261" s="13"/>
      <c r="E261" s="13"/>
      <c r="F261" s="37"/>
      <c r="G261" s="29"/>
      <c r="H261" s="14"/>
      <c r="I261" s="4"/>
    </row>
    <row r="262" spans="1:11" x14ac:dyDescent="0.25">
      <c r="A262" s="13"/>
      <c r="B262" s="14"/>
      <c r="C262" s="13"/>
      <c r="D262" s="13"/>
      <c r="E262" s="13"/>
      <c r="F262" s="37"/>
      <c r="G262" s="29"/>
      <c r="H262" s="14"/>
      <c r="I262" s="4"/>
    </row>
    <row r="263" spans="1:11" x14ac:dyDescent="0.25">
      <c r="A263" s="13"/>
      <c r="B263" s="14"/>
      <c r="C263" s="13"/>
      <c r="D263" s="13"/>
      <c r="E263" s="13"/>
      <c r="F263" s="37"/>
      <c r="G263" s="29"/>
      <c r="H263" s="14"/>
      <c r="I263" s="4"/>
    </row>
  </sheetData>
  <autoFilter ref="A2:I257"/>
  <sortState ref="A4:I184">
    <sortCondition ref="D4:D184"/>
  </sortState>
  <phoneticPr fontId="8" type="noConversion"/>
  <pageMargins left="0.19685039370078741" right="0.19685039370078741" top="0.19685039370078741" bottom="0.19685039370078741" header="0.51181102362204722" footer="0.51181102362204722"/>
  <pageSetup paperSize="9" scale="89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 filterMode="1">
    <tabColor rgb="FFCCFFFF"/>
    <pageSetUpPr fitToPage="1"/>
  </sheetPr>
  <dimension ref="A1:S686"/>
  <sheetViews>
    <sheetView zoomScaleNormal="100" workbookViewId="0">
      <pane ySplit="2" topLeftCell="A3" activePane="bottomLeft" state="frozen"/>
      <selection activeCell="F116" sqref="F116"/>
      <selection pane="bottomLeft" activeCell="E409" sqref="E409"/>
    </sheetView>
  </sheetViews>
  <sheetFormatPr defaultColWidth="9.44140625" defaultRowHeight="13.8" x14ac:dyDescent="0.25"/>
  <cols>
    <col min="1" max="1" width="14.5546875" style="2" customWidth="1"/>
    <col min="2" max="2" width="12" style="33" customWidth="1"/>
    <col min="3" max="3" width="9.109375" style="54" customWidth="1"/>
    <col min="4" max="4" width="21.88671875" style="2" customWidth="1"/>
    <col min="5" max="5" width="13" style="2" customWidth="1"/>
    <col min="6" max="6" width="17.5546875" style="62" customWidth="1"/>
    <col min="7" max="7" width="13.5546875" style="26" customWidth="1"/>
    <col min="8" max="8" width="11.5546875" style="33" customWidth="1"/>
    <col min="9" max="9" width="32.88671875" style="99" customWidth="1"/>
    <col min="10" max="10" width="25.44140625" style="130" customWidth="1"/>
    <col min="11" max="11" width="14" style="16" customWidth="1"/>
    <col min="12" max="12" width="13.5546875" style="92" customWidth="1"/>
    <col min="13" max="13" width="13.5546875" style="93" customWidth="1"/>
    <col min="14" max="16384" width="9.44140625" style="93"/>
  </cols>
  <sheetData>
    <row r="1" spans="1:19" s="91" customFormat="1" ht="28.5" customHeight="1" thickTop="1" thickBot="1" x14ac:dyDescent="0.3">
      <c r="A1" s="100"/>
      <c r="B1" s="103"/>
      <c r="C1" s="54"/>
      <c r="D1" s="162" t="s">
        <v>8690</v>
      </c>
      <c r="E1" s="48" t="s">
        <v>211</v>
      </c>
      <c r="F1" s="109">
        <f>F3+F30+F189</f>
        <v>145268276.57999998</v>
      </c>
      <c r="G1" s="31"/>
      <c r="H1" s="30"/>
      <c r="J1" s="130"/>
      <c r="K1" s="45"/>
      <c r="L1" s="94"/>
    </row>
    <row r="2" spans="1:19" s="96" customFormat="1" ht="36" customHeight="1" thickTop="1" x14ac:dyDescent="0.25">
      <c r="A2" s="6" t="s">
        <v>192</v>
      </c>
      <c r="B2" s="43" t="s">
        <v>37</v>
      </c>
      <c r="C2" s="42" t="s">
        <v>51</v>
      </c>
      <c r="D2" s="6" t="s">
        <v>109</v>
      </c>
      <c r="E2" s="6" t="s">
        <v>121</v>
      </c>
      <c r="F2" s="46" t="s">
        <v>56</v>
      </c>
      <c r="G2" s="27" t="s">
        <v>58</v>
      </c>
      <c r="H2" s="43" t="s">
        <v>57</v>
      </c>
      <c r="I2" s="7" t="s">
        <v>10</v>
      </c>
      <c r="J2" s="131"/>
      <c r="K2" s="18"/>
      <c r="L2" s="95"/>
    </row>
    <row r="3" spans="1:19" ht="18.600000000000001" hidden="1" customHeight="1" x14ac:dyDescent="0.25">
      <c r="A3" s="11" t="s">
        <v>1074</v>
      </c>
      <c r="B3" s="66"/>
      <c r="C3" s="236"/>
      <c r="D3" s="9"/>
      <c r="E3" s="9"/>
      <c r="F3" s="239">
        <f>SUM(F4:F29)</f>
        <v>4582739.7</v>
      </c>
      <c r="G3" s="24"/>
      <c r="H3" s="56"/>
      <c r="I3" s="10"/>
      <c r="J3" s="132"/>
    </row>
    <row r="4" spans="1:19" s="97" customFormat="1" ht="6.6" hidden="1" customHeight="1" x14ac:dyDescent="0.25">
      <c r="A4" s="77">
        <v>0</v>
      </c>
      <c r="B4" s="14"/>
      <c r="C4" s="13"/>
      <c r="D4" s="13"/>
      <c r="E4" s="13"/>
      <c r="F4" s="4"/>
      <c r="G4" s="29"/>
      <c r="H4" s="14"/>
      <c r="I4" s="4"/>
      <c r="J4" s="133"/>
      <c r="K4" s="22"/>
      <c r="L4" s="134"/>
    </row>
    <row r="5" spans="1:19" s="96" customFormat="1" hidden="1" x14ac:dyDescent="0.25">
      <c r="A5" s="13" t="s">
        <v>160</v>
      </c>
      <c r="B5" s="14" t="s">
        <v>6609</v>
      </c>
      <c r="C5" s="13"/>
      <c r="D5" s="13" t="s">
        <v>590</v>
      </c>
      <c r="E5" s="13" t="s">
        <v>808</v>
      </c>
      <c r="F5" s="262"/>
      <c r="G5" s="29" t="s">
        <v>1198</v>
      </c>
      <c r="H5" s="14">
        <v>42996</v>
      </c>
      <c r="I5" s="4" t="s">
        <v>159</v>
      </c>
      <c r="J5" s="97"/>
      <c r="K5" s="97"/>
      <c r="L5" s="97"/>
    </row>
    <row r="6" spans="1:19" s="97" customFormat="1" hidden="1" x14ac:dyDescent="0.25">
      <c r="A6" s="13" t="s">
        <v>160</v>
      </c>
      <c r="B6" s="14" t="s">
        <v>6609</v>
      </c>
      <c r="C6" s="13"/>
      <c r="D6" s="13" t="s">
        <v>590</v>
      </c>
      <c r="E6" s="13" t="s">
        <v>62</v>
      </c>
      <c r="F6" s="4"/>
      <c r="G6" s="29" t="s">
        <v>1197</v>
      </c>
      <c r="H6" s="14">
        <v>41572</v>
      </c>
      <c r="I6" s="4" t="s">
        <v>159</v>
      </c>
      <c r="J6" s="133"/>
      <c r="K6" s="22"/>
      <c r="L6" s="134"/>
    </row>
    <row r="7" spans="1:19" s="97" customFormat="1" hidden="1" x14ac:dyDescent="0.25">
      <c r="A7" s="13" t="s">
        <v>1255</v>
      </c>
      <c r="B7" s="14" t="s">
        <v>6609</v>
      </c>
      <c r="C7" s="13"/>
      <c r="D7" s="13" t="s">
        <v>590</v>
      </c>
      <c r="E7" s="13" t="s">
        <v>691</v>
      </c>
      <c r="F7" s="4"/>
      <c r="G7" s="29" t="s">
        <v>1323</v>
      </c>
      <c r="H7" s="14">
        <v>42746</v>
      </c>
      <c r="I7" s="4" t="s">
        <v>159</v>
      </c>
      <c r="J7" s="133"/>
      <c r="K7" s="22"/>
      <c r="L7" s="134"/>
    </row>
    <row r="8" spans="1:19" s="97" customFormat="1" ht="27.6" hidden="1" x14ac:dyDescent="0.25">
      <c r="A8" s="14" t="s">
        <v>91</v>
      </c>
      <c r="B8" s="14"/>
      <c r="C8" s="13"/>
      <c r="D8" s="13" t="s">
        <v>2697</v>
      </c>
      <c r="E8" s="13" t="s">
        <v>62</v>
      </c>
      <c r="F8" s="4"/>
      <c r="G8" s="29"/>
      <c r="H8" s="14"/>
      <c r="I8" s="4" t="s">
        <v>1244</v>
      </c>
      <c r="J8" s="133"/>
      <c r="K8" s="22"/>
      <c r="L8" s="134"/>
    </row>
    <row r="9" spans="1:19" s="97" customFormat="1" ht="27.6" hidden="1" x14ac:dyDescent="0.25">
      <c r="A9" s="61" t="s">
        <v>311</v>
      </c>
      <c r="B9" s="14"/>
      <c r="C9" s="13"/>
      <c r="D9" s="13" t="s">
        <v>2697</v>
      </c>
      <c r="E9" s="13" t="s">
        <v>958</v>
      </c>
      <c r="F9" s="4">
        <v>125777.73</v>
      </c>
      <c r="G9" s="29" t="s">
        <v>6467</v>
      </c>
      <c r="H9" s="14">
        <v>43556</v>
      </c>
      <c r="I9" s="4" t="s">
        <v>6468</v>
      </c>
      <c r="J9" s="133"/>
      <c r="K9" s="22"/>
      <c r="L9" s="134"/>
    </row>
    <row r="10" spans="1:19" s="97" customFormat="1" ht="27.6" hidden="1" x14ac:dyDescent="0.25">
      <c r="A10" s="61" t="s">
        <v>311</v>
      </c>
      <c r="B10" s="14"/>
      <c r="C10" s="13"/>
      <c r="D10" s="13" t="s">
        <v>2697</v>
      </c>
      <c r="E10" s="13" t="s">
        <v>958</v>
      </c>
      <c r="F10" s="4">
        <v>495384</v>
      </c>
      <c r="G10" s="28" t="s">
        <v>7077</v>
      </c>
      <c r="H10" s="14">
        <v>43556</v>
      </c>
      <c r="I10" s="4" t="s">
        <v>1826</v>
      </c>
      <c r="J10" s="133"/>
      <c r="K10" s="22"/>
      <c r="L10" s="134"/>
    </row>
    <row r="11" spans="1:19" s="97" customFormat="1" ht="27.6" hidden="1" x14ac:dyDescent="0.25">
      <c r="A11" s="61" t="s">
        <v>311</v>
      </c>
      <c r="B11" s="14"/>
      <c r="C11" s="13"/>
      <c r="D11" s="13" t="s">
        <v>2697</v>
      </c>
      <c r="E11" s="13" t="s">
        <v>958</v>
      </c>
      <c r="F11" s="4">
        <v>534971.04</v>
      </c>
      <c r="G11" s="28" t="s">
        <v>7443</v>
      </c>
      <c r="H11" s="14">
        <v>43556</v>
      </c>
      <c r="I11" s="4" t="s">
        <v>6468</v>
      </c>
      <c r="J11" s="133"/>
      <c r="K11" s="22"/>
      <c r="L11" s="134"/>
    </row>
    <row r="12" spans="1:19" s="97" customFormat="1" ht="27.6" hidden="1" x14ac:dyDescent="0.25">
      <c r="A12" s="61" t="s">
        <v>442</v>
      </c>
      <c r="B12" s="14"/>
      <c r="C12" s="13"/>
      <c r="D12" s="13" t="s">
        <v>2697</v>
      </c>
      <c r="E12" s="13" t="s">
        <v>62</v>
      </c>
      <c r="F12" s="4">
        <v>485184</v>
      </c>
      <c r="G12" s="28" t="s">
        <v>6803</v>
      </c>
      <c r="H12" s="14">
        <v>43556</v>
      </c>
      <c r="I12" s="4" t="s">
        <v>1826</v>
      </c>
      <c r="J12" s="133"/>
      <c r="K12" s="22"/>
      <c r="L12" s="134"/>
    </row>
    <row r="13" spans="1:19" s="62" customFormat="1" ht="27.6" hidden="1" x14ac:dyDescent="0.25">
      <c r="A13" s="32" t="s">
        <v>455</v>
      </c>
      <c r="B13" s="14"/>
      <c r="C13" s="13"/>
      <c r="D13" s="13" t="s">
        <v>2697</v>
      </c>
      <c r="E13" s="13" t="s">
        <v>958</v>
      </c>
      <c r="F13" s="4"/>
      <c r="G13" s="70" t="s">
        <v>5422</v>
      </c>
      <c r="H13" s="14"/>
      <c r="I13" s="4" t="s">
        <v>1244</v>
      </c>
      <c r="J13" s="133"/>
      <c r="K13" s="22"/>
      <c r="L13" s="71"/>
      <c r="M13" s="170"/>
      <c r="N13" s="71"/>
      <c r="O13" s="71"/>
      <c r="P13" s="35"/>
      <c r="Q13" s="35"/>
      <c r="R13" s="35"/>
      <c r="S13" s="35"/>
    </row>
    <row r="14" spans="1:19" s="97" customFormat="1" hidden="1" x14ac:dyDescent="0.25">
      <c r="A14" s="61" t="s">
        <v>91</v>
      </c>
      <c r="B14" s="14"/>
      <c r="C14" s="13"/>
      <c r="D14" s="13" t="s">
        <v>157</v>
      </c>
      <c r="E14" s="13" t="s">
        <v>62</v>
      </c>
      <c r="F14" s="37">
        <v>78131.61</v>
      </c>
      <c r="G14" s="29" t="s">
        <v>8839</v>
      </c>
      <c r="H14" s="14">
        <v>43623</v>
      </c>
      <c r="I14" s="4" t="s">
        <v>305</v>
      </c>
      <c r="J14" s="133"/>
      <c r="K14" s="22"/>
      <c r="L14" s="134"/>
    </row>
    <row r="15" spans="1:19" s="97" customFormat="1" hidden="1" x14ac:dyDescent="0.25">
      <c r="A15" s="61" t="s">
        <v>311</v>
      </c>
      <c r="B15" s="14"/>
      <c r="C15" s="13"/>
      <c r="D15" s="13" t="s">
        <v>157</v>
      </c>
      <c r="E15" s="13" t="s">
        <v>958</v>
      </c>
      <c r="F15" s="4">
        <v>63359.519999999997</v>
      </c>
      <c r="G15" s="28" t="s">
        <v>9084</v>
      </c>
      <c r="H15" s="14">
        <v>43627</v>
      </c>
      <c r="I15" s="4" t="s">
        <v>305</v>
      </c>
      <c r="J15" s="133"/>
      <c r="K15" s="22"/>
      <c r="L15" s="134"/>
    </row>
    <row r="16" spans="1:19" s="97" customFormat="1" hidden="1" x14ac:dyDescent="0.25">
      <c r="A16" s="61" t="s">
        <v>310</v>
      </c>
      <c r="B16" s="14"/>
      <c r="C16" s="13"/>
      <c r="D16" s="13" t="s">
        <v>157</v>
      </c>
      <c r="E16" s="13" t="s">
        <v>958</v>
      </c>
      <c r="F16" s="4">
        <v>35223</v>
      </c>
      <c r="G16" s="28" t="s">
        <v>9085</v>
      </c>
      <c r="H16" s="14">
        <v>43629</v>
      </c>
      <c r="I16" s="4" t="s">
        <v>305</v>
      </c>
      <c r="J16" s="133"/>
      <c r="K16" s="22"/>
      <c r="L16" s="134"/>
    </row>
    <row r="17" spans="1:12" s="97" customFormat="1" hidden="1" x14ac:dyDescent="0.25">
      <c r="A17" s="61" t="s">
        <v>310</v>
      </c>
      <c r="B17" s="14"/>
      <c r="C17" s="13"/>
      <c r="D17" s="13" t="s">
        <v>157</v>
      </c>
      <c r="E17" s="13" t="s">
        <v>958</v>
      </c>
      <c r="F17" s="4">
        <v>390720</v>
      </c>
      <c r="G17" s="28" t="s">
        <v>9086</v>
      </c>
      <c r="H17" s="14">
        <v>43634</v>
      </c>
      <c r="I17" s="4" t="s">
        <v>305</v>
      </c>
      <c r="J17" s="133"/>
      <c r="K17" s="22"/>
      <c r="L17" s="134"/>
    </row>
    <row r="18" spans="1:12" s="97" customFormat="1" hidden="1" x14ac:dyDescent="0.25">
      <c r="A18" s="61" t="s">
        <v>311</v>
      </c>
      <c r="B18" s="14"/>
      <c r="C18" s="13"/>
      <c r="D18" s="13" t="s">
        <v>157</v>
      </c>
      <c r="E18" s="13" t="s">
        <v>958</v>
      </c>
      <c r="F18" s="4">
        <v>57926.400000000001</v>
      </c>
      <c r="G18" s="28" t="s">
        <v>9087</v>
      </c>
      <c r="H18" s="14">
        <v>43634</v>
      </c>
      <c r="I18" s="4" t="s">
        <v>305</v>
      </c>
      <c r="J18" s="133"/>
      <c r="K18" s="22"/>
      <c r="L18" s="134"/>
    </row>
    <row r="19" spans="1:12" s="97" customFormat="1" hidden="1" x14ac:dyDescent="0.25">
      <c r="A19" s="61" t="s">
        <v>442</v>
      </c>
      <c r="B19" s="14"/>
      <c r="C19" s="13"/>
      <c r="D19" s="13" t="s">
        <v>304</v>
      </c>
      <c r="E19" s="13" t="s">
        <v>62</v>
      </c>
      <c r="F19" s="37">
        <v>591360</v>
      </c>
      <c r="G19" s="29" t="s">
        <v>8611</v>
      </c>
      <c r="H19" s="14">
        <v>43609</v>
      </c>
      <c r="I19" s="4" t="s">
        <v>1244</v>
      </c>
      <c r="J19" s="133" t="s">
        <v>8648</v>
      </c>
      <c r="K19" s="22"/>
      <c r="L19" s="134"/>
    </row>
    <row r="20" spans="1:12" s="97" customFormat="1" hidden="1" x14ac:dyDescent="0.25">
      <c r="A20" s="61" t="s">
        <v>442</v>
      </c>
      <c r="B20" s="14"/>
      <c r="C20" s="13"/>
      <c r="D20" s="13" t="s">
        <v>304</v>
      </c>
      <c r="E20" s="13" t="s">
        <v>62</v>
      </c>
      <c r="F20" s="37">
        <v>627648</v>
      </c>
      <c r="G20" s="29" t="s">
        <v>8612</v>
      </c>
      <c r="H20" s="14">
        <v>43621</v>
      </c>
      <c r="I20" s="4" t="s">
        <v>1244</v>
      </c>
      <c r="J20" s="133" t="s">
        <v>8648</v>
      </c>
      <c r="K20" s="22"/>
      <c r="L20" s="134"/>
    </row>
    <row r="21" spans="1:12" s="97" customFormat="1" hidden="1" x14ac:dyDescent="0.25">
      <c r="A21" s="61" t="s">
        <v>1316</v>
      </c>
      <c r="B21" s="14"/>
      <c r="C21" s="13"/>
      <c r="D21" s="13" t="s">
        <v>304</v>
      </c>
      <c r="E21" s="13" t="s">
        <v>808</v>
      </c>
      <c r="F21" s="37">
        <v>343836</v>
      </c>
      <c r="G21" s="29" t="s">
        <v>8613</v>
      </c>
      <c r="H21" s="14">
        <v>43622</v>
      </c>
      <c r="I21" s="4" t="s">
        <v>1825</v>
      </c>
      <c r="J21" s="133" t="s">
        <v>8648</v>
      </c>
      <c r="K21" s="22"/>
      <c r="L21" s="134"/>
    </row>
    <row r="22" spans="1:12" s="97" customFormat="1" hidden="1" x14ac:dyDescent="0.25">
      <c r="A22" s="61" t="s">
        <v>1316</v>
      </c>
      <c r="B22" s="14"/>
      <c r="C22" s="13"/>
      <c r="D22" s="13" t="s">
        <v>304</v>
      </c>
      <c r="E22" s="13" t="s">
        <v>808</v>
      </c>
      <c r="F22" s="37">
        <v>753218.4</v>
      </c>
      <c r="G22" s="29" t="s">
        <v>9383</v>
      </c>
      <c r="H22" s="14">
        <v>43629</v>
      </c>
      <c r="I22" s="4" t="s">
        <v>9384</v>
      </c>
      <c r="J22" s="133"/>
      <c r="K22" s="22"/>
      <c r="L22" s="134"/>
    </row>
    <row r="23" spans="1:12" s="466" customFormat="1" hidden="1" x14ac:dyDescent="0.25">
      <c r="A23" s="68" t="s">
        <v>442</v>
      </c>
      <c r="B23" s="14"/>
      <c r="C23" s="13"/>
      <c r="D23" s="32" t="s">
        <v>1206</v>
      </c>
      <c r="E23" s="13" t="s">
        <v>62</v>
      </c>
      <c r="F23" s="4"/>
      <c r="G23" s="29" t="s">
        <v>1358</v>
      </c>
      <c r="H23" s="14">
        <v>43118</v>
      </c>
      <c r="I23" s="41" t="s">
        <v>1238</v>
      </c>
      <c r="J23" s="464"/>
      <c r="K23" s="144"/>
      <c r="L23" s="465"/>
    </row>
    <row r="24" spans="1:12" s="97" customFormat="1" hidden="1" x14ac:dyDescent="0.25">
      <c r="A24" s="68" t="s">
        <v>160</v>
      </c>
      <c r="B24" s="14"/>
      <c r="C24" s="13"/>
      <c r="D24" s="13" t="s">
        <v>982</v>
      </c>
      <c r="E24" s="13" t="s">
        <v>958</v>
      </c>
      <c r="F24" s="4"/>
      <c r="G24" s="29" t="s">
        <v>5230</v>
      </c>
      <c r="H24" s="14">
        <v>42601</v>
      </c>
      <c r="I24" s="4" t="s">
        <v>1093</v>
      </c>
      <c r="J24" s="133"/>
      <c r="K24" s="22"/>
      <c r="L24" s="134"/>
    </row>
    <row r="25" spans="1:12" s="97" customFormat="1" hidden="1" x14ac:dyDescent="0.25">
      <c r="A25" s="68" t="s">
        <v>160</v>
      </c>
      <c r="B25" s="14"/>
      <c r="C25" s="13"/>
      <c r="D25" s="13" t="s">
        <v>982</v>
      </c>
      <c r="E25" s="13" t="s">
        <v>62</v>
      </c>
      <c r="F25" s="4"/>
      <c r="G25" s="29" t="s">
        <v>1296</v>
      </c>
      <c r="H25" s="14">
        <v>41319</v>
      </c>
      <c r="I25" s="4" t="s">
        <v>1093</v>
      </c>
      <c r="J25" s="133"/>
      <c r="K25" s="22"/>
      <c r="L25" s="134"/>
    </row>
    <row r="26" spans="1:12" s="97" customFormat="1" hidden="1" x14ac:dyDescent="0.25">
      <c r="A26" s="68" t="s">
        <v>160</v>
      </c>
      <c r="B26" s="14"/>
      <c r="C26" s="13"/>
      <c r="D26" s="13" t="s">
        <v>982</v>
      </c>
      <c r="E26" s="13" t="s">
        <v>808</v>
      </c>
      <c r="F26" s="4"/>
      <c r="G26" s="29" t="s">
        <v>1094</v>
      </c>
      <c r="H26" s="14">
        <v>42992</v>
      </c>
      <c r="I26" s="4" t="s">
        <v>1093</v>
      </c>
      <c r="J26" s="133"/>
      <c r="K26" s="22"/>
      <c r="L26" s="134"/>
    </row>
    <row r="27" spans="1:12" s="97" customFormat="1" hidden="1" x14ac:dyDescent="0.25">
      <c r="A27" s="14" t="s">
        <v>1807</v>
      </c>
      <c r="B27" s="14"/>
      <c r="C27" s="13"/>
      <c r="D27" s="218" t="s">
        <v>982</v>
      </c>
      <c r="E27" s="218" t="s">
        <v>691</v>
      </c>
      <c r="F27" s="4"/>
      <c r="G27" s="29" t="s">
        <v>1450</v>
      </c>
      <c r="H27" s="14">
        <v>42753</v>
      </c>
      <c r="I27" s="32" t="s">
        <v>216</v>
      </c>
      <c r="J27" s="133"/>
      <c r="K27" s="22"/>
      <c r="L27" s="134"/>
    </row>
    <row r="28" spans="1:12" s="466" customFormat="1" hidden="1" x14ac:dyDescent="0.25">
      <c r="A28" s="13" t="s">
        <v>956</v>
      </c>
      <c r="B28" s="14"/>
      <c r="C28" s="13"/>
      <c r="D28" s="13" t="s">
        <v>1228</v>
      </c>
      <c r="E28" s="13" t="s">
        <v>481</v>
      </c>
      <c r="F28" s="4"/>
      <c r="G28" s="29" t="s">
        <v>1229</v>
      </c>
      <c r="H28" s="14">
        <v>43034</v>
      </c>
      <c r="I28" s="4" t="s">
        <v>965</v>
      </c>
      <c r="J28" s="464"/>
      <c r="K28" s="144"/>
      <c r="L28" s="465"/>
    </row>
    <row r="29" spans="1:12" s="97" customFormat="1" ht="9.6" hidden="1" customHeight="1" x14ac:dyDescent="0.25">
      <c r="A29" s="32">
        <v>0</v>
      </c>
      <c r="B29" s="14"/>
      <c r="C29" s="13"/>
      <c r="D29" s="32"/>
      <c r="E29" s="32"/>
      <c r="F29" s="4"/>
      <c r="G29" s="28"/>
      <c r="H29" s="14"/>
      <c r="I29" s="32"/>
      <c r="J29" s="133"/>
      <c r="K29" s="22"/>
      <c r="L29" s="134"/>
    </row>
    <row r="30" spans="1:12" s="97" customFormat="1" ht="15.6" hidden="1" x14ac:dyDescent="0.25">
      <c r="A30" s="11" t="s">
        <v>137</v>
      </c>
      <c r="B30" s="52"/>
      <c r="C30" s="237"/>
      <c r="D30" s="9"/>
      <c r="E30" s="9"/>
      <c r="F30" s="44">
        <f>SUM(F31:F188)</f>
        <v>116315221.31999998</v>
      </c>
      <c r="G30" s="24"/>
      <c r="H30" s="56"/>
      <c r="I30" s="10"/>
      <c r="J30" s="133"/>
      <c r="K30" s="22"/>
      <c r="L30" s="134"/>
    </row>
    <row r="31" spans="1:12" s="97" customFormat="1" ht="5.4" hidden="1" customHeight="1" x14ac:dyDescent="0.25">
      <c r="A31" s="13">
        <v>0</v>
      </c>
      <c r="B31" s="14"/>
      <c r="C31" s="13"/>
      <c r="D31" s="13"/>
      <c r="E31" s="13"/>
      <c r="F31" s="4"/>
      <c r="G31" s="29"/>
      <c r="H31" s="14"/>
      <c r="I31" s="4"/>
      <c r="J31" s="133"/>
      <c r="K31" s="22"/>
      <c r="L31" s="134"/>
    </row>
    <row r="32" spans="1:12" s="97" customFormat="1" hidden="1" x14ac:dyDescent="0.25">
      <c r="A32" s="356" t="s">
        <v>455</v>
      </c>
      <c r="B32" s="102"/>
      <c r="C32" s="328"/>
      <c r="D32" s="328" t="s">
        <v>740</v>
      </c>
      <c r="E32" s="328" t="s">
        <v>958</v>
      </c>
      <c r="F32" s="327">
        <v>-675000</v>
      </c>
      <c r="G32" s="462"/>
      <c r="H32" s="102"/>
      <c r="I32" s="327"/>
      <c r="J32" s="133"/>
      <c r="K32" s="22"/>
      <c r="L32" s="134"/>
    </row>
    <row r="33" spans="1:12" s="97" customFormat="1" hidden="1" x14ac:dyDescent="0.25">
      <c r="A33" s="61" t="s">
        <v>1350</v>
      </c>
      <c r="B33" s="14"/>
      <c r="C33" s="13"/>
      <c r="D33" s="13" t="s">
        <v>740</v>
      </c>
      <c r="E33" s="13" t="s">
        <v>691</v>
      </c>
      <c r="F33" s="4">
        <f>1370010-630000</f>
        <v>740010</v>
      </c>
      <c r="G33" s="28" t="s">
        <v>7446</v>
      </c>
      <c r="H33" s="14">
        <v>43563</v>
      </c>
      <c r="I33" s="4" t="s">
        <v>1876</v>
      </c>
      <c r="J33" s="133"/>
      <c r="K33" s="22"/>
      <c r="L33" s="134"/>
    </row>
    <row r="34" spans="1:12" s="97" customFormat="1" hidden="1" x14ac:dyDescent="0.25">
      <c r="A34" s="61" t="s">
        <v>358</v>
      </c>
      <c r="B34" s="14"/>
      <c r="C34" s="13"/>
      <c r="D34" s="13" t="s">
        <v>740</v>
      </c>
      <c r="E34" s="13" t="s">
        <v>62</v>
      </c>
      <c r="F34" s="4">
        <f>170750-100000</f>
        <v>70750</v>
      </c>
      <c r="G34" s="29" t="s">
        <v>7748</v>
      </c>
      <c r="H34" s="14">
        <v>43565</v>
      </c>
      <c r="I34" s="4" t="s">
        <v>7749</v>
      </c>
      <c r="J34" s="133"/>
      <c r="K34" s="22"/>
      <c r="L34" s="134"/>
    </row>
    <row r="35" spans="1:12" s="97" customFormat="1" hidden="1" x14ac:dyDescent="0.25">
      <c r="A35" s="61" t="s">
        <v>442</v>
      </c>
      <c r="B35" s="14"/>
      <c r="C35" s="13"/>
      <c r="D35" s="13" t="s">
        <v>740</v>
      </c>
      <c r="E35" s="13" t="s">
        <v>62</v>
      </c>
      <c r="F35" s="4">
        <v>179240</v>
      </c>
      <c r="G35" s="29" t="s">
        <v>7750</v>
      </c>
      <c r="H35" s="14">
        <v>43567</v>
      </c>
      <c r="I35" s="4" t="s">
        <v>7751</v>
      </c>
      <c r="J35" s="133"/>
      <c r="K35" s="22"/>
      <c r="L35" s="134"/>
    </row>
    <row r="36" spans="1:12" s="97" customFormat="1" hidden="1" x14ac:dyDescent="0.25">
      <c r="A36" s="61" t="s">
        <v>1147</v>
      </c>
      <c r="B36" s="14"/>
      <c r="C36" s="13"/>
      <c r="D36" s="13" t="s">
        <v>740</v>
      </c>
      <c r="E36" s="13" t="s">
        <v>808</v>
      </c>
      <c r="F36" s="4">
        <f>858500-300000</f>
        <v>558500</v>
      </c>
      <c r="G36" s="28" t="s">
        <v>7752</v>
      </c>
      <c r="H36" s="14">
        <v>43574</v>
      </c>
      <c r="I36" s="4" t="s">
        <v>1207</v>
      </c>
      <c r="J36" s="133"/>
      <c r="K36" s="22"/>
      <c r="L36" s="134"/>
    </row>
    <row r="37" spans="1:12" s="97" customFormat="1" hidden="1" x14ac:dyDescent="0.25">
      <c r="A37" s="61" t="s">
        <v>1147</v>
      </c>
      <c r="B37" s="14"/>
      <c r="C37" s="13"/>
      <c r="D37" s="13" t="s">
        <v>740</v>
      </c>
      <c r="E37" s="13" t="s">
        <v>808</v>
      </c>
      <c r="F37" s="4">
        <v>858500</v>
      </c>
      <c r="G37" s="28" t="s">
        <v>7753</v>
      </c>
      <c r="H37" s="14">
        <v>43574</v>
      </c>
      <c r="I37" s="4" t="s">
        <v>1207</v>
      </c>
      <c r="J37" s="133"/>
      <c r="K37" s="22"/>
      <c r="L37" s="134"/>
    </row>
    <row r="38" spans="1:12" s="97" customFormat="1" hidden="1" x14ac:dyDescent="0.25">
      <c r="A38" s="61" t="s">
        <v>91</v>
      </c>
      <c r="B38" s="14"/>
      <c r="C38" s="13"/>
      <c r="D38" s="13" t="s">
        <v>740</v>
      </c>
      <c r="E38" s="13" t="s">
        <v>62</v>
      </c>
      <c r="F38" s="37">
        <v>66682.320000000007</v>
      </c>
      <c r="G38" s="29" t="s">
        <v>9088</v>
      </c>
      <c r="H38" s="14">
        <v>43579</v>
      </c>
      <c r="I38" s="4" t="s">
        <v>1064</v>
      </c>
      <c r="J38" s="133"/>
      <c r="K38" s="22"/>
      <c r="L38" s="134"/>
    </row>
    <row r="39" spans="1:12" s="97" customFormat="1" hidden="1" x14ac:dyDescent="0.25">
      <c r="A39" s="32" t="s">
        <v>91</v>
      </c>
      <c r="B39" s="14"/>
      <c r="C39" s="13"/>
      <c r="D39" s="13" t="s">
        <v>740</v>
      </c>
      <c r="E39" s="13" t="s">
        <v>62</v>
      </c>
      <c r="F39" s="37">
        <v>75500</v>
      </c>
      <c r="G39" s="29" t="s">
        <v>9089</v>
      </c>
      <c r="H39" s="14">
        <v>43580</v>
      </c>
      <c r="I39" s="4" t="s">
        <v>4902</v>
      </c>
      <c r="J39" s="133"/>
      <c r="K39" s="22"/>
      <c r="L39" s="134"/>
    </row>
    <row r="40" spans="1:12" s="97" customFormat="1" hidden="1" x14ac:dyDescent="0.25">
      <c r="A40" s="61" t="s">
        <v>659</v>
      </c>
      <c r="B40" s="14"/>
      <c r="C40" s="13"/>
      <c r="D40" s="13" t="s">
        <v>740</v>
      </c>
      <c r="E40" s="13" t="s">
        <v>808</v>
      </c>
      <c r="F40" s="4">
        <v>177700</v>
      </c>
      <c r="G40" s="29" t="s">
        <v>7448</v>
      </c>
      <c r="H40" s="14">
        <v>43580</v>
      </c>
      <c r="I40" s="4" t="s">
        <v>1876</v>
      </c>
      <c r="J40" s="133"/>
      <c r="K40" s="22"/>
      <c r="L40" s="134"/>
    </row>
    <row r="41" spans="1:12" s="97" customFormat="1" hidden="1" x14ac:dyDescent="0.25">
      <c r="A41" s="61" t="s">
        <v>1148</v>
      </c>
      <c r="B41" s="14"/>
      <c r="C41" s="13"/>
      <c r="D41" s="13" t="s">
        <v>740</v>
      </c>
      <c r="E41" s="13" t="s">
        <v>808</v>
      </c>
      <c r="F41" s="4">
        <v>856516</v>
      </c>
      <c r="G41" s="28" t="s">
        <v>7449</v>
      </c>
      <c r="H41" s="14">
        <v>43581</v>
      </c>
      <c r="I41" s="4" t="s">
        <v>1207</v>
      </c>
      <c r="J41" s="133"/>
      <c r="K41" s="22"/>
      <c r="L41" s="134"/>
    </row>
    <row r="42" spans="1:12" s="97" customFormat="1" hidden="1" x14ac:dyDescent="0.25">
      <c r="A42" s="61" t="s">
        <v>1148</v>
      </c>
      <c r="B42" s="14"/>
      <c r="C42" s="13"/>
      <c r="D42" s="13" t="s">
        <v>740</v>
      </c>
      <c r="E42" s="13" t="s">
        <v>808</v>
      </c>
      <c r="F42" s="4">
        <v>872500</v>
      </c>
      <c r="G42" s="28" t="s">
        <v>7450</v>
      </c>
      <c r="H42" s="14">
        <v>43584</v>
      </c>
      <c r="I42" s="4" t="s">
        <v>1207</v>
      </c>
      <c r="J42" s="133"/>
      <c r="K42" s="22"/>
      <c r="L42" s="134"/>
    </row>
    <row r="43" spans="1:12" s="97" customFormat="1" hidden="1" x14ac:dyDescent="0.25">
      <c r="A43" s="61" t="s">
        <v>91</v>
      </c>
      <c r="B43" s="14"/>
      <c r="C43" s="13"/>
      <c r="D43" s="13" t="s">
        <v>740</v>
      </c>
      <c r="E43" s="13" t="s">
        <v>62</v>
      </c>
      <c r="F43" s="37">
        <v>111270</v>
      </c>
      <c r="G43" s="29" t="s">
        <v>9090</v>
      </c>
      <c r="H43" s="14">
        <v>43591</v>
      </c>
      <c r="I43" s="4" t="s">
        <v>9091</v>
      </c>
      <c r="J43" s="133"/>
      <c r="K43" s="22"/>
      <c r="L43" s="134"/>
    </row>
    <row r="44" spans="1:12" s="97" customFormat="1" hidden="1" x14ac:dyDescent="0.25">
      <c r="A44" s="32" t="s">
        <v>91</v>
      </c>
      <c r="B44" s="14"/>
      <c r="C44" s="13"/>
      <c r="D44" s="13" t="s">
        <v>740</v>
      </c>
      <c r="E44" s="13" t="s">
        <v>62</v>
      </c>
      <c r="F44" s="4">
        <v>99750</v>
      </c>
      <c r="G44" s="28" t="s">
        <v>9092</v>
      </c>
      <c r="H44" s="14">
        <v>43592</v>
      </c>
      <c r="I44" s="4" t="s">
        <v>4902</v>
      </c>
      <c r="J44" s="133"/>
      <c r="K44" s="22"/>
      <c r="L44" s="134"/>
    </row>
    <row r="45" spans="1:12" s="97" customFormat="1" hidden="1" x14ac:dyDescent="0.25">
      <c r="A45" s="61" t="s">
        <v>310</v>
      </c>
      <c r="B45" s="14"/>
      <c r="C45" s="13"/>
      <c r="D45" s="13" t="s">
        <v>740</v>
      </c>
      <c r="E45" s="13" t="s">
        <v>958</v>
      </c>
      <c r="F45" s="4">
        <v>55580</v>
      </c>
      <c r="G45" s="28" t="s">
        <v>9093</v>
      </c>
      <c r="H45" s="14">
        <v>43598</v>
      </c>
      <c r="I45" s="4" t="s">
        <v>7742</v>
      </c>
      <c r="J45" s="133"/>
      <c r="K45" s="22"/>
      <c r="L45" s="134"/>
    </row>
    <row r="46" spans="1:12" s="97" customFormat="1" hidden="1" x14ac:dyDescent="0.25">
      <c r="A46" s="61" t="s">
        <v>1149</v>
      </c>
      <c r="B46" s="14"/>
      <c r="C46" s="13"/>
      <c r="D46" s="13" t="s">
        <v>740</v>
      </c>
      <c r="E46" s="13" t="s">
        <v>808</v>
      </c>
      <c r="F46" s="37">
        <v>41100</v>
      </c>
      <c r="G46" s="29" t="s">
        <v>9094</v>
      </c>
      <c r="H46" s="14">
        <v>43598</v>
      </c>
      <c r="I46" s="4" t="s">
        <v>9095</v>
      </c>
      <c r="J46" s="133"/>
      <c r="K46" s="22"/>
      <c r="L46" s="134"/>
    </row>
    <row r="47" spans="1:12" s="97" customFormat="1" hidden="1" x14ac:dyDescent="0.25">
      <c r="A47" s="61" t="s">
        <v>9096</v>
      </c>
      <c r="B47" s="14"/>
      <c r="C47" s="13"/>
      <c r="D47" s="13" t="s">
        <v>740</v>
      </c>
      <c r="E47" s="13" t="s">
        <v>691</v>
      </c>
      <c r="F47" s="4">
        <v>218500</v>
      </c>
      <c r="G47" s="28" t="s">
        <v>9097</v>
      </c>
      <c r="H47" s="14">
        <v>43598</v>
      </c>
      <c r="I47" s="4" t="s">
        <v>9098</v>
      </c>
      <c r="J47" s="133"/>
      <c r="K47" s="22"/>
      <c r="L47" s="134"/>
    </row>
    <row r="48" spans="1:12" s="97" customFormat="1" hidden="1" x14ac:dyDescent="0.25">
      <c r="A48" s="61" t="s">
        <v>310</v>
      </c>
      <c r="B48" s="14"/>
      <c r="C48" s="13"/>
      <c r="D48" s="13" t="s">
        <v>740</v>
      </c>
      <c r="E48" s="13" t="s">
        <v>958</v>
      </c>
      <c r="F48" s="37">
        <v>25032</v>
      </c>
      <c r="G48" s="29" t="s">
        <v>9099</v>
      </c>
      <c r="H48" s="14">
        <v>43600</v>
      </c>
      <c r="I48" s="4" t="s">
        <v>7744</v>
      </c>
      <c r="J48" s="133"/>
      <c r="K48" s="22"/>
      <c r="L48" s="134"/>
    </row>
    <row r="49" spans="1:15" s="97" customFormat="1" hidden="1" x14ac:dyDescent="0.25">
      <c r="A49" s="61" t="s">
        <v>310</v>
      </c>
      <c r="B49" s="14"/>
      <c r="C49" s="13"/>
      <c r="D49" s="13" t="s">
        <v>740</v>
      </c>
      <c r="E49" s="13" t="s">
        <v>958</v>
      </c>
      <c r="F49" s="37">
        <v>43302</v>
      </c>
      <c r="G49" s="29" t="s">
        <v>9100</v>
      </c>
      <c r="H49" s="14">
        <v>43600</v>
      </c>
      <c r="I49" s="4" t="s">
        <v>9101</v>
      </c>
      <c r="J49" s="133"/>
      <c r="K49" s="22"/>
      <c r="L49" s="134"/>
    </row>
    <row r="50" spans="1:15" s="97" customFormat="1" hidden="1" x14ac:dyDescent="0.25">
      <c r="A50" s="61" t="s">
        <v>358</v>
      </c>
      <c r="B50" s="14"/>
      <c r="C50" s="13"/>
      <c r="D50" s="13" t="s">
        <v>740</v>
      </c>
      <c r="E50" s="13" t="s">
        <v>62</v>
      </c>
      <c r="F50" s="37">
        <v>28050</v>
      </c>
      <c r="G50" s="29" t="s">
        <v>9102</v>
      </c>
      <c r="H50" s="14">
        <v>43601</v>
      </c>
      <c r="I50" s="4" t="s">
        <v>7744</v>
      </c>
      <c r="J50" s="133"/>
      <c r="K50" s="22"/>
      <c r="L50" s="134"/>
    </row>
    <row r="51" spans="1:15" s="97" customFormat="1" hidden="1" x14ac:dyDescent="0.25">
      <c r="A51" s="61" t="s">
        <v>91</v>
      </c>
      <c r="B51" s="14"/>
      <c r="C51" s="13"/>
      <c r="D51" s="13" t="s">
        <v>740</v>
      </c>
      <c r="E51" s="13" t="s">
        <v>62</v>
      </c>
      <c r="F51" s="37">
        <v>244400</v>
      </c>
      <c r="G51" s="29" t="s">
        <v>9103</v>
      </c>
      <c r="H51" s="14">
        <v>43601</v>
      </c>
      <c r="I51" s="4" t="s">
        <v>4902</v>
      </c>
      <c r="J51" s="133"/>
      <c r="K51" s="22"/>
      <c r="L51" s="134"/>
    </row>
    <row r="52" spans="1:15" s="97" customFormat="1" hidden="1" x14ac:dyDescent="0.25">
      <c r="A52" s="61" t="s">
        <v>651</v>
      </c>
      <c r="B52" s="14"/>
      <c r="C52" s="13"/>
      <c r="D52" s="13" t="s">
        <v>740</v>
      </c>
      <c r="E52" s="13" t="s">
        <v>691</v>
      </c>
      <c r="F52" s="37">
        <v>284000</v>
      </c>
      <c r="G52" s="29" t="s">
        <v>9104</v>
      </c>
      <c r="H52" s="14">
        <v>43605</v>
      </c>
      <c r="I52" s="4" t="s">
        <v>4902</v>
      </c>
      <c r="J52" s="133"/>
      <c r="K52" s="22"/>
      <c r="L52" s="134"/>
    </row>
    <row r="53" spans="1:15" s="97" customFormat="1" hidden="1" x14ac:dyDescent="0.25">
      <c r="A53" s="61" t="s">
        <v>1147</v>
      </c>
      <c r="B53" s="14"/>
      <c r="C53" s="13"/>
      <c r="D53" s="13" t="s">
        <v>8284</v>
      </c>
      <c r="E53" s="13" t="s">
        <v>808</v>
      </c>
      <c r="F53" s="37">
        <v>868500</v>
      </c>
      <c r="G53" s="29" t="s">
        <v>8285</v>
      </c>
      <c r="H53" s="14">
        <v>43607</v>
      </c>
      <c r="I53" s="4" t="s">
        <v>1207</v>
      </c>
      <c r="J53" s="133"/>
      <c r="K53" s="22"/>
      <c r="L53" s="134"/>
    </row>
    <row r="54" spans="1:15" s="97" customFormat="1" hidden="1" x14ac:dyDescent="0.25">
      <c r="A54" s="61" t="s">
        <v>9096</v>
      </c>
      <c r="B54" s="14"/>
      <c r="C54" s="13"/>
      <c r="D54" s="13" t="s">
        <v>740</v>
      </c>
      <c r="E54" s="13" t="s">
        <v>691</v>
      </c>
      <c r="F54" s="37">
        <v>218500</v>
      </c>
      <c r="G54" s="29" t="s">
        <v>9105</v>
      </c>
      <c r="H54" s="14">
        <v>43607</v>
      </c>
      <c r="I54" s="4" t="s">
        <v>9098</v>
      </c>
      <c r="J54" s="133"/>
      <c r="K54" s="22"/>
      <c r="L54" s="134"/>
    </row>
    <row r="55" spans="1:15" s="97" customFormat="1" hidden="1" x14ac:dyDescent="0.25">
      <c r="A55" s="61" t="s">
        <v>442</v>
      </c>
      <c r="B55" s="14"/>
      <c r="C55" s="13"/>
      <c r="D55" s="13" t="s">
        <v>740</v>
      </c>
      <c r="E55" s="13" t="s">
        <v>62</v>
      </c>
      <c r="F55" s="37">
        <v>55600</v>
      </c>
      <c r="G55" s="29" t="s">
        <v>9106</v>
      </c>
      <c r="H55" s="14">
        <v>43608</v>
      </c>
      <c r="I55" s="4" t="s">
        <v>4902</v>
      </c>
      <c r="J55" s="133"/>
      <c r="K55" s="22"/>
      <c r="L55" s="134"/>
    </row>
    <row r="56" spans="1:15" s="97" customFormat="1" hidden="1" x14ac:dyDescent="0.25">
      <c r="A56" s="61" t="s">
        <v>9096</v>
      </c>
      <c r="B56" s="14"/>
      <c r="C56" s="13"/>
      <c r="D56" s="13" t="s">
        <v>740</v>
      </c>
      <c r="E56" s="13" t="s">
        <v>691</v>
      </c>
      <c r="F56" s="4">
        <v>236000</v>
      </c>
      <c r="G56" s="28" t="s">
        <v>9107</v>
      </c>
      <c r="H56" s="14">
        <v>43609</v>
      </c>
      <c r="I56" s="4" t="s">
        <v>9098</v>
      </c>
      <c r="J56" s="133"/>
      <c r="K56" s="22"/>
      <c r="L56" s="134"/>
    </row>
    <row r="57" spans="1:15" s="97" customFormat="1" hidden="1" x14ac:dyDescent="0.25">
      <c r="A57" s="61" t="s">
        <v>9096</v>
      </c>
      <c r="B57" s="14"/>
      <c r="C57" s="13"/>
      <c r="D57" s="13" t="s">
        <v>740</v>
      </c>
      <c r="E57" s="13" t="s">
        <v>691</v>
      </c>
      <c r="F57" s="4">
        <v>253000</v>
      </c>
      <c r="G57" s="28" t="s">
        <v>9108</v>
      </c>
      <c r="H57" s="14">
        <v>43612</v>
      </c>
      <c r="I57" s="4" t="s">
        <v>9098</v>
      </c>
      <c r="J57" s="133"/>
      <c r="K57" s="22"/>
      <c r="L57" s="134"/>
    </row>
    <row r="58" spans="1:15" s="97" customFormat="1" hidden="1" x14ac:dyDescent="0.25">
      <c r="A58" s="61" t="s">
        <v>311</v>
      </c>
      <c r="B58" s="14"/>
      <c r="C58" s="13"/>
      <c r="D58" s="13" t="s">
        <v>740</v>
      </c>
      <c r="E58" s="13" t="s">
        <v>958</v>
      </c>
      <c r="F58" s="37">
        <v>2184750</v>
      </c>
      <c r="G58" s="29" t="s">
        <v>9385</v>
      </c>
      <c r="H58" s="14">
        <v>43612</v>
      </c>
      <c r="I58" s="4" t="s">
        <v>9386</v>
      </c>
      <c r="J58" s="133"/>
      <c r="K58" s="22"/>
      <c r="L58" s="134"/>
    </row>
    <row r="59" spans="1:15" s="97" customFormat="1" hidden="1" x14ac:dyDescent="0.25">
      <c r="A59" s="13" t="s">
        <v>651</v>
      </c>
      <c r="B59" s="14"/>
      <c r="C59" s="13"/>
      <c r="D59" s="13" t="s">
        <v>740</v>
      </c>
      <c r="E59" s="13" t="s">
        <v>691</v>
      </c>
      <c r="F59" s="4">
        <v>220850</v>
      </c>
      <c r="G59" s="28" t="s">
        <v>9109</v>
      </c>
      <c r="H59" s="14">
        <v>43613</v>
      </c>
      <c r="I59" s="4" t="s">
        <v>449</v>
      </c>
      <c r="J59" s="133"/>
      <c r="K59" s="22"/>
      <c r="L59" s="134"/>
    </row>
    <row r="60" spans="1:15" s="97" customFormat="1" hidden="1" x14ac:dyDescent="0.25">
      <c r="A60" s="32" t="s">
        <v>9096</v>
      </c>
      <c r="B60" s="14"/>
      <c r="C60" s="13"/>
      <c r="D60" s="13" t="s">
        <v>740</v>
      </c>
      <c r="E60" s="13" t="s">
        <v>691</v>
      </c>
      <c r="F60" s="4">
        <v>203000</v>
      </c>
      <c r="G60" s="28" t="s">
        <v>9110</v>
      </c>
      <c r="H60" s="14">
        <v>43615</v>
      </c>
      <c r="I60" s="4" t="s">
        <v>9098</v>
      </c>
      <c r="J60" s="133"/>
      <c r="K60" s="22"/>
      <c r="L60" s="134"/>
    </row>
    <row r="61" spans="1:15" s="97" customFormat="1" hidden="1" x14ac:dyDescent="0.25">
      <c r="A61" s="61" t="s">
        <v>92</v>
      </c>
      <c r="B61" s="14"/>
      <c r="C61" s="13"/>
      <c r="D61" s="13" t="s">
        <v>740</v>
      </c>
      <c r="E61" s="13" t="s">
        <v>62</v>
      </c>
      <c r="F61" s="37">
        <v>473470</v>
      </c>
      <c r="G61" s="29" t="s">
        <v>9111</v>
      </c>
      <c r="H61" s="14">
        <v>43615</v>
      </c>
      <c r="I61" s="4" t="s">
        <v>7749</v>
      </c>
      <c r="J61" s="133"/>
      <c r="K61" s="22"/>
      <c r="L61" s="134"/>
    </row>
    <row r="62" spans="1:15" s="97" customFormat="1" hidden="1" x14ac:dyDescent="0.25">
      <c r="A62" s="61" t="s">
        <v>1148</v>
      </c>
      <c r="B62" s="14"/>
      <c r="C62" s="13"/>
      <c r="D62" s="13" t="s">
        <v>257</v>
      </c>
      <c r="E62" s="13" t="s">
        <v>808</v>
      </c>
      <c r="F62" s="4">
        <v>880438.5</v>
      </c>
      <c r="G62" s="29" t="s">
        <v>7453</v>
      </c>
      <c r="H62" s="14">
        <v>43581</v>
      </c>
      <c r="I62" s="4" t="s">
        <v>1349</v>
      </c>
      <c r="J62" s="133"/>
      <c r="K62" s="22"/>
      <c r="L62" s="134"/>
    </row>
    <row r="63" spans="1:15" s="97" customFormat="1" hidden="1" x14ac:dyDescent="0.25">
      <c r="A63" s="61" t="s">
        <v>1147</v>
      </c>
      <c r="B63" s="14"/>
      <c r="C63" s="13"/>
      <c r="D63" s="13" t="s">
        <v>257</v>
      </c>
      <c r="E63" s="13" t="s">
        <v>808</v>
      </c>
      <c r="F63" s="4">
        <v>881739</v>
      </c>
      <c r="G63" s="29" t="s">
        <v>7454</v>
      </c>
      <c r="H63" s="14">
        <v>43581</v>
      </c>
      <c r="I63" s="4" t="s">
        <v>1349</v>
      </c>
      <c r="J63" s="133"/>
      <c r="K63" s="22"/>
      <c r="L63" s="134"/>
    </row>
    <row r="64" spans="1:15" s="441" customFormat="1" ht="15" hidden="1" customHeight="1" x14ac:dyDescent="0.25">
      <c r="A64" s="61" t="s">
        <v>1147</v>
      </c>
      <c r="B64" s="14"/>
      <c r="C64" s="13"/>
      <c r="D64" s="13" t="s">
        <v>257</v>
      </c>
      <c r="E64" s="13" t="s">
        <v>808</v>
      </c>
      <c r="F64" s="4">
        <v>869601</v>
      </c>
      <c r="G64" s="29" t="s">
        <v>7455</v>
      </c>
      <c r="H64" s="14">
        <v>43581</v>
      </c>
      <c r="I64" s="4" t="s">
        <v>1207</v>
      </c>
      <c r="J64" s="261" t="s">
        <v>3665</v>
      </c>
      <c r="K64" s="4" t="s">
        <v>4999</v>
      </c>
      <c r="L64" s="440"/>
      <c r="M64" s="440"/>
      <c r="N64" s="440"/>
      <c r="O64" s="440"/>
    </row>
    <row r="65" spans="1:12" s="97" customFormat="1" hidden="1" x14ac:dyDescent="0.25">
      <c r="A65" s="61" t="s">
        <v>1147</v>
      </c>
      <c r="B65" s="14"/>
      <c r="C65" s="13"/>
      <c r="D65" s="13" t="s">
        <v>257</v>
      </c>
      <c r="E65" s="13" t="s">
        <v>808</v>
      </c>
      <c r="F65" s="4">
        <v>850527</v>
      </c>
      <c r="G65" s="29" t="s">
        <v>7456</v>
      </c>
      <c r="H65" s="14">
        <v>43581</v>
      </c>
      <c r="I65" s="4" t="s">
        <v>1207</v>
      </c>
      <c r="J65" s="133"/>
      <c r="K65" s="22"/>
      <c r="L65" s="134"/>
    </row>
    <row r="66" spans="1:12" s="97" customFormat="1" hidden="1" x14ac:dyDescent="0.25">
      <c r="A66" s="61" t="s">
        <v>1148</v>
      </c>
      <c r="B66" s="14"/>
      <c r="C66" s="13"/>
      <c r="D66" s="13" t="s">
        <v>257</v>
      </c>
      <c r="E66" s="13" t="s">
        <v>808</v>
      </c>
      <c r="F66" s="4">
        <v>863532</v>
      </c>
      <c r="G66" s="29" t="s">
        <v>7457</v>
      </c>
      <c r="H66" s="14">
        <v>43581</v>
      </c>
      <c r="I66" s="4" t="s">
        <v>421</v>
      </c>
      <c r="J66" s="133"/>
      <c r="K66" s="22"/>
      <c r="L66" s="134"/>
    </row>
    <row r="67" spans="1:12" s="97" customFormat="1" hidden="1" x14ac:dyDescent="0.25">
      <c r="A67" s="61" t="s">
        <v>1147</v>
      </c>
      <c r="B67" s="14"/>
      <c r="C67" s="13"/>
      <c r="D67" s="13" t="s">
        <v>257</v>
      </c>
      <c r="E67" s="13" t="s">
        <v>808</v>
      </c>
      <c r="F67" s="4">
        <v>862299</v>
      </c>
      <c r="G67" s="29" t="s">
        <v>7458</v>
      </c>
      <c r="H67" s="14">
        <v>43581</v>
      </c>
      <c r="I67" s="4" t="s">
        <v>423</v>
      </c>
      <c r="J67" s="133"/>
      <c r="K67" s="22"/>
      <c r="L67" s="134"/>
    </row>
    <row r="68" spans="1:12" s="97" customFormat="1" hidden="1" x14ac:dyDescent="0.25">
      <c r="A68" s="61" t="s">
        <v>442</v>
      </c>
      <c r="B68" s="14"/>
      <c r="C68" s="13"/>
      <c r="D68" s="13" t="s">
        <v>257</v>
      </c>
      <c r="E68" s="13" t="s">
        <v>62</v>
      </c>
      <c r="F68" s="4">
        <v>996660</v>
      </c>
      <c r="G68" s="29" t="s">
        <v>8095</v>
      </c>
      <c r="H68" s="14">
        <v>43602</v>
      </c>
      <c r="I68" s="4" t="s">
        <v>1998</v>
      </c>
      <c r="J68" s="133"/>
      <c r="K68" s="22"/>
      <c r="L68" s="134"/>
    </row>
    <row r="69" spans="1:12" s="97" customFormat="1" hidden="1" x14ac:dyDescent="0.25">
      <c r="A69" s="61" t="s">
        <v>442</v>
      </c>
      <c r="B69" s="14"/>
      <c r="C69" s="13"/>
      <c r="D69" s="13" t="s">
        <v>257</v>
      </c>
      <c r="E69" s="13" t="s">
        <v>62</v>
      </c>
      <c r="F69" s="4">
        <v>980000</v>
      </c>
      <c r="G69" s="29" t="s">
        <v>8096</v>
      </c>
      <c r="H69" s="14">
        <v>43602</v>
      </c>
      <c r="I69" s="4" t="s">
        <v>443</v>
      </c>
      <c r="J69" s="133"/>
      <c r="K69" s="22"/>
      <c r="L69" s="134"/>
    </row>
    <row r="70" spans="1:12" s="97" customFormat="1" hidden="1" x14ac:dyDescent="0.25">
      <c r="A70" s="61" t="s">
        <v>442</v>
      </c>
      <c r="B70" s="14"/>
      <c r="C70" s="13"/>
      <c r="D70" s="13" t="s">
        <v>257</v>
      </c>
      <c r="E70" s="13" t="s">
        <v>62</v>
      </c>
      <c r="F70" s="4">
        <v>974610</v>
      </c>
      <c r="G70" s="29" t="s">
        <v>8097</v>
      </c>
      <c r="H70" s="14">
        <v>43602</v>
      </c>
      <c r="I70" s="4" t="s">
        <v>443</v>
      </c>
      <c r="J70" s="133"/>
      <c r="K70" s="22"/>
      <c r="L70" s="134"/>
    </row>
    <row r="71" spans="1:12" s="97" customFormat="1" hidden="1" x14ac:dyDescent="0.25">
      <c r="A71" s="61" t="s">
        <v>442</v>
      </c>
      <c r="B71" s="14"/>
      <c r="C71" s="13"/>
      <c r="D71" s="13" t="s">
        <v>257</v>
      </c>
      <c r="E71" s="13" t="s">
        <v>62</v>
      </c>
      <c r="F71" s="4">
        <v>992250</v>
      </c>
      <c r="G71" s="29" t="s">
        <v>8098</v>
      </c>
      <c r="H71" s="14">
        <v>43602</v>
      </c>
      <c r="I71" s="4" t="s">
        <v>443</v>
      </c>
      <c r="J71" s="133"/>
      <c r="K71" s="22"/>
      <c r="L71" s="134"/>
    </row>
    <row r="72" spans="1:12" s="97" customFormat="1" hidden="1" x14ac:dyDescent="0.25">
      <c r="A72" s="61" t="s">
        <v>442</v>
      </c>
      <c r="B72" s="14"/>
      <c r="C72" s="13"/>
      <c r="D72" s="13" t="s">
        <v>257</v>
      </c>
      <c r="E72" s="13" t="s">
        <v>62</v>
      </c>
      <c r="F72" s="4">
        <v>1008053</v>
      </c>
      <c r="G72" s="29" t="s">
        <v>8099</v>
      </c>
      <c r="H72" s="14">
        <v>43602</v>
      </c>
      <c r="I72" s="4" t="s">
        <v>8100</v>
      </c>
      <c r="J72" s="133"/>
      <c r="K72" s="22"/>
      <c r="L72" s="134"/>
    </row>
    <row r="73" spans="1:12" s="97" customFormat="1" hidden="1" x14ac:dyDescent="0.25">
      <c r="A73" s="61" t="s">
        <v>1148</v>
      </c>
      <c r="B73" s="14"/>
      <c r="C73" s="13"/>
      <c r="D73" s="13" t="s">
        <v>257</v>
      </c>
      <c r="E73" s="13" t="s">
        <v>808</v>
      </c>
      <c r="F73" s="37">
        <v>877387</v>
      </c>
      <c r="G73" s="29" t="s">
        <v>8841</v>
      </c>
      <c r="H73" s="14">
        <v>43621</v>
      </c>
      <c r="I73" s="4" t="s">
        <v>421</v>
      </c>
      <c r="J73" s="133"/>
      <c r="K73" s="22"/>
      <c r="L73" s="134"/>
    </row>
    <row r="74" spans="1:12" s="97" customFormat="1" hidden="1" x14ac:dyDescent="0.25">
      <c r="A74" s="61" t="s">
        <v>1148</v>
      </c>
      <c r="B74" s="14"/>
      <c r="C74" s="13"/>
      <c r="D74" s="13" t="s">
        <v>257</v>
      </c>
      <c r="E74" s="13" t="s">
        <v>808</v>
      </c>
      <c r="F74" s="37">
        <v>860002.38</v>
      </c>
      <c r="G74" s="29" t="s">
        <v>8842</v>
      </c>
      <c r="H74" s="14">
        <v>43621</v>
      </c>
      <c r="I74" s="4" t="s">
        <v>421</v>
      </c>
      <c r="J74" s="133"/>
      <c r="K74" s="22"/>
      <c r="L74" s="134"/>
    </row>
    <row r="75" spans="1:12" s="97" customFormat="1" hidden="1" x14ac:dyDescent="0.25">
      <c r="A75" s="61" t="s">
        <v>1147</v>
      </c>
      <c r="B75" s="14"/>
      <c r="C75" s="13"/>
      <c r="D75" s="13" t="s">
        <v>257</v>
      </c>
      <c r="E75" s="13" t="s">
        <v>808</v>
      </c>
      <c r="F75" s="37">
        <v>863221.75</v>
      </c>
      <c r="G75" s="29" t="s">
        <v>8843</v>
      </c>
      <c r="H75" s="14">
        <v>43621</v>
      </c>
      <c r="I75" s="4" t="s">
        <v>1207</v>
      </c>
      <c r="J75" s="133"/>
      <c r="K75" s="22"/>
      <c r="L75" s="134"/>
    </row>
    <row r="76" spans="1:12" s="97" customFormat="1" hidden="1" x14ac:dyDescent="0.25">
      <c r="A76" s="61" t="s">
        <v>1147</v>
      </c>
      <c r="B76" s="14"/>
      <c r="C76" s="13"/>
      <c r="D76" s="13" t="s">
        <v>257</v>
      </c>
      <c r="E76" s="13" t="s">
        <v>808</v>
      </c>
      <c r="F76" s="37">
        <v>885972</v>
      </c>
      <c r="G76" s="29" t="s">
        <v>8844</v>
      </c>
      <c r="H76" s="14">
        <v>43621</v>
      </c>
      <c r="I76" s="4" t="s">
        <v>1349</v>
      </c>
      <c r="J76" s="133"/>
      <c r="K76" s="22"/>
      <c r="L76" s="134"/>
    </row>
    <row r="77" spans="1:12" s="97" customFormat="1" hidden="1" x14ac:dyDescent="0.25">
      <c r="A77" s="61" t="s">
        <v>1148</v>
      </c>
      <c r="B77" s="14"/>
      <c r="C77" s="13"/>
      <c r="D77" s="13" t="s">
        <v>257</v>
      </c>
      <c r="E77" s="13" t="s">
        <v>808</v>
      </c>
      <c r="F77" s="4">
        <v>872236</v>
      </c>
      <c r="G77" s="28" t="s">
        <v>9112</v>
      </c>
      <c r="H77" s="14">
        <v>43621</v>
      </c>
      <c r="I77" s="4" t="s">
        <v>4921</v>
      </c>
      <c r="J77" s="133"/>
      <c r="K77" s="22"/>
      <c r="L77" s="134"/>
    </row>
    <row r="78" spans="1:12" s="97" customFormat="1" hidden="1" x14ac:dyDescent="0.25">
      <c r="A78" s="61" t="s">
        <v>659</v>
      </c>
      <c r="B78" s="14"/>
      <c r="C78" s="13"/>
      <c r="D78" s="13" t="s">
        <v>1377</v>
      </c>
      <c r="E78" s="13" t="s">
        <v>808</v>
      </c>
      <c r="F78" s="4">
        <v>850000</v>
      </c>
      <c r="G78" s="28" t="s">
        <v>33</v>
      </c>
      <c r="H78" s="14">
        <v>43573</v>
      </c>
      <c r="I78" s="4" t="s">
        <v>4352</v>
      </c>
      <c r="J78" s="133"/>
      <c r="K78" s="22"/>
      <c r="L78" s="134"/>
    </row>
    <row r="79" spans="1:12" s="97" customFormat="1" hidden="1" x14ac:dyDescent="0.25">
      <c r="A79" s="13" t="s">
        <v>1147</v>
      </c>
      <c r="B79" s="14"/>
      <c r="C79" s="13"/>
      <c r="D79" s="13" t="s">
        <v>1377</v>
      </c>
      <c r="E79" s="13" t="s">
        <v>808</v>
      </c>
      <c r="F79" s="4">
        <v>808350</v>
      </c>
      <c r="G79" s="28" t="s">
        <v>299</v>
      </c>
      <c r="H79" s="14">
        <v>43573</v>
      </c>
      <c r="I79" s="4" t="s">
        <v>1207</v>
      </c>
      <c r="J79" s="133"/>
      <c r="K79" s="22"/>
      <c r="L79" s="134"/>
    </row>
    <row r="80" spans="1:12" s="97" customFormat="1" hidden="1" x14ac:dyDescent="0.25">
      <c r="A80" s="61" t="s">
        <v>1147</v>
      </c>
      <c r="B80" s="14"/>
      <c r="C80" s="13"/>
      <c r="D80" s="13" t="s">
        <v>1377</v>
      </c>
      <c r="E80" s="13" t="s">
        <v>808</v>
      </c>
      <c r="F80" s="37">
        <v>870000</v>
      </c>
      <c r="G80" s="29" t="s">
        <v>478</v>
      </c>
      <c r="H80" s="14">
        <v>43619</v>
      </c>
      <c r="I80" s="4" t="s">
        <v>1207</v>
      </c>
      <c r="J80" s="133"/>
      <c r="K80" s="22"/>
      <c r="L80" s="134"/>
    </row>
    <row r="81" spans="1:12" s="97" customFormat="1" hidden="1" x14ac:dyDescent="0.25">
      <c r="A81" s="61" t="s">
        <v>1147</v>
      </c>
      <c r="B81" s="14"/>
      <c r="C81" s="13"/>
      <c r="D81" s="13" t="s">
        <v>1377</v>
      </c>
      <c r="E81" s="13" t="s">
        <v>808</v>
      </c>
      <c r="F81" s="4">
        <v>870000</v>
      </c>
      <c r="G81" s="28" t="s">
        <v>479</v>
      </c>
      <c r="H81" s="14">
        <v>43623</v>
      </c>
      <c r="I81" s="4" t="s">
        <v>1207</v>
      </c>
      <c r="J81" s="133"/>
      <c r="K81" s="22"/>
      <c r="L81" s="134"/>
    </row>
    <row r="82" spans="1:12" s="97" customFormat="1" hidden="1" x14ac:dyDescent="0.25">
      <c r="A82" s="61" t="s">
        <v>1147</v>
      </c>
      <c r="B82" s="14"/>
      <c r="C82" s="13"/>
      <c r="D82" s="13" t="s">
        <v>1377</v>
      </c>
      <c r="E82" s="13" t="s">
        <v>808</v>
      </c>
      <c r="F82" s="37">
        <v>864000</v>
      </c>
      <c r="G82" s="29" t="s">
        <v>3592</v>
      </c>
      <c r="H82" s="14">
        <v>43635</v>
      </c>
      <c r="I82" s="4" t="s">
        <v>1207</v>
      </c>
      <c r="J82" s="133"/>
      <c r="K82" s="22"/>
      <c r="L82" s="134"/>
    </row>
    <row r="83" spans="1:12" s="97" customFormat="1" hidden="1" x14ac:dyDescent="0.25">
      <c r="A83" s="61" t="s">
        <v>1316</v>
      </c>
      <c r="B83" s="14"/>
      <c r="C83" s="13"/>
      <c r="D83" s="13" t="s">
        <v>539</v>
      </c>
      <c r="E83" s="13" t="s">
        <v>808</v>
      </c>
      <c r="F83" s="4">
        <v>973558</v>
      </c>
      <c r="G83" s="29" t="s">
        <v>8101</v>
      </c>
      <c r="H83" s="14">
        <v>43607</v>
      </c>
      <c r="I83" s="4" t="s">
        <v>443</v>
      </c>
      <c r="J83" s="133"/>
      <c r="K83" s="22"/>
      <c r="L83" s="134"/>
    </row>
    <row r="84" spans="1:12" s="97" customFormat="1" hidden="1" x14ac:dyDescent="0.25">
      <c r="A84" s="61" t="s">
        <v>1148</v>
      </c>
      <c r="B84" s="14"/>
      <c r="C84" s="13"/>
      <c r="D84" s="13" t="s">
        <v>539</v>
      </c>
      <c r="E84" s="13" t="s">
        <v>808</v>
      </c>
      <c r="F84" s="37">
        <v>872946</v>
      </c>
      <c r="G84" s="29" t="s">
        <v>8286</v>
      </c>
      <c r="H84" s="14">
        <v>43608</v>
      </c>
      <c r="I84" s="4" t="s">
        <v>1883</v>
      </c>
      <c r="J84" s="133"/>
      <c r="K84" s="22"/>
      <c r="L84" s="134"/>
    </row>
    <row r="85" spans="1:12" s="97" customFormat="1" hidden="1" x14ac:dyDescent="0.25">
      <c r="A85" s="61" t="s">
        <v>1147</v>
      </c>
      <c r="B85" s="14"/>
      <c r="C85" s="13"/>
      <c r="D85" s="13" t="s">
        <v>539</v>
      </c>
      <c r="E85" s="13" t="s">
        <v>808</v>
      </c>
      <c r="F85" s="37">
        <v>861290</v>
      </c>
      <c r="G85" s="29" t="s">
        <v>8614</v>
      </c>
      <c r="H85" s="14">
        <v>43615</v>
      </c>
      <c r="I85" s="4" t="s">
        <v>1349</v>
      </c>
      <c r="J85" s="133"/>
      <c r="K85" s="22"/>
      <c r="L85" s="134"/>
    </row>
    <row r="86" spans="1:12" s="97" customFormat="1" hidden="1" x14ac:dyDescent="0.25">
      <c r="A86" s="61" t="s">
        <v>1148</v>
      </c>
      <c r="B86" s="14"/>
      <c r="C86" s="13"/>
      <c r="D86" s="13" t="s">
        <v>539</v>
      </c>
      <c r="E86" s="13" t="s">
        <v>808</v>
      </c>
      <c r="F86" s="37">
        <v>874097</v>
      </c>
      <c r="G86" s="29" t="s">
        <v>8615</v>
      </c>
      <c r="H86" s="14">
        <v>43616</v>
      </c>
      <c r="I86" s="4" t="s">
        <v>8616</v>
      </c>
      <c r="J86" s="133"/>
      <c r="K86" s="22"/>
      <c r="L86" s="134"/>
    </row>
    <row r="87" spans="1:12" s="97" customFormat="1" hidden="1" x14ac:dyDescent="0.25">
      <c r="A87" s="61" t="s">
        <v>1148</v>
      </c>
      <c r="B87" s="14"/>
      <c r="C87" s="13"/>
      <c r="D87" s="13" t="s">
        <v>539</v>
      </c>
      <c r="E87" s="13" t="s">
        <v>808</v>
      </c>
      <c r="F87" s="37">
        <v>916985</v>
      </c>
      <c r="G87" s="29" t="s">
        <v>8617</v>
      </c>
      <c r="H87" s="14">
        <v>43616</v>
      </c>
      <c r="I87" s="4" t="s">
        <v>717</v>
      </c>
      <c r="J87" s="133"/>
      <c r="K87" s="22"/>
      <c r="L87" s="134"/>
    </row>
    <row r="88" spans="1:12" s="97" customFormat="1" hidden="1" x14ac:dyDescent="0.25">
      <c r="A88" s="61" t="s">
        <v>1316</v>
      </c>
      <c r="B88" s="14"/>
      <c r="C88" s="13"/>
      <c r="D88" s="13" t="s">
        <v>539</v>
      </c>
      <c r="E88" s="13" t="s">
        <v>808</v>
      </c>
      <c r="F88" s="37">
        <v>926934</v>
      </c>
      <c r="G88" s="29" t="s">
        <v>4144</v>
      </c>
      <c r="H88" s="14">
        <v>43621</v>
      </c>
      <c r="I88" s="4" t="s">
        <v>443</v>
      </c>
      <c r="J88" s="133"/>
      <c r="K88" s="22"/>
      <c r="L88" s="134"/>
    </row>
    <row r="89" spans="1:12" s="97" customFormat="1" hidden="1" x14ac:dyDescent="0.25">
      <c r="A89" s="61" t="s">
        <v>1148</v>
      </c>
      <c r="B89" s="14"/>
      <c r="C89" s="13"/>
      <c r="D89" s="13" t="s">
        <v>539</v>
      </c>
      <c r="E89" s="13" t="s">
        <v>808</v>
      </c>
      <c r="F89" s="37">
        <v>960581</v>
      </c>
      <c r="G89" s="29" t="s">
        <v>8845</v>
      </c>
      <c r="H89" s="14">
        <v>43622</v>
      </c>
      <c r="I89" s="4" t="s">
        <v>8317</v>
      </c>
      <c r="J89" s="133"/>
      <c r="K89" s="22"/>
      <c r="L89" s="134"/>
    </row>
    <row r="90" spans="1:12" s="97" customFormat="1" hidden="1" x14ac:dyDescent="0.25">
      <c r="A90" s="61" t="s">
        <v>1316</v>
      </c>
      <c r="B90" s="14"/>
      <c r="C90" s="13"/>
      <c r="D90" s="13" t="s">
        <v>539</v>
      </c>
      <c r="E90" s="13" t="s">
        <v>808</v>
      </c>
      <c r="F90" s="37">
        <v>874388</v>
      </c>
      <c r="G90" s="29" t="s">
        <v>8846</v>
      </c>
      <c r="H90" s="14">
        <v>43623</v>
      </c>
      <c r="I90" s="4" t="s">
        <v>443</v>
      </c>
      <c r="J90" s="133"/>
      <c r="K90" s="22"/>
      <c r="L90" s="134"/>
    </row>
    <row r="91" spans="1:12" s="97" customFormat="1" hidden="1" x14ac:dyDescent="0.25">
      <c r="A91" s="61" t="s">
        <v>1148</v>
      </c>
      <c r="B91" s="14"/>
      <c r="C91" s="13"/>
      <c r="D91" s="13" t="s">
        <v>539</v>
      </c>
      <c r="E91" s="13" t="s">
        <v>808</v>
      </c>
      <c r="F91" s="37">
        <v>897231</v>
      </c>
      <c r="G91" s="29" t="s">
        <v>8847</v>
      </c>
      <c r="H91" s="14">
        <v>43623</v>
      </c>
      <c r="I91" s="4" t="s">
        <v>421</v>
      </c>
      <c r="J91" s="133"/>
      <c r="K91" s="22"/>
      <c r="L91" s="134"/>
    </row>
    <row r="92" spans="1:12" s="97" customFormat="1" hidden="1" x14ac:dyDescent="0.25">
      <c r="A92" s="61" t="s">
        <v>1148</v>
      </c>
      <c r="B92" s="14"/>
      <c r="C92" s="13"/>
      <c r="D92" s="13" t="s">
        <v>539</v>
      </c>
      <c r="E92" s="13" t="s">
        <v>808</v>
      </c>
      <c r="F92" s="4">
        <v>967556</v>
      </c>
      <c r="G92" s="28" t="s">
        <v>4139</v>
      </c>
      <c r="H92" s="14">
        <v>43626</v>
      </c>
      <c r="I92" s="4" t="s">
        <v>9113</v>
      </c>
      <c r="J92" s="133"/>
      <c r="K92" s="22"/>
      <c r="L92" s="134"/>
    </row>
    <row r="93" spans="1:12" s="97" customFormat="1" hidden="1" x14ac:dyDescent="0.25">
      <c r="A93" s="61" t="s">
        <v>1148</v>
      </c>
      <c r="B93" s="14"/>
      <c r="C93" s="13"/>
      <c r="D93" s="13" t="s">
        <v>539</v>
      </c>
      <c r="E93" s="13" t="s">
        <v>808</v>
      </c>
      <c r="F93" s="37">
        <v>821019</v>
      </c>
      <c r="G93" s="29" t="s">
        <v>9114</v>
      </c>
      <c r="H93" s="14">
        <v>43626</v>
      </c>
      <c r="I93" s="4" t="s">
        <v>421</v>
      </c>
      <c r="J93" s="133"/>
      <c r="K93" s="22"/>
      <c r="L93" s="134"/>
    </row>
    <row r="94" spans="1:12" s="97" customFormat="1" hidden="1" x14ac:dyDescent="0.25">
      <c r="A94" s="61" t="s">
        <v>1148</v>
      </c>
      <c r="B94" s="14"/>
      <c r="C94" s="13"/>
      <c r="D94" s="13" t="s">
        <v>539</v>
      </c>
      <c r="E94" s="13" t="s">
        <v>808</v>
      </c>
      <c r="F94" s="37">
        <v>844335</v>
      </c>
      <c r="G94" s="29" t="s">
        <v>9115</v>
      </c>
      <c r="H94" s="14">
        <v>43626</v>
      </c>
      <c r="I94" s="4" t="s">
        <v>1349</v>
      </c>
      <c r="J94" s="133"/>
      <c r="K94" s="22"/>
      <c r="L94" s="134"/>
    </row>
    <row r="95" spans="1:12" s="97" customFormat="1" hidden="1" x14ac:dyDescent="0.25">
      <c r="A95" s="61" t="s">
        <v>1148</v>
      </c>
      <c r="B95" s="14"/>
      <c r="C95" s="13"/>
      <c r="D95" s="13" t="s">
        <v>539</v>
      </c>
      <c r="E95" s="13" t="s">
        <v>808</v>
      </c>
      <c r="F95" s="37">
        <v>973188</v>
      </c>
      <c r="G95" s="29" t="s">
        <v>9116</v>
      </c>
      <c r="H95" s="14">
        <v>43627</v>
      </c>
      <c r="I95" s="4" t="s">
        <v>8100</v>
      </c>
      <c r="J95" s="133"/>
      <c r="K95" s="22"/>
      <c r="L95" s="134"/>
    </row>
    <row r="96" spans="1:12" s="97" customFormat="1" hidden="1" x14ac:dyDescent="0.25">
      <c r="A96" s="61" t="s">
        <v>1148</v>
      </c>
      <c r="B96" s="14"/>
      <c r="C96" s="13"/>
      <c r="D96" s="13" t="s">
        <v>539</v>
      </c>
      <c r="E96" s="13" t="s">
        <v>808</v>
      </c>
      <c r="F96" s="37">
        <v>893664</v>
      </c>
      <c r="G96" s="29" t="s">
        <v>9117</v>
      </c>
      <c r="H96" s="14">
        <v>43627</v>
      </c>
      <c r="I96" s="4" t="s">
        <v>443</v>
      </c>
      <c r="J96" s="133"/>
      <c r="K96" s="22"/>
      <c r="L96" s="134"/>
    </row>
    <row r="97" spans="1:12" s="97" customFormat="1" hidden="1" x14ac:dyDescent="0.25">
      <c r="A97" s="61" t="s">
        <v>1148</v>
      </c>
      <c r="B97" s="14"/>
      <c r="C97" s="13"/>
      <c r="D97" s="13" t="s">
        <v>539</v>
      </c>
      <c r="E97" s="13" t="s">
        <v>808</v>
      </c>
      <c r="F97" s="37">
        <v>895680</v>
      </c>
      <c r="G97" s="29" t="s">
        <v>5905</v>
      </c>
      <c r="H97" s="14">
        <v>43633</v>
      </c>
      <c r="I97" s="4" t="s">
        <v>443</v>
      </c>
      <c r="J97" s="133"/>
      <c r="K97" s="22"/>
      <c r="L97" s="134"/>
    </row>
    <row r="98" spans="1:12" s="97" customFormat="1" hidden="1" x14ac:dyDescent="0.25">
      <c r="A98" s="61" t="s">
        <v>455</v>
      </c>
      <c r="B98" s="14"/>
      <c r="C98" s="13"/>
      <c r="D98" s="13" t="s">
        <v>539</v>
      </c>
      <c r="E98" s="13" t="s">
        <v>958</v>
      </c>
      <c r="F98" s="37">
        <v>938496</v>
      </c>
      <c r="G98" s="29" t="s">
        <v>9118</v>
      </c>
      <c r="H98" s="14">
        <v>43634</v>
      </c>
      <c r="I98" s="4" t="s">
        <v>443</v>
      </c>
      <c r="J98" s="133"/>
      <c r="K98" s="22"/>
      <c r="L98" s="134"/>
    </row>
    <row r="99" spans="1:12" s="97" customFormat="1" hidden="1" x14ac:dyDescent="0.25">
      <c r="A99" s="61" t="s">
        <v>1147</v>
      </c>
      <c r="B99" s="14"/>
      <c r="C99" s="13"/>
      <c r="D99" s="13" t="s">
        <v>539</v>
      </c>
      <c r="E99" s="13" t="s">
        <v>808</v>
      </c>
      <c r="F99" s="37">
        <v>896943</v>
      </c>
      <c r="G99" s="29" t="s">
        <v>9387</v>
      </c>
      <c r="H99" s="14">
        <v>43642</v>
      </c>
      <c r="I99" s="4" t="s">
        <v>4113</v>
      </c>
      <c r="J99" s="133"/>
      <c r="K99" s="22"/>
      <c r="L99" s="134"/>
    </row>
    <row r="100" spans="1:12" s="97" customFormat="1" hidden="1" x14ac:dyDescent="0.25">
      <c r="A100" s="61" t="s">
        <v>659</v>
      </c>
      <c r="B100" s="14"/>
      <c r="C100" s="13"/>
      <c r="D100" s="13" t="s">
        <v>1206</v>
      </c>
      <c r="E100" s="13" t="s">
        <v>808</v>
      </c>
      <c r="F100" s="4">
        <v>860000</v>
      </c>
      <c r="G100" s="29" t="s">
        <v>8102</v>
      </c>
      <c r="H100" s="14">
        <v>43601</v>
      </c>
      <c r="I100" s="4" t="s">
        <v>4352</v>
      </c>
      <c r="J100" s="133"/>
      <c r="K100" s="22"/>
      <c r="L100" s="134"/>
    </row>
    <row r="101" spans="1:12" s="97" customFormat="1" hidden="1" x14ac:dyDescent="0.25">
      <c r="A101" s="61" t="s">
        <v>1147</v>
      </c>
      <c r="B101" s="14"/>
      <c r="C101" s="13"/>
      <c r="D101" s="13" t="s">
        <v>1206</v>
      </c>
      <c r="E101" s="13" t="s">
        <v>808</v>
      </c>
      <c r="F101" s="37">
        <v>866000</v>
      </c>
      <c r="G101" s="29" t="s">
        <v>8618</v>
      </c>
      <c r="H101" s="14">
        <v>43619</v>
      </c>
      <c r="I101" s="4" t="s">
        <v>1207</v>
      </c>
      <c r="J101" s="133"/>
      <c r="K101" s="22"/>
      <c r="L101" s="134"/>
    </row>
    <row r="102" spans="1:12" s="97" customFormat="1" hidden="1" x14ac:dyDescent="0.25">
      <c r="A102" s="61" t="s">
        <v>1147</v>
      </c>
      <c r="B102" s="14"/>
      <c r="C102" s="13"/>
      <c r="D102" s="13" t="s">
        <v>1206</v>
      </c>
      <c r="E102" s="13" t="s">
        <v>808</v>
      </c>
      <c r="F102" s="37">
        <v>866000</v>
      </c>
      <c r="G102" s="29" t="s">
        <v>9119</v>
      </c>
      <c r="H102" s="14">
        <v>43629</v>
      </c>
      <c r="I102" s="4" t="s">
        <v>1207</v>
      </c>
      <c r="J102" s="133"/>
      <c r="K102" s="22"/>
      <c r="L102" s="134"/>
    </row>
    <row r="103" spans="1:12" s="97" customFormat="1" hidden="1" x14ac:dyDescent="0.25">
      <c r="A103" s="61" t="s">
        <v>1147</v>
      </c>
      <c r="B103" s="14"/>
      <c r="C103" s="13"/>
      <c r="D103" s="13" t="s">
        <v>1206</v>
      </c>
      <c r="E103" s="13" t="s">
        <v>808</v>
      </c>
      <c r="F103" s="37">
        <v>870000</v>
      </c>
      <c r="G103" s="29" t="s">
        <v>9388</v>
      </c>
      <c r="H103" s="14">
        <v>43635</v>
      </c>
      <c r="I103" s="4" t="s">
        <v>1349</v>
      </c>
      <c r="J103" s="133"/>
      <c r="K103" s="22"/>
      <c r="L103" s="134"/>
    </row>
    <row r="104" spans="1:12" s="97" customFormat="1" hidden="1" x14ac:dyDescent="0.25">
      <c r="A104" s="61" t="s">
        <v>1147</v>
      </c>
      <c r="B104" s="14"/>
      <c r="C104" s="13"/>
      <c r="D104" s="13" t="s">
        <v>276</v>
      </c>
      <c r="E104" s="13" t="s">
        <v>808</v>
      </c>
      <c r="F104" s="4">
        <v>874000</v>
      </c>
      <c r="G104" s="29" t="s">
        <v>7461</v>
      </c>
      <c r="H104" s="14">
        <v>43581</v>
      </c>
      <c r="I104" s="4" t="s">
        <v>1207</v>
      </c>
      <c r="J104" s="133"/>
      <c r="K104" s="22"/>
      <c r="L104" s="134"/>
    </row>
    <row r="105" spans="1:12" s="97" customFormat="1" hidden="1" x14ac:dyDescent="0.25">
      <c r="A105" s="61" t="s">
        <v>1147</v>
      </c>
      <c r="B105" s="14"/>
      <c r="C105" s="13"/>
      <c r="D105" s="13" t="s">
        <v>276</v>
      </c>
      <c r="E105" s="13" t="s">
        <v>808</v>
      </c>
      <c r="F105" s="4">
        <v>887826</v>
      </c>
      <c r="G105" s="29" t="s">
        <v>4834</v>
      </c>
      <c r="H105" s="14">
        <v>43581</v>
      </c>
      <c r="I105" s="4" t="s">
        <v>7462</v>
      </c>
      <c r="J105" s="133"/>
      <c r="K105" s="22"/>
      <c r="L105" s="134"/>
    </row>
    <row r="106" spans="1:12" s="97" customFormat="1" hidden="1" x14ac:dyDescent="0.25">
      <c r="A106" s="61" t="s">
        <v>1149</v>
      </c>
      <c r="B106" s="14"/>
      <c r="C106" s="13"/>
      <c r="D106" s="13" t="s">
        <v>276</v>
      </c>
      <c r="E106" s="13" t="s">
        <v>808</v>
      </c>
      <c r="F106" s="4">
        <v>938740</v>
      </c>
      <c r="G106" s="29" t="s">
        <v>8103</v>
      </c>
      <c r="H106" s="14">
        <v>43584</v>
      </c>
      <c r="I106" s="4" t="s">
        <v>8104</v>
      </c>
      <c r="J106" s="133"/>
      <c r="K106" s="22"/>
      <c r="L106" s="134"/>
    </row>
    <row r="107" spans="1:12" s="97" customFormat="1" hidden="1" x14ac:dyDescent="0.25">
      <c r="A107" s="61" t="s">
        <v>1316</v>
      </c>
      <c r="B107" s="14"/>
      <c r="C107" s="13"/>
      <c r="D107" s="13" t="s">
        <v>276</v>
      </c>
      <c r="E107" s="13" t="s">
        <v>808</v>
      </c>
      <c r="F107" s="4">
        <v>911436</v>
      </c>
      <c r="G107" s="29" t="s">
        <v>8105</v>
      </c>
      <c r="H107" s="14">
        <v>43599</v>
      </c>
      <c r="I107" s="4" t="s">
        <v>777</v>
      </c>
      <c r="J107" s="133"/>
      <c r="K107" s="22"/>
      <c r="L107" s="134"/>
    </row>
    <row r="108" spans="1:12" s="97" customFormat="1" hidden="1" x14ac:dyDescent="0.25">
      <c r="A108" s="61" t="s">
        <v>9096</v>
      </c>
      <c r="B108" s="14"/>
      <c r="C108" s="13"/>
      <c r="D108" s="13" t="s">
        <v>276</v>
      </c>
      <c r="E108" s="13" t="s">
        <v>691</v>
      </c>
      <c r="F108" s="37">
        <v>28700</v>
      </c>
      <c r="G108" s="29" t="s">
        <v>9120</v>
      </c>
      <c r="H108" s="14">
        <v>43622</v>
      </c>
      <c r="I108" s="4" t="s">
        <v>9121</v>
      </c>
      <c r="J108" s="133"/>
      <c r="K108" s="22"/>
      <c r="L108" s="134"/>
    </row>
    <row r="109" spans="1:12" s="97" customFormat="1" hidden="1" x14ac:dyDescent="0.25">
      <c r="A109" s="61" t="s">
        <v>1147</v>
      </c>
      <c r="B109" s="14"/>
      <c r="C109" s="13"/>
      <c r="D109" s="13" t="s">
        <v>276</v>
      </c>
      <c r="E109" s="13" t="s">
        <v>808</v>
      </c>
      <c r="F109" s="37">
        <v>1720000</v>
      </c>
      <c r="G109" s="29" t="s">
        <v>9389</v>
      </c>
      <c r="H109" s="14">
        <v>43637</v>
      </c>
      <c r="I109" s="4" t="s">
        <v>1207</v>
      </c>
      <c r="J109" s="133"/>
      <c r="K109" s="22"/>
      <c r="L109" s="134"/>
    </row>
    <row r="110" spans="1:12" s="97" customFormat="1" hidden="1" x14ac:dyDescent="0.25">
      <c r="A110" s="61" t="s">
        <v>455</v>
      </c>
      <c r="B110" s="14"/>
      <c r="C110" s="13"/>
      <c r="D110" s="13" t="s">
        <v>276</v>
      </c>
      <c r="E110" s="13" t="s">
        <v>958</v>
      </c>
      <c r="F110" s="37">
        <v>851830</v>
      </c>
      <c r="G110" s="29" t="s">
        <v>6073</v>
      </c>
      <c r="H110" s="14">
        <v>43637</v>
      </c>
      <c r="I110" s="4" t="s">
        <v>1207</v>
      </c>
      <c r="J110" s="133"/>
      <c r="K110" s="22"/>
      <c r="L110" s="134"/>
    </row>
    <row r="111" spans="1:12" s="97" customFormat="1" hidden="1" x14ac:dyDescent="0.25">
      <c r="A111" s="61" t="s">
        <v>1147</v>
      </c>
      <c r="B111" s="14"/>
      <c r="C111" s="13"/>
      <c r="D111" s="13" t="s">
        <v>276</v>
      </c>
      <c r="E111" s="13" t="s">
        <v>808</v>
      </c>
      <c r="F111" s="37">
        <v>890682</v>
      </c>
      <c r="G111" s="29" t="s">
        <v>9390</v>
      </c>
      <c r="H111" s="14">
        <v>43640</v>
      </c>
      <c r="I111" s="4" t="s">
        <v>8106</v>
      </c>
      <c r="J111" s="133"/>
      <c r="K111" s="22"/>
      <c r="L111" s="134"/>
    </row>
    <row r="112" spans="1:12" s="516" customFormat="1" hidden="1" x14ac:dyDescent="0.25">
      <c r="A112" s="61" t="s">
        <v>455</v>
      </c>
      <c r="B112" s="14"/>
      <c r="C112" s="13"/>
      <c r="D112" s="13" t="s">
        <v>254</v>
      </c>
      <c r="E112" s="13" t="s">
        <v>958</v>
      </c>
      <c r="F112" s="37">
        <v>835999.92</v>
      </c>
      <c r="G112" s="29" t="s">
        <v>8314</v>
      </c>
      <c r="H112" s="14">
        <v>43609</v>
      </c>
      <c r="I112" s="4" t="s">
        <v>421</v>
      </c>
      <c r="J112" s="515"/>
    </row>
    <row r="113" spans="1:12" s="97" customFormat="1" hidden="1" x14ac:dyDescent="0.25">
      <c r="A113" s="61" t="s">
        <v>1148</v>
      </c>
      <c r="B113" s="14"/>
      <c r="C113" s="13"/>
      <c r="D113" s="13" t="s">
        <v>254</v>
      </c>
      <c r="E113" s="13" t="s">
        <v>808</v>
      </c>
      <c r="F113" s="37">
        <v>875149.99</v>
      </c>
      <c r="G113" s="29" t="s">
        <v>9122</v>
      </c>
      <c r="H113" s="14">
        <v>43621</v>
      </c>
      <c r="I113" s="4" t="s">
        <v>9123</v>
      </c>
      <c r="J113" s="133"/>
      <c r="K113" s="22"/>
      <c r="L113" s="134"/>
    </row>
    <row r="114" spans="1:12" s="97" customFormat="1" hidden="1" x14ac:dyDescent="0.25">
      <c r="A114" s="61" t="s">
        <v>1148</v>
      </c>
      <c r="B114" s="14"/>
      <c r="C114" s="13"/>
      <c r="D114" s="13" t="s">
        <v>254</v>
      </c>
      <c r="E114" s="13" t="s">
        <v>808</v>
      </c>
      <c r="F114" s="37">
        <v>878100.01</v>
      </c>
      <c r="G114" s="29" t="s">
        <v>9124</v>
      </c>
      <c r="H114" s="14">
        <v>43621</v>
      </c>
      <c r="I114" s="4" t="s">
        <v>3871</v>
      </c>
      <c r="J114" s="133"/>
      <c r="K114" s="22"/>
      <c r="L114" s="134"/>
    </row>
    <row r="115" spans="1:12" s="97" customFormat="1" hidden="1" x14ac:dyDescent="0.25">
      <c r="A115" s="61" t="s">
        <v>1149</v>
      </c>
      <c r="B115" s="14"/>
      <c r="C115" s="13"/>
      <c r="D115" s="13" t="s">
        <v>254</v>
      </c>
      <c r="E115" s="13" t="s">
        <v>808</v>
      </c>
      <c r="F115" s="37">
        <v>851050.09</v>
      </c>
      <c r="G115" s="29" t="s">
        <v>9391</v>
      </c>
      <c r="H115" s="14">
        <v>43629</v>
      </c>
      <c r="I115" s="4" t="s">
        <v>2175</v>
      </c>
      <c r="J115" s="133"/>
      <c r="K115" s="22"/>
      <c r="L115" s="134"/>
    </row>
    <row r="116" spans="1:12" s="97" customFormat="1" hidden="1" x14ac:dyDescent="0.25">
      <c r="A116" s="61" t="s">
        <v>1147</v>
      </c>
      <c r="B116" s="14"/>
      <c r="C116" s="13"/>
      <c r="D116" s="13" t="s">
        <v>254</v>
      </c>
      <c r="E116" s="13" t="s">
        <v>808</v>
      </c>
      <c r="F116" s="37">
        <v>876196.07</v>
      </c>
      <c r="G116" s="29" t="s">
        <v>9392</v>
      </c>
      <c r="H116" s="14">
        <v>43634</v>
      </c>
      <c r="I116" s="4" t="s">
        <v>8106</v>
      </c>
      <c r="J116" s="133"/>
      <c r="K116" s="22"/>
      <c r="L116" s="134"/>
    </row>
    <row r="117" spans="1:12" s="97" customFormat="1" hidden="1" x14ac:dyDescent="0.25">
      <c r="A117" s="61" t="s">
        <v>1316</v>
      </c>
      <c r="B117" s="14"/>
      <c r="C117" s="13"/>
      <c r="D117" s="13" t="s">
        <v>254</v>
      </c>
      <c r="E117" s="13" t="s">
        <v>808</v>
      </c>
      <c r="F117" s="37">
        <v>850000.08</v>
      </c>
      <c r="G117" s="29" t="s">
        <v>9393</v>
      </c>
      <c r="H117" s="14">
        <v>43634</v>
      </c>
      <c r="I117" s="4" t="s">
        <v>421</v>
      </c>
      <c r="J117" s="133"/>
      <c r="K117" s="22"/>
      <c r="L117" s="134"/>
    </row>
    <row r="118" spans="1:12" s="97" customFormat="1" hidden="1" x14ac:dyDescent="0.25">
      <c r="A118" s="61" t="s">
        <v>1147</v>
      </c>
      <c r="B118" s="14"/>
      <c r="C118" s="13"/>
      <c r="D118" s="13" t="s">
        <v>6642</v>
      </c>
      <c r="E118" s="13" t="s">
        <v>808</v>
      </c>
      <c r="F118" s="37">
        <v>776392</v>
      </c>
      <c r="G118" s="29" t="s">
        <v>1342</v>
      </c>
      <c r="H118" s="14">
        <v>43614</v>
      </c>
      <c r="I118" s="4" t="s">
        <v>1207</v>
      </c>
      <c r="J118" s="133"/>
      <c r="K118" s="22"/>
      <c r="L118" s="134"/>
    </row>
    <row r="119" spans="1:12" s="97" customFormat="1" hidden="1" x14ac:dyDescent="0.25">
      <c r="A119" s="61" t="s">
        <v>1147</v>
      </c>
      <c r="B119" s="14"/>
      <c r="C119" s="13"/>
      <c r="D119" s="13" t="s">
        <v>6642</v>
      </c>
      <c r="E119" s="13" t="s">
        <v>808</v>
      </c>
      <c r="F119" s="37">
        <v>818336</v>
      </c>
      <c r="G119" s="29" t="s">
        <v>8619</v>
      </c>
      <c r="H119" s="14">
        <v>43615</v>
      </c>
      <c r="I119" s="4" t="s">
        <v>1207</v>
      </c>
      <c r="J119" s="133"/>
      <c r="K119" s="22"/>
      <c r="L119" s="134"/>
    </row>
    <row r="120" spans="1:12" s="97" customFormat="1" hidden="1" x14ac:dyDescent="0.25">
      <c r="A120" s="61" t="s">
        <v>1148</v>
      </c>
      <c r="B120" s="14"/>
      <c r="C120" s="13"/>
      <c r="D120" s="13" t="s">
        <v>6642</v>
      </c>
      <c r="E120" s="13" t="s">
        <v>808</v>
      </c>
      <c r="F120" s="37">
        <v>850795</v>
      </c>
      <c r="G120" s="29" t="s">
        <v>3588</v>
      </c>
      <c r="H120" s="14">
        <v>43619</v>
      </c>
      <c r="I120" s="4" t="s">
        <v>5931</v>
      </c>
      <c r="J120" s="133"/>
      <c r="K120" s="22"/>
      <c r="L120" s="134"/>
    </row>
    <row r="121" spans="1:12" s="97" customFormat="1" hidden="1" x14ac:dyDescent="0.25">
      <c r="A121" s="61" t="s">
        <v>1148</v>
      </c>
      <c r="B121" s="14"/>
      <c r="C121" s="13"/>
      <c r="D121" s="13" t="s">
        <v>6642</v>
      </c>
      <c r="E121" s="13" t="s">
        <v>808</v>
      </c>
      <c r="F121" s="37">
        <v>831899</v>
      </c>
      <c r="G121" s="29" t="s">
        <v>5450</v>
      </c>
      <c r="H121" s="14">
        <v>43630</v>
      </c>
      <c r="I121" s="4" t="s">
        <v>765</v>
      </c>
      <c r="J121" s="133"/>
      <c r="K121" s="22"/>
      <c r="L121" s="134"/>
    </row>
    <row r="122" spans="1:12" s="97" customFormat="1" hidden="1" x14ac:dyDescent="0.25">
      <c r="A122" s="61" t="s">
        <v>1147</v>
      </c>
      <c r="B122" s="14"/>
      <c r="C122" s="13"/>
      <c r="D122" s="13" t="s">
        <v>6642</v>
      </c>
      <c r="E122" s="13" t="s">
        <v>808</v>
      </c>
      <c r="F122" s="37">
        <v>825143.4</v>
      </c>
      <c r="G122" s="29" t="s">
        <v>5043</v>
      </c>
      <c r="H122" s="14">
        <v>43634</v>
      </c>
      <c r="I122" s="4" t="s">
        <v>1207</v>
      </c>
      <c r="J122" s="133"/>
      <c r="K122" s="22"/>
      <c r="L122" s="134"/>
    </row>
    <row r="123" spans="1:12" s="97" customFormat="1" hidden="1" x14ac:dyDescent="0.25">
      <c r="A123" s="14" t="s">
        <v>311</v>
      </c>
      <c r="B123" s="14"/>
      <c r="C123" s="13"/>
      <c r="D123" s="13" t="s">
        <v>589</v>
      </c>
      <c r="E123" s="13" t="s">
        <v>958</v>
      </c>
      <c r="F123" s="4">
        <f>804000</f>
        <v>804000</v>
      </c>
      <c r="G123" s="29" t="s">
        <v>7101</v>
      </c>
      <c r="H123" s="14">
        <v>43573</v>
      </c>
      <c r="I123" s="4" t="s">
        <v>7102</v>
      </c>
      <c r="J123" s="133"/>
      <c r="K123" s="22"/>
      <c r="L123" s="134"/>
    </row>
    <row r="124" spans="1:12" s="97" customFormat="1" hidden="1" x14ac:dyDescent="0.25">
      <c r="A124" s="61" t="s">
        <v>311</v>
      </c>
      <c r="B124" s="14"/>
      <c r="C124" s="13"/>
      <c r="D124" s="13" t="s">
        <v>589</v>
      </c>
      <c r="E124" s="13" t="s">
        <v>958</v>
      </c>
      <c r="F124" s="4">
        <v>806435.2</v>
      </c>
      <c r="G124" s="29" t="s">
        <v>7103</v>
      </c>
      <c r="H124" s="14">
        <v>43574</v>
      </c>
      <c r="I124" s="4" t="s">
        <v>7104</v>
      </c>
      <c r="J124" s="133"/>
      <c r="K124" s="22"/>
      <c r="L124" s="134"/>
    </row>
    <row r="125" spans="1:12" s="97" customFormat="1" hidden="1" x14ac:dyDescent="0.25">
      <c r="A125" s="61" t="s">
        <v>311</v>
      </c>
      <c r="B125" s="14"/>
      <c r="C125" s="13"/>
      <c r="D125" s="13" t="s">
        <v>589</v>
      </c>
      <c r="E125" s="13" t="s">
        <v>958</v>
      </c>
      <c r="F125" s="4">
        <v>802794</v>
      </c>
      <c r="G125" s="29" t="s">
        <v>7105</v>
      </c>
      <c r="H125" s="14">
        <v>43574</v>
      </c>
      <c r="I125" s="4" t="s">
        <v>7102</v>
      </c>
      <c r="J125" s="133"/>
      <c r="K125" s="22"/>
      <c r="L125" s="134"/>
    </row>
    <row r="126" spans="1:12" s="97" customFormat="1" hidden="1" x14ac:dyDescent="0.25">
      <c r="A126" s="61" t="s">
        <v>311</v>
      </c>
      <c r="B126" s="14"/>
      <c r="C126" s="13"/>
      <c r="D126" s="13" t="s">
        <v>589</v>
      </c>
      <c r="E126" s="13" t="s">
        <v>958</v>
      </c>
      <c r="F126" s="4">
        <v>800382</v>
      </c>
      <c r="G126" s="29" t="s">
        <v>7106</v>
      </c>
      <c r="H126" s="14">
        <v>43574</v>
      </c>
      <c r="I126" s="4" t="s">
        <v>7102</v>
      </c>
      <c r="J126" s="133"/>
      <c r="K126" s="22"/>
      <c r="L126" s="134"/>
    </row>
    <row r="127" spans="1:12" s="97" customFormat="1" hidden="1" x14ac:dyDescent="0.25">
      <c r="A127" s="61" t="s">
        <v>659</v>
      </c>
      <c r="B127" s="14"/>
      <c r="C127" s="13"/>
      <c r="D127" s="13" t="s">
        <v>589</v>
      </c>
      <c r="E127" s="13" t="s">
        <v>808</v>
      </c>
      <c r="F127" s="4">
        <f>834708.9-259264</f>
        <v>575444.9</v>
      </c>
      <c r="G127" s="29" t="s">
        <v>7757</v>
      </c>
      <c r="H127" s="14">
        <v>43593</v>
      </c>
      <c r="I127" s="4" t="s">
        <v>4352</v>
      </c>
      <c r="J127" s="133"/>
      <c r="K127" s="22"/>
      <c r="L127" s="134"/>
    </row>
    <row r="128" spans="1:12" s="97" customFormat="1" hidden="1" x14ac:dyDescent="0.25">
      <c r="A128" s="61" t="s">
        <v>659</v>
      </c>
      <c r="B128" s="14"/>
      <c r="C128" s="13"/>
      <c r="D128" s="13" t="s">
        <v>589</v>
      </c>
      <c r="E128" s="13" t="s">
        <v>808</v>
      </c>
      <c r="F128" s="4">
        <v>840000</v>
      </c>
      <c r="G128" s="29" t="s">
        <v>7758</v>
      </c>
      <c r="H128" s="14">
        <v>43598</v>
      </c>
      <c r="I128" s="4" t="s">
        <v>423</v>
      </c>
      <c r="J128" s="133"/>
      <c r="K128" s="22"/>
      <c r="L128" s="134"/>
    </row>
    <row r="129" spans="1:12" s="97" customFormat="1" hidden="1" x14ac:dyDescent="0.25">
      <c r="A129" s="61" t="s">
        <v>1148</v>
      </c>
      <c r="B129" s="14"/>
      <c r="C129" s="13"/>
      <c r="D129" s="13" t="s">
        <v>589</v>
      </c>
      <c r="E129" s="13" t="s">
        <v>808</v>
      </c>
      <c r="F129" s="4">
        <v>960487</v>
      </c>
      <c r="G129" s="29" t="s">
        <v>7759</v>
      </c>
      <c r="H129" s="14">
        <v>43598</v>
      </c>
      <c r="I129" s="4" t="s">
        <v>7760</v>
      </c>
      <c r="J129" s="133"/>
      <c r="K129" s="22"/>
      <c r="L129" s="134"/>
    </row>
    <row r="130" spans="1:12" s="97" customFormat="1" hidden="1" x14ac:dyDescent="0.25">
      <c r="A130" s="61" t="s">
        <v>1148</v>
      </c>
      <c r="B130" s="14"/>
      <c r="C130" s="13"/>
      <c r="D130" s="13" t="s">
        <v>589</v>
      </c>
      <c r="E130" s="13" t="s">
        <v>808</v>
      </c>
      <c r="F130" s="4">
        <v>837150</v>
      </c>
      <c r="G130" s="28" t="s">
        <v>7761</v>
      </c>
      <c r="H130" s="14">
        <v>43599</v>
      </c>
      <c r="I130" s="4" t="s">
        <v>3422</v>
      </c>
      <c r="J130" s="133"/>
      <c r="K130" s="22"/>
      <c r="L130" s="134"/>
    </row>
    <row r="131" spans="1:12" s="97" customFormat="1" hidden="1" x14ac:dyDescent="0.25">
      <c r="A131" s="61" t="s">
        <v>659</v>
      </c>
      <c r="B131" s="14"/>
      <c r="C131" s="13"/>
      <c r="D131" s="13" t="s">
        <v>589</v>
      </c>
      <c r="E131" s="13" t="s">
        <v>808</v>
      </c>
      <c r="F131" s="4">
        <v>846720</v>
      </c>
      <c r="G131" s="28" t="s">
        <v>7762</v>
      </c>
      <c r="H131" s="14">
        <v>43600</v>
      </c>
      <c r="I131" s="4" t="s">
        <v>423</v>
      </c>
      <c r="J131" s="133"/>
      <c r="K131" s="22"/>
      <c r="L131" s="134"/>
    </row>
    <row r="132" spans="1:12" s="97" customFormat="1" hidden="1" x14ac:dyDescent="0.25">
      <c r="A132" s="61" t="s">
        <v>1149</v>
      </c>
      <c r="B132" s="14"/>
      <c r="C132" s="13"/>
      <c r="D132" s="13" t="s">
        <v>589</v>
      </c>
      <c r="E132" s="13" t="s">
        <v>808</v>
      </c>
      <c r="F132" s="4">
        <v>867570</v>
      </c>
      <c r="G132" s="29" t="s">
        <v>8109</v>
      </c>
      <c r="H132" s="14">
        <v>43606</v>
      </c>
      <c r="I132" s="4" t="s">
        <v>7099</v>
      </c>
      <c r="J132" s="133"/>
      <c r="K132" s="22"/>
      <c r="L132" s="134"/>
    </row>
    <row r="133" spans="1:12" s="97" customFormat="1" hidden="1" x14ac:dyDescent="0.25">
      <c r="A133" s="61" t="s">
        <v>455</v>
      </c>
      <c r="B133" s="14"/>
      <c r="C133" s="13"/>
      <c r="D133" s="13" t="s">
        <v>589</v>
      </c>
      <c r="E133" s="13" t="s">
        <v>958</v>
      </c>
      <c r="F133" s="37">
        <v>845000</v>
      </c>
      <c r="G133" s="29" t="s">
        <v>3167</v>
      </c>
      <c r="H133" s="14">
        <v>43606</v>
      </c>
      <c r="I133" s="4" t="s">
        <v>3429</v>
      </c>
      <c r="J133" s="133"/>
      <c r="K133" s="22"/>
      <c r="L133" s="134"/>
    </row>
    <row r="134" spans="1:12" s="97" customFormat="1" hidden="1" x14ac:dyDescent="0.25">
      <c r="A134" s="61" t="s">
        <v>1148</v>
      </c>
      <c r="B134" s="14"/>
      <c r="C134" s="13"/>
      <c r="D134" s="13" t="s">
        <v>589</v>
      </c>
      <c r="E134" s="13" t="s">
        <v>808</v>
      </c>
      <c r="F134" s="37">
        <v>966650</v>
      </c>
      <c r="G134" s="29" t="s">
        <v>8316</v>
      </c>
      <c r="H134" s="14">
        <v>43608</v>
      </c>
      <c r="I134" s="4" t="s">
        <v>8317</v>
      </c>
      <c r="J134" s="133"/>
      <c r="K134" s="22"/>
      <c r="L134" s="134"/>
    </row>
    <row r="135" spans="1:12" s="97" customFormat="1" hidden="1" x14ac:dyDescent="0.25">
      <c r="A135" s="61" t="s">
        <v>659</v>
      </c>
      <c r="B135" s="14"/>
      <c r="C135" s="13"/>
      <c r="D135" s="13" t="s">
        <v>589</v>
      </c>
      <c r="E135" s="13" t="s">
        <v>808</v>
      </c>
      <c r="F135" s="37">
        <v>245642</v>
      </c>
      <c r="G135" s="29" t="s">
        <v>6535</v>
      </c>
      <c r="H135" s="14">
        <v>43613</v>
      </c>
      <c r="I135" s="4" t="s">
        <v>3526</v>
      </c>
      <c r="J135" s="133"/>
      <c r="K135" s="22"/>
      <c r="L135" s="134"/>
    </row>
    <row r="136" spans="1:12" s="97" customFormat="1" hidden="1" x14ac:dyDescent="0.25">
      <c r="A136" s="61" t="s">
        <v>1147</v>
      </c>
      <c r="B136" s="14"/>
      <c r="C136" s="13"/>
      <c r="D136" s="13" t="s">
        <v>589</v>
      </c>
      <c r="E136" s="13" t="s">
        <v>808</v>
      </c>
      <c r="F136" s="37">
        <v>871922</v>
      </c>
      <c r="G136" s="29" t="s">
        <v>8848</v>
      </c>
      <c r="H136" s="14">
        <v>43622</v>
      </c>
      <c r="I136" s="4" t="s">
        <v>8849</v>
      </c>
      <c r="J136" s="133"/>
      <c r="K136" s="22"/>
      <c r="L136" s="134"/>
    </row>
    <row r="137" spans="1:12" s="97" customFormat="1" hidden="1" x14ac:dyDescent="0.25">
      <c r="A137" s="61" t="s">
        <v>1350</v>
      </c>
      <c r="B137" s="14"/>
      <c r="C137" s="13"/>
      <c r="D137" s="13" t="s">
        <v>589</v>
      </c>
      <c r="E137" s="13" t="s">
        <v>691</v>
      </c>
      <c r="F137" s="37">
        <v>940376</v>
      </c>
      <c r="G137" s="29" t="s">
        <v>9125</v>
      </c>
      <c r="H137" s="14">
        <v>43623</v>
      </c>
      <c r="I137" s="4" t="s">
        <v>443</v>
      </c>
      <c r="J137" s="133"/>
      <c r="K137" s="22"/>
      <c r="L137" s="134"/>
    </row>
    <row r="138" spans="1:12" s="97" customFormat="1" hidden="1" x14ac:dyDescent="0.25">
      <c r="A138" s="61" t="s">
        <v>1350</v>
      </c>
      <c r="B138" s="14"/>
      <c r="C138" s="13"/>
      <c r="D138" s="13" t="s">
        <v>589</v>
      </c>
      <c r="E138" s="13" t="s">
        <v>691</v>
      </c>
      <c r="F138" s="37">
        <v>958920</v>
      </c>
      <c r="G138" s="29" t="s">
        <v>9126</v>
      </c>
      <c r="H138" s="14">
        <v>43626</v>
      </c>
      <c r="I138" s="4" t="s">
        <v>443</v>
      </c>
      <c r="J138" s="133"/>
      <c r="K138" s="22"/>
      <c r="L138" s="134"/>
    </row>
    <row r="139" spans="1:12" s="97" customFormat="1" hidden="1" x14ac:dyDescent="0.25">
      <c r="A139" s="61" t="s">
        <v>1147</v>
      </c>
      <c r="B139" s="14"/>
      <c r="C139" s="13"/>
      <c r="D139" s="13" t="s">
        <v>589</v>
      </c>
      <c r="E139" s="13" t="s">
        <v>808</v>
      </c>
      <c r="F139" s="37">
        <v>932695</v>
      </c>
      <c r="G139" s="29" t="s">
        <v>9127</v>
      </c>
      <c r="H139" s="14">
        <v>43626</v>
      </c>
      <c r="I139" s="4" t="s">
        <v>9128</v>
      </c>
      <c r="J139" s="133"/>
      <c r="K139" s="22"/>
      <c r="L139" s="134"/>
    </row>
    <row r="140" spans="1:12" s="97" customFormat="1" hidden="1" x14ac:dyDescent="0.25">
      <c r="A140" s="61" t="s">
        <v>1147</v>
      </c>
      <c r="B140" s="14"/>
      <c r="C140" s="13"/>
      <c r="D140" s="13" t="s">
        <v>589</v>
      </c>
      <c r="E140" s="13" t="s">
        <v>808</v>
      </c>
      <c r="F140" s="37">
        <v>880416</v>
      </c>
      <c r="G140" s="29" t="s">
        <v>9129</v>
      </c>
      <c r="H140" s="14">
        <v>43626</v>
      </c>
      <c r="I140" s="4" t="s">
        <v>423</v>
      </c>
      <c r="J140" s="133"/>
      <c r="K140" s="22"/>
      <c r="L140" s="134"/>
    </row>
    <row r="141" spans="1:12" s="97" customFormat="1" hidden="1" x14ac:dyDescent="0.25">
      <c r="A141" s="61" t="s">
        <v>1350</v>
      </c>
      <c r="B141" s="14"/>
      <c r="C141" s="13"/>
      <c r="D141" s="13" t="s">
        <v>589</v>
      </c>
      <c r="E141" s="13" t="s">
        <v>691</v>
      </c>
      <c r="F141" s="37">
        <v>805884</v>
      </c>
      <c r="G141" s="29" t="s">
        <v>9394</v>
      </c>
      <c r="H141" s="14">
        <v>43633</v>
      </c>
      <c r="I141" s="4" t="s">
        <v>735</v>
      </c>
      <c r="J141" s="133"/>
      <c r="K141" s="22"/>
      <c r="L141" s="134"/>
    </row>
    <row r="142" spans="1:12" s="97" customFormat="1" hidden="1" x14ac:dyDescent="0.25">
      <c r="A142" s="61" t="s">
        <v>1316</v>
      </c>
      <c r="B142" s="14"/>
      <c r="C142" s="13"/>
      <c r="D142" s="13" t="s">
        <v>589</v>
      </c>
      <c r="E142" s="13" t="s">
        <v>808</v>
      </c>
      <c r="F142" s="37">
        <v>851620</v>
      </c>
      <c r="G142" s="29" t="s">
        <v>9395</v>
      </c>
      <c r="H142" s="14">
        <v>43635</v>
      </c>
      <c r="I142" s="4" t="s">
        <v>9396</v>
      </c>
      <c r="J142" s="133"/>
      <c r="K142" s="22"/>
      <c r="L142" s="134"/>
    </row>
    <row r="143" spans="1:12" s="97" customFormat="1" hidden="1" x14ac:dyDescent="0.25">
      <c r="A143" s="61" t="s">
        <v>1147</v>
      </c>
      <c r="B143" s="14"/>
      <c r="C143" s="13"/>
      <c r="D143" s="13" t="s">
        <v>589</v>
      </c>
      <c r="E143" s="13" t="s">
        <v>808</v>
      </c>
      <c r="F143" s="37">
        <v>913750</v>
      </c>
      <c r="G143" s="29" t="s">
        <v>9397</v>
      </c>
      <c r="H143" s="14">
        <v>43636</v>
      </c>
      <c r="I143" s="4" t="s">
        <v>4347</v>
      </c>
      <c r="J143" s="133"/>
      <c r="K143" s="22"/>
      <c r="L143" s="134"/>
    </row>
    <row r="144" spans="1:12" s="97" customFormat="1" hidden="1" x14ac:dyDescent="0.25">
      <c r="A144" s="61" t="s">
        <v>659</v>
      </c>
      <c r="B144" s="14"/>
      <c r="C144" s="13"/>
      <c r="D144" s="13" t="s">
        <v>589</v>
      </c>
      <c r="E144" s="13" t="s">
        <v>808</v>
      </c>
      <c r="F144" s="37">
        <v>883620</v>
      </c>
      <c r="G144" s="29" t="s">
        <v>9398</v>
      </c>
      <c r="H144" s="14">
        <v>43637</v>
      </c>
      <c r="I144" s="4" t="s">
        <v>5931</v>
      </c>
      <c r="J144" s="133"/>
      <c r="K144" s="22"/>
      <c r="L144" s="134"/>
    </row>
    <row r="145" spans="1:12" s="97" customFormat="1" hidden="1" x14ac:dyDescent="0.25">
      <c r="A145" s="61" t="s">
        <v>1149</v>
      </c>
      <c r="B145" s="14"/>
      <c r="C145" s="13"/>
      <c r="D145" s="13" t="s">
        <v>8111</v>
      </c>
      <c r="E145" s="13" t="s">
        <v>808</v>
      </c>
      <c r="F145" s="37">
        <v>895650</v>
      </c>
      <c r="G145" s="29" t="s">
        <v>9130</v>
      </c>
      <c r="H145" s="14">
        <v>43627</v>
      </c>
      <c r="I145" s="4" t="s">
        <v>9131</v>
      </c>
      <c r="J145" s="133"/>
      <c r="K145" s="22"/>
      <c r="L145" s="134"/>
    </row>
    <row r="146" spans="1:12" s="97" customFormat="1" hidden="1" x14ac:dyDescent="0.25">
      <c r="A146" s="61" t="s">
        <v>1149</v>
      </c>
      <c r="B146" s="14"/>
      <c r="C146" s="13"/>
      <c r="D146" s="13" t="s">
        <v>8111</v>
      </c>
      <c r="E146" s="13" t="s">
        <v>808</v>
      </c>
      <c r="F146" s="37">
        <v>872074</v>
      </c>
      <c r="G146" s="29" t="s">
        <v>9132</v>
      </c>
      <c r="H146" s="14">
        <v>43630</v>
      </c>
      <c r="I146" s="4" t="s">
        <v>9133</v>
      </c>
      <c r="J146" s="133"/>
      <c r="K146" s="22"/>
      <c r="L146" s="134"/>
    </row>
    <row r="147" spans="1:12" s="97" customFormat="1" hidden="1" x14ac:dyDescent="0.25">
      <c r="A147" s="14" t="s">
        <v>1148</v>
      </c>
      <c r="B147" s="14"/>
      <c r="C147" s="13"/>
      <c r="D147" s="13" t="s">
        <v>8111</v>
      </c>
      <c r="E147" s="13" t="s">
        <v>808</v>
      </c>
      <c r="F147" s="37">
        <v>939645</v>
      </c>
      <c r="G147" s="29" t="s">
        <v>9399</v>
      </c>
      <c r="H147" s="14">
        <v>43634</v>
      </c>
      <c r="I147" s="4" t="s">
        <v>7452</v>
      </c>
      <c r="J147" s="133"/>
      <c r="K147" s="22"/>
      <c r="L147" s="134"/>
    </row>
    <row r="148" spans="1:12" s="97" customFormat="1" hidden="1" x14ac:dyDescent="0.25">
      <c r="A148" s="61" t="s">
        <v>1147</v>
      </c>
      <c r="B148" s="14"/>
      <c r="C148" s="13"/>
      <c r="D148" s="13" t="s">
        <v>6805</v>
      </c>
      <c r="E148" s="13" t="s">
        <v>808</v>
      </c>
      <c r="F148" s="37">
        <v>843110</v>
      </c>
      <c r="G148" s="29" t="s">
        <v>6790</v>
      </c>
      <c r="H148" s="14">
        <v>43607</v>
      </c>
      <c r="I148" s="4" t="s">
        <v>2717</v>
      </c>
      <c r="J148" s="133"/>
      <c r="K148" s="22"/>
      <c r="L148" s="134"/>
    </row>
    <row r="149" spans="1:12" s="97" customFormat="1" hidden="1" x14ac:dyDescent="0.25">
      <c r="A149" s="61" t="s">
        <v>455</v>
      </c>
      <c r="B149" s="14"/>
      <c r="C149" s="13"/>
      <c r="D149" s="13" t="s">
        <v>6805</v>
      </c>
      <c r="E149" s="13" t="s">
        <v>958</v>
      </c>
      <c r="F149" s="37">
        <v>839500</v>
      </c>
      <c r="G149" s="29" t="s">
        <v>919</v>
      </c>
      <c r="H149" s="14">
        <v>43612</v>
      </c>
      <c r="I149" s="4" t="s">
        <v>421</v>
      </c>
      <c r="J149" s="133"/>
      <c r="K149" s="22"/>
      <c r="L149" s="134"/>
    </row>
    <row r="150" spans="1:12" s="97" customFormat="1" hidden="1" x14ac:dyDescent="0.25">
      <c r="A150" s="61" t="s">
        <v>1148</v>
      </c>
      <c r="B150" s="14"/>
      <c r="C150" s="13"/>
      <c r="D150" s="13" t="s">
        <v>6805</v>
      </c>
      <c r="E150" s="13" t="s">
        <v>808</v>
      </c>
      <c r="F150" s="37">
        <v>872640</v>
      </c>
      <c r="G150" s="29" t="s">
        <v>4265</v>
      </c>
      <c r="H150" s="14">
        <v>43623</v>
      </c>
      <c r="I150" s="4" t="s">
        <v>421</v>
      </c>
      <c r="J150" s="133"/>
      <c r="K150" s="22"/>
      <c r="L150" s="134"/>
    </row>
    <row r="151" spans="1:12" s="97" customFormat="1" hidden="1" x14ac:dyDescent="0.25">
      <c r="A151" s="14" t="s">
        <v>1147</v>
      </c>
      <c r="B151" s="14"/>
      <c r="C151" s="13"/>
      <c r="D151" s="13" t="s">
        <v>6805</v>
      </c>
      <c r="E151" s="13" t="s">
        <v>808</v>
      </c>
      <c r="F151" s="37">
        <v>872640</v>
      </c>
      <c r="G151" s="29" t="s">
        <v>7690</v>
      </c>
      <c r="H151" s="14">
        <v>43635</v>
      </c>
      <c r="I151" s="4" t="s">
        <v>421</v>
      </c>
      <c r="J151" s="133"/>
      <c r="K151" s="22"/>
      <c r="L151" s="134"/>
    </row>
    <row r="152" spans="1:12" s="97" customFormat="1" ht="27.6" hidden="1" x14ac:dyDescent="0.25">
      <c r="A152" s="61" t="s">
        <v>455</v>
      </c>
      <c r="B152" s="14"/>
      <c r="C152" s="13"/>
      <c r="D152" s="13" t="s">
        <v>7763</v>
      </c>
      <c r="E152" s="13" t="s">
        <v>958</v>
      </c>
      <c r="F152" s="37">
        <f>836500-436500</f>
        <v>400000</v>
      </c>
      <c r="G152" s="29" t="s">
        <v>8623</v>
      </c>
      <c r="H152" s="14">
        <v>43612</v>
      </c>
      <c r="I152" s="4" t="s">
        <v>6138</v>
      </c>
      <c r="J152" s="133"/>
      <c r="K152" s="22"/>
      <c r="L152" s="134"/>
    </row>
    <row r="153" spans="1:12" s="97" customFormat="1" ht="27.6" hidden="1" x14ac:dyDescent="0.25">
      <c r="A153" s="61" t="s">
        <v>455</v>
      </c>
      <c r="B153" s="14"/>
      <c r="C153" s="13"/>
      <c r="D153" s="13" t="s">
        <v>7763</v>
      </c>
      <c r="E153" s="13" t="s">
        <v>958</v>
      </c>
      <c r="F153" s="37">
        <v>842000</v>
      </c>
      <c r="G153" s="29" t="s">
        <v>9134</v>
      </c>
      <c r="H153" s="14">
        <v>43629</v>
      </c>
      <c r="I153" s="4" t="s">
        <v>423</v>
      </c>
      <c r="J153" s="133"/>
      <c r="K153" s="22"/>
      <c r="L153" s="134"/>
    </row>
    <row r="154" spans="1:12" s="97" customFormat="1" hidden="1" x14ac:dyDescent="0.25">
      <c r="A154" s="61" t="s">
        <v>1148</v>
      </c>
      <c r="B154" s="14"/>
      <c r="C154" s="13"/>
      <c r="D154" s="13" t="s">
        <v>1827</v>
      </c>
      <c r="E154" s="13" t="s">
        <v>808</v>
      </c>
      <c r="F154" s="4">
        <f>1728589-864000</f>
        <v>864589</v>
      </c>
      <c r="G154" s="29" t="s">
        <v>66</v>
      </c>
      <c r="H154" s="14">
        <v>43573</v>
      </c>
      <c r="I154" s="4" t="s">
        <v>4921</v>
      </c>
      <c r="J154" s="133"/>
      <c r="K154" s="22"/>
      <c r="L154" s="134"/>
    </row>
    <row r="155" spans="1:12" s="97" customFormat="1" hidden="1" x14ac:dyDescent="0.25">
      <c r="A155" s="61" t="s">
        <v>1148</v>
      </c>
      <c r="B155" s="14"/>
      <c r="C155" s="13"/>
      <c r="D155" s="13" t="s">
        <v>1827</v>
      </c>
      <c r="E155" s="13" t="s">
        <v>808</v>
      </c>
      <c r="F155" s="37">
        <v>878575</v>
      </c>
      <c r="G155" s="29" t="s">
        <v>3184</v>
      </c>
      <c r="H155" s="14">
        <v>43616</v>
      </c>
      <c r="I155" s="4" t="s">
        <v>8624</v>
      </c>
      <c r="J155" s="133"/>
      <c r="K155" s="22"/>
      <c r="L155" s="134"/>
    </row>
    <row r="156" spans="1:12" s="97" customFormat="1" hidden="1" x14ac:dyDescent="0.25">
      <c r="A156" s="61" t="s">
        <v>1147</v>
      </c>
      <c r="B156" s="14"/>
      <c r="C156" s="13"/>
      <c r="D156" s="13" t="s">
        <v>243</v>
      </c>
      <c r="E156" s="13" t="s">
        <v>808</v>
      </c>
      <c r="F156" s="37">
        <v>850249.44</v>
      </c>
      <c r="G156" s="29" t="s">
        <v>4682</v>
      </c>
      <c r="H156" s="14">
        <v>43608</v>
      </c>
      <c r="I156" s="4" t="s">
        <v>765</v>
      </c>
      <c r="J156" s="133"/>
      <c r="K156" s="22"/>
      <c r="L156" s="134"/>
    </row>
    <row r="157" spans="1:12" s="97" customFormat="1" hidden="1" x14ac:dyDescent="0.25">
      <c r="A157" s="61" t="s">
        <v>1350</v>
      </c>
      <c r="B157" s="14"/>
      <c r="C157" s="13"/>
      <c r="D157" s="13" t="s">
        <v>243</v>
      </c>
      <c r="E157" s="13" t="s">
        <v>691</v>
      </c>
      <c r="F157" s="37">
        <v>859104.18</v>
      </c>
      <c r="G157" s="29" t="s">
        <v>1341</v>
      </c>
      <c r="H157" s="14">
        <v>43614</v>
      </c>
      <c r="I157" s="4" t="s">
        <v>1397</v>
      </c>
      <c r="J157" s="133"/>
      <c r="K157" s="22"/>
      <c r="L157" s="134"/>
    </row>
    <row r="158" spans="1:12" s="97" customFormat="1" hidden="1" x14ac:dyDescent="0.25">
      <c r="A158" s="61" t="s">
        <v>1147</v>
      </c>
      <c r="B158" s="14"/>
      <c r="C158" s="13"/>
      <c r="D158" s="13" t="s">
        <v>243</v>
      </c>
      <c r="E158" s="13" t="s">
        <v>808</v>
      </c>
      <c r="F158" s="37">
        <v>879153.3</v>
      </c>
      <c r="G158" s="29" t="s">
        <v>1389</v>
      </c>
      <c r="H158" s="14">
        <v>43615</v>
      </c>
      <c r="I158" s="4" t="s">
        <v>1207</v>
      </c>
      <c r="J158" s="133"/>
      <c r="K158" s="22"/>
      <c r="L158" s="134"/>
    </row>
    <row r="159" spans="1:12" s="97" customFormat="1" hidden="1" x14ac:dyDescent="0.25">
      <c r="A159" s="61" t="s">
        <v>455</v>
      </c>
      <c r="B159" s="14"/>
      <c r="C159" s="13"/>
      <c r="D159" s="13" t="s">
        <v>243</v>
      </c>
      <c r="E159" s="13" t="s">
        <v>958</v>
      </c>
      <c r="F159" s="37">
        <v>969223.32</v>
      </c>
      <c r="G159" s="29" t="s">
        <v>5996</v>
      </c>
      <c r="H159" s="14">
        <v>43620</v>
      </c>
      <c r="I159" s="4" t="s">
        <v>735</v>
      </c>
      <c r="J159" s="133"/>
      <c r="K159" s="22"/>
      <c r="L159" s="134"/>
    </row>
    <row r="160" spans="1:12" s="97" customFormat="1" hidden="1" x14ac:dyDescent="0.25">
      <c r="A160" s="14" t="s">
        <v>1148</v>
      </c>
      <c r="B160" s="14"/>
      <c r="C160" s="13"/>
      <c r="D160" s="13" t="s">
        <v>243</v>
      </c>
      <c r="E160" s="13" t="s">
        <v>808</v>
      </c>
      <c r="F160" s="37">
        <v>905544.96</v>
      </c>
      <c r="G160" s="29" t="s">
        <v>2816</v>
      </c>
      <c r="H160" s="14">
        <v>43627</v>
      </c>
      <c r="I160" s="4" t="s">
        <v>9135</v>
      </c>
      <c r="J160" s="133"/>
      <c r="K160" s="22"/>
      <c r="L160" s="134"/>
    </row>
    <row r="161" spans="1:12" s="97" customFormat="1" hidden="1" x14ac:dyDescent="0.25">
      <c r="A161" s="14" t="s">
        <v>659</v>
      </c>
      <c r="B161" s="14"/>
      <c r="C161" s="13"/>
      <c r="D161" s="13" t="s">
        <v>243</v>
      </c>
      <c r="E161" s="13" t="s">
        <v>808</v>
      </c>
      <c r="F161" s="37">
        <v>870300</v>
      </c>
      <c r="G161" s="29" t="s">
        <v>9136</v>
      </c>
      <c r="H161" s="14">
        <v>43630</v>
      </c>
      <c r="I161" s="4" t="s">
        <v>423</v>
      </c>
      <c r="J161" s="133"/>
      <c r="K161" s="22"/>
      <c r="L161" s="134"/>
    </row>
    <row r="162" spans="1:12" s="97" customFormat="1" hidden="1" x14ac:dyDescent="0.25">
      <c r="A162" s="14" t="s">
        <v>1148</v>
      </c>
      <c r="B162" s="14"/>
      <c r="C162" s="13"/>
      <c r="D162" s="13" t="s">
        <v>243</v>
      </c>
      <c r="E162" s="13" t="s">
        <v>808</v>
      </c>
      <c r="F162" s="37">
        <v>982238.76</v>
      </c>
      <c r="G162" s="29" t="s">
        <v>7122</v>
      </c>
      <c r="H162" s="14">
        <v>43634</v>
      </c>
      <c r="I162" s="4" t="s">
        <v>443</v>
      </c>
      <c r="J162" s="133"/>
      <c r="K162" s="22"/>
      <c r="L162" s="134"/>
    </row>
    <row r="163" spans="1:12" s="97" customFormat="1" hidden="1" x14ac:dyDescent="0.25">
      <c r="A163" s="14" t="s">
        <v>1148</v>
      </c>
      <c r="B163" s="14"/>
      <c r="C163" s="13"/>
      <c r="D163" s="13" t="s">
        <v>243</v>
      </c>
      <c r="E163" s="13" t="s">
        <v>808</v>
      </c>
      <c r="F163" s="37">
        <v>831150</v>
      </c>
      <c r="G163" s="29" t="s">
        <v>3660</v>
      </c>
      <c r="H163" s="14">
        <v>43636</v>
      </c>
      <c r="I163" s="4" t="s">
        <v>423</v>
      </c>
      <c r="J163" s="133"/>
      <c r="K163" s="22"/>
      <c r="L163" s="134"/>
    </row>
    <row r="164" spans="1:12" s="97" customFormat="1" hidden="1" x14ac:dyDescent="0.25">
      <c r="A164" s="61" t="s">
        <v>1316</v>
      </c>
      <c r="B164" s="14"/>
      <c r="C164" s="13"/>
      <c r="D164" s="13" t="s">
        <v>243</v>
      </c>
      <c r="E164" s="13" t="s">
        <v>808</v>
      </c>
      <c r="F164" s="37">
        <v>914065.8</v>
      </c>
      <c r="G164" s="29" t="s">
        <v>1687</v>
      </c>
      <c r="H164" s="14">
        <v>43637</v>
      </c>
      <c r="I164" s="4" t="s">
        <v>421</v>
      </c>
      <c r="J164" s="133"/>
      <c r="K164" s="22"/>
      <c r="L164" s="134"/>
    </row>
    <row r="165" spans="1:12" s="97" customFormat="1" x14ac:dyDescent="0.25">
      <c r="A165" s="356" t="s">
        <v>4505</v>
      </c>
      <c r="B165" s="102"/>
      <c r="C165" s="328"/>
      <c r="D165" s="328" t="s">
        <v>249</v>
      </c>
      <c r="E165" s="328" t="s">
        <v>958</v>
      </c>
      <c r="F165" s="327">
        <f>-55761.34</f>
        <v>-55761.34</v>
      </c>
      <c r="G165" s="375" t="s">
        <v>6235</v>
      </c>
      <c r="H165" s="102"/>
      <c r="I165" s="327"/>
      <c r="J165" s="133"/>
      <c r="K165" s="22"/>
      <c r="L165" s="134"/>
    </row>
    <row r="166" spans="1:12" s="97" customFormat="1" x14ac:dyDescent="0.25">
      <c r="A166" s="61" t="s">
        <v>1148</v>
      </c>
      <c r="B166" s="14"/>
      <c r="C166" s="13"/>
      <c r="D166" s="13" t="s">
        <v>249</v>
      </c>
      <c r="E166" s="13" t="s">
        <v>808</v>
      </c>
      <c r="F166" s="4">
        <v>886204.2</v>
      </c>
      <c r="G166" s="28" t="s">
        <v>387</v>
      </c>
      <c r="H166" s="14">
        <v>43613</v>
      </c>
      <c r="I166" s="4" t="s">
        <v>1883</v>
      </c>
      <c r="J166" s="133"/>
      <c r="K166" s="22"/>
      <c r="L166" s="134"/>
    </row>
    <row r="167" spans="1:12" s="97" customFormat="1" hidden="1" x14ac:dyDescent="0.25">
      <c r="A167" s="61" t="s">
        <v>455</v>
      </c>
      <c r="B167" s="14"/>
      <c r="C167" s="13"/>
      <c r="D167" s="13" t="s">
        <v>1082</v>
      </c>
      <c r="E167" s="13" t="s">
        <v>958</v>
      </c>
      <c r="F167" s="4">
        <v>830760</v>
      </c>
      <c r="G167" s="28" t="s">
        <v>302</v>
      </c>
      <c r="H167" s="14">
        <v>43560</v>
      </c>
      <c r="I167" s="4" t="s">
        <v>423</v>
      </c>
      <c r="J167" s="133"/>
      <c r="K167" s="22"/>
      <c r="L167" s="134"/>
    </row>
    <row r="168" spans="1:12" s="97" customFormat="1" hidden="1" x14ac:dyDescent="0.25">
      <c r="A168" s="61" t="s">
        <v>1148</v>
      </c>
      <c r="B168" s="14"/>
      <c r="C168" s="13"/>
      <c r="D168" s="13" t="s">
        <v>1082</v>
      </c>
      <c r="E168" s="13" t="s">
        <v>808</v>
      </c>
      <c r="F168" s="4">
        <v>858219.91</v>
      </c>
      <c r="G168" s="28" t="s">
        <v>27</v>
      </c>
      <c r="H168" s="14">
        <v>43565</v>
      </c>
      <c r="I168" s="4" t="s">
        <v>421</v>
      </c>
      <c r="J168" s="133"/>
      <c r="K168" s="22"/>
      <c r="L168" s="134"/>
    </row>
    <row r="169" spans="1:12" s="97" customFormat="1" hidden="1" x14ac:dyDescent="0.25">
      <c r="A169" s="61" t="s">
        <v>659</v>
      </c>
      <c r="B169" s="14"/>
      <c r="C169" s="13"/>
      <c r="D169" s="13" t="s">
        <v>1082</v>
      </c>
      <c r="E169" s="13" t="s">
        <v>808</v>
      </c>
      <c r="F169" s="4">
        <v>417000</v>
      </c>
      <c r="G169" s="29" t="s">
        <v>306</v>
      </c>
      <c r="H169" s="14">
        <v>43573</v>
      </c>
      <c r="I169" s="4" t="s">
        <v>423</v>
      </c>
      <c r="J169" s="133"/>
      <c r="K169" s="22"/>
      <c r="L169" s="134"/>
    </row>
    <row r="170" spans="1:12" s="97" customFormat="1" hidden="1" x14ac:dyDescent="0.25">
      <c r="A170" s="61" t="s">
        <v>1350</v>
      </c>
      <c r="B170" s="14"/>
      <c r="C170" s="13"/>
      <c r="D170" s="13" t="s">
        <v>1082</v>
      </c>
      <c r="E170" s="13" t="s">
        <v>691</v>
      </c>
      <c r="F170" s="4">
        <v>444999.96</v>
      </c>
      <c r="G170" s="29" t="s">
        <v>478</v>
      </c>
      <c r="H170" s="14">
        <v>43574</v>
      </c>
      <c r="I170" s="4" t="s">
        <v>443</v>
      </c>
      <c r="J170" s="133"/>
      <c r="K170" s="22"/>
      <c r="L170" s="134"/>
    </row>
    <row r="171" spans="1:12" s="97" customFormat="1" hidden="1" x14ac:dyDescent="0.25">
      <c r="A171" s="32" t="s">
        <v>1350</v>
      </c>
      <c r="B171" s="14"/>
      <c r="C171" s="13"/>
      <c r="D171" s="13" t="s">
        <v>1082</v>
      </c>
      <c r="E171" s="13" t="s">
        <v>691</v>
      </c>
      <c r="F171" s="4">
        <v>444999.96</v>
      </c>
      <c r="G171" s="29" t="s">
        <v>1155</v>
      </c>
      <c r="H171" s="14">
        <v>43574</v>
      </c>
      <c r="I171" s="4" t="s">
        <v>443</v>
      </c>
      <c r="J171" s="133"/>
      <c r="K171" s="22"/>
      <c r="L171" s="134"/>
    </row>
    <row r="172" spans="1:12" s="97" customFormat="1" hidden="1" x14ac:dyDescent="0.25">
      <c r="A172" s="13" t="s">
        <v>659</v>
      </c>
      <c r="B172" s="14"/>
      <c r="C172" s="13"/>
      <c r="D172" s="13" t="s">
        <v>1082</v>
      </c>
      <c r="E172" s="13" t="s">
        <v>808</v>
      </c>
      <c r="F172" s="4">
        <v>444999.96</v>
      </c>
      <c r="G172" s="29" t="s">
        <v>479</v>
      </c>
      <c r="H172" s="14">
        <v>43574</v>
      </c>
      <c r="I172" s="4" t="s">
        <v>443</v>
      </c>
      <c r="J172" s="133"/>
      <c r="K172" s="22"/>
      <c r="L172" s="134"/>
    </row>
    <row r="173" spans="1:12" s="228" customFormat="1" hidden="1" x14ac:dyDescent="0.25">
      <c r="A173" s="13" t="s">
        <v>1350</v>
      </c>
      <c r="B173" s="14"/>
      <c r="C173" s="13"/>
      <c r="D173" s="13" t="s">
        <v>1082</v>
      </c>
      <c r="E173" s="13" t="s">
        <v>691</v>
      </c>
      <c r="F173" s="4">
        <v>846823.44</v>
      </c>
      <c r="G173" s="29" t="s">
        <v>308</v>
      </c>
      <c r="H173" s="14">
        <v>43577</v>
      </c>
      <c r="I173" s="4" t="s">
        <v>1207</v>
      </c>
      <c r="J173" s="22"/>
      <c r="K173" s="21"/>
    </row>
    <row r="174" spans="1:12" s="228" customFormat="1" hidden="1" x14ac:dyDescent="0.25">
      <c r="A174" s="13" t="s">
        <v>1350</v>
      </c>
      <c r="B174" s="14"/>
      <c r="C174" s="13"/>
      <c r="D174" s="13" t="s">
        <v>1082</v>
      </c>
      <c r="E174" s="13" t="s">
        <v>691</v>
      </c>
      <c r="F174" s="4">
        <v>822870.08</v>
      </c>
      <c r="G174" s="28" t="s">
        <v>77</v>
      </c>
      <c r="H174" s="14">
        <v>43577</v>
      </c>
      <c r="I174" s="4" t="s">
        <v>421</v>
      </c>
      <c r="J174" s="22"/>
      <c r="K174" s="21"/>
    </row>
    <row r="175" spans="1:12" s="97" customFormat="1" hidden="1" x14ac:dyDescent="0.25">
      <c r="A175" s="13" t="s">
        <v>1350</v>
      </c>
      <c r="B175" s="14"/>
      <c r="C175" s="13"/>
      <c r="D175" s="13" t="s">
        <v>1082</v>
      </c>
      <c r="E175" s="13" t="s">
        <v>691</v>
      </c>
      <c r="F175" s="4">
        <v>888219.92</v>
      </c>
      <c r="G175" s="28" t="s">
        <v>3592</v>
      </c>
      <c r="H175" s="14">
        <v>43577</v>
      </c>
      <c r="I175" s="4" t="s">
        <v>443</v>
      </c>
      <c r="J175" s="133"/>
      <c r="K175" s="22"/>
      <c r="L175" s="134"/>
    </row>
    <row r="176" spans="1:12" s="97" customFormat="1" hidden="1" x14ac:dyDescent="0.25">
      <c r="A176" s="61" t="s">
        <v>1350</v>
      </c>
      <c r="B176" s="14"/>
      <c r="C176" s="13"/>
      <c r="D176" s="13" t="s">
        <v>1082</v>
      </c>
      <c r="E176" s="13" t="s">
        <v>691</v>
      </c>
      <c r="F176" s="4">
        <v>888219.92</v>
      </c>
      <c r="G176" s="29" t="s">
        <v>3339</v>
      </c>
      <c r="H176" s="14">
        <v>43578</v>
      </c>
      <c r="I176" s="4" t="s">
        <v>443</v>
      </c>
      <c r="J176" s="133"/>
      <c r="K176" s="22"/>
      <c r="L176" s="134"/>
    </row>
    <row r="177" spans="1:12" s="97" customFormat="1" hidden="1" x14ac:dyDescent="0.25">
      <c r="A177" s="13" t="s">
        <v>1350</v>
      </c>
      <c r="B177" s="14"/>
      <c r="C177" s="13"/>
      <c r="D177" s="13" t="s">
        <v>1082</v>
      </c>
      <c r="E177" s="13" t="s">
        <v>691</v>
      </c>
      <c r="F177" s="4">
        <v>889109.92</v>
      </c>
      <c r="G177" s="29" t="s">
        <v>3273</v>
      </c>
      <c r="H177" s="14">
        <v>43578</v>
      </c>
      <c r="I177" s="4" t="s">
        <v>443</v>
      </c>
      <c r="J177" s="133"/>
      <c r="K177" s="22"/>
      <c r="L177" s="134"/>
    </row>
    <row r="178" spans="1:12" s="97" customFormat="1" hidden="1" x14ac:dyDescent="0.25">
      <c r="A178" s="3" t="s">
        <v>1148</v>
      </c>
      <c r="B178" s="212"/>
      <c r="C178" s="3"/>
      <c r="D178" s="13" t="s">
        <v>1082</v>
      </c>
      <c r="E178" s="3" t="s">
        <v>808</v>
      </c>
      <c r="F178" s="4">
        <v>848425.08</v>
      </c>
      <c r="G178" s="517" t="s">
        <v>4091</v>
      </c>
      <c r="H178" s="212">
        <v>43609</v>
      </c>
      <c r="I178" s="337" t="s">
        <v>8315</v>
      </c>
      <c r="J178" s="133"/>
      <c r="K178" s="22"/>
      <c r="L178" s="134"/>
    </row>
    <row r="179" spans="1:12" s="97" customFormat="1" hidden="1" x14ac:dyDescent="0.25">
      <c r="A179" s="61" t="s">
        <v>1148</v>
      </c>
      <c r="B179" s="14"/>
      <c r="C179" s="13"/>
      <c r="D179" s="13" t="s">
        <v>1082</v>
      </c>
      <c r="E179" s="13" t="s">
        <v>808</v>
      </c>
      <c r="F179" s="37">
        <v>851672.07</v>
      </c>
      <c r="G179" s="29" t="s">
        <v>3852</v>
      </c>
      <c r="H179" s="14">
        <v>43613</v>
      </c>
      <c r="I179" s="4" t="s">
        <v>2175</v>
      </c>
      <c r="J179" s="133"/>
      <c r="K179" s="22"/>
      <c r="L179" s="134"/>
    </row>
    <row r="180" spans="1:12" s="97" customFormat="1" hidden="1" x14ac:dyDescent="0.25">
      <c r="A180" s="61" t="s">
        <v>1147</v>
      </c>
      <c r="B180" s="14"/>
      <c r="C180" s="13"/>
      <c r="D180" s="13" t="s">
        <v>1082</v>
      </c>
      <c r="E180" s="13" t="s">
        <v>808</v>
      </c>
      <c r="F180" s="37">
        <v>879560.08</v>
      </c>
      <c r="G180" s="29" t="s">
        <v>3432</v>
      </c>
      <c r="H180" s="14">
        <v>43615</v>
      </c>
      <c r="I180" s="4" t="s">
        <v>1207</v>
      </c>
      <c r="J180" s="133"/>
      <c r="K180" s="22"/>
      <c r="L180" s="134"/>
    </row>
    <row r="181" spans="1:12" s="97" customFormat="1" hidden="1" x14ac:dyDescent="0.25">
      <c r="A181" s="61" t="s">
        <v>1148</v>
      </c>
      <c r="B181" s="14"/>
      <c r="C181" s="13"/>
      <c r="D181" s="13" t="s">
        <v>1082</v>
      </c>
      <c r="E181" s="13" t="s">
        <v>808</v>
      </c>
      <c r="F181" s="37">
        <v>873519.97</v>
      </c>
      <c r="G181" s="29" t="s">
        <v>201</v>
      </c>
      <c r="H181" s="14">
        <v>43619</v>
      </c>
      <c r="I181" s="4" t="s">
        <v>8625</v>
      </c>
      <c r="J181" s="133"/>
      <c r="K181" s="22"/>
      <c r="L181" s="134"/>
    </row>
    <row r="182" spans="1:12" s="97" customFormat="1" hidden="1" x14ac:dyDescent="0.25">
      <c r="A182" s="61" t="s">
        <v>455</v>
      </c>
      <c r="B182" s="14"/>
      <c r="C182" s="13"/>
      <c r="D182" s="13" t="s">
        <v>1082</v>
      </c>
      <c r="E182" s="13" t="s">
        <v>958</v>
      </c>
      <c r="F182" s="37">
        <v>859999.92</v>
      </c>
      <c r="G182" s="29" t="s">
        <v>25</v>
      </c>
      <c r="H182" s="14">
        <v>43621</v>
      </c>
      <c r="I182" s="4" t="s">
        <v>421</v>
      </c>
      <c r="J182" s="133"/>
      <c r="K182" s="22"/>
      <c r="L182" s="134"/>
    </row>
    <row r="183" spans="1:12" s="97" customFormat="1" hidden="1" x14ac:dyDescent="0.25">
      <c r="A183" s="61" t="s">
        <v>442</v>
      </c>
      <c r="B183" s="14"/>
      <c r="C183" s="13"/>
      <c r="D183" s="13" t="s">
        <v>1082</v>
      </c>
      <c r="E183" s="13" t="s">
        <v>62</v>
      </c>
      <c r="F183" s="37">
        <v>859139.92</v>
      </c>
      <c r="G183" s="29" t="s">
        <v>320</v>
      </c>
      <c r="H183" s="14">
        <v>43621</v>
      </c>
      <c r="I183" s="4" t="s">
        <v>421</v>
      </c>
      <c r="J183" s="133"/>
      <c r="K183" s="22"/>
      <c r="L183" s="134"/>
    </row>
    <row r="184" spans="1:12" s="97" customFormat="1" hidden="1" x14ac:dyDescent="0.25">
      <c r="A184" s="61" t="s">
        <v>1148</v>
      </c>
      <c r="B184" s="14"/>
      <c r="C184" s="13"/>
      <c r="D184" s="13" t="s">
        <v>1082</v>
      </c>
      <c r="E184" s="13" t="s">
        <v>808</v>
      </c>
      <c r="F184" s="37">
        <v>858244.92</v>
      </c>
      <c r="G184" s="29" t="s">
        <v>730</v>
      </c>
      <c r="H184" s="14">
        <v>43633</v>
      </c>
      <c r="I184" s="4" t="s">
        <v>4921</v>
      </c>
      <c r="J184" s="133"/>
      <c r="K184" s="22"/>
      <c r="L184" s="134"/>
    </row>
    <row r="185" spans="1:12" s="97" customFormat="1" hidden="1" x14ac:dyDescent="0.25">
      <c r="A185" s="61" t="s">
        <v>1148</v>
      </c>
      <c r="B185" s="14"/>
      <c r="C185" s="13"/>
      <c r="D185" s="13" t="s">
        <v>1082</v>
      </c>
      <c r="E185" s="13" t="s">
        <v>808</v>
      </c>
      <c r="F185" s="37">
        <v>870000</v>
      </c>
      <c r="G185" s="29" t="s">
        <v>1313</v>
      </c>
      <c r="H185" s="14">
        <v>43637</v>
      </c>
      <c r="I185" s="4" t="s">
        <v>2722</v>
      </c>
      <c r="J185" s="133"/>
      <c r="K185" s="22"/>
      <c r="L185" s="134"/>
    </row>
    <row r="186" spans="1:12" s="97" customFormat="1" hidden="1" x14ac:dyDescent="0.25">
      <c r="A186" s="61" t="s">
        <v>1147</v>
      </c>
      <c r="B186" s="14"/>
      <c r="C186" s="13"/>
      <c r="D186" s="13" t="s">
        <v>1082</v>
      </c>
      <c r="E186" s="13" t="s">
        <v>808</v>
      </c>
      <c r="F186" s="37">
        <v>872465.06</v>
      </c>
      <c r="G186" s="29" t="s">
        <v>2911</v>
      </c>
      <c r="H186" s="14">
        <v>43637</v>
      </c>
      <c r="I186" s="4" t="s">
        <v>3429</v>
      </c>
      <c r="J186" s="133"/>
      <c r="K186" s="22"/>
      <c r="L186" s="134"/>
    </row>
    <row r="187" spans="1:12" s="97" customFormat="1" hidden="1" x14ac:dyDescent="0.25">
      <c r="A187" s="13" t="s">
        <v>1148</v>
      </c>
      <c r="B187" s="14"/>
      <c r="C187" s="13"/>
      <c r="D187" s="13" t="s">
        <v>1082</v>
      </c>
      <c r="E187" s="13" t="s">
        <v>808</v>
      </c>
      <c r="F187" s="4">
        <v>867000</v>
      </c>
      <c r="G187" s="28" t="s">
        <v>141</v>
      </c>
      <c r="H187" s="14">
        <v>43637</v>
      </c>
      <c r="I187" s="4" t="s">
        <v>765</v>
      </c>
      <c r="J187" s="133"/>
      <c r="K187" s="22"/>
      <c r="L187" s="134"/>
    </row>
    <row r="188" spans="1:12" s="97" customFormat="1" ht="5.4" hidden="1" customHeight="1" x14ac:dyDescent="0.25">
      <c r="A188" s="171">
        <v>0</v>
      </c>
      <c r="B188" s="212"/>
      <c r="C188" s="3"/>
      <c r="D188" s="3"/>
      <c r="E188" s="3"/>
      <c r="F188" s="337"/>
      <c r="G188" s="25"/>
      <c r="H188" s="212"/>
      <c r="I188" s="338"/>
      <c r="J188" s="133"/>
      <c r="K188" s="22"/>
      <c r="L188" s="134"/>
    </row>
    <row r="189" spans="1:12" s="97" customFormat="1" ht="15.6" hidden="1" x14ac:dyDescent="0.25">
      <c r="A189" s="141" t="s">
        <v>180</v>
      </c>
      <c r="B189" s="235"/>
      <c r="C189" s="238"/>
      <c r="D189" s="143"/>
      <c r="E189" s="143"/>
      <c r="F189" s="239">
        <f>SUM(F190:F398)</f>
        <v>24370315.560000014</v>
      </c>
      <c r="G189" s="220"/>
      <c r="H189" s="240"/>
      <c r="I189" s="143"/>
      <c r="J189" s="133"/>
      <c r="K189" s="22"/>
      <c r="L189" s="134"/>
    </row>
    <row r="190" spans="1:12" s="97" customFormat="1" ht="5.4" hidden="1" customHeight="1" x14ac:dyDescent="0.25">
      <c r="A190" s="13">
        <v>0</v>
      </c>
      <c r="B190" s="14"/>
      <c r="C190" s="13"/>
      <c r="D190" s="13"/>
      <c r="E190" s="13"/>
      <c r="F190" s="4"/>
      <c r="G190" s="29"/>
      <c r="H190" s="14"/>
      <c r="I190" s="4"/>
      <c r="J190" s="133"/>
      <c r="K190" s="22"/>
      <c r="L190" s="134"/>
    </row>
    <row r="191" spans="1:12" s="97" customFormat="1" hidden="1" x14ac:dyDescent="0.25">
      <c r="A191" s="61" t="s">
        <v>1350</v>
      </c>
      <c r="B191" s="14"/>
      <c r="C191" s="13"/>
      <c r="D191" s="13" t="s">
        <v>5407</v>
      </c>
      <c r="E191" s="13" t="s">
        <v>691</v>
      </c>
      <c r="F191" s="37">
        <v>45650</v>
      </c>
      <c r="G191" s="29" t="s">
        <v>8470</v>
      </c>
      <c r="H191" s="14">
        <v>43619</v>
      </c>
      <c r="I191" s="4" t="s">
        <v>5409</v>
      </c>
      <c r="J191" s="133"/>
      <c r="K191" s="22"/>
      <c r="L191" s="134"/>
    </row>
    <row r="192" spans="1:12" s="97" customFormat="1" hidden="1" x14ac:dyDescent="0.25">
      <c r="A192" s="61" t="s">
        <v>442</v>
      </c>
      <c r="B192" s="14"/>
      <c r="C192" s="13"/>
      <c r="D192" s="13" t="s">
        <v>5407</v>
      </c>
      <c r="E192" s="13" t="s">
        <v>62</v>
      </c>
      <c r="F192" s="37">
        <v>12608.33</v>
      </c>
      <c r="G192" s="29" t="s">
        <v>8647</v>
      </c>
      <c r="H192" s="14">
        <v>43621</v>
      </c>
      <c r="I192" s="4" t="s">
        <v>5409</v>
      </c>
      <c r="J192" s="133"/>
      <c r="K192" s="22"/>
      <c r="L192" s="134"/>
    </row>
    <row r="193" spans="1:12" s="97" customFormat="1" hidden="1" x14ac:dyDescent="0.25">
      <c r="A193" s="61" t="s">
        <v>1316</v>
      </c>
      <c r="B193" s="14"/>
      <c r="C193" s="13"/>
      <c r="D193" s="13" t="s">
        <v>5407</v>
      </c>
      <c r="E193" s="13" t="s">
        <v>808</v>
      </c>
      <c r="F193" s="4">
        <v>75650</v>
      </c>
      <c r="G193" s="28" t="s">
        <v>9440</v>
      </c>
      <c r="H193" s="14">
        <v>43641</v>
      </c>
      <c r="I193" s="4" t="s">
        <v>5409</v>
      </c>
      <c r="J193" s="133"/>
      <c r="K193" s="22"/>
      <c r="L193" s="134"/>
    </row>
    <row r="194" spans="1:12" s="97" customFormat="1" hidden="1" x14ac:dyDescent="0.25">
      <c r="A194" s="61" t="s">
        <v>442</v>
      </c>
      <c r="B194" s="14"/>
      <c r="C194" s="13"/>
      <c r="D194" s="13" t="s">
        <v>7839</v>
      </c>
      <c r="E194" s="13" t="s">
        <v>62</v>
      </c>
      <c r="F194" s="4">
        <v>100000</v>
      </c>
      <c r="G194" s="29" t="s">
        <v>3464</v>
      </c>
      <c r="H194" s="14">
        <v>43600</v>
      </c>
      <c r="I194" s="4" t="s">
        <v>6866</v>
      </c>
      <c r="J194" s="133"/>
      <c r="K194" s="22"/>
      <c r="L194" s="134"/>
    </row>
    <row r="195" spans="1:12" s="97" customFormat="1" hidden="1" x14ac:dyDescent="0.25">
      <c r="A195" s="61" t="s">
        <v>659</v>
      </c>
      <c r="B195" s="14"/>
      <c r="C195" s="13"/>
      <c r="D195" s="13" t="s">
        <v>7839</v>
      </c>
      <c r="E195" s="13" t="s">
        <v>808</v>
      </c>
      <c r="F195" s="37">
        <v>44250</v>
      </c>
      <c r="G195" s="29" t="s">
        <v>6101</v>
      </c>
      <c r="H195" s="14">
        <v>43608</v>
      </c>
      <c r="I195" s="4" t="s">
        <v>5103</v>
      </c>
      <c r="J195" s="133"/>
      <c r="K195" s="22"/>
      <c r="L195" s="134"/>
    </row>
    <row r="196" spans="1:12" s="97" customFormat="1" hidden="1" x14ac:dyDescent="0.25">
      <c r="A196" s="61" t="s">
        <v>659</v>
      </c>
      <c r="B196" s="14"/>
      <c r="C196" s="13"/>
      <c r="D196" s="13" t="s">
        <v>7839</v>
      </c>
      <c r="E196" s="13" t="s">
        <v>808</v>
      </c>
      <c r="F196" s="37">
        <v>259010</v>
      </c>
      <c r="G196" s="29" t="s">
        <v>8644</v>
      </c>
      <c r="H196" s="14">
        <v>43607</v>
      </c>
      <c r="I196" s="4" t="s">
        <v>63</v>
      </c>
      <c r="J196" s="133"/>
      <c r="K196" s="22"/>
      <c r="L196" s="134"/>
    </row>
    <row r="197" spans="1:12" s="97" customFormat="1" hidden="1" x14ac:dyDescent="0.25">
      <c r="A197" s="32" t="s">
        <v>311</v>
      </c>
      <c r="B197" s="14"/>
      <c r="C197" s="13"/>
      <c r="D197" s="13" t="s">
        <v>7839</v>
      </c>
      <c r="E197" s="13" t="s">
        <v>958</v>
      </c>
      <c r="F197" s="4">
        <v>375000</v>
      </c>
      <c r="G197" s="28" t="s">
        <v>6157</v>
      </c>
      <c r="H197" s="14">
        <v>43622</v>
      </c>
      <c r="I197" s="4" t="s">
        <v>6866</v>
      </c>
      <c r="J197" s="133"/>
      <c r="K197" s="22"/>
      <c r="L197" s="134"/>
    </row>
    <row r="198" spans="1:12" s="97" customFormat="1" hidden="1" x14ac:dyDescent="0.25">
      <c r="A198" s="61" t="s">
        <v>311</v>
      </c>
      <c r="B198" s="14"/>
      <c r="C198" s="13"/>
      <c r="D198" s="13" t="s">
        <v>8468</v>
      </c>
      <c r="E198" s="13" t="s">
        <v>958</v>
      </c>
      <c r="F198" s="37">
        <v>26911.22</v>
      </c>
      <c r="G198" s="29" t="s">
        <v>8469</v>
      </c>
      <c r="H198" s="14">
        <v>43615</v>
      </c>
      <c r="I198" s="4" t="s">
        <v>1314</v>
      </c>
      <c r="J198" s="133"/>
      <c r="K198" s="22"/>
      <c r="L198" s="134"/>
    </row>
    <row r="199" spans="1:12" s="97" customFormat="1" hidden="1" x14ac:dyDescent="0.25">
      <c r="A199" s="61" t="s">
        <v>1350</v>
      </c>
      <c r="B199" s="14"/>
      <c r="C199" s="13"/>
      <c r="D199" s="13" t="s">
        <v>2142</v>
      </c>
      <c r="E199" s="13" t="s">
        <v>691</v>
      </c>
      <c r="F199" s="37">
        <v>32949.5</v>
      </c>
      <c r="G199" s="29" t="s">
        <v>74</v>
      </c>
      <c r="H199" s="14">
        <v>43630</v>
      </c>
      <c r="I199" s="4" t="s">
        <v>9188</v>
      </c>
      <c r="J199" s="133"/>
      <c r="K199" s="22"/>
      <c r="L199" s="134"/>
    </row>
    <row r="200" spans="1:12" s="97" customFormat="1" hidden="1" x14ac:dyDescent="0.25">
      <c r="A200" s="61" t="s">
        <v>1147</v>
      </c>
      <c r="B200" s="14"/>
      <c r="C200" s="13"/>
      <c r="D200" s="13" t="s">
        <v>5709</v>
      </c>
      <c r="E200" s="13" t="s">
        <v>808</v>
      </c>
      <c r="F200" s="4">
        <f>1351132.2-725884.2</f>
        <v>625248</v>
      </c>
      <c r="G200" s="29" t="s">
        <v>8778</v>
      </c>
      <c r="H200" s="14">
        <v>43626</v>
      </c>
      <c r="I200" s="4" t="s">
        <v>8779</v>
      </c>
      <c r="J200" s="133"/>
      <c r="K200" s="22"/>
      <c r="L200" s="134"/>
    </row>
    <row r="201" spans="1:12" s="97" customFormat="1" hidden="1" x14ac:dyDescent="0.25">
      <c r="A201" s="61" t="s">
        <v>455</v>
      </c>
      <c r="B201" s="14"/>
      <c r="C201" s="13"/>
      <c r="D201" s="13" t="s">
        <v>5047</v>
      </c>
      <c r="E201" s="13" t="s">
        <v>958</v>
      </c>
      <c r="F201" s="37">
        <v>468158</v>
      </c>
      <c r="G201" s="29" t="s">
        <v>6606</v>
      </c>
      <c r="H201" s="14">
        <v>43616</v>
      </c>
      <c r="I201" s="4" t="s">
        <v>5048</v>
      </c>
      <c r="J201" s="133"/>
      <c r="K201" s="22"/>
      <c r="L201" s="134"/>
    </row>
    <row r="202" spans="1:12" s="97" customFormat="1" hidden="1" x14ac:dyDescent="0.25">
      <c r="A202" s="61" t="s">
        <v>442</v>
      </c>
      <c r="B202" s="14"/>
      <c r="C202" s="13"/>
      <c r="D202" s="13" t="s">
        <v>869</v>
      </c>
      <c r="E202" s="13" t="s">
        <v>62</v>
      </c>
      <c r="F202" s="4">
        <f>857226.52-200000</f>
        <v>657226.52</v>
      </c>
      <c r="G202" s="28" t="s">
        <v>7838</v>
      </c>
      <c r="H202" s="14">
        <v>43600</v>
      </c>
      <c r="I202" s="4" t="s">
        <v>572</v>
      </c>
      <c r="J202" s="133"/>
      <c r="K202" s="22"/>
      <c r="L202" s="134"/>
    </row>
    <row r="203" spans="1:12" s="97" customFormat="1" hidden="1" x14ac:dyDescent="0.25">
      <c r="A203" s="61" t="s">
        <v>1149</v>
      </c>
      <c r="B203" s="14"/>
      <c r="C203" s="13"/>
      <c r="D203" s="13" t="s">
        <v>869</v>
      </c>
      <c r="E203" s="13" t="s">
        <v>808</v>
      </c>
      <c r="F203" s="4">
        <v>63185.14</v>
      </c>
      <c r="G203" s="28" t="s">
        <v>8461</v>
      </c>
      <c r="H203" s="14">
        <v>43615</v>
      </c>
      <c r="I203" s="4" t="s">
        <v>268</v>
      </c>
      <c r="J203" s="133"/>
      <c r="K203" s="22"/>
      <c r="L203" s="134"/>
    </row>
    <row r="204" spans="1:12" s="97" customFormat="1" hidden="1" x14ac:dyDescent="0.25">
      <c r="A204" s="13" t="s">
        <v>1316</v>
      </c>
      <c r="B204" s="14"/>
      <c r="C204" s="13"/>
      <c r="D204" s="13" t="s">
        <v>869</v>
      </c>
      <c r="E204" s="13" t="s">
        <v>808</v>
      </c>
      <c r="F204" s="4">
        <v>38500</v>
      </c>
      <c r="G204" s="28" t="s">
        <v>8466</v>
      </c>
      <c r="H204" s="14">
        <v>43615</v>
      </c>
      <c r="I204" s="4" t="s">
        <v>268</v>
      </c>
      <c r="J204" s="133"/>
      <c r="K204" s="22"/>
      <c r="L204" s="134"/>
    </row>
    <row r="205" spans="1:12" s="97" customFormat="1" hidden="1" x14ac:dyDescent="0.25">
      <c r="A205" s="13" t="s">
        <v>659</v>
      </c>
      <c r="B205" s="14"/>
      <c r="C205" s="13"/>
      <c r="D205" s="13" t="s">
        <v>869</v>
      </c>
      <c r="E205" s="13" t="s">
        <v>808</v>
      </c>
      <c r="F205" s="4">
        <v>122002.24000000001</v>
      </c>
      <c r="G205" s="28" t="s">
        <v>8467</v>
      </c>
      <c r="H205" s="14">
        <v>43616</v>
      </c>
      <c r="I205" s="4" t="s">
        <v>268</v>
      </c>
      <c r="J205" s="133"/>
      <c r="K205" s="22"/>
      <c r="L205" s="134"/>
    </row>
    <row r="206" spans="1:12" s="97" customFormat="1" hidden="1" x14ac:dyDescent="0.25">
      <c r="A206" s="61" t="s">
        <v>659</v>
      </c>
      <c r="B206" s="14"/>
      <c r="C206" s="13"/>
      <c r="D206" s="13" t="s">
        <v>869</v>
      </c>
      <c r="E206" s="13" t="s">
        <v>808</v>
      </c>
      <c r="F206" s="37">
        <v>39497.72</v>
      </c>
      <c r="G206" s="29" t="s">
        <v>8646</v>
      </c>
      <c r="H206" s="14">
        <v>43620</v>
      </c>
      <c r="I206" s="4" t="s">
        <v>268</v>
      </c>
      <c r="J206" s="133"/>
      <c r="K206" s="22"/>
      <c r="L206" s="134"/>
    </row>
    <row r="207" spans="1:12" s="97" customFormat="1" hidden="1" x14ac:dyDescent="0.25">
      <c r="A207" s="61" t="s">
        <v>1147</v>
      </c>
      <c r="B207" s="14"/>
      <c r="C207" s="13"/>
      <c r="D207" s="13" t="s">
        <v>869</v>
      </c>
      <c r="E207" s="13" t="s">
        <v>808</v>
      </c>
      <c r="F207" s="37">
        <v>25931.78</v>
      </c>
      <c r="G207" s="29" t="s">
        <v>8891</v>
      </c>
      <c r="H207" s="14">
        <v>43622</v>
      </c>
      <c r="I207" s="4" t="s">
        <v>268</v>
      </c>
      <c r="J207" s="133"/>
      <c r="K207" s="22"/>
      <c r="L207" s="134"/>
    </row>
    <row r="208" spans="1:12" s="97" customFormat="1" hidden="1" x14ac:dyDescent="0.25">
      <c r="A208" s="61" t="s">
        <v>1350</v>
      </c>
      <c r="B208" s="14"/>
      <c r="C208" s="13"/>
      <c r="D208" s="13" t="s">
        <v>869</v>
      </c>
      <c r="E208" s="13" t="s">
        <v>691</v>
      </c>
      <c r="F208" s="37">
        <v>50309.440000000002</v>
      </c>
      <c r="G208" s="29" t="s">
        <v>8892</v>
      </c>
      <c r="H208" s="14">
        <v>43622</v>
      </c>
      <c r="I208" s="4" t="s">
        <v>268</v>
      </c>
      <c r="J208" s="133"/>
      <c r="K208" s="22"/>
      <c r="L208" s="134"/>
    </row>
    <row r="209" spans="1:12" s="97" customFormat="1" hidden="1" x14ac:dyDescent="0.25">
      <c r="A209" s="61" t="s">
        <v>311</v>
      </c>
      <c r="B209" s="14"/>
      <c r="C209" s="13"/>
      <c r="D209" s="13" t="s">
        <v>869</v>
      </c>
      <c r="E209" s="13" t="s">
        <v>958</v>
      </c>
      <c r="F209" s="37">
        <v>791684.14</v>
      </c>
      <c r="G209" s="29" t="s">
        <v>8893</v>
      </c>
      <c r="H209" s="14">
        <v>43622</v>
      </c>
      <c r="I209" s="4" t="s">
        <v>572</v>
      </c>
      <c r="J209" s="133"/>
      <c r="K209" s="22"/>
      <c r="L209" s="134"/>
    </row>
    <row r="210" spans="1:12" s="97" customFormat="1" hidden="1" x14ac:dyDescent="0.25">
      <c r="A210" s="61" t="s">
        <v>659</v>
      </c>
      <c r="B210" s="14"/>
      <c r="C210" s="13"/>
      <c r="D210" s="13" t="s">
        <v>869</v>
      </c>
      <c r="E210" s="13" t="s">
        <v>808</v>
      </c>
      <c r="F210" s="37">
        <v>39497.72</v>
      </c>
      <c r="G210" s="29" t="s">
        <v>8894</v>
      </c>
      <c r="H210" s="14">
        <v>43626</v>
      </c>
      <c r="I210" s="4" t="s">
        <v>268</v>
      </c>
      <c r="J210" s="133"/>
      <c r="K210" s="22"/>
      <c r="L210" s="134"/>
    </row>
    <row r="211" spans="1:12" s="97" customFormat="1" hidden="1" x14ac:dyDescent="0.25">
      <c r="A211" s="61" t="s">
        <v>1316</v>
      </c>
      <c r="B211" s="14"/>
      <c r="C211" s="13"/>
      <c r="D211" s="13" t="s">
        <v>869</v>
      </c>
      <c r="E211" s="13" t="s">
        <v>808</v>
      </c>
      <c r="F211" s="37">
        <v>81921.63</v>
      </c>
      <c r="G211" s="29" t="s">
        <v>8895</v>
      </c>
      <c r="H211" s="14">
        <v>43626</v>
      </c>
      <c r="I211" s="4" t="s">
        <v>268</v>
      </c>
      <c r="J211" s="133"/>
      <c r="K211" s="22"/>
      <c r="L211" s="134"/>
    </row>
    <row r="212" spans="1:12" s="97" customFormat="1" hidden="1" x14ac:dyDescent="0.25">
      <c r="A212" s="61" t="s">
        <v>1149</v>
      </c>
      <c r="B212" s="14"/>
      <c r="C212" s="13"/>
      <c r="D212" s="13" t="s">
        <v>869</v>
      </c>
      <c r="E212" s="13" t="s">
        <v>808</v>
      </c>
      <c r="F212" s="37">
        <v>69531.66</v>
      </c>
      <c r="G212" s="29" t="s">
        <v>8896</v>
      </c>
      <c r="H212" s="14">
        <v>43626</v>
      </c>
      <c r="I212" s="4" t="s">
        <v>268</v>
      </c>
      <c r="J212" s="133"/>
      <c r="K212" s="22"/>
      <c r="L212" s="134"/>
    </row>
    <row r="213" spans="1:12" s="97" customFormat="1" hidden="1" x14ac:dyDescent="0.25">
      <c r="A213" s="61" t="s">
        <v>358</v>
      </c>
      <c r="B213" s="14"/>
      <c r="C213" s="13"/>
      <c r="D213" s="13" t="s">
        <v>869</v>
      </c>
      <c r="E213" s="13" t="s">
        <v>62</v>
      </c>
      <c r="F213" s="37">
        <v>18589.88</v>
      </c>
      <c r="G213" s="29" t="s">
        <v>9183</v>
      </c>
      <c r="H213" s="14">
        <v>43629</v>
      </c>
      <c r="I213" s="4" t="s">
        <v>268</v>
      </c>
      <c r="J213" s="133"/>
      <c r="K213" s="22"/>
      <c r="L213" s="134"/>
    </row>
    <row r="214" spans="1:12" s="97" customFormat="1" hidden="1" x14ac:dyDescent="0.25">
      <c r="A214" s="32" t="s">
        <v>1148</v>
      </c>
      <c r="B214" s="14"/>
      <c r="C214" s="13"/>
      <c r="D214" s="13" t="s">
        <v>869</v>
      </c>
      <c r="E214" s="13" t="s">
        <v>808</v>
      </c>
      <c r="F214" s="4">
        <v>88563.25</v>
      </c>
      <c r="G214" s="28" t="s">
        <v>9184</v>
      </c>
      <c r="H214" s="14">
        <v>43629</v>
      </c>
      <c r="I214" s="4" t="s">
        <v>268</v>
      </c>
      <c r="J214" s="133"/>
      <c r="K214" s="22"/>
      <c r="L214" s="134"/>
    </row>
    <row r="215" spans="1:12" s="97" customFormat="1" hidden="1" x14ac:dyDescent="0.25">
      <c r="A215" s="32" t="s">
        <v>311</v>
      </c>
      <c r="B215" s="14"/>
      <c r="C215" s="13"/>
      <c r="D215" s="13" t="s">
        <v>869</v>
      </c>
      <c r="E215" s="13" t="s">
        <v>958</v>
      </c>
      <c r="F215" s="37">
        <v>130328.65</v>
      </c>
      <c r="G215" s="29" t="s">
        <v>9185</v>
      </c>
      <c r="H215" s="14">
        <v>43630</v>
      </c>
      <c r="I215" s="4" t="s">
        <v>572</v>
      </c>
      <c r="J215" s="133"/>
      <c r="K215" s="22"/>
      <c r="L215" s="134"/>
    </row>
    <row r="216" spans="1:12" s="97" customFormat="1" hidden="1" x14ac:dyDescent="0.25">
      <c r="A216" s="68" t="s">
        <v>1149</v>
      </c>
      <c r="B216" s="14"/>
      <c r="C216" s="13"/>
      <c r="D216" s="13" t="s">
        <v>869</v>
      </c>
      <c r="E216" s="13" t="s">
        <v>808</v>
      </c>
      <c r="F216" s="37">
        <v>26231.78</v>
      </c>
      <c r="G216" s="29" t="s">
        <v>9186</v>
      </c>
      <c r="H216" s="14">
        <v>43633</v>
      </c>
      <c r="I216" s="4" t="s">
        <v>268</v>
      </c>
      <c r="J216" s="133"/>
      <c r="K216" s="22"/>
      <c r="L216" s="134"/>
    </row>
    <row r="217" spans="1:12" s="97" customFormat="1" hidden="1" x14ac:dyDescent="0.25">
      <c r="A217" s="68" t="s">
        <v>659</v>
      </c>
      <c r="B217" s="14"/>
      <c r="C217" s="13"/>
      <c r="D217" s="13" t="s">
        <v>869</v>
      </c>
      <c r="E217" s="13" t="s">
        <v>808</v>
      </c>
      <c r="F217" s="37">
        <v>126459.05</v>
      </c>
      <c r="G217" s="29" t="s">
        <v>9187</v>
      </c>
      <c r="H217" s="14">
        <v>43634</v>
      </c>
      <c r="I217" s="4" t="s">
        <v>268</v>
      </c>
      <c r="J217" s="133"/>
      <c r="K217" s="22"/>
      <c r="L217" s="134"/>
    </row>
    <row r="218" spans="1:12" s="97" customFormat="1" hidden="1" x14ac:dyDescent="0.25">
      <c r="A218" s="61" t="s">
        <v>1148</v>
      </c>
      <c r="B218" s="14"/>
      <c r="C218" s="13"/>
      <c r="D218" s="13" t="s">
        <v>869</v>
      </c>
      <c r="E218" s="13" t="s">
        <v>808</v>
      </c>
      <c r="F218" s="4">
        <v>78401.440000000002</v>
      </c>
      <c r="G218" s="28" t="s">
        <v>9438</v>
      </c>
      <c r="H218" s="14">
        <v>43636</v>
      </c>
      <c r="I218" s="4" t="s">
        <v>268</v>
      </c>
      <c r="J218" s="133"/>
      <c r="K218" s="22"/>
      <c r="L218" s="134"/>
    </row>
    <row r="219" spans="1:12" s="97" customFormat="1" hidden="1" x14ac:dyDescent="0.25">
      <c r="A219" s="13" t="s">
        <v>442</v>
      </c>
      <c r="B219" s="14"/>
      <c r="C219" s="13"/>
      <c r="D219" s="13" t="s">
        <v>869</v>
      </c>
      <c r="E219" s="13" t="s">
        <v>62</v>
      </c>
      <c r="F219" s="4">
        <v>49874.95</v>
      </c>
      <c r="G219" s="28" t="s">
        <v>9439</v>
      </c>
      <c r="H219" s="14">
        <v>43636</v>
      </c>
      <c r="I219" s="4" t="s">
        <v>572</v>
      </c>
      <c r="J219" s="133"/>
      <c r="K219" s="22"/>
      <c r="L219" s="134"/>
    </row>
    <row r="220" spans="1:12" s="97" customFormat="1" hidden="1" x14ac:dyDescent="0.25">
      <c r="A220" s="13" t="s">
        <v>1148</v>
      </c>
      <c r="B220" s="14"/>
      <c r="C220" s="13"/>
      <c r="D220" s="13" t="s">
        <v>1032</v>
      </c>
      <c r="E220" s="13" t="s">
        <v>808</v>
      </c>
      <c r="F220" s="4">
        <v>153300</v>
      </c>
      <c r="G220" s="28" t="s">
        <v>7830</v>
      </c>
      <c r="H220" s="14">
        <v>43579</v>
      </c>
      <c r="I220" s="4" t="s">
        <v>142</v>
      </c>
      <c r="J220" s="133"/>
      <c r="K220" s="22"/>
      <c r="L220" s="134"/>
    </row>
    <row r="221" spans="1:12" s="97" customFormat="1" hidden="1" x14ac:dyDescent="0.25">
      <c r="A221" s="61" t="s">
        <v>358</v>
      </c>
      <c r="B221" s="14"/>
      <c r="C221" s="13"/>
      <c r="D221" s="13" t="s">
        <v>1032</v>
      </c>
      <c r="E221" s="13" t="s">
        <v>62</v>
      </c>
      <c r="F221" s="4">
        <v>63000</v>
      </c>
      <c r="G221" s="28" t="s">
        <v>7831</v>
      </c>
      <c r="H221" s="14">
        <v>43580</v>
      </c>
      <c r="I221" s="4" t="s">
        <v>142</v>
      </c>
      <c r="J221" s="133"/>
      <c r="K221" s="22"/>
      <c r="L221" s="134"/>
    </row>
    <row r="222" spans="1:12" s="97" customFormat="1" hidden="1" x14ac:dyDescent="0.25">
      <c r="A222" s="61" t="s">
        <v>103</v>
      </c>
      <c r="B222" s="14"/>
      <c r="C222" s="13"/>
      <c r="D222" s="13" t="s">
        <v>1032</v>
      </c>
      <c r="E222" s="13" t="s">
        <v>62</v>
      </c>
      <c r="F222" s="4">
        <v>117800</v>
      </c>
      <c r="G222" s="28" t="s">
        <v>7832</v>
      </c>
      <c r="H222" s="14">
        <v>43591</v>
      </c>
      <c r="I222" s="4" t="s">
        <v>142</v>
      </c>
      <c r="J222" s="133"/>
      <c r="K222" s="22"/>
      <c r="L222" s="134"/>
    </row>
    <row r="223" spans="1:12" s="97" customFormat="1" hidden="1" x14ac:dyDescent="0.25">
      <c r="A223" s="61" t="s">
        <v>442</v>
      </c>
      <c r="B223" s="14"/>
      <c r="C223" s="13"/>
      <c r="D223" s="13" t="s">
        <v>1032</v>
      </c>
      <c r="E223" s="13" t="s">
        <v>62</v>
      </c>
      <c r="F223" s="4">
        <v>36750</v>
      </c>
      <c r="G223" s="28" t="s">
        <v>7833</v>
      </c>
      <c r="H223" s="14">
        <v>43592</v>
      </c>
      <c r="I223" s="4" t="s">
        <v>142</v>
      </c>
      <c r="J223" s="133"/>
      <c r="K223" s="22"/>
      <c r="L223" s="134"/>
    </row>
    <row r="224" spans="1:12" s="97" customFormat="1" hidden="1" x14ac:dyDescent="0.25">
      <c r="A224" s="61" t="s">
        <v>442</v>
      </c>
      <c r="B224" s="14"/>
      <c r="C224" s="13"/>
      <c r="D224" s="13" t="s">
        <v>1032</v>
      </c>
      <c r="E224" s="13" t="s">
        <v>62</v>
      </c>
      <c r="F224" s="4">
        <v>234000</v>
      </c>
      <c r="G224" s="28" t="s">
        <v>8454</v>
      </c>
      <c r="H224" s="14">
        <v>43602</v>
      </c>
      <c r="I224" s="4" t="s">
        <v>1270</v>
      </c>
      <c r="J224" s="133"/>
      <c r="K224" s="22"/>
      <c r="L224" s="134"/>
    </row>
    <row r="225" spans="1:12" s="97" customFormat="1" hidden="1" x14ac:dyDescent="0.25">
      <c r="A225" s="61" t="s">
        <v>311</v>
      </c>
      <c r="B225" s="14"/>
      <c r="C225" s="13"/>
      <c r="D225" s="13" t="s">
        <v>1032</v>
      </c>
      <c r="E225" s="13" t="s">
        <v>958</v>
      </c>
      <c r="F225" s="37">
        <v>129600</v>
      </c>
      <c r="G225" s="29" t="s">
        <v>8455</v>
      </c>
      <c r="H225" s="14">
        <v>43607</v>
      </c>
      <c r="I225" s="4" t="s">
        <v>142</v>
      </c>
      <c r="J225" s="133"/>
      <c r="K225" s="22"/>
      <c r="L225" s="134"/>
    </row>
    <row r="226" spans="1:12" s="97" customFormat="1" hidden="1" x14ac:dyDescent="0.25">
      <c r="A226" s="61" t="s">
        <v>311</v>
      </c>
      <c r="B226" s="14"/>
      <c r="C226" s="13"/>
      <c r="D226" s="13" t="s">
        <v>1032</v>
      </c>
      <c r="E226" s="13" t="s">
        <v>958</v>
      </c>
      <c r="F226" s="37">
        <v>126000</v>
      </c>
      <c r="G226" s="29" t="s">
        <v>8456</v>
      </c>
      <c r="H226" s="14">
        <v>43609</v>
      </c>
      <c r="I226" s="4" t="s">
        <v>4948</v>
      </c>
      <c r="J226" s="133"/>
      <c r="K226" s="22"/>
      <c r="L226" s="134"/>
    </row>
    <row r="227" spans="1:12" s="97" customFormat="1" hidden="1" x14ac:dyDescent="0.25">
      <c r="A227" s="61" t="s">
        <v>455</v>
      </c>
      <c r="B227" s="14"/>
      <c r="C227" s="13"/>
      <c r="D227" s="13" t="s">
        <v>1032</v>
      </c>
      <c r="E227" s="13" t="s">
        <v>958</v>
      </c>
      <c r="F227" s="37">
        <v>184800</v>
      </c>
      <c r="G227" s="29" t="s">
        <v>8457</v>
      </c>
      <c r="H227" s="14">
        <v>43613</v>
      </c>
      <c r="I227" s="4" t="s">
        <v>142</v>
      </c>
      <c r="J227" s="133"/>
      <c r="K227" s="22"/>
      <c r="L227" s="134"/>
    </row>
    <row r="228" spans="1:12" s="97" customFormat="1" hidden="1" x14ac:dyDescent="0.25">
      <c r="A228" s="61" t="s">
        <v>659</v>
      </c>
      <c r="B228" s="14"/>
      <c r="C228" s="13"/>
      <c r="D228" s="13" t="s">
        <v>1032</v>
      </c>
      <c r="E228" s="13" t="s">
        <v>808</v>
      </c>
      <c r="F228" s="4">
        <v>63600</v>
      </c>
      <c r="G228" s="28" t="s">
        <v>8883</v>
      </c>
      <c r="H228" s="14">
        <v>43616</v>
      </c>
      <c r="I228" s="4" t="s">
        <v>142</v>
      </c>
      <c r="J228" s="133"/>
      <c r="K228" s="22"/>
      <c r="L228" s="134"/>
    </row>
    <row r="229" spans="1:12" s="97" customFormat="1" hidden="1" x14ac:dyDescent="0.25">
      <c r="A229" s="61" t="s">
        <v>311</v>
      </c>
      <c r="B229" s="14"/>
      <c r="C229" s="13"/>
      <c r="D229" s="13" t="s">
        <v>1032</v>
      </c>
      <c r="E229" s="13" t="s">
        <v>958</v>
      </c>
      <c r="F229" s="4">
        <v>357600</v>
      </c>
      <c r="G229" s="28" t="s">
        <v>8884</v>
      </c>
      <c r="H229" s="14">
        <v>43616</v>
      </c>
      <c r="I229" s="4" t="s">
        <v>142</v>
      </c>
      <c r="J229" s="133"/>
      <c r="K229" s="22"/>
      <c r="L229" s="134"/>
    </row>
    <row r="230" spans="1:12" s="97" customFormat="1" hidden="1" x14ac:dyDescent="0.25">
      <c r="A230" s="61" t="s">
        <v>1147</v>
      </c>
      <c r="B230" s="14"/>
      <c r="C230" s="13"/>
      <c r="D230" s="13" t="s">
        <v>1032</v>
      </c>
      <c r="E230" s="13" t="s">
        <v>808</v>
      </c>
      <c r="F230" s="4">
        <v>18000</v>
      </c>
      <c r="G230" s="28" t="s">
        <v>8885</v>
      </c>
      <c r="H230" s="14">
        <v>43619</v>
      </c>
      <c r="I230" s="4" t="s">
        <v>142</v>
      </c>
      <c r="J230" s="133"/>
      <c r="K230" s="22"/>
      <c r="L230" s="134"/>
    </row>
    <row r="231" spans="1:12" s="97" customFormat="1" hidden="1" x14ac:dyDescent="0.25">
      <c r="A231" s="61" t="s">
        <v>1149</v>
      </c>
      <c r="B231" s="14"/>
      <c r="C231" s="13"/>
      <c r="D231" s="13" t="s">
        <v>1032</v>
      </c>
      <c r="E231" s="13" t="s">
        <v>808</v>
      </c>
      <c r="F231" s="4">
        <v>68400</v>
      </c>
      <c r="G231" s="28" t="s">
        <v>8886</v>
      </c>
      <c r="H231" s="14">
        <v>43619</v>
      </c>
      <c r="I231" s="4" t="s">
        <v>142</v>
      </c>
      <c r="J231" s="133"/>
      <c r="K231" s="22"/>
      <c r="L231" s="134"/>
    </row>
    <row r="232" spans="1:12" s="97" customFormat="1" hidden="1" x14ac:dyDescent="0.25">
      <c r="A232" s="61" t="s">
        <v>1316</v>
      </c>
      <c r="B232" s="14"/>
      <c r="C232" s="13"/>
      <c r="D232" s="13" t="s">
        <v>1032</v>
      </c>
      <c r="E232" s="13" t="s">
        <v>808</v>
      </c>
      <c r="F232" s="37">
        <v>74400</v>
      </c>
      <c r="G232" s="29" t="s">
        <v>8887</v>
      </c>
      <c r="H232" s="14">
        <v>43619</v>
      </c>
      <c r="I232" s="4" t="s">
        <v>142</v>
      </c>
      <c r="J232" s="133"/>
      <c r="K232" s="22"/>
      <c r="L232" s="134"/>
    </row>
    <row r="233" spans="1:12" s="97" customFormat="1" hidden="1" x14ac:dyDescent="0.25">
      <c r="A233" s="61" t="s">
        <v>659</v>
      </c>
      <c r="B233" s="14"/>
      <c r="C233" s="13"/>
      <c r="D233" s="13" t="s">
        <v>1032</v>
      </c>
      <c r="E233" s="13" t="s">
        <v>808</v>
      </c>
      <c r="F233" s="4">
        <v>45600</v>
      </c>
      <c r="G233" s="28" t="s">
        <v>8888</v>
      </c>
      <c r="H233" s="14">
        <v>43621</v>
      </c>
      <c r="I233" s="4" t="s">
        <v>142</v>
      </c>
      <c r="J233" s="133"/>
      <c r="K233" s="22"/>
      <c r="L233" s="134"/>
    </row>
    <row r="234" spans="1:12" s="97" customFormat="1" hidden="1" x14ac:dyDescent="0.25">
      <c r="A234" s="61" t="s">
        <v>1149</v>
      </c>
      <c r="B234" s="14"/>
      <c r="C234" s="13"/>
      <c r="D234" s="13" t="s">
        <v>1032</v>
      </c>
      <c r="E234" s="13" t="s">
        <v>808</v>
      </c>
      <c r="F234" s="4">
        <v>100800</v>
      </c>
      <c r="G234" s="28" t="s">
        <v>8889</v>
      </c>
      <c r="H234" s="14">
        <v>43622</v>
      </c>
      <c r="I234" s="4" t="s">
        <v>142</v>
      </c>
      <c r="J234" s="133"/>
      <c r="K234" s="22"/>
      <c r="L234" s="134"/>
    </row>
    <row r="235" spans="1:12" s="97" customFormat="1" hidden="1" x14ac:dyDescent="0.25">
      <c r="A235" s="61" t="s">
        <v>442</v>
      </c>
      <c r="B235" s="14"/>
      <c r="C235" s="13"/>
      <c r="D235" s="13" t="s">
        <v>1032</v>
      </c>
      <c r="E235" s="13" t="s">
        <v>62</v>
      </c>
      <c r="F235" s="4">
        <v>217200</v>
      </c>
      <c r="G235" s="28" t="s">
        <v>8890</v>
      </c>
      <c r="H235" s="14">
        <v>43622</v>
      </c>
      <c r="I235" s="4" t="s">
        <v>142</v>
      </c>
      <c r="J235" s="133"/>
      <c r="K235" s="22"/>
      <c r="L235" s="134"/>
    </row>
    <row r="236" spans="1:12" s="97" customFormat="1" hidden="1" x14ac:dyDescent="0.25">
      <c r="A236" s="61" t="s">
        <v>442</v>
      </c>
      <c r="B236" s="14"/>
      <c r="C236" s="13"/>
      <c r="D236" s="13" t="s">
        <v>100</v>
      </c>
      <c r="E236" s="13" t="s">
        <v>62</v>
      </c>
      <c r="F236" s="4">
        <v>90600</v>
      </c>
      <c r="G236" s="28" t="s">
        <v>8452</v>
      </c>
      <c r="H236" s="14">
        <v>43607</v>
      </c>
      <c r="I236" s="4" t="s">
        <v>572</v>
      </c>
      <c r="J236" s="133"/>
      <c r="K236" s="22"/>
      <c r="L236" s="134"/>
    </row>
    <row r="237" spans="1:12" s="97" customFormat="1" hidden="1" x14ac:dyDescent="0.25">
      <c r="A237" s="61" t="s">
        <v>92</v>
      </c>
      <c r="B237" s="14"/>
      <c r="C237" s="13"/>
      <c r="D237" s="13" t="s">
        <v>100</v>
      </c>
      <c r="E237" s="13" t="s">
        <v>62</v>
      </c>
      <c r="F237" s="4">
        <v>205077.6</v>
      </c>
      <c r="G237" s="28" t="s">
        <v>8453</v>
      </c>
      <c r="H237" s="14">
        <v>43608</v>
      </c>
      <c r="I237" s="4" t="s">
        <v>572</v>
      </c>
      <c r="J237" s="133"/>
      <c r="K237" s="22"/>
      <c r="L237" s="134"/>
    </row>
    <row r="238" spans="1:12" s="97" customFormat="1" hidden="1" x14ac:dyDescent="0.25">
      <c r="A238" s="61" t="s">
        <v>442</v>
      </c>
      <c r="B238" s="14"/>
      <c r="C238" s="13"/>
      <c r="D238" s="13" t="s">
        <v>100</v>
      </c>
      <c r="E238" s="13" t="s">
        <v>62</v>
      </c>
      <c r="F238" s="37">
        <v>46766.67</v>
      </c>
      <c r="G238" s="29" t="s">
        <v>9181</v>
      </c>
      <c r="H238" s="14">
        <v>43622</v>
      </c>
      <c r="I238" s="4" t="s">
        <v>572</v>
      </c>
      <c r="J238" s="133"/>
      <c r="K238" s="22"/>
      <c r="L238" s="134"/>
    </row>
    <row r="239" spans="1:12" s="97" customFormat="1" hidden="1" x14ac:dyDescent="0.25">
      <c r="A239" s="61" t="s">
        <v>311</v>
      </c>
      <c r="B239" s="14"/>
      <c r="C239" s="13"/>
      <c r="D239" s="13" t="s">
        <v>100</v>
      </c>
      <c r="E239" s="13" t="s">
        <v>958</v>
      </c>
      <c r="F239" s="37">
        <v>351936</v>
      </c>
      <c r="G239" s="29" t="s">
        <v>9182</v>
      </c>
      <c r="H239" s="14">
        <v>43623</v>
      </c>
      <c r="I239" s="4" t="s">
        <v>572</v>
      </c>
      <c r="J239" s="133"/>
      <c r="K239" s="22"/>
      <c r="L239" s="134"/>
    </row>
    <row r="240" spans="1:12" s="97" customFormat="1" hidden="1" x14ac:dyDescent="0.25">
      <c r="A240" s="61" t="s">
        <v>442</v>
      </c>
      <c r="B240" s="14"/>
      <c r="C240" s="13"/>
      <c r="D240" s="13" t="s">
        <v>100</v>
      </c>
      <c r="E240" s="13" t="s">
        <v>62</v>
      </c>
      <c r="F240" s="4">
        <v>73861.2</v>
      </c>
      <c r="G240" s="28" t="s">
        <v>9437</v>
      </c>
      <c r="H240" s="14">
        <v>43630</v>
      </c>
      <c r="I240" s="4" t="s">
        <v>572</v>
      </c>
      <c r="J240" s="133"/>
      <c r="K240" s="22"/>
      <c r="L240" s="134"/>
    </row>
    <row r="241" spans="1:12" s="97" customFormat="1" hidden="1" x14ac:dyDescent="0.25">
      <c r="A241" s="61" t="s">
        <v>311</v>
      </c>
      <c r="B241" s="14"/>
      <c r="C241" s="13"/>
      <c r="D241" s="13" t="s">
        <v>1065</v>
      </c>
      <c r="E241" s="13" t="s">
        <v>958</v>
      </c>
      <c r="F241" s="4">
        <v>62595.6</v>
      </c>
      <c r="G241" s="28" t="s">
        <v>3426</v>
      </c>
      <c r="H241" s="14">
        <v>43615</v>
      </c>
      <c r="I241" s="4" t="s">
        <v>8448</v>
      </c>
      <c r="J241" s="133"/>
      <c r="K241" s="22"/>
      <c r="L241" s="134"/>
    </row>
    <row r="242" spans="1:12" s="97" customFormat="1" hidden="1" x14ac:dyDescent="0.25">
      <c r="A242" s="61" t="s">
        <v>1350</v>
      </c>
      <c r="B242" s="14"/>
      <c r="C242" s="13"/>
      <c r="D242" s="13" t="s">
        <v>1065</v>
      </c>
      <c r="E242" s="13" t="s">
        <v>691</v>
      </c>
      <c r="F242" s="4">
        <v>103717.68</v>
      </c>
      <c r="G242" s="28" t="s">
        <v>8449</v>
      </c>
      <c r="H242" s="14">
        <v>43615</v>
      </c>
      <c r="I242" s="4" t="s">
        <v>8450</v>
      </c>
      <c r="J242" s="133"/>
      <c r="K242" s="22"/>
      <c r="L242" s="134"/>
    </row>
    <row r="243" spans="1:12" s="97" customFormat="1" hidden="1" x14ac:dyDescent="0.25">
      <c r="A243" s="61" t="s">
        <v>659</v>
      </c>
      <c r="B243" s="14"/>
      <c r="C243" s="13"/>
      <c r="D243" s="13" t="s">
        <v>1065</v>
      </c>
      <c r="E243" s="13" t="s">
        <v>808</v>
      </c>
      <c r="F243" s="4">
        <v>23681.77</v>
      </c>
      <c r="G243" s="28" t="s">
        <v>6965</v>
      </c>
      <c r="H243" s="14">
        <v>43616</v>
      </c>
      <c r="I243" s="4" t="s">
        <v>8451</v>
      </c>
      <c r="J243" s="133"/>
      <c r="K243" s="22"/>
      <c r="L243" s="134"/>
    </row>
    <row r="244" spans="1:12" s="97" customFormat="1" hidden="1" x14ac:dyDescent="0.25">
      <c r="A244" s="61" t="s">
        <v>1149</v>
      </c>
      <c r="B244" s="14"/>
      <c r="C244" s="13"/>
      <c r="D244" s="13" t="s">
        <v>1065</v>
      </c>
      <c r="E244" s="13" t="s">
        <v>808</v>
      </c>
      <c r="F244" s="37">
        <v>5704.8</v>
      </c>
      <c r="G244" s="29" t="s">
        <v>502</v>
      </c>
      <c r="H244" s="14">
        <v>43619</v>
      </c>
      <c r="I244" s="4" t="s">
        <v>8643</v>
      </c>
      <c r="J244" s="133"/>
      <c r="K244" s="22"/>
      <c r="L244" s="134"/>
    </row>
    <row r="245" spans="1:12" s="97" customFormat="1" hidden="1" x14ac:dyDescent="0.25">
      <c r="A245" s="61" t="s">
        <v>92</v>
      </c>
      <c r="B245" s="14"/>
      <c r="C245" s="13"/>
      <c r="D245" s="13" t="s">
        <v>1065</v>
      </c>
      <c r="E245" s="13" t="s">
        <v>62</v>
      </c>
      <c r="F245" s="37">
        <v>18792</v>
      </c>
      <c r="G245" s="29" t="s">
        <v>8644</v>
      </c>
      <c r="H245" s="14">
        <v>43619</v>
      </c>
      <c r="I245" s="4" t="s">
        <v>8645</v>
      </c>
      <c r="J245" s="133"/>
      <c r="K245" s="22"/>
      <c r="L245" s="134"/>
    </row>
    <row r="246" spans="1:12" s="97" customFormat="1" hidden="1" x14ac:dyDescent="0.25">
      <c r="A246" s="61" t="s">
        <v>442</v>
      </c>
      <c r="B246" s="14"/>
      <c r="C246" s="13"/>
      <c r="D246" s="13" t="s">
        <v>1065</v>
      </c>
      <c r="E246" s="13" t="s">
        <v>62</v>
      </c>
      <c r="F246" s="37">
        <v>37187.4</v>
      </c>
      <c r="G246" s="29" t="s">
        <v>7952</v>
      </c>
      <c r="H246" s="14">
        <v>43622</v>
      </c>
      <c r="I246" s="4" t="s">
        <v>8881</v>
      </c>
      <c r="J246" s="133"/>
      <c r="K246" s="22"/>
      <c r="L246" s="134"/>
    </row>
    <row r="247" spans="1:12" s="97" customFormat="1" hidden="1" x14ac:dyDescent="0.25">
      <c r="A247" s="61" t="s">
        <v>1316</v>
      </c>
      <c r="B247" s="14"/>
      <c r="C247" s="13"/>
      <c r="D247" s="13" t="s">
        <v>1065</v>
      </c>
      <c r="E247" s="13" t="s">
        <v>808</v>
      </c>
      <c r="F247" s="37">
        <v>11347.2</v>
      </c>
      <c r="G247" s="29" t="s">
        <v>1009</v>
      </c>
      <c r="H247" s="14">
        <v>43627</v>
      </c>
      <c r="I247" s="4" t="s">
        <v>8882</v>
      </c>
      <c r="J247" s="133"/>
      <c r="K247" s="22"/>
      <c r="L247" s="134"/>
    </row>
    <row r="248" spans="1:12" s="97" customFormat="1" hidden="1" x14ac:dyDescent="0.25">
      <c r="A248" s="61" t="s">
        <v>358</v>
      </c>
      <c r="B248" s="14"/>
      <c r="C248" s="13"/>
      <c r="D248" s="13" t="s">
        <v>1065</v>
      </c>
      <c r="E248" s="13" t="s">
        <v>62</v>
      </c>
      <c r="F248" s="37">
        <v>13895.22</v>
      </c>
      <c r="G248" s="29" t="s">
        <v>922</v>
      </c>
      <c r="H248" s="14">
        <v>43627</v>
      </c>
      <c r="I248" s="4" t="s">
        <v>9177</v>
      </c>
      <c r="J248" s="133"/>
      <c r="K248" s="22"/>
      <c r="L248" s="134"/>
    </row>
    <row r="249" spans="1:12" s="97" customFormat="1" hidden="1" x14ac:dyDescent="0.25">
      <c r="A249" s="61" t="s">
        <v>1350</v>
      </c>
      <c r="B249" s="14"/>
      <c r="C249" s="13"/>
      <c r="D249" s="13" t="s">
        <v>1065</v>
      </c>
      <c r="E249" s="13" t="s">
        <v>691</v>
      </c>
      <c r="F249" s="37">
        <v>59810.16</v>
      </c>
      <c r="G249" s="29" t="s">
        <v>3230</v>
      </c>
      <c r="H249" s="14">
        <v>43630</v>
      </c>
      <c r="I249" s="4" t="s">
        <v>9178</v>
      </c>
      <c r="J249" s="133"/>
      <c r="K249" s="22"/>
      <c r="L249" s="134"/>
    </row>
    <row r="250" spans="1:12" s="97" customFormat="1" hidden="1" x14ac:dyDescent="0.25">
      <c r="A250" s="61" t="s">
        <v>442</v>
      </c>
      <c r="B250" s="14"/>
      <c r="C250" s="13"/>
      <c r="D250" s="13" t="s">
        <v>1065</v>
      </c>
      <c r="E250" s="13" t="s">
        <v>62</v>
      </c>
      <c r="F250" s="37">
        <v>35627.699999999997</v>
      </c>
      <c r="G250" s="29" t="s">
        <v>8585</v>
      </c>
      <c r="H250" s="14">
        <v>43630</v>
      </c>
      <c r="I250" s="4" t="s">
        <v>9179</v>
      </c>
      <c r="J250" s="133"/>
      <c r="K250" s="22"/>
      <c r="L250" s="134"/>
    </row>
    <row r="251" spans="1:12" s="97" customFormat="1" hidden="1" x14ac:dyDescent="0.25">
      <c r="A251" s="61" t="s">
        <v>659</v>
      </c>
      <c r="B251" s="14"/>
      <c r="C251" s="13"/>
      <c r="D251" s="13" t="s">
        <v>1065</v>
      </c>
      <c r="E251" s="13" t="s">
        <v>808</v>
      </c>
      <c r="F251" s="37">
        <v>83584.509999999995</v>
      </c>
      <c r="G251" s="29" t="s">
        <v>8517</v>
      </c>
      <c r="H251" s="14">
        <v>43634</v>
      </c>
      <c r="I251" s="4" t="s">
        <v>9180</v>
      </c>
      <c r="J251" s="133"/>
      <c r="K251" s="22"/>
      <c r="L251" s="134"/>
    </row>
    <row r="252" spans="1:12" s="97" customFormat="1" hidden="1" x14ac:dyDescent="0.25">
      <c r="A252" s="61" t="s">
        <v>91</v>
      </c>
      <c r="B252" s="14"/>
      <c r="C252" s="13"/>
      <c r="D252" s="13" t="s">
        <v>1065</v>
      </c>
      <c r="E252" s="13" t="s">
        <v>62</v>
      </c>
      <c r="F252" s="37">
        <v>11169.96</v>
      </c>
      <c r="G252" s="29" t="s">
        <v>1205</v>
      </c>
      <c r="H252" s="14">
        <v>43635</v>
      </c>
      <c r="I252" s="4" t="s">
        <v>9434</v>
      </c>
      <c r="J252" s="133"/>
      <c r="K252" s="22"/>
      <c r="L252" s="134"/>
    </row>
    <row r="253" spans="1:12" s="97" customFormat="1" hidden="1" x14ac:dyDescent="0.25">
      <c r="A253" s="61" t="s">
        <v>637</v>
      </c>
      <c r="B253" s="14"/>
      <c r="C253" s="13"/>
      <c r="D253" s="13" t="s">
        <v>1065</v>
      </c>
      <c r="E253" s="13" t="s">
        <v>691</v>
      </c>
      <c r="F253" s="37">
        <v>28237.200000000001</v>
      </c>
      <c r="G253" s="29" t="s">
        <v>1153</v>
      </c>
      <c r="H253" s="14">
        <v>43636</v>
      </c>
      <c r="I253" s="4" t="s">
        <v>9435</v>
      </c>
      <c r="J253" s="133"/>
      <c r="K253" s="22"/>
      <c r="L253" s="134"/>
    </row>
    <row r="254" spans="1:12" s="97" customFormat="1" hidden="1" x14ac:dyDescent="0.25">
      <c r="A254" s="61" t="s">
        <v>659</v>
      </c>
      <c r="B254" s="14"/>
      <c r="C254" s="13"/>
      <c r="D254" s="13" t="s">
        <v>1065</v>
      </c>
      <c r="E254" s="13" t="s">
        <v>808</v>
      </c>
      <c r="F254" s="37">
        <v>25392</v>
      </c>
      <c r="G254" s="29" t="s">
        <v>2356</v>
      </c>
      <c r="H254" s="14">
        <v>43641</v>
      </c>
      <c r="I254" s="4" t="s">
        <v>9436</v>
      </c>
      <c r="J254" s="133"/>
      <c r="K254" s="22"/>
      <c r="L254" s="134"/>
    </row>
    <row r="255" spans="1:12" s="97" customFormat="1" hidden="1" x14ac:dyDescent="0.25">
      <c r="A255" s="32" t="s">
        <v>311</v>
      </c>
      <c r="B255" s="14"/>
      <c r="C255" s="13"/>
      <c r="D255" s="13" t="s">
        <v>1269</v>
      </c>
      <c r="E255" s="13" t="s">
        <v>958</v>
      </c>
      <c r="F255" s="37">
        <v>97020</v>
      </c>
      <c r="G255" s="29" t="s">
        <v>859</v>
      </c>
      <c r="H255" s="14">
        <v>43622</v>
      </c>
      <c r="I255" s="4" t="s">
        <v>8880</v>
      </c>
      <c r="J255" s="133"/>
      <c r="K255" s="22"/>
      <c r="L255" s="134"/>
    </row>
    <row r="256" spans="1:12" s="97" customFormat="1" hidden="1" x14ac:dyDescent="0.25">
      <c r="A256" s="61" t="s">
        <v>1350</v>
      </c>
      <c r="B256" s="14"/>
      <c r="C256" s="13"/>
      <c r="D256" s="13" t="s">
        <v>868</v>
      </c>
      <c r="E256" s="13" t="s">
        <v>691</v>
      </c>
      <c r="F256" s="37">
        <v>46728</v>
      </c>
      <c r="G256" s="29" t="s">
        <v>8642</v>
      </c>
      <c r="H256" s="14">
        <v>43616</v>
      </c>
      <c r="I256" s="4" t="s">
        <v>6852</v>
      </c>
      <c r="J256" s="133"/>
      <c r="K256" s="22"/>
      <c r="L256" s="134"/>
    </row>
    <row r="257" spans="1:12" s="97" customFormat="1" hidden="1" x14ac:dyDescent="0.25">
      <c r="A257" s="61" t="s">
        <v>442</v>
      </c>
      <c r="B257" s="14"/>
      <c r="C257" s="13"/>
      <c r="D257" s="13" t="s">
        <v>868</v>
      </c>
      <c r="E257" s="13" t="s">
        <v>62</v>
      </c>
      <c r="F257" s="37">
        <v>44765.8</v>
      </c>
      <c r="G257" s="29" t="s">
        <v>8876</v>
      </c>
      <c r="H257" s="14">
        <v>43622</v>
      </c>
      <c r="I257" s="4" t="s">
        <v>8877</v>
      </c>
      <c r="J257" s="133"/>
      <c r="K257" s="22"/>
      <c r="L257" s="134"/>
    </row>
    <row r="258" spans="1:12" s="97" customFormat="1" hidden="1" x14ac:dyDescent="0.25">
      <c r="A258" s="61" t="s">
        <v>1350</v>
      </c>
      <c r="B258" s="14"/>
      <c r="C258" s="13"/>
      <c r="D258" s="13" t="s">
        <v>868</v>
      </c>
      <c r="E258" s="13" t="s">
        <v>691</v>
      </c>
      <c r="F258" s="37">
        <v>14212.92</v>
      </c>
      <c r="G258" s="29" t="s">
        <v>8878</v>
      </c>
      <c r="H258" s="14">
        <v>43622</v>
      </c>
      <c r="I258" s="4" t="s">
        <v>8879</v>
      </c>
      <c r="J258" s="133"/>
      <c r="K258" s="22"/>
      <c r="L258" s="134"/>
    </row>
    <row r="259" spans="1:12" s="97" customFormat="1" hidden="1" x14ac:dyDescent="0.25">
      <c r="A259" s="61" t="s">
        <v>442</v>
      </c>
      <c r="B259" s="14"/>
      <c r="C259" s="13"/>
      <c r="D259" s="13" t="s">
        <v>868</v>
      </c>
      <c r="E259" s="13" t="s">
        <v>62</v>
      </c>
      <c r="F259" s="37">
        <v>15328</v>
      </c>
      <c r="G259" s="29" t="s">
        <v>9176</v>
      </c>
      <c r="H259" s="14">
        <v>43630</v>
      </c>
      <c r="I259" s="4" t="s">
        <v>345</v>
      </c>
      <c r="J259" s="133"/>
      <c r="K259" s="22"/>
      <c r="L259" s="134"/>
    </row>
    <row r="260" spans="1:12" s="97" customFormat="1" hidden="1" x14ac:dyDescent="0.25">
      <c r="A260" s="61" t="s">
        <v>442</v>
      </c>
      <c r="B260" s="14"/>
      <c r="C260" s="13"/>
      <c r="D260" s="13" t="s">
        <v>868</v>
      </c>
      <c r="E260" s="13" t="s">
        <v>62</v>
      </c>
      <c r="F260" s="37">
        <v>43453</v>
      </c>
      <c r="G260" s="29" t="s">
        <v>9433</v>
      </c>
      <c r="H260" s="14">
        <v>43636</v>
      </c>
      <c r="I260" s="4" t="s">
        <v>6528</v>
      </c>
      <c r="J260" s="133"/>
      <c r="K260" s="22"/>
      <c r="L260" s="134"/>
    </row>
    <row r="261" spans="1:12" s="97" customFormat="1" hidden="1" x14ac:dyDescent="0.25">
      <c r="A261" s="61" t="s">
        <v>91</v>
      </c>
      <c r="B261" s="14"/>
      <c r="C261" s="13"/>
      <c r="D261" s="13" t="s">
        <v>280</v>
      </c>
      <c r="E261" s="13" t="s">
        <v>62</v>
      </c>
      <c r="F261" s="37">
        <v>11204</v>
      </c>
      <c r="G261" s="29" t="s">
        <v>1498</v>
      </c>
      <c r="H261" s="14">
        <v>43601</v>
      </c>
      <c r="I261" s="4" t="s">
        <v>8438</v>
      </c>
      <c r="J261" s="133"/>
      <c r="K261" s="22"/>
      <c r="L261" s="134"/>
    </row>
    <row r="262" spans="1:12" s="97" customFormat="1" hidden="1" x14ac:dyDescent="0.25">
      <c r="A262" s="61" t="s">
        <v>1316</v>
      </c>
      <c r="B262" s="14"/>
      <c r="C262" s="13"/>
      <c r="D262" s="13" t="s">
        <v>280</v>
      </c>
      <c r="E262" s="13" t="s">
        <v>808</v>
      </c>
      <c r="F262" s="37">
        <v>39065</v>
      </c>
      <c r="G262" s="29" t="s">
        <v>1685</v>
      </c>
      <c r="H262" s="14">
        <v>43607</v>
      </c>
      <c r="I262" s="4" t="s">
        <v>8441</v>
      </c>
      <c r="J262" s="133"/>
      <c r="K262" s="22"/>
      <c r="L262" s="134"/>
    </row>
    <row r="263" spans="1:12" s="97" customFormat="1" hidden="1" x14ac:dyDescent="0.25">
      <c r="A263" s="61" t="s">
        <v>1148</v>
      </c>
      <c r="B263" s="14"/>
      <c r="C263" s="13"/>
      <c r="D263" s="13" t="s">
        <v>280</v>
      </c>
      <c r="E263" s="13" t="s">
        <v>808</v>
      </c>
      <c r="F263" s="37">
        <v>16910</v>
      </c>
      <c r="G263" s="29" t="s">
        <v>3335</v>
      </c>
      <c r="H263" s="14">
        <v>43608</v>
      </c>
      <c r="I263" s="4" t="s">
        <v>8443</v>
      </c>
      <c r="J263" s="133"/>
      <c r="K263" s="22"/>
      <c r="L263" s="134"/>
    </row>
    <row r="264" spans="1:12" s="97" customFormat="1" hidden="1" x14ac:dyDescent="0.25">
      <c r="A264" s="61" t="s">
        <v>1316</v>
      </c>
      <c r="B264" s="14"/>
      <c r="C264" s="13"/>
      <c r="D264" s="13" t="s">
        <v>280</v>
      </c>
      <c r="E264" s="13" t="s">
        <v>808</v>
      </c>
      <c r="F264" s="37">
        <v>101133</v>
      </c>
      <c r="G264" s="29" t="s">
        <v>7290</v>
      </c>
      <c r="H264" s="14">
        <v>43616</v>
      </c>
      <c r="I264" s="4" t="s">
        <v>8641</v>
      </c>
      <c r="J264" s="133"/>
      <c r="K264" s="22"/>
      <c r="L264" s="134"/>
    </row>
    <row r="265" spans="1:12" s="97" customFormat="1" hidden="1" x14ac:dyDescent="0.25">
      <c r="A265" s="61" t="s">
        <v>442</v>
      </c>
      <c r="B265" s="14"/>
      <c r="C265" s="13"/>
      <c r="D265" s="13" t="s">
        <v>280</v>
      </c>
      <c r="E265" s="13" t="s">
        <v>62</v>
      </c>
      <c r="F265" s="37">
        <v>49290</v>
      </c>
      <c r="G265" s="29" t="s">
        <v>6649</v>
      </c>
      <c r="H265" s="14">
        <v>43622</v>
      </c>
      <c r="I265" s="4" t="s">
        <v>5945</v>
      </c>
      <c r="J265" s="133"/>
      <c r="K265" s="22"/>
      <c r="L265" s="134"/>
    </row>
    <row r="266" spans="1:12" s="97" customFormat="1" hidden="1" x14ac:dyDescent="0.25">
      <c r="A266" s="61" t="s">
        <v>311</v>
      </c>
      <c r="B266" s="14"/>
      <c r="C266" s="13"/>
      <c r="D266" s="13" t="s">
        <v>280</v>
      </c>
      <c r="E266" s="13" t="s">
        <v>958</v>
      </c>
      <c r="F266" s="37">
        <v>82050</v>
      </c>
      <c r="G266" s="29" t="s">
        <v>8874</v>
      </c>
      <c r="H266" s="14">
        <v>43622</v>
      </c>
      <c r="I266" s="4" t="s">
        <v>8875</v>
      </c>
      <c r="J266" s="133"/>
      <c r="K266" s="22"/>
      <c r="L266" s="134"/>
    </row>
    <row r="267" spans="1:12" s="97" customFormat="1" hidden="1" x14ac:dyDescent="0.25">
      <c r="A267" s="61" t="s">
        <v>311</v>
      </c>
      <c r="B267" s="14"/>
      <c r="C267" s="13"/>
      <c r="D267" s="13" t="s">
        <v>280</v>
      </c>
      <c r="E267" s="13" t="s">
        <v>958</v>
      </c>
      <c r="F267" s="4">
        <v>9024</v>
      </c>
      <c r="G267" s="28" t="s">
        <v>3225</v>
      </c>
      <c r="H267" s="14">
        <v>43627</v>
      </c>
      <c r="I267" s="4" t="s">
        <v>9173</v>
      </c>
      <c r="J267" s="133"/>
      <c r="K267" s="22"/>
      <c r="L267" s="134"/>
    </row>
    <row r="268" spans="1:12" s="97" customFormat="1" hidden="1" x14ac:dyDescent="0.25">
      <c r="A268" s="61" t="s">
        <v>659</v>
      </c>
      <c r="B268" s="14"/>
      <c r="C268" s="13"/>
      <c r="D268" s="13" t="s">
        <v>280</v>
      </c>
      <c r="E268" s="13" t="s">
        <v>808</v>
      </c>
      <c r="F268" s="37">
        <v>27573</v>
      </c>
      <c r="G268" s="29" t="s">
        <v>6446</v>
      </c>
      <c r="H268" s="14">
        <v>43627</v>
      </c>
      <c r="I268" s="4" t="s">
        <v>9174</v>
      </c>
      <c r="J268" s="133"/>
      <c r="K268" s="22"/>
      <c r="L268" s="134"/>
    </row>
    <row r="269" spans="1:12" s="97" customFormat="1" hidden="1" x14ac:dyDescent="0.25">
      <c r="A269" s="61" t="s">
        <v>92</v>
      </c>
      <c r="B269" s="14"/>
      <c r="C269" s="13"/>
      <c r="D269" s="13" t="s">
        <v>280</v>
      </c>
      <c r="E269" s="13" t="s">
        <v>62</v>
      </c>
      <c r="F269" s="37">
        <v>58676</v>
      </c>
      <c r="G269" s="29" t="s">
        <v>4339</v>
      </c>
      <c r="H269" s="14">
        <v>43629</v>
      </c>
      <c r="I269" s="4" t="s">
        <v>9175</v>
      </c>
      <c r="J269" s="133"/>
      <c r="K269" s="22"/>
      <c r="L269" s="134"/>
    </row>
    <row r="270" spans="1:12" s="97" customFormat="1" hidden="1" x14ac:dyDescent="0.25">
      <c r="A270" s="61" t="s">
        <v>103</v>
      </c>
      <c r="B270" s="14"/>
      <c r="C270" s="13"/>
      <c r="D270" s="13" t="s">
        <v>280</v>
      </c>
      <c r="E270" s="13" t="s">
        <v>62</v>
      </c>
      <c r="F270" s="37">
        <v>51060</v>
      </c>
      <c r="G270" s="29" t="s">
        <v>9428</v>
      </c>
      <c r="H270" s="14">
        <v>43633</v>
      </c>
      <c r="I270" s="4" t="s">
        <v>9429</v>
      </c>
      <c r="J270" s="133"/>
      <c r="K270" s="22"/>
      <c r="L270" s="134"/>
    </row>
    <row r="271" spans="1:12" s="97" customFormat="1" hidden="1" x14ac:dyDescent="0.25">
      <c r="A271" s="61" t="s">
        <v>358</v>
      </c>
      <c r="B271" s="14"/>
      <c r="C271" s="13"/>
      <c r="D271" s="13" t="s">
        <v>280</v>
      </c>
      <c r="E271" s="13" t="s">
        <v>62</v>
      </c>
      <c r="F271" s="4">
        <v>18636</v>
      </c>
      <c r="G271" s="28" t="s">
        <v>6178</v>
      </c>
      <c r="H271" s="14">
        <v>43634</v>
      </c>
      <c r="I271" s="4" t="s">
        <v>9430</v>
      </c>
      <c r="J271" s="133"/>
      <c r="K271" s="22"/>
      <c r="L271" s="134"/>
    </row>
    <row r="272" spans="1:12" s="97" customFormat="1" hidden="1" x14ac:dyDescent="0.25">
      <c r="A272" s="61" t="s">
        <v>311</v>
      </c>
      <c r="B272" s="14"/>
      <c r="C272" s="13"/>
      <c r="D272" s="13" t="s">
        <v>280</v>
      </c>
      <c r="E272" s="13" t="s">
        <v>958</v>
      </c>
      <c r="F272" s="37">
        <v>30838</v>
      </c>
      <c r="G272" s="29" t="s">
        <v>1101</v>
      </c>
      <c r="H272" s="14">
        <v>43635</v>
      </c>
      <c r="I272" s="4" t="s">
        <v>7155</v>
      </c>
      <c r="J272" s="133"/>
      <c r="K272" s="22"/>
      <c r="L272" s="134"/>
    </row>
    <row r="273" spans="1:12" s="97" customFormat="1" hidden="1" x14ac:dyDescent="0.25">
      <c r="A273" s="61" t="s">
        <v>442</v>
      </c>
      <c r="B273" s="14"/>
      <c r="C273" s="13"/>
      <c r="D273" s="13" t="s">
        <v>280</v>
      </c>
      <c r="E273" s="13" t="s">
        <v>62</v>
      </c>
      <c r="F273" s="37">
        <v>111230</v>
      </c>
      <c r="G273" s="29" t="s">
        <v>6795</v>
      </c>
      <c r="H273" s="14">
        <v>43635</v>
      </c>
      <c r="I273" s="4" t="s">
        <v>9431</v>
      </c>
      <c r="J273" s="133"/>
      <c r="K273" s="22"/>
      <c r="L273" s="134"/>
    </row>
    <row r="274" spans="1:12" s="97" customFormat="1" hidden="1" x14ac:dyDescent="0.25">
      <c r="A274" s="61" t="s">
        <v>1316</v>
      </c>
      <c r="B274" s="14"/>
      <c r="C274" s="13"/>
      <c r="D274" s="13" t="s">
        <v>280</v>
      </c>
      <c r="E274" s="13" t="s">
        <v>808</v>
      </c>
      <c r="F274" s="37">
        <v>149084</v>
      </c>
      <c r="G274" s="29" t="s">
        <v>7111</v>
      </c>
      <c r="H274" s="14">
        <v>43641</v>
      </c>
      <c r="I274" s="4" t="s">
        <v>9432</v>
      </c>
      <c r="J274" s="133"/>
      <c r="K274" s="22"/>
      <c r="L274" s="134"/>
    </row>
    <row r="275" spans="1:12" s="97" customFormat="1" hidden="1" x14ac:dyDescent="0.25">
      <c r="A275" s="61" t="s">
        <v>442</v>
      </c>
      <c r="B275" s="14"/>
      <c r="C275" s="13"/>
      <c r="D275" s="13" t="s">
        <v>814</v>
      </c>
      <c r="E275" s="13" t="s">
        <v>62</v>
      </c>
      <c r="F275" s="37">
        <v>38564</v>
      </c>
      <c r="G275" s="29" t="s">
        <v>8436</v>
      </c>
      <c r="H275" s="14">
        <v>43607</v>
      </c>
      <c r="I275" s="4" t="s">
        <v>45</v>
      </c>
      <c r="J275" s="133"/>
      <c r="K275" s="22"/>
      <c r="L275" s="134"/>
    </row>
    <row r="276" spans="1:12" s="97" customFormat="1" hidden="1" x14ac:dyDescent="0.25">
      <c r="A276" s="61" t="s">
        <v>1149</v>
      </c>
      <c r="B276" s="14"/>
      <c r="C276" s="13"/>
      <c r="D276" s="13" t="s">
        <v>814</v>
      </c>
      <c r="E276" s="13" t="s">
        <v>808</v>
      </c>
      <c r="F276" s="37">
        <v>27380</v>
      </c>
      <c r="G276" s="29" t="s">
        <v>8437</v>
      </c>
      <c r="H276" s="14">
        <v>43615</v>
      </c>
      <c r="I276" s="4" t="s">
        <v>1810</v>
      </c>
      <c r="J276" s="133"/>
      <c r="K276" s="22"/>
      <c r="L276" s="134"/>
    </row>
    <row r="277" spans="1:12" s="97" customFormat="1" hidden="1" x14ac:dyDescent="0.25">
      <c r="A277" s="61" t="s">
        <v>442</v>
      </c>
      <c r="B277" s="14"/>
      <c r="C277" s="13"/>
      <c r="D277" s="13" t="s">
        <v>814</v>
      </c>
      <c r="E277" s="13" t="s">
        <v>62</v>
      </c>
      <c r="F277" s="37">
        <v>29750</v>
      </c>
      <c r="G277" s="29" t="s">
        <v>8089</v>
      </c>
      <c r="H277" s="14">
        <v>43616</v>
      </c>
      <c r="I277" s="4" t="s">
        <v>719</v>
      </c>
      <c r="J277" s="133"/>
      <c r="K277" s="22"/>
      <c r="L277" s="134"/>
    </row>
    <row r="278" spans="1:12" s="97" customFormat="1" hidden="1" x14ac:dyDescent="0.25">
      <c r="A278" s="61" t="s">
        <v>442</v>
      </c>
      <c r="B278" s="14"/>
      <c r="C278" s="13"/>
      <c r="D278" s="13" t="s">
        <v>814</v>
      </c>
      <c r="E278" s="13" t="s">
        <v>62</v>
      </c>
      <c r="F278" s="4">
        <v>137445</v>
      </c>
      <c r="G278" s="28" t="s">
        <v>9171</v>
      </c>
      <c r="H278" s="14">
        <v>43629</v>
      </c>
      <c r="I278" s="4" t="s">
        <v>142</v>
      </c>
      <c r="J278" s="133"/>
      <c r="K278" s="22"/>
      <c r="L278" s="134"/>
    </row>
    <row r="279" spans="1:12" s="97" customFormat="1" hidden="1" x14ac:dyDescent="0.25">
      <c r="A279" s="61" t="s">
        <v>1148</v>
      </c>
      <c r="B279" s="14"/>
      <c r="C279" s="13"/>
      <c r="D279" s="13" t="s">
        <v>814</v>
      </c>
      <c r="E279" s="13" t="s">
        <v>808</v>
      </c>
      <c r="F279" s="4">
        <v>88200</v>
      </c>
      <c r="G279" s="28" t="s">
        <v>9172</v>
      </c>
      <c r="H279" s="14">
        <v>43629</v>
      </c>
      <c r="I279" s="4" t="s">
        <v>142</v>
      </c>
      <c r="J279" s="133"/>
      <c r="K279" s="22"/>
      <c r="L279" s="134"/>
    </row>
    <row r="280" spans="1:12" s="97" customFormat="1" hidden="1" x14ac:dyDescent="0.25">
      <c r="A280" s="61" t="s">
        <v>1148</v>
      </c>
      <c r="B280" s="14"/>
      <c r="C280" s="13"/>
      <c r="D280" s="13" t="s">
        <v>814</v>
      </c>
      <c r="E280" s="13" t="s">
        <v>808</v>
      </c>
      <c r="F280" s="4">
        <v>29400</v>
      </c>
      <c r="G280" s="28" t="s">
        <v>7855</v>
      </c>
      <c r="H280" s="14">
        <v>43636</v>
      </c>
      <c r="I280" s="4" t="s">
        <v>142</v>
      </c>
      <c r="J280" s="133"/>
      <c r="K280" s="22"/>
      <c r="L280" s="134"/>
    </row>
    <row r="281" spans="1:12" s="97" customFormat="1" hidden="1" x14ac:dyDescent="0.25">
      <c r="A281" s="61" t="s">
        <v>442</v>
      </c>
      <c r="B281" s="14"/>
      <c r="C281" s="13"/>
      <c r="D281" s="13" t="s">
        <v>304</v>
      </c>
      <c r="E281" s="13" t="s">
        <v>62</v>
      </c>
      <c r="F281" s="37">
        <v>3408</v>
      </c>
      <c r="G281" s="29" t="s">
        <v>8428</v>
      </c>
      <c r="H281" s="14">
        <v>43607</v>
      </c>
      <c r="I281" s="4" t="s">
        <v>6181</v>
      </c>
      <c r="J281" s="133"/>
      <c r="K281" s="22"/>
      <c r="L281" s="134"/>
    </row>
    <row r="282" spans="1:12" s="97" customFormat="1" hidden="1" x14ac:dyDescent="0.25">
      <c r="A282" s="61" t="s">
        <v>91</v>
      </c>
      <c r="B282" s="14"/>
      <c r="C282" s="13"/>
      <c r="D282" s="13" t="s">
        <v>304</v>
      </c>
      <c r="E282" s="13" t="s">
        <v>62</v>
      </c>
      <c r="F282" s="37">
        <v>34050</v>
      </c>
      <c r="G282" s="29" t="s">
        <v>8429</v>
      </c>
      <c r="H282" s="14">
        <v>43609</v>
      </c>
      <c r="I282" s="4" t="s">
        <v>374</v>
      </c>
      <c r="J282" s="133"/>
      <c r="K282" s="22"/>
      <c r="L282" s="134"/>
    </row>
    <row r="283" spans="1:12" s="97" customFormat="1" hidden="1" x14ac:dyDescent="0.25">
      <c r="A283" s="61" t="s">
        <v>442</v>
      </c>
      <c r="B283" s="14"/>
      <c r="C283" s="13"/>
      <c r="D283" s="13" t="s">
        <v>304</v>
      </c>
      <c r="E283" s="13" t="s">
        <v>62</v>
      </c>
      <c r="F283" s="37">
        <v>4584</v>
      </c>
      <c r="G283" s="29" t="s">
        <v>8430</v>
      </c>
      <c r="H283" s="14">
        <v>43614</v>
      </c>
      <c r="I283" s="4" t="s">
        <v>6181</v>
      </c>
      <c r="J283" s="133"/>
      <c r="K283" s="22"/>
      <c r="L283" s="134"/>
    </row>
    <row r="284" spans="1:12" s="97" customFormat="1" hidden="1" x14ac:dyDescent="0.25">
      <c r="A284" s="61" t="s">
        <v>91</v>
      </c>
      <c r="B284" s="14"/>
      <c r="C284" s="13"/>
      <c r="D284" s="13" t="s">
        <v>304</v>
      </c>
      <c r="E284" s="13" t="s">
        <v>62</v>
      </c>
      <c r="F284" s="37">
        <v>74550</v>
      </c>
      <c r="G284" s="29" t="s">
        <v>8431</v>
      </c>
      <c r="H284" s="14">
        <v>43615</v>
      </c>
      <c r="I284" s="4" t="s">
        <v>374</v>
      </c>
      <c r="J284" s="133"/>
      <c r="K284" s="22"/>
      <c r="L284" s="134"/>
    </row>
    <row r="285" spans="1:12" s="97" customFormat="1" hidden="1" x14ac:dyDescent="0.25">
      <c r="A285" s="61" t="s">
        <v>442</v>
      </c>
      <c r="B285" s="14"/>
      <c r="C285" s="13"/>
      <c r="D285" s="13" t="s">
        <v>304</v>
      </c>
      <c r="E285" s="13" t="s">
        <v>62</v>
      </c>
      <c r="F285" s="37">
        <v>88405</v>
      </c>
      <c r="G285" s="29" t="s">
        <v>8432</v>
      </c>
      <c r="H285" s="14">
        <v>43616</v>
      </c>
      <c r="I285" s="4" t="s">
        <v>8433</v>
      </c>
      <c r="J285" s="133"/>
      <c r="K285" s="22"/>
      <c r="L285" s="134"/>
    </row>
    <row r="286" spans="1:12" s="97" customFormat="1" hidden="1" x14ac:dyDescent="0.25">
      <c r="A286" s="61" t="s">
        <v>311</v>
      </c>
      <c r="B286" s="14"/>
      <c r="C286" s="13"/>
      <c r="D286" s="13" t="s">
        <v>304</v>
      </c>
      <c r="E286" s="13" t="s">
        <v>958</v>
      </c>
      <c r="F286" s="37">
        <v>12680</v>
      </c>
      <c r="G286" s="29" t="s">
        <v>8638</v>
      </c>
      <c r="H286" s="14">
        <v>43619</v>
      </c>
      <c r="I286" s="4" t="s">
        <v>7487</v>
      </c>
      <c r="J286" s="133"/>
      <c r="K286" s="22"/>
      <c r="L286" s="134"/>
    </row>
    <row r="287" spans="1:12" s="97" customFormat="1" hidden="1" x14ac:dyDescent="0.25">
      <c r="A287" s="61" t="s">
        <v>91</v>
      </c>
      <c r="B287" s="14"/>
      <c r="C287" s="13"/>
      <c r="D287" s="13" t="s">
        <v>304</v>
      </c>
      <c r="E287" s="13" t="s">
        <v>62</v>
      </c>
      <c r="F287" s="37">
        <v>81185</v>
      </c>
      <c r="G287" s="29" t="s">
        <v>8639</v>
      </c>
      <c r="H287" s="14">
        <v>43621</v>
      </c>
      <c r="I287" s="4" t="s">
        <v>8640</v>
      </c>
      <c r="J287" s="133"/>
      <c r="K287" s="22"/>
      <c r="L287" s="134"/>
    </row>
    <row r="288" spans="1:12" s="97" customFormat="1" hidden="1" x14ac:dyDescent="0.25">
      <c r="A288" s="61" t="s">
        <v>92</v>
      </c>
      <c r="B288" s="14"/>
      <c r="C288" s="13"/>
      <c r="D288" s="13" t="s">
        <v>304</v>
      </c>
      <c r="E288" s="13" t="s">
        <v>62</v>
      </c>
      <c r="F288" s="37">
        <v>547050</v>
      </c>
      <c r="G288" s="29" t="s">
        <v>8866</v>
      </c>
      <c r="H288" s="14">
        <v>43621</v>
      </c>
      <c r="I288" s="4" t="s">
        <v>8867</v>
      </c>
      <c r="J288" s="133"/>
      <c r="K288" s="22"/>
      <c r="L288" s="134"/>
    </row>
    <row r="289" spans="1:12" s="97" customFormat="1" hidden="1" x14ac:dyDescent="0.25">
      <c r="A289" s="32" t="s">
        <v>442</v>
      </c>
      <c r="B289" s="14"/>
      <c r="C289" s="13"/>
      <c r="D289" s="13" t="s">
        <v>304</v>
      </c>
      <c r="E289" s="13" t="s">
        <v>62</v>
      </c>
      <c r="F289" s="4">
        <v>18240</v>
      </c>
      <c r="G289" s="28" t="s">
        <v>8868</v>
      </c>
      <c r="H289" s="14">
        <v>43621</v>
      </c>
      <c r="I289" s="4" t="s">
        <v>6181</v>
      </c>
      <c r="J289" s="133"/>
      <c r="K289" s="22"/>
      <c r="L289" s="134"/>
    </row>
    <row r="290" spans="1:12" s="97" customFormat="1" hidden="1" x14ac:dyDescent="0.25">
      <c r="A290" s="61" t="s">
        <v>92</v>
      </c>
      <c r="B290" s="14"/>
      <c r="C290" s="13"/>
      <c r="D290" s="13" t="s">
        <v>304</v>
      </c>
      <c r="E290" s="13" t="s">
        <v>62</v>
      </c>
      <c r="F290" s="4">
        <v>18608</v>
      </c>
      <c r="G290" s="29" t="s">
        <v>8869</v>
      </c>
      <c r="H290" s="14">
        <v>43621</v>
      </c>
      <c r="I290" s="4" t="s">
        <v>8870</v>
      </c>
      <c r="J290" s="133"/>
      <c r="K290" s="22"/>
      <c r="L290" s="134"/>
    </row>
    <row r="291" spans="1:12" s="97" customFormat="1" hidden="1" x14ac:dyDescent="0.25">
      <c r="A291" s="61" t="s">
        <v>92</v>
      </c>
      <c r="B291" s="14"/>
      <c r="C291" s="13"/>
      <c r="D291" s="13" t="s">
        <v>304</v>
      </c>
      <c r="E291" s="13" t="s">
        <v>62</v>
      </c>
      <c r="F291" s="4">
        <v>9408</v>
      </c>
      <c r="G291" s="28" t="s">
        <v>8871</v>
      </c>
      <c r="H291" s="14">
        <v>43622</v>
      </c>
      <c r="I291" s="4" t="s">
        <v>8872</v>
      </c>
      <c r="J291" s="133"/>
      <c r="K291" s="22"/>
      <c r="L291" s="134"/>
    </row>
    <row r="292" spans="1:12" s="97" customFormat="1" hidden="1" x14ac:dyDescent="0.25">
      <c r="A292" s="61" t="s">
        <v>91</v>
      </c>
      <c r="B292" s="14"/>
      <c r="C292" s="13"/>
      <c r="D292" s="13" t="s">
        <v>304</v>
      </c>
      <c r="E292" s="13" t="s">
        <v>62</v>
      </c>
      <c r="F292" s="4">
        <v>226800</v>
      </c>
      <c r="G292" s="28" t="s">
        <v>9164</v>
      </c>
      <c r="H292" s="14">
        <v>43622</v>
      </c>
      <c r="I292" s="4" t="s">
        <v>9165</v>
      </c>
      <c r="J292" s="133"/>
      <c r="K292" s="22"/>
      <c r="L292" s="134"/>
    </row>
    <row r="293" spans="1:12" s="97" customFormat="1" hidden="1" x14ac:dyDescent="0.25">
      <c r="A293" s="61" t="s">
        <v>358</v>
      </c>
      <c r="B293" s="14"/>
      <c r="C293" s="13"/>
      <c r="D293" s="13" t="s">
        <v>304</v>
      </c>
      <c r="E293" s="13" t="s">
        <v>62</v>
      </c>
      <c r="F293" s="37">
        <v>24577.22</v>
      </c>
      <c r="G293" s="29" t="s">
        <v>8873</v>
      </c>
      <c r="H293" s="14">
        <v>43623</v>
      </c>
      <c r="I293" s="4" t="s">
        <v>374</v>
      </c>
      <c r="J293" s="133"/>
      <c r="K293" s="22"/>
      <c r="L293" s="134"/>
    </row>
    <row r="294" spans="1:12" s="97" customFormat="1" hidden="1" x14ac:dyDescent="0.25">
      <c r="A294" s="61" t="s">
        <v>358</v>
      </c>
      <c r="B294" s="14"/>
      <c r="C294" s="13"/>
      <c r="D294" s="13" t="s">
        <v>304</v>
      </c>
      <c r="E294" s="13" t="s">
        <v>62</v>
      </c>
      <c r="F294" s="4">
        <v>59712</v>
      </c>
      <c r="G294" s="28" t="s">
        <v>9166</v>
      </c>
      <c r="H294" s="14">
        <v>43623</v>
      </c>
      <c r="I294" s="4" t="s">
        <v>6181</v>
      </c>
      <c r="J294" s="133"/>
      <c r="K294" s="22"/>
      <c r="L294" s="134"/>
    </row>
    <row r="295" spans="1:12" s="97" customFormat="1" hidden="1" x14ac:dyDescent="0.25">
      <c r="A295" s="61" t="s">
        <v>311</v>
      </c>
      <c r="B295" s="14"/>
      <c r="C295" s="13"/>
      <c r="D295" s="13" t="s">
        <v>304</v>
      </c>
      <c r="E295" s="13" t="s">
        <v>958</v>
      </c>
      <c r="F295" s="4">
        <v>29940</v>
      </c>
      <c r="G295" s="28" t="s">
        <v>9167</v>
      </c>
      <c r="H295" s="14">
        <v>43633</v>
      </c>
      <c r="I295" s="4" t="s">
        <v>9168</v>
      </c>
      <c r="J295" s="133"/>
      <c r="K295" s="22"/>
      <c r="L295" s="134"/>
    </row>
    <row r="296" spans="1:12" s="97" customFormat="1" hidden="1" x14ac:dyDescent="0.25">
      <c r="A296" s="61" t="s">
        <v>311</v>
      </c>
      <c r="B296" s="14"/>
      <c r="C296" s="13"/>
      <c r="D296" s="13" t="s">
        <v>304</v>
      </c>
      <c r="E296" s="13" t="s">
        <v>958</v>
      </c>
      <c r="F296" s="37">
        <v>142656.95999999999</v>
      </c>
      <c r="G296" s="29" t="s">
        <v>9169</v>
      </c>
      <c r="H296" s="14">
        <v>43633</v>
      </c>
      <c r="I296" s="4" t="s">
        <v>9170</v>
      </c>
      <c r="J296" s="133"/>
      <c r="K296" s="22"/>
      <c r="L296" s="134"/>
    </row>
    <row r="297" spans="1:12" s="97" customFormat="1" hidden="1" x14ac:dyDescent="0.25">
      <c r="A297" s="32" t="s">
        <v>91</v>
      </c>
      <c r="B297" s="14"/>
      <c r="C297" s="13"/>
      <c r="D297" s="13" t="s">
        <v>304</v>
      </c>
      <c r="E297" s="13" t="s">
        <v>62</v>
      </c>
      <c r="F297" s="4">
        <v>44265</v>
      </c>
      <c r="G297" s="28" t="s">
        <v>9427</v>
      </c>
      <c r="H297" s="14">
        <v>43636</v>
      </c>
      <c r="I297" s="4" t="s">
        <v>374</v>
      </c>
      <c r="J297" s="133"/>
      <c r="K297" s="22"/>
      <c r="L297" s="134"/>
    </row>
    <row r="298" spans="1:12" s="97" customFormat="1" hidden="1" x14ac:dyDescent="0.25">
      <c r="A298" s="61" t="s">
        <v>659</v>
      </c>
      <c r="B298" s="14"/>
      <c r="C298" s="13"/>
      <c r="D298" s="13" t="s">
        <v>4936</v>
      </c>
      <c r="E298" s="13" t="s">
        <v>808</v>
      </c>
      <c r="F298" s="37">
        <v>57448.9</v>
      </c>
      <c r="G298" s="29" t="s">
        <v>4108</v>
      </c>
      <c r="H298" s="14">
        <v>43606</v>
      </c>
      <c r="I298" s="4" t="s">
        <v>268</v>
      </c>
      <c r="J298" s="133"/>
      <c r="K298" s="22"/>
      <c r="L298" s="134"/>
    </row>
    <row r="299" spans="1:12" s="97" customFormat="1" hidden="1" x14ac:dyDescent="0.25">
      <c r="A299" s="61" t="s">
        <v>455</v>
      </c>
      <c r="B299" s="14"/>
      <c r="C299" s="13"/>
      <c r="D299" s="13" t="s">
        <v>4936</v>
      </c>
      <c r="E299" s="13" t="s">
        <v>958</v>
      </c>
      <c r="F299" s="37">
        <v>112675.24</v>
      </c>
      <c r="G299" s="29" t="s">
        <v>8425</v>
      </c>
      <c r="H299" s="14">
        <v>43613</v>
      </c>
      <c r="I299" s="4" t="s">
        <v>268</v>
      </c>
      <c r="J299" s="133"/>
      <c r="K299" s="22"/>
      <c r="L299" s="134"/>
    </row>
    <row r="300" spans="1:12" s="97" customFormat="1" hidden="1" x14ac:dyDescent="0.25">
      <c r="A300" s="61" t="s">
        <v>442</v>
      </c>
      <c r="B300" s="14"/>
      <c r="C300" s="13"/>
      <c r="D300" s="13" t="s">
        <v>4936</v>
      </c>
      <c r="E300" s="13" t="s">
        <v>62</v>
      </c>
      <c r="F300" s="37">
        <v>207369.63</v>
      </c>
      <c r="G300" s="29" t="s">
        <v>8865</v>
      </c>
      <c r="H300" s="14">
        <v>43622</v>
      </c>
      <c r="I300" s="4" t="s">
        <v>572</v>
      </c>
      <c r="J300" s="133"/>
      <c r="K300" s="22"/>
      <c r="L300" s="134"/>
    </row>
    <row r="301" spans="1:12" s="97" customFormat="1" hidden="1" x14ac:dyDescent="0.25">
      <c r="A301" s="61" t="s">
        <v>455</v>
      </c>
      <c r="B301" s="14"/>
      <c r="C301" s="13"/>
      <c r="D301" s="13" t="s">
        <v>4936</v>
      </c>
      <c r="E301" s="13" t="s">
        <v>958</v>
      </c>
      <c r="F301" s="37">
        <v>109675.24</v>
      </c>
      <c r="G301" s="29" t="s">
        <v>9162</v>
      </c>
      <c r="H301" s="14">
        <v>43629</v>
      </c>
      <c r="I301" s="4" t="s">
        <v>268</v>
      </c>
      <c r="J301" s="133"/>
      <c r="K301" s="22"/>
      <c r="L301" s="134"/>
    </row>
    <row r="302" spans="1:12" s="97" customFormat="1" hidden="1" x14ac:dyDescent="0.25">
      <c r="A302" s="61" t="s">
        <v>442</v>
      </c>
      <c r="B302" s="14"/>
      <c r="C302" s="13"/>
      <c r="D302" s="13" t="s">
        <v>4936</v>
      </c>
      <c r="E302" s="13" t="s">
        <v>62</v>
      </c>
      <c r="F302" s="4">
        <v>89766.12</v>
      </c>
      <c r="G302" s="28" t="s">
        <v>9163</v>
      </c>
      <c r="H302" s="14">
        <v>43629</v>
      </c>
      <c r="I302" s="4" t="s">
        <v>268</v>
      </c>
      <c r="J302" s="133"/>
      <c r="K302" s="22"/>
      <c r="L302" s="134"/>
    </row>
    <row r="303" spans="1:12" s="97" customFormat="1" hidden="1" x14ac:dyDescent="0.25">
      <c r="A303" s="61" t="s">
        <v>455</v>
      </c>
      <c r="B303" s="14"/>
      <c r="C303" s="13"/>
      <c r="D303" s="13" t="s">
        <v>4936</v>
      </c>
      <c r="E303" s="13" t="s">
        <v>958</v>
      </c>
      <c r="F303" s="37">
        <v>326556.48</v>
      </c>
      <c r="G303" s="29" t="s">
        <v>9426</v>
      </c>
      <c r="H303" s="14">
        <v>43640</v>
      </c>
      <c r="I303" s="4" t="s">
        <v>268</v>
      </c>
      <c r="J303" s="133"/>
      <c r="K303" s="22"/>
      <c r="L303" s="134"/>
    </row>
    <row r="304" spans="1:12" s="97" customFormat="1" hidden="1" x14ac:dyDescent="0.25">
      <c r="A304" s="61" t="s">
        <v>455</v>
      </c>
      <c r="B304" s="14"/>
      <c r="C304" s="13"/>
      <c r="D304" s="13" t="s">
        <v>6177</v>
      </c>
      <c r="E304" s="13" t="s">
        <v>958</v>
      </c>
      <c r="F304" s="37">
        <v>367400</v>
      </c>
      <c r="G304" s="29" t="s">
        <v>8422</v>
      </c>
      <c r="H304" s="14">
        <v>43612</v>
      </c>
      <c r="I304" s="4" t="s">
        <v>8423</v>
      </c>
      <c r="J304" s="133"/>
      <c r="K304" s="22"/>
      <c r="L304" s="134"/>
    </row>
    <row r="305" spans="1:12" s="97" customFormat="1" hidden="1" x14ac:dyDescent="0.25">
      <c r="A305" s="61" t="s">
        <v>455</v>
      </c>
      <c r="B305" s="14"/>
      <c r="C305" s="13"/>
      <c r="D305" s="13" t="s">
        <v>6177</v>
      </c>
      <c r="E305" s="13" t="s">
        <v>958</v>
      </c>
      <c r="F305" s="37">
        <v>32767</v>
      </c>
      <c r="G305" s="29" t="s">
        <v>1380</v>
      </c>
      <c r="H305" s="14">
        <v>43616</v>
      </c>
      <c r="I305" s="4" t="s">
        <v>8424</v>
      </c>
      <c r="J305" s="133"/>
      <c r="K305" s="22"/>
      <c r="L305" s="134"/>
    </row>
    <row r="306" spans="1:12" s="97" customFormat="1" hidden="1" x14ac:dyDescent="0.25">
      <c r="A306" s="61" t="s">
        <v>455</v>
      </c>
      <c r="B306" s="14"/>
      <c r="C306" s="13"/>
      <c r="D306" s="13" t="s">
        <v>6177</v>
      </c>
      <c r="E306" s="13" t="s">
        <v>958</v>
      </c>
      <c r="F306" s="37">
        <v>127596</v>
      </c>
      <c r="G306" s="29" t="s">
        <v>4344</v>
      </c>
      <c r="H306" s="14">
        <v>43629</v>
      </c>
      <c r="I306" s="4" t="s">
        <v>142</v>
      </c>
      <c r="J306" s="133"/>
      <c r="K306" s="22"/>
      <c r="L306" s="134"/>
    </row>
    <row r="307" spans="1:12" s="97" customFormat="1" hidden="1" x14ac:dyDescent="0.25">
      <c r="A307" s="61" t="s">
        <v>1350</v>
      </c>
      <c r="B307" s="14"/>
      <c r="C307" s="13"/>
      <c r="D307" s="13" t="s">
        <v>3438</v>
      </c>
      <c r="E307" s="13" t="s">
        <v>691</v>
      </c>
      <c r="F307" s="37">
        <v>8500</v>
      </c>
      <c r="G307" s="29" t="s">
        <v>1368</v>
      </c>
      <c r="H307" s="14">
        <v>43616</v>
      </c>
      <c r="I307" s="4" t="s">
        <v>8421</v>
      </c>
      <c r="J307" s="133"/>
      <c r="K307" s="22"/>
      <c r="L307" s="134"/>
    </row>
    <row r="308" spans="1:12" s="97" customFormat="1" hidden="1" x14ac:dyDescent="0.25">
      <c r="A308" s="32" t="s">
        <v>1350</v>
      </c>
      <c r="B308" s="14"/>
      <c r="C308" s="13"/>
      <c r="D308" s="13" t="s">
        <v>3438</v>
      </c>
      <c r="E308" s="13" t="s">
        <v>691</v>
      </c>
      <c r="F308" s="37">
        <v>33300</v>
      </c>
      <c r="G308" s="29" t="s">
        <v>4046</v>
      </c>
      <c r="H308" s="14">
        <v>43630</v>
      </c>
      <c r="I308" s="4" t="s">
        <v>9161</v>
      </c>
      <c r="J308" s="133"/>
      <c r="K308" s="22"/>
      <c r="L308" s="134"/>
    </row>
    <row r="309" spans="1:12" hidden="1" x14ac:dyDescent="0.25">
      <c r="A309" s="61" t="s">
        <v>442</v>
      </c>
      <c r="B309" s="14"/>
      <c r="C309" s="13"/>
      <c r="D309" s="13" t="s">
        <v>203</v>
      </c>
      <c r="E309" s="13" t="s">
        <v>62</v>
      </c>
      <c r="F309" s="4">
        <f>520378-166758</f>
        <v>353620</v>
      </c>
      <c r="G309" s="29" t="s">
        <v>7791</v>
      </c>
      <c r="H309" s="14">
        <v>43600</v>
      </c>
      <c r="I309" s="4" t="s">
        <v>7792</v>
      </c>
    </row>
    <row r="310" spans="1:12" s="97" customFormat="1" ht="27.6" hidden="1" x14ac:dyDescent="0.25">
      <c r="A310" s="61" t="s">
        <v>358</v>
      </c>
      <c r="B310" s="14"/>
      <c r="C310" s="13"/>
      <c r="D310" s="13" t="s">
        <v>157</v>
      </c>
      <c r="E310" s="13" t="s">
        <v>62</v>
      </c>
      <c r="F310" s="37">
        <v>294280.59999999998</v>
      </c>
      <c r="G310" s="29" t="s">
        <v>8399</v>
      </c>
      <c r="H310" s="14">
        <v>43606</v>
      </c>
      <c r="I310" s="4" t="s">
        <v>8400</v>
      </c>
      <c r="J310" s="133"/>
      <c r="K310" s="22"/>
      <c r="L310" s="134"/>
    </row>
    <row r="311" spans="1:12" s="97" customFormat="1" hidden="1" x14ac:dyDescent="0.25">
      <c r="A311" s="61" t="s">
        <v>358</v>
      </c>
      <c r="B311" s="14"/>
      <c r="C311" s="13"/>
      <c r="D311" s="13" t="s">
        <v>157</v>
      </c>
      <c r="E311" s="13" t="s">
        <v>62</v>
      </c>
      <c r="F311" s="37">
        <v>75000</v>
      </c>
      <c r="G311" s="29" t="s">
        <v>8403</v>
      </c>
      <c r="H311" s="14">
        <v>43607</v>
      </c>
      <c r="I311" s="4" t="s">
        <v>395</v>
      </c>
      <c r="J311" s="133"/>
      <c r="K311" s="22"/>
      <c r="L311" s="134"/>
    </row>
    <row r="312" spans="1:12" s="97" customFormat="1" hidden="1" x14ac:dyDescent="0.25">
      <c r="A312" s="61" t="s">
        <v>91</v>
      </c>
      <c r="B312" s="14"/>
      <c r="C312" s="13"/>
      <c r="D312" s="13" t="s">
        <v>157</v>
      </c>
      <c r="E312" s="13" t="s">
        <v>62</v>
      </c>
      <c r="F312" s="37">
        <v>17871.240000000002</v>
      </c>
      <c r="G312" s="29" t="s">
        <v>8404</v>
      </c>
      <c r="H312" s="14">
        <v>43607</v>
      </c>
      <c r="I312" s="4" t="s">
        <v>8405</v>
      </c>
      <c r="J312" s="133"/>
      <c r="K312" s="22"/>
      <c r="L312" s="134"/>
    </row>
    <row r="313" spans="1:12" s="97" customFormat="1" hidden="1" x14ac:dyDescent="0.25">
      <c r="A313" s="61" t="s">
        <v>442</v>
      </c>
      <c r="B313" s="14"/>
      <c r="C313" s="13"/>
      <c r="D313" s="13" t="s">
        <v>157</v>
      </c>
      <c r="E313" s="13" t="s">
        <v>62</v>
      </c>
      <c r="F313" s="37">
        <v>50541.8</v>
      </c>
      <c r="G313" s="29" t="s">
        <v>8406</v>
      </c>
      <c r="H313" s="14">
        <v>43607</v>
      </c>
      <c r="I313" s="4" t="s">
        <v>8407</v>
      </c>
      <c r="J313" s="133"/>
      <c r="K313" s="22"/>
      <c r="L313" s="134"/>
    </row>
    <row r="314" spans="1:12" s="97" customFormat="1" hidden="1" x14ac:dyDescent="0.25">
      <c r="A314" s="61" t="s">
        <v>91</v>
      </c>
      <c r="B314" s="14"/>
      <c r="C314" s="13"/>
      <c r="D314" s="13" t="s">
        <v>157</v>
      </c>
      <c r="E314" s="13" t="s">
        <v>62</v>
      </c>
      <c r="F314" s="37">
        <v>72939.199999999997</v>
      </c>
      <c r="G314" s="29" t="s">
        <v>8410</v>
      </c>
      <c r="H314" s="14">
        <v>43608</v>
      </c>
      <c r="I314" s="4" t="s">
        <v>8411</v>
      </c>
      <c r="J314" s="133"/>
      <c r="K314" s="22"/>
      <c r="L314" s="134"/>
    </row>
    <row r="315" spans="1:12" s="97" customFormat="1" hidden="1" x14ac:dyDescent="0.25">
      <c r="A315" s="211" t="s">
        <v>455</v>
      </c>
      <c r="B315" s="14"/>
      <c r="C315" s="13"/>
      <c r="D315" s="13" t="s">
        <v>157</v>
      </c>
      <c r="E315" s="13" t="s">
        <v>958</v>
      </c>
      <c r="F315" s="37">
        <v>171864</v>
      </c>
      <c r="G315" s="29" t="s">
        <v>7096</v>
      </c>
      <c r="H315" s="14">
        <v>43612</v>
      </c>
      <c r="I315" s="32" t="s">
        <v>6502</v>
      </c>
      <c r="J315" s="133"/>
      <c r="K315" s="22"/>
      <c r="L315" s="134"/>
    </row>
    <row r="316" spans="1:12" s="97" customFormat="1" hidden="1" x14ac:dyDescent="0.25">
      <c r="A316" s="61" t="s">
        <v>91</v>
      </c>
      <c r="B316" s="14"/>
      <c r="C316" s="13"/>
      <c r="D316" s="13" t="s">
        <v>157</v>
      </c>
      <c r="E316" s="13" t="s">
        <v>62</v>
      </c>
      <c r="F316" s="4">
        <v>155090.46</v>
      </c>
      <c r="G316" s="28" t="s">
        <v>8416</v>
      </c>
      <c r="H316" s="14">
        <v>43615</v>
      </c>
      <c r="I316" s="4" t="s">
        <v>8417</v>
      </c>
      <c r="J316" s="133"/>
      <c r="K316" s="22"/>
      <c r="L316" s="134"/>
    </row>
    <row r="317" spans="1:12" s="97" customFormat="1" hidden="1" x14ac:dyDescent="0.25">
      <c r="A317" s="211" t="s">
        <v>310</v>
      </c>
      <c r="B317" s="14"/>
      <c r="C317" s="13"/>
      <c r="D317" s="13" t="s">
        <v>157</v>
      </c>
      <c r="E317" s="13" t="s">
        <v>958</v>
      </c>
      <c r="F317" s="37">
        <v>58307.519999999997</v>
      </c>
      <c r="G317" s="29" t="s">
        <v>8418</v>
      </c>
      <c r="H317" s="14">
        <v>43616</v>
      </c>
      <c r="I317" s="32" t="s">
        <v>8419</v>
      </c>
      <c r="J317" s="133"/>
      <c r="K317" s="22"/>
      <c r="L317" s="134"/>
    </row>
    <row r="318" spans="1:12" s="97" customFormat="1" hidden="1" x14ac:dyDescent="0.25">
      <c r="A318" s="61" t="s">
        <v>659</v>
      </c>
      <c r="B318" s="14"/>
      <c r="C318" s="13"/>
      <c r="D318" s="13" t="s">
        <v>157</v>
      </c>
      <c r="E318" s="13" t="s">
        <v>808</v>
      </c>
      <c r="F318" s="37">
        <v>13826.8</v>
      </c>
      <c r="G318" s="29" t="s">
        <v>8420</v>
      </c>
      <c r="H318" s="14">
        <v>43616</v>
      </c>
      <c r="I318" s="4" t="s">
        <v>7131</v>
      </c>
      <c r="J318" s="133"/>
      <c r="K318" s="22"/>
      <c r="L318" s="134"/>
    </row>
    <row r="319" spans="1:12" s="97" customFormat="1" hidden="1" x14ac:dyDescent="0.25">
      <c r="A319" s="14" t="s">
        <v>311</v>
      </c>
      <c r="B319" s="14"/>
      <c r="C319" s="13"/>
      <c r="D319" s="13" t="s">
        <v>157</v>
      </c>
      <c r="E319" s="13" t="s">
        <v>958</v>
      </c>
      <c r="F319" s="37">
        <v>28378.799999999999</v>
      </c>
      <c r="G319" s="29" t="s">
        <v>8856</v>
      </c>
      <c r="H319" s="14">
        <v>43622</v>
      </c>
      <c r="I319" s="4" t="s">
        <v>1190</v>
      </c>
      <c r="J319" s="133"/>
      <c r="K319" s="22"/>
      <c r="L319" s="134"/>
    </row>
    <row r="320" spans="1:12" s="97" customFormat="1" hidden="1" x14ac:dyDescent="0.25">
      <c r="A320" s="61" t="s">
        <v>310</v>
      </c>
      <c r="B320" s="14"/>
      <c r="C320" s="13"/>
      <c r="D320" s="13" t="s">
        <v>157</v>
      </c>
      <c r="E320" s="13" t="s">
        <v>958</v>
      </c>
      <c r="F320" s="37">
        <v>367035.68</v>
      </c>
      <c r="G320" s="29" t="s">
        <v>8857</v>
      </c>
      <c r="H320" s="14">
        <v>43623</v>
      </c>
      <c r="I320" s="4" t="s">
        <v>8858</v>
      </c>
      <c r="J320" s="133"/>
      <c r="K320" s="22"/>
      <c r="L320" s="134"/>
    </row>
    <row r="321" spans="1:12" s="97" customFormat="1" hidden="1" x14ac:dyDescent="0.25">
      <c r="A321" s="61" t="s">
        <v>358</v>
      </c>
      <c r="B321" s="14"/>
      <c r="C321" s="13"/>
      <c r="D321" s="13" t="s">
        <v>157</v>
      </c>
      <c r="E321" s="13" t="s">
        <v>62</v>
      </c>
      <c r="F321" s="37">
        <v>148000</v>
      </c>
      <c r="G321" s="29" t="s">
        <v>8859</v>
      </c>
      <c r="H321" s="14">
        <v>43623</v>
      </c>
      <c r="I321" s="4" t="s">
        <v>966</v>
      </c>
      <c r="J321" s="133"/>
      <c r="K321" s="22"/>
      <c r="L321" s="134"/>
    </row>
    <row r="322" spans="1:12" s="97" customFormat="1" hidden="1" x14ac:dyDescent="0.25">
      <c r="A322" s="61" t="s">
        <v>358</v>
      </c>
      <c r="B322" s="14"/>
      <c r="C322" s="13"/>
      <c r="D322" s="13" t="s">
        <v>157</v>
      </c>
      <c r="E322" s="13" t="s">
        <v>62</v>
      </c>
      <c r="F322" s="37">
        <v>63269.8</v>
      </c>
      <c r="G322" s="29" t="s">
        <v>8860</v>
      </c>
      <c r="H322" s="14">
        <v>43623</v>
      </c>
      <c r="I322" s="4" t="s">
        <v>8861</v>
      </c>
      <c r="J322" s="133"/>
      <c r="K322" s="22"/>
      <c r="L322" s="134"/>
    </row>
    <row r="323" spans="1:12" s="97" customFormat="1" hidden="1" x14ac:dyDescent="0.25">
      <c r="A323" s="61" t="s">
        <v>659</v>
      </c>
      <c r="B323" s="14"/>
      <c r="C323" s="13"/>
      <c r="D323" s="13" t="s">
        <v>157</v>
      </c>
      <c r="E323" s="13" t="s">
        <v>808</v>
      </c>
      <c r="F323" s="37">
        <v>15754.8</v>
      </c>
      <c r="G323" s="29" t="s">
        <v>8862</v>
      </c>
      <c r="H323" s="14">
        <v>43626</v>
      </c>
      <c r="I323" s="4" t="s">
        <v>1810</v>
      </c>
      <c r="J323" s="133"/>
      <c r="K323" s="22"/>
      <c r="L323" s="134"/>
    </row>
    <row r="324" spans="1:12" s="97" customFormat="1" hidden="1" x14ac:dyDescent="0.25">
      <c r="A324" s="61" t="s">
        <v>358</v>
      </c>
      <c r="B324" s="14"/>
      <c r="C324" s="13"/>
      <c r="D324" s="13" t="s">
        <v>157</v>
      </c>
      <c r="E324" s="13" t="s">
        <v>62</v>
      </c>
      <c r="F324" s="37">
        <v>35164.800000000003</v>
      </c>
      <c r="G324" s="29" t="s">
        <v>8863</v>
      </c>
      <c r="H324" s="14">
        <v>43626</v>
      </c>
      <c r="I324" s="4" t="s">
        <v>8864</v>
      </c>
      <c r="J324" s="133"/>
      <c r="K324" s="22"/>
      <c r="L324" s="134"/>
    </row>
    <row r="325" spans="1:12" s="97" customFormat="1" hidden="1" x14ac:dyDescent="0.25">
      <c r="A325" s="61" t="s">
        <v>310</v>
      </c>
      <c r="B325" s="14"/>
      <c r="C325" s="13"/>
      <c r="D325" s="13" t="s">
        <v>157</v>
      </c>
      <c r="E325" s="13" t="s">
        <v>958</v>
      </c>
      <c r="F325" s="37">
        <v>47223.9</v>
      </c>
      <c r="G325" s="29" t="s">
        <v>9153</v>
      </c>
      <c r="H325" s="14">
        <v>43630</v>
      </c>
      <c r="I325" s="4" t="s">
        <v>9154</v>
      </c>
      <c r="J325" s="133"/>
      <c r="K325" s="22"/>
      <c r="L325" s="134"/>
    </row>
    <row r="326" spans="1:12" s="97" customFormat="1" hidden="1" x14ac:dyDescent="0.25">
      <c r="A326" s="61" t="s">
        <v>659</v>
      </c>
      <c r="B326" s="14"/>
      <c r="C326" s="13"/>
      <c r="D326" s="13" t="s">
        <v>157</v>
      </c>
      <c r="E326" s="13" t="s">
        <v>808</v>
      </c>
      <c r="F326" s="37">
        <v>34036.800000000003</v>
      </c>
      <c r="G326" s="29" t="s">
        <v>9155</v>
      </c>
      <c r="H326" s="14">
        <v>43634</v>
      </c>
      <c r="I326" s="4" t="s">
        <v>9156</v>
      </c>
      <c r="J326" s="133"/>
      <c r="K326" s="22"/>
      <c r="L326" s="134"/>
    </row>
    <row r="327" spans="1:12" s="97" customFormat="1" hidden="1" x14ac:dyDescent="0.25">
      <c r="A327" s="61" t="s">
        <v>311</v>
      </c>
      <c r="B327" s="14"/>
      <c r="C327" s="13"/>
      <c r="D327" s="13" t="s">
        <v>157</v>
      </c>
      <c r="E327" s="13" t="s">
        <v>958</v>
      </c>
      <c r="F327" s="37">
        <v>40362.61</v>
      </c>
      <c r="G327" s="29" t="s">
        <v>9157</v>
      </c>
      <c r="H327" s="14">
        <v>43634</v>
      </c>
      <c r="I327" s="4" t="s">
        <v>9158</v>
      </c>
      <c r="J327" s="133"/>
      <c r="K327" s="22"/>
      <c r="L327" s="134"/>
    </row>
    <row r="328" spans="1:12" s="97" customFormat="1" hidden="1" x14ac:dyDescent="0.25">
      <c r="A328" s="61" t="s">
        <v>358</v>
      </c>
      <c r="B328" s="14"/>
      <c r="C328" s="13"/>
      <c r="D328" s="13" t="s">
        <v>157</v>
      </c>
      <c r="E328" s="13" t="s">
        <v>62</v>
      </c>
      <c r="F328" s="37">
        <v>48992.42</v>
      </c>
      <c r="G328" s="29" t="s">
        <v>9159</v>
      </c>
      <c r="H328" s="14">
        <v>43634</v>
      </c>
      <c r="I328" s="4" t="s">
        <v>9160</v>
      </c>
      <c r="J328" s="133"/>
      <c r="K328" s="22"/>
      <c r="L328" s="134"/>
    </row>
    <row r="329" spans="1:12" s="97" customFormat="1" hidden="1" x14ac:dyDescent="0.25">
      <c r="A329" s="61" t="s">
        <v>358</v>
      </c>
      <c r="B329" s="14"/>
      <c r="C329" s="13"/>
      <c r="D329" s="13" t="s">
        <v>157</v>
      </c>
      <c r="E329" s="13" t="s">
        <v>62</v>
      </c>
      <c r="F329" s="4">
        <v>66220</v>
      </c>
      <c r="G329" s="28" t="s">
        <v>9445</v>
      </c>
      <c r="H329" s="14">
        <v>43636</v>
      </c>
      <c r="I329" s="4" t="s">
        <v>374</v>
      </c>
      <c r="J329" s="133"/>
      <c r="K329" s="22"/>
      <c r="L329" s="134"/>
    </row>
    <row r="330" spans="1:12" s="97" customFormat="1" hidden="1" x14ac:dyDescent="0.25">
      <c r="A330" s="61" t="s">
        <v>91</v>
      </c>
      <c r="B330" s="14"/>
      <c r="C330" s="13"/>
      <c r="D330" s="13" t="s">
        <v>157</v>
      </c>
      <c r="E330" s="13" t="s">
        <v>62</v>
      </c>
      <c r="F330" s="4">
        <v>28269.8</v>
      </c>
      <c r="G330" s="28" t="s">
        <v>9413</v>
      </c>
      <c r="H330" s="14">
        <v>43636</v>
      </c>
      <c r="I330" s="4" t="s">
        <v>1492</v>
      </c>
      <c r="J330" s="133"/>
      <c r="K330" s="22"/>
      <c r="L330" s="134"/>
    </row>
    <row r="331" spans="1:12" s="97" customFormat="1" hidden="1" x14ac:dyDescent="0.25">
      <c r="A331" s="61" t="s">
        <v>442</v>
      </c>
      <c r="B331" s="14"/>
      <c r="C331" s="13"/>
      <c r="D331" s="13" t="s">
        <v>157</v>
      </c>
      <c r="E331" s="13" t="s">
        <v>62</v>
      </c>
      <c r="F331" s="4">
        <v>26515.8</v>
      </c>
      <c r="G331" s="28" t="s">
        <v>9414</v>
      </c>
      <c r="H331" s="14">
        <v>43636</v>
      </c>
      <c r="I331" s="4" t="s">
        <v>9415</v>
      </c>
      <c r="J331" s="133"/>
      <c r="K331" s="22"/>
      <c r="L331" s="134"/>
    </row>
    <row r="332" spans="1:12" s="97" customFormat="1" hidden="1" x14ac:dyDescent="0.25">
      <c r="A332" s="61" t="s">
        <v>310</v>
      </c>
      <c r="B332" s="14"/>
      <c r="C332" s="13"/>
      <c r="D332" s="13" t="s">
        <v>157</v>
      </c>
      <c r="E332" s="13" t="s">
        <v>958</v>
      </c>
      <c r="F332" s="4">
        <v>124997.93</v>
      </c>
      <c r="G332" s="28" t="s">
        <v>9416</v>
      </c>
      <c r="H332" s="14">
        <v>43636</v>
      </c>
      <c r="I332" s="4" t="s">
        <v>8858</v>
      </c>
      <c r="J332" s="133"/>
      <c r="K332" s="22"/>
      <c r="L332" s="134"/>
    </row>
    <row r="333" spans="1:12" s="97" customFormat="1" hidden="1" x14ac:dyDescent="0.25">
      <c r="A333" s="61" t="s">
        <v>310</v>
      </c>
      <c r="B333" s="14"/>
      <c r="C333" s="13"/>
      <c r="D333" s="13" t="s">
        <v>157</v>
      </c>
      <c r="E333" s="13" t="s">
        <v>958</v>
      </c>
      <c r="F333" s="4">
        <v>227218.25</v>
      </c>
      <c r="G333" s="28" t="s">
        <v>9417</v>
      </c>
      <c r="H333" s="14">
        <v>43636</v>
      </c>
      <c r="I333" s="4" t="s">
        <v>9418</v>
      </c>
      <c r="J333" s="133"/>
      <c r="K333" s="22"/>
      <c r="L333" s="134"/>
    </row>
    <row r="334" spans="1:12" s="97" customFormat="1" hidden="1" x14ac:dyDescent="0.25">
      <c r="A334" s="61" t="s">
        <v>91</v>
      </c>
      <c r="B334" s="14"/>
      <c r="C334" s="13"/>
      <c r="D334" s="13" t="s">
        <v>157</v>
      </c>
      <c r="E334" s="13" t="s">
        <v>62</v>
      </c>
      <c r="F334" s="4">
        <v>128829.52</v>
      </c>
      <c r="G334" s="28" t="s">
        <v>9419</v>
      </c>
      <c r="H334" s="14">
        <v>43636</v>
      </c>
      <c r="I334" s="4" t="s">
        <v>9420</v>
      </c>
      <c r="J334" s="133"/>
      <c r="K334" s="22"/>
      <c r="L334" s="134"/>
    </row>
    <row r="335" spans="1:12" s="97" customFormat="1" hidden="1" x14ac:dyDescent="0.25">
      <c r="A335" s="61" t="s">
        <v>91</v>
      </c>
      <c r="B335" s="14"/>
      <c r="C335" s="13"/>
      <c r="D335" s="13" t="s">
        <v>157</v>
      </c>
      <c r="E335" s="13" t="s">
        <v>62</v>
      </c>
      <c r="F335" s="4">
        <v>122821.8</v>
      </c>
      <c r="G335" s="28" t="s">
        <v>9421</v>
      </c>
      <c r="H335" s="14">
        <v>43637</v>
      </c>
      <c r="I335" s="4" t="s">
        <v>1492</v>
      </c>
      <c r="J335" s="133"/>
      <c r="K335" s="22"/>
      <c r="L335" s="134"/>
    </row>
    <row r="336" spans="1:12" s="97" customFormat="1" hidden="1" x14ac:dyDescent="0.25">
      <c r="A336" s="61" t="s">
        <v>310</v>
      </c>
      <c r="B336" s="14"/>
      <c r="C336" s="13"/>
      <c r="D336" s="13" t="s">
        <v>157</v>
      </c>
      <c r="E336" s="13" t="s">
        <v>958</v>
      </c>
      <c r="F336" s="4">
        <v>440483.81</v>
      </c>
      <c r="G336" s="28" t="s">
        <v>9422</v>
      </c>
      <c r="H336" s="14">
        <v>43640</v>
      </c>
      <c r="I336" s="4" t="s">
        <v>8858</v>
      </c>
      <c r="J336" s="133"/>
      <c r="K336" s="22"/>
      <c r="L336" s="134"/>
    </row>
    <row r="337" spans="1:12" s="97" customFormat="1" hidden="1" x14ac:dyDescent="0.25">
      <c r="A337" s="61" t="s">
        <v>310</v>
      </c>
      <c r="B337" s="14"/>
      <c r="C337" s="13"/>
      <c r="D337" s="13" t="s">
        <v>157</v>
      </c>
      <c r="E337" s="13" t="s">
        <v>958</v>
      </c>
      <c r="F337" s="37">
        <v>29628.799999999999</v>
      </c>
      <c r="G337" s="29" t="s">
        <v>9423</v>
      </c>
      <c r="H337" s="14">
        <v>43641</v>
      </c>
      <c r="I337" s="4" t="s">
        <v>9424</v>
      </c>
      <c r="J337" s="133"/>
      <c r="K337" s="22"/>
      <c r="L337" s="134"/>
    </row>
    <row r="338" spans="1:12" s="97" customFormat="1" hidden="1" x14ac:dyDescent="0.25">
      <c r="A338" s="32" t="s">
        <v>91</v>
      </c>
      <c r="B338" s="14"/>
      <c r="C338" s="13"/>
      <c r="D338" s="13" t="s">
        <v>157</v>
      </c>
      <c r="E338" s="13" t="s">
        <v>62</v>
      </c>
      <c r="F338" s="37">
        <v>45934.8</v>
      </c>
      <c r="G338" s="29" t="s">
        <v>9412</v>
      </c>
      <c r="H338" s="14">
        <v>43642</v>
      </c>
      <c r="I338" s="4" t="s">
        <v>9425</v>
      </c>
      <c r="J338" s="133"/>
      <c r="K338" s="22"/>
      <c r="L338" s="134"/>
    </row>
    <row r="339" spans="1:12" s="97" customFormat="1" hidden="1" x14ac:dyDescent="0.25">
      <c r="A339" s="61" t="s">
        <v>442</v>
      </c>
      <c r="B339" s="14"/>
      <c r="C339" s="13"/>
      <c r="D339" s="13" t="s">
        <v>8391</v>
      </c>
      <c r="E339" s="13" t="s">
        <v>62</v>
      </c>
      <c r="F339" s="37">
        <v>108299.88</v>
      </c>
      <c r="G339" s="29" t="s">
        <v>8392</v>
      </c>
      <c r="H339" s="14">
        <v>43616</v>
      </c>
      <c r="I339" s="4" t="s">
        <v>8393</v>
      </c>
      <c r="J339" s="133"/>
      <c r="K339" s="22"/>
      <c r="L339" s="134"/>
    </row>
    <row r="340" spans="1:12" s="97" customFormat="1" hidden="1" x14ac:dyDescent="0.25">
      <c r="A340" s="61" t="s">
        <v>92</v>
      </c>
      <c r="B340" s="14"/>
      <c r="C340" s="13"/>
      <c r="D340" s="13" t="s">
        <v>8391</v>
      </c>
      <c r="E340" s="13" t="s">
        <v>62</v>
      </c>
      <c r="F340" s="37">
        <v>51313.84</v>
      </c>
      <c r="G340" s="29" t="s">
        <v>8634</v>
      </c>
      <c r="H340" s="14">
        <v>43619</v>
      </c>
      <c r="I340" s="4" t="s">
        <v>8635</v>
      </c>
      <c r="J340" s="133"/>
      <c r="K340" s="22"/>
      <c r="L340" s="134"/>
    </row>
    <row r="341" spans="1:12" s="97" customFormat="1" hidden="1" x14ac:dyDescent="0.25">
      <c r="A341" s="61" t="s">
        <v>659</v>
      </c>
      <c r="B341" s="14"/>
      <c r="C341" s="13"/>
      <c r="D341" s="13" t="s">
        <v>8391</v>
      </c>
      <c r="E341" s="13" t="s">
        <v>808</v>
      </c>
      <c r="F341" s="37">
        <v>12724.2</v>
      </c>
      <c r="G341" s="29" t="s">
        <v>8636</v>
      </c>
      <c r="H341" s="14">
        <v>43620</v>
      </c>
      <c r="I341" s="4" t="s">
        <v>8637</v>
      </c>
      <c r="J341" s="133"/>
      <c r="K341" s="22"/>
      <c r="L341" s="134"/>
    </row>
    <row r="342" spans="1:12" s="97" customFormat="1" hidden="1" x14ac:dyDescent="0.25">
      <c r="A342" s="14" t="s">
        <v>1316</v>
      </c>
      <c r="B342" s="14"/>
      <c r="C342" s="13"/>
      <c r="D342" s="13" t="s">
        <v>8391</v>
      </c>
      <c r="E342" s="13" t="s">
        <v>808</v>
      </c>
      <c r="F342" s="37">
        <v>14570.6</v>
      </c>
      <c r="G342" s="29" t="s">
        <v>8854</v>
      </c>
      <c r="H342" s="14">
        <v>43626</v>
      </c>
      <c r="I342" s="4" t="s">
        <v>8855</v>
      </c>
      <c r="J342" s="133"/>
      <c r="K342" s="22"/>
      <c r="L342" s="134"/>
    </row>
    <row r="343" spans="1:12" s="97" customFormat="1" hidden="1" x14ac:dyDescent="0.25">
      <c r="A343" s="13" t="s">
        <v>1148</v>
      </c>
      <c r="B343" s="14"/>
      <c r="C343" s="13"/>
      <c r="D343" s="13" t="s">
        <v>8391</v>
      </c>
      <c r="E343" s="13" t="s">
        <v>808</v>
      </c>
      <c r="F343" s="4">
        <v>33387.699999999997</v>
      </c>
      <c r="G343" s="28" t="s">
        <v>9409</v>
      </c>
      <c r="H343" s="14">
        <v>43636</v>
      </c>
      <c r="I343" s="4" t="s">
        <v>9410</v>
      </c>
      <c r="J343" s="133"/>
      <c r="K343" s="22"/>
      <c r="L343" s="134"/>
    </row>
    <row r="344" spans="1:12" s="97" customFormat="1" hidden="1" x14ac:dyDescent="0.25">
      <c r="A344" s="13" t="s">
        <v>1316</v>
      </c>
      <c r="B344" s="14"/>
      <c r="C344" s="13"/>
      <c r="D344" s="13" t="s">
        <v>8391</v>
      </c>
      <c r="E344" s="13" t="s">
        <v>808</v>
      </c>
      <c r="F344" s="4">
        <v>13406</v>
      </c>
      <c r="G344" s="28" t="s">
        <v>9411</v>
      </c>
      <c r="H344" s="14">
        <v>43640</v>
      </c>
      <c r="I344" s="4" t="s">
        <v>8855</v>
      </c>
      <c r="J344" s="133"/>
      <c r="K344" s="22"/>
      <c r="L344" s="134"/>
    </row>
    <row r="345" spans="1:12" s="510" customFormat="1" ht="27.6" hidden="1" x14ac:dyDescent="0.25">
      <c r="A345" s="495" t="s">
        <v>310</v>
      </c>
      <c r="B345" s="494" t="s">
        <v>7001</v>
      </c>
      <c r="C345" s="493"/>
      <c r="D345" s="493" t="s">
        <v>1491</v>
      </c>
      <c r="E345" s="493" t="s">
        <v>958</v>
      </c>
      <c r="F345" s="496">
        <v>780988.8</v>
      </c>
      <c r="G345" s="505" t="s">
        <v>5662</v>
      </c>
      <c r="H345" s="494">
        <v>43536</v>
      </c>
      <c r="I345" s="496" t="s">
        <v>555</v>
      </c>
      <c r="J345" s="508"/>
      <c r="K345" s="499"/>
      <c r="L345" s="509"/>
    </row>
    <row r="346" spans="1:12" s="510" customFormat="1" ht="27.6" hidden="1" x14ac:dyDescent="0.25">
      <c r="A346" s="506" t="s">
        <v>455</v>
      </c>
      <c r="B346" s="494" t="s">
        <v>7001</v>
      </c>
      <c r="C346" s="493"/>
      <c r="D346" s="493" t="s">
        <v>1491</v>
      </c>
      <c r="E346" s="493" t="s">
        <v>958</v>
      </c>
      <c r="F346" s="496">
        <v>43871.76</v>
      </c>
      <c r="G346" s="507" t="s">
        <v>6159</v>
      </c>
      <c r="H346" s="494">
        <v>43546</v>
      </c>
      <c r="I346" s="496" t="s">
        <v>555</v>
      </c>
      <c r="J346" s="508"/>
      <c r="K346" s="499"/>
      <c r="L346" s="509"/>
    </row>
    <row r="347" spans="1:12" s="510" customFormat="1" ht="27.6" hidden="1" x14ac:dyDescent="0.25">
      <c r="A347" s="493" t="s">
        <v>455</v>
      </c>
      <c r="B347" s="494" t="s">
        <v>7001</v>
      </c>
      <c r="C347" s="493"/>
      <c r="D347" s="493" t="s">
        <v>1491</v>
      </c>
      <c r="E347" s="493" t="s">
        <v>958</v>
      </c>
      <c r="F347" s="496">
        <v>529841.18000000005</v>
      </c>
      <c r="G347" s="505" t="s">
        <v>6160</v>
      </c>
      <c r="H347" s="494">
        <v>43551</v>
      </c>
      <c r="I347" s="496" t="s">
        <v>555</v>
      </c>
      <c r="J347" s="508"/>
      <c r="K347" s="499"/>
      <c r="L347" s="509"/>
    </row>
    <row r="348" spans="1:12" s="510" customFormat="1" ht="27.6" hidden="1" x14ac:dyDescent="0.25">
      <c r="A348" s="493" t="s">
        <v>311</v>
      </c>
      <c r="B348" s="494" t="s">
        <v>7001</v>
      </c>
      <c r="C348" s="493"/>
      <c r="D348" s="493" t="s">
        <v>1491</v>
      </c>
      <c r="E348" s="493" t="s">
        <v>958</v>
      </c>
      <c r="F348" s="496">
        <v>35780.75</v>
      </c>
      <c r="G348" s="507" t="s">
        <v>6500</v>
      </c>
      <c r="H348" s="494">
        <v>43559</v>
      </c>
      <c r="I348" s="496" t="s">
        <v>555</v>
      </c>
      <c r="J348" s="508"/>
      <c r="K348" s="499"/>
      <c r="L348" s="509"/>
    </row>
    <row r="349" spans="1:12" s="510" customFormat="1" ht="82.8" hidden="1" x14ac:dyDescent="0.25">
      <c r="A349" s="506" t="s">
        <v>310</v>
      </c>
      <c r="B349" s="494" t="s">
        <v>8133</v>
      </c>
      <c r="C349" s="493"/>
      <c r="D349" s="493" t="s">
        <v>1491</v>
      </c>
      <c r="E349" s="493" t="s">
        <v>958</v>
      </c>
      <c r="F349" s="496">
        <f>1274425.7</f>
        <v>1274425.7</v>
      </c>
      <c r="G349" s="507" t="s">
        <v>6498</v>
      </c>
      <c r="H349" s="494">
        <v>43552</v>
      </c>
      <c r="I349" s="496" t="s">
        <v>555</v>
      </c>
      <c r="J349" s="508" t="s">
        <v>7002</v>
      </c>
      <c r="K349" s="499"/>
      <c r="L349" s="509"/>
    </row>
    <row r="350" spans="1:12" s="97" customFormat="1" hidden="1" x14ac:dyDescent="0.25">
      <c r="A350" s="61" t="s">
        <v>637</v>
      </c>
      <c r="B350" s="14"/>
      <c r="C350" s="13"/>
      <c r="D350" s="13" t="s">
        <v>1491</v>
      </c>
      <c r="E350" s="13" t="s">
        <v>691</v>
      </c>
      <c r="F350" s="37">
        <f>845103.62-245103.62</f>
        <v>600000</v>
      </c>
      <c r="G350" s="29" t="s">
        <v>8389</v>
      </c>
      <c r="H350" s="14">
        <v>43601</v>
      </c>
      <c r="I350" s="4" t="s">
        <v>7478</v>
      </c>
      <c r="J350" s="133"/>
      <c r="K350" s="22"/>
      <c r="L350" s="134"/>
    </row>
    <row r="351" spans="1:12" s="97" customFormat="1" hidden="1" x14ac:dyDescent="0.25">
      <c r="A351" s="14" t="s">
        <v>455</v>
      </c>
      <c r="B351" s="14"/>
      <c r="C351" s="13"/>
      <c r="D351" s="13" t="s">
        <v>1491</v>
      </c>
      <c r="E351" s="13" t="s">
        <v>958</v>
      </c>
      <c r="F351" s="37">
        <v>1476170.66</v>
      </c>
      <c r="G351" s="29" t="s">
        <v>8853</v>
      </c>
      <c r="H351" s="14">
        <v>43612</v>
      </c>
      <c r="I351" s="4" t="s">
        <v>555</v>
      </c>
      <c r="J351" s="133"/>
      <c r="K351" s="22"/>
      <c r="L351" s="134"/>
    </row>
    <row r="352" spans="1:12" s="97" customFormat="1" hidden="1" x14ac:dyDescent="0.25">
      <c r="A352" s="61" t="s">
        <v>1350</v>
      </c>
      <c r="B352" s="14"/>
      <c r="C352" s="13"/>
      <c r="D352" s="13" t="s">
        <v>1491</v>
      </c>
      <c r="E352" s="13" t="s">
        <v>691</v>
      </c>
      <c r="F352" s="37">
        <v>339767.28</v>
      </c>
      <c r="G352" s="29" t="s">
        <v>9150</v>
      </c>
      <c r="H352" s="14">
        <v>43620</v>
      </c>
      <c r="I352" s="4" t="s">
        <v>7478</v>
      </c>
      <c r="J352" s="133"/>
      <c r="K352" s="22"/>
      <c r="L352" s="134"/>
    </row>
    <row r="353" spans="1:12" s="97" customFormat="1" hidden="1" x14ac:dyDescent="0.25">
      <c r="A353" s="61" t="s">
        <v>1350</v>
      </c>
      <c r="B353" s="14"/>
      <c r="C353" s="13"/>
      <c r="D353" s="13" t="s">
        <v>1491</v>
      </c>
      <c r="E353" s="13" t="s">
        <v>691</v>
      </c>
      <c r="F353" s="37">
        <v>180111.61</v>
      </c>
      <c r="G353" s="29" t="s">
        <v>9151</v>
      </c>
      <c r="H353" s="14">
        <v>43620</v>
      </c>
      <c r="I353" s="4" t="s">
        <v>7478</v>
      </c>
      <c r="J353" s="133"/>
      <c r="K353" s="22"/>
      <c r="L353" s="134"/>
    </row>
    <row r="354" spans="1:12" s="97" customFormat="1" hidden="1" x14ac:dyDescent="0.25">
      <c r="A354" s="61" t="s">
        <v>1316</v>
      </c>
      <c r="B354" s="14"/>
      <c r="C354" s="13"/>
      <c r="D354" s="13" t="s">
        <v>1491</v>
      </c>
      <c r="E354" s="13" t="s">
        <v>808</v>
      </c>
      <c r="F354" s="37">
        <v>91279.3</v>
      </c>
      <c r="G354" s="29" t="s">
        <v>9152</v>
      </c>
      <c r="H354" s="14">
        <v>43623</v>
      </c>
      <c r="I354" s="4" t="s">
        <v>7478</v>
      </c>
      <c r="J354" s="133"/>
      <c r="K354" s="22"/>
      <c r="L354" s="134"/>
    </row>
    <row r="355" spans="1:12" s="97" customFormat="1" hidden="1" x14ac:dyDescent="0.25">
      <c r="A355" s="13" t="s">
        <v>310</v>
      </c>
      <c r="B355" s="14"/>
      <c r="C355" s="28"/>
      <c r="D355" s="13" t="s">
        <v>1491</v>
      </c>
      <c r="E355" s="13" t="s">
        <v>958</v>
      </c>
      <c r="F355" s="37">
        <v>378594.12</v>
      </c>
      <c r="G355" s="29" t="s">
        <v>9407</v>
      </c>
      <c r="H355" s="14">
        <v>43629</v>
      </c>
      <c r="I355" s="4" t="s">
        <v>7478</v>
      </c>
      <c r="J355" s="133"/>
      <c r="K355" s="22"/>
      <c r="L355" s="134"/>
    </row>
    <row r="356" spans="1:12" s="97" customFormat="1" hidden="1" x14ac:dyDescent="0.25">
      <c r="A356" s="13" t="s">
        <v>1316</v>
      </c>
      <c r="B356" s="14"/>
      <c r="C356" s="28"/>
      <c r="D356" s="13" t="s">
        <v>1491</v>
      </c>
      <c r="E356" s="13" t="s">
        <v>808</v>
      </c>
      <c r="F356" s="37">
        <v>157137.82</v>
      </c>
      <c r="G356" s="29" t="s">
        <v>9408</v>
      </c>
      <c r="H356" s="14">
        <v>43629</v>
      </c>
      <c r="I356" s="4" t="s">
        <v>7478</v>
      </c>
      <c r="J356" s="133"/>
      <c r="K356" s="22"/>
      <c r="L356" s="134"/>
    </row>
    <row r="357" spans="1:12" s="97" customFormat="1" hidden="1" x14ac:dyDescent="0.25">
      <c r="A357" s="61" t="s">
        <v>1350</v>
      </c>
      <c r="B357" s="14"/>
      <c r="C357" s="13"/>
      <c r="D357" s="13" t="s">
        <v>6868</v>
      </c>
      <c r="E357" s="13" t="s">
        <v>691</v>
      </c>
      <c r="F357" s="37">
        <v>168246.72</v>
      </c>
      <c r="G357" s="29" t="s">
        <v>9400</v>
      </c>
      <c r="H357" s="14">
        <v>43592</v>
      </c>
      <c r="I357" s="4" t="s">
        <v>2178</v>
      </c>
      <c r="J357" s="133"/>
      <c r="K357" s="22"/>
      <c r="L357" s="134"/>
    </row>
    <row r="358" spans="1:12" s="97" customFormat="1" hidden="1" x14ac:dyDescent="0.25">
      <c r="A358" s="61" t="s">
        <v>1350</v>
      </c>
      <c r="B358" s="14"/>
      <c r="C358" s="13"/>
      <c r="D358" s="13" t="s">
        <v>6868</v>
      </c>
      <c r="E358" s="13" t="s">
        <v>691</v>
      </c>
      <c r="F358" s="37">
        <v>52180.58</v>
      </c>
      <c r="G358" s="29" t="s">
        <v>9401</v>
      </c>
      <c r="H358" s="14">
        <v>43599</v>
      </c>
      <c r="I358" s="4" t="s">
        <v>9402</v>
      </c>
      <c r="J358" s="133"/>
      <c r="K358" s="22"/>
      <c r="L358" s="134"/>
    </row>
    <row r="359" spans="1:12" s="97" customFormat="1" hidden="1" x14ac:dyDescent="0.25">
      <c r="A359" s="61" t="s">
        <v>1316</v>
      </c>
      <c r="B359" s="14"/>
      <c r="C359" s="13"/>
      <c r="D359" s="13" t="s">
        <v>6868</v>
      </c>
      <c r="E359" s="13" t="s">
        <v>808</v>
      </c>
      <c r="F359" s="37">
        <v>74280</v>
      </c>
      <c r="G359" s="29" t="s">
        <v>9403</v>
      </c>
      <c r="H359" s="14">
        <v>43625</v>
      </c>
      <c r="I359" s="4" t="s">
        <v>7742</v>
      </c>
      <c r="J359" s="133"/>
      <c r="K359" s="22"/>
      <c r="L359" s="134"/>
    </row>
    <row r="360" spans="1:12" s="97" customFormat="1" ht="27.6" hidden="1" x14ac:dyDescent="0.25">
      <c r="A360" s="61" t="s">
        <v>1350</v>
      </c>
      <c r="B360" s="14"/>
      <c r="C360" s="13"/>
      <c r="D360" s="13" t="s">
        <v>70</v>
      </c>
      <c r="E360" s="13" t="s">
        <v>691</v>
      </c>
      <c r="F360" s="37">
        <v>10258</v>
      </c>
      <c r="G360" s="29" t="s">
        <v>8387</v>
      </c>
      <c r="H360" s="14">
        <v>43615</v>
      </c>
      <c r="I360" s="4" t="s">
        <v>8388</v>
      </c>
      <c r="J360" s="133"/>
      <c r="K360" s="22"/>
      <c r="L360" s="134"/>
    </row>
    <row r="361" spans="1:12" s="97" customFormat="1" ht="27.6" hidden="1" x14ac:dyDescent="0.25">
      <c r="A361" s="61" t="s">
        <v>659</v>
      </c>
      <c r="B361" s="14"/>
      <c r="C361" s="13"/>
      <c r="D361" s="13" t="s">
        <v>70</v>
      </c>
      <c r="E361" s="13" t="s">
        <v>808</v>
      </c>
      <c r="F361" s="37">
        <v>7590</v>
      </c>
      <c r="G361" s="29" t="s">
        <v>6844</v>
      </c>
      <c r="H361" s="14">
        <v>43615</v>
      </c>
      <c r="I361" s="4" t="s">
        <v>793</v>
      </c>
      <c r="J361" s="133"/>
      <c r="K361" s="22"/>
      <c r="L361" s="134"/>
    </row>
    <row r="362" spans="1:12" s="97" customFormat="1" ht="27.6" hidden="1" x14ac:dyDescent="0.25">
      <c r="A362" s="61" t="s">
        <v>1350</v>
      </c>
      <c r="B362" s="14"/>
      <c r="C362" s="13"/>
      <c r="D362" s="13" t="s">
        <v>70</v>
      </c>
      <c r="E362" s="13" t="s">
        <v>691</v>
      </c>
      <c r="F362" s="37">
        <v>6590</v>
      </c>
      <c r="G362" s="29" t="s">
        <v>9149</v>
      </c>
      <c r="H362" s="14">
        <v>43629</v>
      </c>
      <c r="I362" s="4" t="s">
        <v>1756</v>
      </c>
      <c r="J362" s="133"/>
      <c r="K362" s="22"/>
      <c r="L362" s="134"/>
    </row>
    <row r="363" spans="1:12" s="97" customFormat="1" ht="27.6" hidden="1" x14ac:dyDescent="0.25">
      <c r="A363" s="61" t="s">
        <v>1316</v>
      </c>
      <c r="B363" s="14"/>
      <c r="C363" s="13"/>
      <c r="D363" s="13" t="s">
        <v>70</v>
      </c>
      <c r="E363" s="13" t="s">
        <v>808</v>
      </c>
      <c r="F363" s="37">
        <v>9535.2000000000007</v>
      </c>
      <c r="G363" s="29" t="s">
        <v>9404</v>
      </c>
      <c r="H363" s="14">
        <v>43640</v>
      </c>
      <c r="I363" s="4" t="s">
        <v>9405</v>
      </c>
      <c r="J363" s="133"/>
      <c r="K363" s="22"/>
      <c r="L363" s="134"/>
    </row>
    <row r="364" spans="1:12" s="97" customFormat="1" ht="27.6" hidden="1" x14ac:dyDescent="0.25">
      <c r="A364" s="13" t="s">
        <v>1350</v>
      </c>
      <c r="B364" s="14"/>
      <c r="C364" s="13"/>
      <c r="D364" s="13" t="s">
        <v>70</v>
      </c>
      <c r="E364" s="13" t="s">
        <v>691</v>
      </c>
      <c r="F364" s="4">
        <v>10569</v>
      </c>
      <c r="G364" s="28" t="s">
        <v>9406</v>
      </c>
      <c r="H364" s="14">
        <v>43640</v>
      </c>
      <c r="I364" s="4" t="s">
        <v>4117</v>
      </c>
      <c r="J364" s="133"/>
      <c r="K364" s="22"/>
      <c r="L364" s="134"/>
    </row>
    <row r="365" spans="1:12" s="97" customFormat="1" hidden="1" x14ac:dyDescent="0.25">
      <c r="A365" s="61" t="s">
        <v>310</v>
      </c>
      <c r="B365" s="14"/>
      <c r="C365" s="13"/>
      <c r="D365" s="13" t="s">
        <v>244</v>
      </c>
      <c r="E365" s="13" t="s">
        <v>958</v>
      </c>
      <c r="F365" s="37">
        <v>59217.120000000003</v>
      </c>
      <c r="G365" s="29" t="s">
        <v>1875</v>
      </c>
      <c r="H365" s="14">
        <v>43608</v>
      </c>
      <c r="I365" s="4" t="s">
        <v>3433</v>
      </c>
      <c r="J365" s="133"/>
      <c r="K365" s="22"/>
      <c r="L365" s="134"/>
    </row>
    <row r="366" spans="1:12" s="97" customFormat="1" hidden="1" x14ac:dyDescent="0.25">
      <c r="A366" s="61" t="s">
        <v>311</v>
      </c>
      <c r="B366" s="14"/>
      <c r="C366" s="13"/>
      <c r="D366" s="13" t="s">
        <v>244</v>
      </c>
      <c r="E366" s="13" t="s">
        <v>958</v>
      </c>
      <c r="F366" s="37">
        <v>619039.76</v>
      </c>
      <c r="G366" s="29" t="s">
        <v>7124</v>
      </c>
      <c r="H366" s="14">
        <v>43622</v>
      </c>
      <c r="I366" s="4" t="s">
        <v>3433</v>
      </c>
      <c r="J366" s="133"/>
      <c r="K366" s="22"/>
      <c r="L366" s="134"/>
    </row>
    <row r="367" spans="1:12" s="97" customFormat="1" hidden="1" x14ac:dyDescent="0.25">
      <c r="A367" s="61" t="s">
        <v>1147</v>
      </c>
      <c r="B367" s="14"/>
      <c r="C367" s="13"/>
      <c r="D367" s="13" t="s">
        <v>666</v>
      </c>
      <c r="E367" s="13" t="s">
        <v>808</v>
      </c>
      <c r="F367" s="37">
        <v>53970</v>
      </c>
      <c r="G367" s="29" t="s">
        <v>8627</v>
      </c>
      <c r="H367" s="14">
        <v>43608</v>
      </c>
      <c r="I367" s="4" t="s">
        <v>8628</v>
      </c>
      <c r="J367" s="133"/>
      <c r="K367" s="22"/>
      <c r="L367" s="134"/>
    </row>
    <row r="368" spans="1:12" s="97" customFormat="1" hidden="1" x14ac:dyDescent="0.25">
      <c r="A368" s="61" t="s">
        <v>455</v>
      </c>
      <c r="B368" s="14"/>
      <c r="C368" s="13"/>
      <c r="D368" s="13" t="s">
        <v>666</v>
      </c>
      <c r="E368" s="13" t="s">
        <v>958</v>
      </c>
      <c r="F368" s="37">
        <v>39000</v>
      </c>
      <c r="G368" s="29" t="s">
        <v>8588</v>
      </c>
      <c r="H368" s="14">
        <v>43612</v>
      </c>
      <c r="I368" s="4" t="s">
        <v>8629</v>
      </c>
      <c r="J368" s="133"/>
      <c r="K368" s="22"/>
      <c r="L368" s="134"/>
    </row>
    <row r="369" spans="1:12" s="97" customFormat="1" hidden="1" x14ac:dyDescent="0.25">
      <c r="A369" s="61" t="s">
        <v>659</v>
      </c>
      <c r="B369" s="14"/>
      <c r="C369" s="13"/>
      <c r="D369" s="13" t="s">
        <v>666</v>
      </c>
      <c r="E369" s="13" t="s">
        <v>808</v>
      </c>
      <c r="F369" s="37">
        <v>17000</v>
      </c>
      <c r="G369" s="29" t="s">
        <v>8630</v>
      </c>
      <c r="H369" s="14">
        <v>43616</v>
      </c>
      <c r="I369" s="4" t="s">
        <v>8631</v>
      </c>
      <c r="J369" s="133"/>
      <c r="K369" s="22"/>
      <c r="L369" s="134"/>
    </row>
    <row r="370" spans="1:12" s="97" customFormat="1" hidden="1" x14ac:dyDescent="0.25">
      <c r="A370" s="61" t="s">
        <v>442</v>
      </c>
      <c r="B370" s="14"/>
      <c r="C370" s="13"/>
      <c r="D370" s="13" t="s">
        <v>666</v>
      </c>
      <c r="E370" s="13" t="s">
        <v>62</v>
      </c>
      <c r="F370" s="37">
        <v>132500</v>
      </c>
      <c r="G370" s="29" t="s">
        <v>7246</v>
      </c>
      <c r="H370" s="14">
        <v>43616</v>
      </c>
      <c r="I370" s="4" t="s">
        <v>8632</v>
      </c>
      <c r="J370" s="133"/>
      <c r="K370" s="22"/>
      <c r="L370" s="134"/>
    </row>
    <row r="371" spans="1:12" s="97" customFormat="1" hidden="1" x14ac:dyDescent="0.25">
      <c r="A371" s="61" t="s">
        <v>311</v>
      </c>
      <c r="B371" s="14"/>
      <c r="C371" s="13"/>
      <c r="D371" s="13" t="s">
        <v>666</v>
      </c>
      <c r="E371" s="13" t="s">
        <v>958</v>
      </c>
      <c r="F371" s="37">
        <v>47500</v>
      </c>
      <c r="G371" s="29" t="s">
        <v>8852</v>
      </c>
      <c r="H371" s="14">
        <v>43619</v>
      </c>
      <c r="I371" s="4" t="s">
        <v>266</v>
      </c>
      <c r="J371" s="133"/>
      <c r="K371" s="22"/>
      <c r="L371" s="134"/>
    </row>
    <row r="372" spans="1:12" s="97" customFormat="1" hidden="1" x14ac:dyDescent="0.25">
      <c r="A372" s="32" t="s">
        <v>1316</v>
      </c>
      <c r="B372" s="14"/>
      <c r="C372" s="13"/>
      <c r="D372" s="13" t="s">
        <v>666</v>
      </c>
      <c r="E372" s="13" t="s">
        <v>808</v>
      </c>
      <c r="F372" s="4">
        <v>23400</v>
      </c>
      <c r="G372" s="28" t="s">
        <v>1893</v>
      </c>
      <c r="H372" s="14">
        <v>43620</v>
      </c>
      <c r="I372" s="4" t="s">
        <v>8629</v>
      </c>
      <c r="J372" s="133"/>
      <c r="K372" s="22"/>
      <c r="L372" s="134"/>
    </row>
    <row r="373" spans="1:12" s="97" customFormat="1" hidden="1" x14ac:dyDescent="0.25">
      <c r="A373" s="61" t="s">
        <v>1147</v>
      </c>
      <c r="B373" s="14"/>
      <c r="C373" s="13"/>
      <c r="D373" s="13" t="s">
        <v>666</v>
      </c>
      <c r="E373" s="13" t="s">
        <v>808</v>
      </c>
      <c r="F373" s="4">
        <v>15600</v>
      </c>
      <c r="G373" s="29" t="s">
        <v>5050</v>
      </c>
      <c r="H373" s="14">
        <v>43622</v>
      </c>
      <c r="I373" s="4" t="s">
        <v>8629</v>
      </c>
      <c r="J373" s="133"/>
      <c r="K373" s="22"/>
      <c r="L373" s="134"/>
    </row>
    <row r="374" spans="1:12" s="97" customFormat="1" hidden="1" x14ac:dyDescent="0.25">
      <c r="A374" s="61" t="s">
        <v>1316</v>
      </c>
      <c r="B374" s="14"/>
      <c r="C374" s="13"/>
      <c r="D374" s="13" t="s">
        <v>666</v>
      </c>
      <c r="E374" s="13" t="s">
        <v>808</v>
      </c>
      <c r="F374" s="4">
        <v>19000</v>
      </c>
      <c r="G374" s="28" t="s">
        <v>9148</v>
      </c>
      <c r="H374" s="14">
        <v>43627</v>
      </c>
      <c r="I374" s="4" t="s">
        <v>266</v>
      </c>
      <c r="J374" s="133"/>
      <c r="K374" s="22"/>
      <c r="L374" s="134"/>
    </row>
    <row r="375" spans="1:12" s="97" customFormat="1" hidden="1" x14ac:dyDescent="0.25">
      <c r="A375" s="61" t="s">
        <v>1148</v>
      </c>
      <c r="B375" s="14"/>
      <c r="C375" s="13"/>
      <c r="D375" s="13" t="s">
        <v>666</v>
      </c>
      <c r="E375" s="13" t="s">
        <v>808</v>
      </c>
      <c r="F375" s="37">
        <v>50000</v>
      </c>
      <c r="G375" s="29" t="s">
        <v>1788</v>
      </c>
      <c r="H375" s="14">
        <v>43629</v>
      </c>
      <c r="I375" s="4" t="s">
        <v>266</v>
      </c>
      <c r="J375" s="133"/>
      <c r="K375" s="22"/>
      <c r="L375" s="134"/>
    </row>
    <row r="376" spans="1:12" s="97" customFormat="1" hidden="1" x14ac:dyDescent="0.25">
      <c r="A376" s="61" t="s">
        <v>659</v>
      </c>
      <c r="B376" s="14"/>
      <c r="C376" s="13"/>
      <c r="D376" s="13" t="s">
        <v>666</v>
      </c>
      <c r="E376" s="13" t="s">
        <v>808</v>
      </c>
      <c r="F376" s="37">
        <v>20300</v>
      </c>
      <c r="G376" s="29" t="s">
        <v>5866</v>
      </c>
      <c r="H376" s="14">
        <v>43636</v>
      </c>
      <c r="I376" s="4" t="s">
        <v>266</v>
      </c>
      <c r="J376" s="133"/>
      <c r="K376" s="22"/>
      <c r="L376" s="134"/>
    </row>
    <row r="377" spans="1:12" s="97" customFormat="1" hidden="1" x14ac:dyDescent="0.25">
      <c r="A377" s="61" t="s">
        <v>1148</v>
      </c>
      <c r="B377" s="14"/>
      <c r="C377" s="13"/>
      <c r="D377" s="13" t="s">
        <v>516</v>
      </c>
      <c r="E377" s="13" t="s">
        <v>808</v>
      </c>
      <c r="F377" s="37">
        <f>401573.16-100000*2</f>
        <v>201573.15999999997</v>
      </c>
      <c r="G377" s="29" t="s">
        <v>6185</v>
      </c>
      <c r="H377" s="14">
        <v>43600</v>
      </c>
      <c r="I377" s="4" t="s">
        <v>8373</v>
      </c>
      <c r="J377" s="133"/>
      <c r="K377" s="22"/>
      <c r="L377" s="134"/>
    </row>
    <row r="378" spans="1:12" s="97" customFormat="1" hidden="1" x14ac:dyDescent="0.25">
      <c r="A378" s="61" t="s">
        <v>311</v>
      </c>
      <c r="B378" s="14"/>
      <c r="C378" s="13"/>
      <c r="D378" s="13" t="s">
        <v>516</v>
      </c>
      <c r="E378" s="13" t="s">
        <v>958</v>
      </c>
      <c r="F378" s="37">
        <v>23149.25</v>
      </c>
      <c r="G378" s="29" t="s">
        <v>5905</v>
      </c>
      <c r="H378" s="14">
        <v>43606</v>
      </c>
      <c r="I378" s="4" t="s">
        <v>8376</v>
      </c>
      <c r="J378" s="133"/>
      <c r="K378" s="22"/>
      <c r="L378" s="134"/>
    </row>
    <row r="379" spans="1:12" s="97" customFormat="1" hidden="1" x14ac:dyDescent="0.25">
      <c r="A379" s="61" t="s">
        <v>1350</v>
      </c>
      <c r="B379" s="14"/>
      <c r="C379" s="13"/>
      <c r="D379" s="13" t="s">
        <v>516</v>
      </c>
      <c r="E379" s="13" t="s">
        <v>691</v>
      </c>
      <c r="F379" s="37">
        <v>109737.3</v>
      </c>
      <c r="G379" s="29" t="s">
        <v>8377</v>
      </c>
      <c r="H379" s="14">
        <v>43607</v>
      </c>
      <c r="I379" s="4" t="s">
        <v>8378</v>
      </c>
      <c r="J379" s="133"/>
      <c r="K379" s="22"/>
      <c r="L379" s="134"/>
    </row>
    <row r="380" spans="1:12" s="97" customFormat="1" hidden="1" x14ac:dyDescent="0.25">
      <c r="A380" s="61" t="s">
        <v>659</v>
      </c>
      <c r="B380" s="14"/>
      <c r="C380" s="13"/>
      <c r="D380" s="13" t="s">
        <v>516</v>
      </c>
      <c r="E380" s="13" t="s">
        <v>808</v>
      </c>
      <c r="F380" s="37">
        <v>4584.1000000000004</v>
      </c>
      <c r="G380" s="29" t="s">
        <v>6722</v>
      </c>
      <c r="H380" s="14">
        <v>43607</v>
      </c>
      <c r="I380" s="4" t="s">
        <v>8379</v>
      </c>
      <c r="J380" s="133"/>
      <c r="K380" s="22"/>
      <c r="L380" s="134"/>
    </row>
    <row r="381" spans="1:12" s="97" customFormat="1" hidden="1" x14ac:dyDescent="0.25">
      <c r="A381" s="61" t="s">
        <v>442</v>
      </c>
      <c r="B381" s="14"/>
      <c r="C381" s="13"/>
      <c r="D381" s="13" t="s">
        <v>516</v>
      </c>
      <c r="E381" s="13" t="s">
        <v>62</v>
      </c>
      <c r="F381" s="37">
        <v>31024.6</v>
      </c>
      <c r="G381" s="29" t="s">
        <v>5908</v>
      </c>
      <c r="H381" s="14">
        <v>43608</v>
      </c>
      <c r="I381" s="4" t="s">
        <v>8380</v>
      </c>
      <c r="J381" s="133"/>
      <c r="K381" s="22"/>
      <c r="L381" s="134"/>
    </row>
    <row r="382" spans="1:12" s="97" customFormat="1" hidden="1" x14ac:dyDescent="0.25">
      <c r="A382" s="61" t="s">
        <v>455</v>
      </c>
      <c r="B382" s="14"/>
      <c r="C382" s="13"/>
      <c r="D382" s="13" t="s">
        <v>516</v>
      </c>
      <c r="E382" s="13" t="s">
        <v>958</v>
      </c>
      <c r="F382" s="37">
        <v>158930</v>
      </c>
      <c r="G382" s="29" t="s">
        <v>8381</v>
      </c>
      <c r="H382" s="14">
        <v>43614</v>
      </c>
      <c r="I382" s="4" t="s">
        <v>8382</v>
      </c>
      <c r="J382" s="133"/>
      <c r="K382" s="22"/>
      <c r="L382" s="134"/>
    </row>
    <row r="383" spans="1:12" s="97" customFormat="1" hidden="1" x14ac:dyDescent="0.25">
      <c r="A383" s="61" t="s">
        <v>1148</v>
      </c>
      <c r="B383" s="14"/>
      <c r="C383" s="13"/>
      <c r="D383" s="13" t="s">
        <v>516</v>
      </c>
      <c r="E383" s="13" t="s">
        <v>808</v>
      </c>
      <c r="F383" s="37">
        <v>306107.55</v>
      </c>
      <c r="G383" s="29" t="s">
        <v>2199</v>
      </c>
      <c r="H383" s="14">
        <v>43614</v>
      </c>
      <c r="I383" s="4" t="s">
        <v>8383</v>
      </c>
      <c r="J383" s="133"/>
      <c r="K383" s="22"/>
      <c r="L383" s="134"/>
    </row>
    <row r="384" spans="1:12" s="97" customFormat="1" hidden="1" x14ac:dyDescent="0.25">
      <c r="A384" s="61" t="s">
        <v>1149</v>
      </c>
      <c r="B384" s="14"/>
      <c r="C384" s="13"/>
      <c r="D384" s="13" t="s">
        <v>516</v>
      </c>
      <c r="E384" s="13" t="s">
        <v>808</v>
      </c>
      <c r="F384" s="37">
        <v>178406.29</v>
      </c>
      <c r="G384" s="29" t="s">
        <v>8384</v>
      </c>
      <c r="H384" s="14">
        <v>43616</v>
      </c>
      <c r="I384" s="4" t="s">
        <v>8385</v>
      </c>
      <c r="J384" s="133"/>
      <c r="K384" s="22"/>
      <c r="L384" s="134"/>
    </row>
    <row r="385" spans="1:12" s="97" customFormat="1" hidden="1" x14ac:dyDescent="0.25">
      <c r="A385" s="61" t="s">
        <v>1350</v>
      </c>
      <c r="B385" s="14"/>
      <c r="C385" s="13"/>
      <c r="D385" s="13" t="s">
        <v>516</v>
      </c>
      <c r="E385" s="13" t="s">
        <v>691</v>
      </c>
      <c r="F385" s="37">
        <v>49856.88</v>
      </c>
      <c r="G385" s="29" t="s">
        <v>8850</v>
      </c>
      <c r="H385" s="14">
        <v>43616</v>
      </c>
      <c r="I385" s="4" t="s">
        <v>8851</v>
      </c>
      <c r="J385" s="133"/>
      <c r="K385" s="22"/>
      <c r="L385" s="134"/>
    </row>
    <row r="386" spans="1:12" s="97" customFormat="1" hidden="1" x14ac:dyDescent="0.25">
      <c r="A386" s="61" t="s">
        <v>659</v>
      </c>
      <c r="B386" s="14"/>
      <c r="C386" s="13"/>
      <c r="D386" s="13" t="s">
        <v>516</v>
      </c>
      <c r="E386" s="13" t="s">
        <v>808</v>
      </c>
      <c r="F386" s="37">
        <v>47525.74</v>
      </c>
      <c r="G386" s="29" t="s">
        <v>8626</v>
      </c>
      <c r="H386" s="14">
        <v>43620</v>
      </c>
      <c r="I386" s="4" t="s">
        <v>4930</v>
      </c>
      <c r="J386" s="133"/>
      <c r="K386" s="22"/>
      <c r="L386" s="134"/>
    </row>
    <row r="387" spans="1:12" s="97" customFormat="1" hidden="1" x14ac:dyDescent="0.25">
      <c r="A387" s="61" t="s">
        <v>310</v>
      </c>
      <c r="B387" s="14"/>
      <c r="C387" s="13"/>
      <c r="D387" s="13" t="s">
        <v>516</v>
      </c>
      <c r="E387" s="13" t="s">
        <v>958</v>
      </c>
      <c r="F387" s="37">
        <v>13733.36</v>
      </c>
      <c r="G387" s="29" t="s">
        <v>9137</v>
      </c>
      <c r="H387" s="14">
        <v>43626</v>
      </c>
      <c r="I387" s="4" t="s">
        <v>9138</v>
      </c>
      <c r="J387" s="133"/>
      <c r="K387" s="22"/>
      <c r="L387" s="134"/>
    </row>
    <row r="388" spans="1:12" s="97" customFormat="1" hidden="1" x14ac:dyDescent="0.25">
      <c r="A388" s="61" t="s">
        <v>1350</v>
      </c>
      <c r="B388" s="14"/>
      <c r="C388" s="13"/>
      <c r="D388" s="13" t="s">
        <v>516</v>
      </c>
      <c r="E388" s="13" t="s">
        <v>691</v>
      </c>
      <c r="F388" s="37">
        <v>15672</v>
      </c>
      <c r="G388" s="29" t="s">
        <v>9139</v>
      </c>
      <c r="H388" s="14">
        <v>43626</v>
      </c>
      <c r="I388" s="4" t="s">
        <v>9140</v>
      </c>
      <c r="J388" s="133"/>
      <c r="K388" s="22"/>
      <c r="L388" s="134"/>
    </row>
    <row r="389" spans="1:12" s="97" customFormat="1" hidden="1" x14ac:dyDescent="0.25">
      <c r="A389" s="61" t="s">
        <v>358</v>
      </c>
      <c r="B389" s="14"/>
      <c r="C389" s="13"/>
      <c r="D389" s="13" t="s">
        <v>516</v>
      </c>
      <c r="E389" s="13" t="s">
        <v>62</v>
      </c>
      <c r="F389" s="37">
        <v>10424.73</v>
      </c>
      <c r="G389" s="29" t="s">
        <v>9141</v>
      </c>
      <c r="H389" s="14">
        <v>43626</v>
      </c>
      <c r="I389" s="4" t="s">
        <v>9142</v>
      </c>
      <c r="J389" s="133"/>
      <c r="K389" s="22"/>
      <c r="L389" s="134"/>
    </row>
    <row r="390" spans="1:12" s="97" customFormat="1" hidden="1" x14ac:dyDescent="0.25">
      <c r="A390" s="61" t="s">
        <v>1148</v>
      </c>
      <c r="B390" s="14"/>
      <c r="C390" s="13"/>
      <c r="D390" s="13" t="s">
        <v>516</v>
      </c>
      <c r="E390" s="13" t="s">
        <v>808</v>
      </c>
      <c r="F390" s="37">
        <v>191539.92</v>
      </c>
      <c r="G390" s="29" t="s">
        <v>9143</v>
      </c>
      <c r="H390" s="14">
        <v>43629</v>
      </c>
      <c r="I390" s="4" t="s">
        <v>9144</v>
      </c>
      <c r="J390" s="133"/>
      <c r="K390" s="22"/>
      <c r="L390" s="134"/>
    </row>
    <row r="391" spans="1:12" s="97" customFormat="1" hidden="1" x14ac:dyDescent="0.25">
      <c r="A391" s="61" t="s">
        <v>311</v>
      </c>
      <c r="B391" s="14"/>
      <c r="C391" s="13"/>
      <c r="D391" s="13" t="s">
        <v>516</v>
      </c>
      <c r="E391" s="13" t="s">
        <v>958</v>
      </c>
      <c r="F391" s="37">
        <v>6192.64</v>
      </c>
      <c r="G391" s="29" t="s">
        <v>9145</v>
      </c>
      <c r="H391" s="14">
        <v>43630</v>
      </c>
      <c r="I391" s="4" t="s">
        <v>9146</v>
      </c>
      <c r="J391" s="133"/>
      <c r="K391" s="22"/>
      <c r="L391" s="134"/>
    </row>
    <row r="392" spans="1:12" s="97" customFormat="1" hidden="1" x14ac:dyDescent="0.25">
      <c r="A392" s="61" t="s">
        <v>442</v>
      </c>
      <c r="B392" s="14"/>
      <c r="C392" s="13"/>
      <c r="D392" s="13" t="s">
        <v>516</v>
      </c>
      <c r="E392" s="13" t="s">
        <v>62</v>
      </c>
      <c r="F392" s="37">
        <v>27728.5</v>
      </c>
      <c r="G392" s="29" t="s">
        <v>7143</v>
      </c>
      <c r="H392" s="14">
        <v>43630</v>
      </c>
      <c r="I392" s="4" t="s">
        <v>9147</v>
      </c>
      <c r="J392" s="133"/>
      <c r="K392" s="22"/>
      <c r="L392" s="134"/>
    </row>
    <row r="393" spans="1:12" hidden="1" x14ac:dyDescent="0.25">
      <c r="A393" s="61"/>
      <c r="B393" s="14"/>
      <c r="C393" s="13"/>
      <c r="D393" s="13"/>
      <c r="E393" s="13"/>
      <c r="F393" s="4"/>
      <c r="G393" s="28"/>
      <c r="H393" s="14"/>
      <c r="I393" s="4"/>
    </row>
    <row r="394" spans="1:12" hidden="1" x14ac:dyDescent="0.25">
      <c r="A394" s="61"/>
      <c r="B394" s="14"/>
      <c r="C394" s="13"/>
      <c r="D394" s="13"/>
      <c r="E394" s="13"/>
      <c r="F394" s="4"/>
      <c r="G394" s="28"/>
      <c r="H394" s="14"/>
      <c r="I394" s="4"/>
    </row>
    <row r="395" spans="1:12" hidden="1" x14ac:dyDescent="0.25">
      <c r="A395" s="61"/>
      <c r="B395" s="14"/>
      <c r="C395" s="13"/>
      <c r="D395" s="13"/>
      <c r="E395" s="13"/>
      <c r="F395" s="4"/>
      <c r="G395" s="28"/>
      <c r="H395" s="14"/>
      <c r="I395" s="4"/>
    </row>
    <row r="396" spans="1:12" hidden="1" x14ac:dyDescent="0.25">
      <c r="A396" s="61"/>
      <c r="B396" s="14"/>
      <c r="C396" s="13"/>
      <c r="D396" s="13"/>
      <c r="E396" s="13"/>
      <c r="F396" s="4"/>
      <c r="G396" s="28"/>
      <c r="H396" s="14"/>
      <c r="I396" s="4"/>
    </row>
    <row r="397" spans="1:12" hidden="1" x14ac:dyDescent="0.25">
      <c r="A397" s="61"/>
      <c r="B397" s="14"/>
      <c r="C397" s="13"/>
      <c r="D397" s="13"/>
      <c r="E397" s="13"/>
      <c r="F397" s="4"/>
      <c r="G397" s="28"/>
      <c r="H397" s="14"/>
      <c r="I397" s="4"/>
    </row>
    <row r="398" spans="1:12" hidden="1" x14ac:dyDescent="0.25">
      <c r="A398" s="61"/>
      <c r="B398" s="14"/>
      <c r="C398" s="13"/>
      <c r="D398" s="13"/>
      <c r="E398" s="13"/>
      <c r="F398" s="4"/>
      <c r="G398" s="28"/>
      <c r="H398" s="14"/>
      <c r="I398" s="4"/>
    </row>
    <row r="399" spans="1:12" x14ac:dyDescent="0.25">
      <c r="A399" s="93"/>
      <c r="B399" s="93"/>
      <c r="C399" s="93"/>
      <c r="D399" s="93"/>
      <c r="E399" s="93"/>
      <c r="F399" s="92"/>
      <c r="G399" s="93"/>
      <c r="H399" s="138"/>
      <c r="I399" s="93"/>
    </row>
    <row r="400" spans="1:12" x14ac:dyDescent="0.25">
      <c r="A400" s="93"/>
      <c r="B400" s="93"/>
      <c r="C400" s="93"/>
      <c r="D400" s="93"/>
      <c r="E400" s="93"/>
      <c r="F400" s="92"/>
      <c r="G400" s="93"/>
      <c r="H400" s="138"/>
      <c r="I400" s="93"/>
    </row>
    <row r="401" spans="1:9" x14ac:dyDescent="0.25">
      <c r="A401" s="93"/>
      <c r="B401" s="93"/>
      <c r="C401" s="93"/>
      <c r="D401" s="93"/>
      <c r="E401" s="93"/>
      <c r="F401" s="92"/>
      <c r="G401" s="93"/>
      <c r="H401" s="138"/>
      <c r="I401" s="93"/>
    </row>
    <row r="402" spans="1:9" x14ac:dyDescent="0.25">
      <c r="A402" s="93"/>
      <c r="B402" s="93"/>
      <c r="C402" s="93"/>
      <c r="D402" s="93"/>
      <c r="E402" s="93"/>
      <c r="F402" s="92"/>
      <c r="G402" s="93"/>
      <c r="H402" s="138"/>
      <c r="I402" s="93"/>
    </row>
    <row r="403" spans="1:9" x14ac:dyDescent="0.25">
      <c r="A403" s="93"/>
      <c r="B403" s="93"/>
      <c r="C403" s="93"/>
      <c r="D403" s="93"/>
      <c r="E403" s="93"/>
      <c r="F403" s="92"/>
      <c r="G403" s="93"/>
      <c r="H403" s="138"/>
      <c r="I403" s="93"/>
    </row>
    <row r="404" spans="1:9" x14ac:dyDescent="0.25">
      <c r="A404" s="93"/>
      <c r="B404" s="93"/>
      <c r="C404" s="93"/>
      <c r="D404" s="93"/>
      <c r="E404" s="93"/>
      <c r="F404" s="92"/>
      <c r="G404" s="93"/>
      <c r="H404" s="138"/>
      <c r="I404" s="93"/>
    </row>
    <row r="405" spans="1:9" x14ac:dyDescent="0.25">
      <c r="A405" s="93"/>
      <c r="B405" s="93"/>
      <c r="C405" s="93"/>
      <c r="D405" s="93"/>
      <c r="E405" s="93"/>
      <c r="F405" s="92"/>
      <c r="G405" s="93"/>
      <c r="H405" s="138"/>
      <c r="I405" s="93"/>
    </row>
    <row r="406" spans="1:9" x14ac:dyDescent="0.25">
      <c r="A406" s="93"/>
      <c r="B406" s="93"/>
      <c r="C406" s="93"/>
      <c r="D406" s="93"/>
      <c r="E406" s="93"/>
      <c r="F406" s="92"/>
      <c r="G406" s="93"/>
      <c r="H406" s="138"/>
      <c r="I406" s="93"/>
    </row>
    <row r="407" spans="1:9" x14ac:dyDescent="0.25">
      <c r="A407" s="93"/>
      <c r="B407" s="93"/>
      <c r="C407" s="93"/>
      <c r="D407" s="93"/>
      <c r="E407" s="93"/>
      <c r="F407" s="92"/>
      <c r="G407" s="93"/>
      <c r="H407" s="138"/>
      <c r="I407" s="93"/>
    </row>
    <row r="408" spans="1:9" x14ac:dyDescent="0.25">
      <c r="A408" s="93"/>
      <c r="B408" s="93"/>
      <c r="C408" s="93"/>
      <c r="D408" s="93"/>
      <c r="E408" s="93"/>
      <c r="F408" s="92"/>
      <c r="G408" s="93"/>
      <c r="H408" s="138"/>
      <c r="I408" s="93"/>
    </row>
    <row r="409" spans="1:9" x14ac:dyDescent="0.25">
      <c r="A409" s="93"/>
      <c r="B409" s="93"/>
      <c r="C409" s="93"/>
      <c r="D409" s="93"/>
      <c r="E409" s="93"/>
      <c r="F409" s="92"/>
      <c r="G409" s="93"/>
      <c r="H409" s="138"/>
      <c r="I409" s="93"/>
    </row>
    <row r="410" spans="1:9" x14ac:dyDescent="0.25">
      <c r="A410" s="93"/>
      <c r="B410" s="93"/>
      <c r="C410" s="93"/>
      <c r="D410" s="93"/>
      <c r="E410" s="93"/>
      <c r="F410" s="92"/>
      <c r="G410" s="93"/>
      <c r="H410" s="138"/>
      <c r="I410" s="93"/>
    </row>
    <row r="411" spans="1:9" x14ac:dyDescent="0.25">
      <c r="A411" s="93"/>
      <c r="B411" s="93"/>
      <c r="C411" s="93"/>
      <c r="D411" s="93"/>
      <c r="E411" s="93"/>
      <c r="F411" s="92"/>
      <c r="G411" s="93"/>
      <c r="H411" s="138"/>
      <c r="I411" s="93"/>
    </row>
    <row r="412" spans="1:9" x14ac:dyDescent="0.25">
      <c r="A412" s="93"/>
      <c r="B412" s="93"/>
      <c r="C412" s="93"/>
      <c r="D412" s="93"/>
      <c r="E412" s="93"/>
      <c r="F412" s="92"/>
      <c r="G412" s="93"/>
      <c r="H412" s="138"/>
      <c r="I412" s="93"/>
    </row>
    <row r="413" spans="1:9" x14ac:dyDescent="0.25">
      <c r="A413" s="93"/>
      <c r="B413" s="93"/>
      <c r="C413" s="93"/>
      <c r="D413" s="93"/>
      <c r="E413" s="93"/>
      <c r="F413" s="92"/>
      <c r="G413" s="93"/>
      <c r="H413" s="138"/>
      <c r="I413" s="93"/>
    </row>
    <row r="414" spans="1:9" x14ac:dyDescent="0.25">
      <c r="A414" s="93"/>
      <c r="B414" s="93"/>
      <c r="C414" s="93"/>
      <c r="D414" s="93"/>
      <c r="E414" s="93"/>
      <c r="F414" s="92"/>
      <c r="G414" s="93"/>
      <c r="H414" s="138"/>
      <c r="I414" s="93"/>
    </row>
    <row r="415" spans="1:9" x14ac:dyDescent="0.25">
      <c r="A415" s="93"/>
      <c r="B415" s="93"/>
      <c r="C415" s="93"/>
      <c r="D415" s="93"/>
      <c r="E415" s="93"/>
      <c r="F415" s="92"/>
      <c r="G415" s="93"/>
      <c r="H415" s="138"/>
      <c r="I415" s="93"/>
    </row>
    <row r="416" spans="1:9" x14ac:dyDescent="0.25">
      <c r="A416" s="93"/>
      <c r="B416" s="93"/>
      <c r="C416" s="93"/>
      <c r="D416" s="93"/>
      <c r="E416" s="93"/>
      <c r="F416" s="92"/>
      <c r="G416" s="93"/>
      <c r="H416" s="138"/>
      <c r="I416" s="93"/>
    </row>
    <row r="417" spans="1:9" x14ac:dyDescent="0.25">
      <c r="A417" s="93"/>
      <c r="B417" s="93"/>
      <c r="C417" s="93"/>
      <c r="D417" s="93"/>
      <c r="E417" s="93"/>
      <c r="F417" s="92"/>
      <c r="G417" s="93"/>
      <c r="H417" s="138"/>
      <c r="I417" s="93"/>
    </row>
    <row r="418" spans="1:9" x14ac:dyDescent="0.25">
      <c r="A418" s="93"/>
      <c r="B418" s="93"/>
      <c r="C418" s="93"/>
      <c r="D418" s="93"/>
      <c r="E418" s="93"/>
      <c r="F418" s="92"/>
      <c r="G418" s="93"/>
      <c r="H418" s="138"/>
      <c r="I418" s="93"/>
    </row>
    <row r="419" spans="1:9" x14ac:dyDescent="0.25">
      <c r="A419" s="93"/>
      <c r="B419" s="93"/>
      <c r="C419" s="93"/>
      <c r="D419" s="93"/>
      <c r="E419" s="93"/>
      <c r="F419" s="92"/>
      <c r="G419" s="93"/>
      <c r="H419" s="138"/>
      <c r="I419" s="93"/>
    </row>
    <row r="420" spans="1:9" x14ac:dyDescent="0.25">
      <c r="A420" s="93"/>
      <c r="B420" s="93"/>
      <c r="C420" s="93"/>
      <c r="D420" s="93"/>
      <c r="E420" s="93"/>
      <c r="F420" s="92"/>
      <c r="G420" s="93"/>
      <c r="H420" s="138"/>
      <c r="I420" s="93"/>
    </row>
    <row r="421" spans="1:9" x14ac:dyDescent="0.25">
      <c r="A421" s="93"/>
      <c r="B421" s="93"/>
      <c r="C421" s="93"/>
      <c r="D421" s="93"/>
      <c r="E421" s="93"/>
      <c r="F421" s="92"/>
      <c r="G421" s="93"/>
      <c r="H421" s="138"/>
      <c r="I421" s="93"/>
    </row>
    <row r="422" spans="1:9" x14ac:dyDescent="0.25">
      <c r="A422" s="93"/>
      <c r="B422" s="93"/>
      <c r="C422" s="93"/>
      <c r="D422" s="93"/>
      <c r="E422" s="93"/>
      <c r="F422" s="92"/>
      <c r="G422" s="93"/>
      <c r="H422" s="138"/>
      <c r="I422" s="93"/>
    </row>
    <row r="423" spans="1:9" x14ac:dyDescent="0.25">
      <c r="A423" s="93"/>
      <c r="B423" s="93"/>
      <c r="C423" s="93"/>
      <c r="D423" s="93"/>
      <c r="E423" s="93"/>
      <c r="F423" s="92"/>
      <c r="G423" s="93"/>
      <c r="H423" s="138"/>
      <c r="I423" s="93"/>
    </row>
    <row r="424" spans="1:9" x14ac:dyDescent="0.25">
      <c r="A424" s="93"/>
      <c r="B424" s="93"/>
      <c r="C424" s="93"/>
      <c r="D424" s="93"/>
      <c r="E424" s="93"/>
      <c r="F424" s="92"/>
      <c r="G424" s="93"/>
      <c r="H424" s="138"/>
      <c r="I424" s="93"/>
    </row>
    <row r="425" spans="1:9" x14ac:dyDescent="0.25">
      <c r="A425" s="93"/>
      <c r="B425" s="93"/>
      <c r="C425" s="93"/>
      <c r="D425" s="93"/>
      <c r="E425" s="93"/>
      <c r="F425" s="92"/>
      <c r="G425" s="93"/>
      <c r="H425" s="138"/>
      <c r="I425" s="93"/>
    </row>
    <row r="426" spans="1:9" x14ac:dyDescent="0.25">
      <c r="A426" s="93"/>
      <c r="B426" s="93"/>
      <c r="C426" s="93"/>
      <c r="D426" s="93"/>
      <c r="E426" s="93"/>
      <c r="F426" s="92"/>
      <c r="G426" s="93"/>
      <c r="H426" s="138"/>
      <c r="I426" s="93"/>
    </row>
    <row r="427" spans="1:9" x14ac:dyDescent="0.25">
      <c r="A427" s="93"/>
      <c r="B427" s="93"/>
      <c r="C427" s="93"/>
      <c r="D427" s="93"/>
      <c r="E427" s="93"/>
      <c r="F427" s="92"/>
      <c r="G427" s="93"/>
      <c r="H427" s="138"/>
      <c r="I427" s="93"/>
    </row>
    <row r="428" spans="1:9" x14ac:dyDescent="0.25">
      <c r="A428" s="93"/>
      <c r="B428" s="93"/>
      <c r="C428" s="93"/>
      <c r="D428" s="93"/>
      <c r="E428" s="93"/>
      <c r="F428" s="92"/>
      <c r="G428" s="93"/>
      <c r="H428" s="138"/>
      <c r="I428" s="93"/>
    </row>
    <row r="429" spans="1:9" x14ac:dyDescent="0.25">
      <c r="A429" s="93"/>
      <c r="B429" s="93"/>
      <c r="C429" s="93"/>
      <c r="D429" s="93"/>
      <c r="E429" s="93"/>
      <c r="F429" s="92"/>
      <c r="G429" s="93"/>
      <c r="H429" s="138"/>
      <c r="I429" s="93"/>
    </row>
    <row r="430" spans="1:9" x14ac:dyDescent="0.25">
      <c r="A430" s="93"/>
      <c r="B430" s="93"/>
      <c r="C430" s="93"/>
      <c r="D430" s="93"/>
      <c r="E430" s="93"/>
      <c r="F430" s="92"/>
      <c r="G430" s="93"/>
      <c r="H430" s="138"/>
      <c r="I430" s="93"/>
    </row>
    <row r="431" spans="1:9" x14ac:dyDescent="0.25">
      <c r="A431" s="93"/>
      <c r="B431" s="93"/>
      <c r="C431" s="93"/>
      <c r="D431" s="93"/>
      <c r="E431" s="93"/>
      <c r="F431" s="92"/>
      <c r="G431" s="93"/>
      <c r="H431" s="138"/>
      <c r="I431" s="93"/>
    </row>
    <row r="432" spans="1:9" x14ac:dyDescent="0.25">
      <c r="A432" s="93"/>
      <c r="B432" s="93"/>
      <c r="C432" s="93"/>
      <c r="D432" s="93"/>
      <c r="E432" s="93"/>
      <c r="F432" s="92"/>
      <c r="G432" s="93"/>
      <c r="H432" s="138"/>
      <c r="I432" s="93"/>
    </row>
    <row r="433" spans="1:9" x14ac:dyDescent="0.25">
      <c r="A433" s="93"/>
      <c r="B433" s="93"/>
      <c r="C433" s="93"/>
      <c r="D433" s="93"/>
      <c r="E433" s="93"/>
      <c r="F433" s="92"/>
      <c r="G433" s="93"/>
      <c r="H433" s="138"/>
      <c r="I433" s="93"/>
    </row>
    <row r="434" spans="1:9" x14ac:dyDescent="0.25">
      <c r="A434" s="93"/>
      <c r="B434" s="93"/>
      <c r="C434" s="93"/>
      <c r="D434" s="93"/>
      <c r="E434" s="93"/>
      <c r="F434" s="92"/>
      <c r="G434" s="93"/>
      <c r="H434" s="138"/>
      <c r="I434" s="93"/>
    </row>
    <row r="435" spans="1:9" x14ac:dyDescent="0.25">
      <c r="A435" s="93"/>
      <c r="B435" s="93"/>
      <c r="C435" s="93"/>
      <c r="D435" s="93"/>
      <c r="E435" s="93"/>
      <c r="F435" s="92"/>
      <c r="G435" s="93"/>
      <c r="H435" s="138"/>
      <c r="I435" s="93"/>
    </row>
    <row r="436" spans="1:9" x14ac:dyDescent="0.25">
      <c r="A436" s="93"/>
      <c r="B436" s="93"/>
      <c r="C436" s="93"/>
      <c r="D436" s="93"/>
      <c r="E436" s="93"/>
      <c r="F436" s="92"/>
      <c r="G436" s="93"/>
      <c r="H436" s="138"/>
      <c r="I436" s="93"/>
    </row>
    <row r="437" spans="1:9" x14ac:dyDescent="0.25">
      <c r="A437" s="93"/>
      <c r="B437" s="93"/>
      <c r="C437" s="93"/>
      <c r="D437" s="93"/>
      <c r="E437" s="93"/>
      <c r="F437" s="92"/>
      <c r="G437" s="93"/>
      <c r="H437" s="138"/>
      <c r="I437" s="93"/>
    </row>
    <row r="438" spans="1:9" x14ac:dyDescent="0.25">
      <c r="A438" s="93"/>
      <c r="B438" s="93"/>
      <c r="C438" s="93"/>
      <c r="D438" s="93"/>
      <c r="E438" s="93"/>
      <c r="F438" s="92"/>
      <c r="G438" s="93"/>
      <c r="H438" s="138"/>
      <c r="I438" s="93"/>
    </row>
    <row r="439" spans="1:9" x14ac:dyDescent="0.25">
      <c r="A439" s="93"/>
      <c r="B439" s="93"/>
      <c r="C439" s="93"/>
      <c r="D439" s="93"/>
      <c r="E439" s="93"/>
      <c r="F439" s="92"/>
      <c r="G439" s="93"/>
      <c r="H439" s="138"/>
      <c r="I439" s="93"/>
    </row>
    <row r="440" spans="1:9" x14ac:dyDescent="0.25">
      <c r="A440" s="93"/>
      <c r="B440" s="93"/>
      <c r="C440" s="93"/>
      <c r="D440" s="93"/>
      <c r="E440" s="93"/>
      <c r="F440" s="92"/>
      <c r="G440" s="93"/>
      <c r="H440" s="138"/>
      <c r="I440" s="93"/>
    </row>
    <row r="441" spans="1:9" x14ac:dyDescent="0.25">
      <c r="A441" s="93"/>
      <c r="B441" s="93"/>
      <c r="C441" s="93"/>
      <c r="D441" s="93"/>
      <c r="E441" s="93"/>
      <c r="F441" s="92"/>
      <c r="G441" s="93"/>
      <c r="H441" s="138"/>
      <c r="I441" s="93"/>
    </row>
    <row r="442" spans="1:9" x14ac:dyDescent="0.25">
      <c r="A442" s="93"/>
      <c r="B442" s="93"/>
      <c r="C442" s="93"/>
      <c r="D442" s="93"/>
      <c r="E442" s="93"/>
      <c r="F442" s="92"/>
      <c r="G442" s="93"/>
      <c r="H442" s="138"/>
      <c r="I442" s="93"/>
    </row>
    <row r="443" spans="1:9" x14ac:dyDescent="0.25">
      <c r="A443" s="93"/>
      <c r="B443" s="93"/>
      <c r="C443" s="93"/>
      <c r="D443" s="93"/>
      <c r="E443" s="93"/>
      <c r="F443" s="92"/>
      <c r="G443" s="93"/>
      <c r="H443" s="138"/>
      <c r="I443" s="93"/>
    </row>
    <row r="444" spans="1:9" x14ac:dyDescent="0.25">
      <c r="A444" s="93"/>
      <c r="B444" s="93"/>
      <c r="C444" s="93"/>
      <c r="D444" s="93"/>
      <c r="E444" s="93"/>
      <c r="F444" s="92"/>
      <c r="G444" s="93"/>
      <c r="H444" s="138"/>
      <c r="I444" s="93"/>
    </row>
    <row r="445" spans="1:9" x14ac:dyDescent="0.25">
      <c r="A445" s="93"/>
      <c r="B445" s="93"/>
      <c r="C445" s="93"/>
      <c r="D445" s="93"/>
      <c r="E445" s="93"/>
      <c r="F445" s="92"/>
      <c r="G445" s="93"/>
      <c r="H445" s="138"/>
      <c r="I445" s="93"/>
    </row>
    <row r="446" spans="1:9" x14ac:dyDescent="0.25">
      <c r="A446" s="93"/>
      <c r="B446" s="93"/>
      <c r="C446" s="93"/>
      <c r="D446" s="93"/>
      <c r="E446" s="93"/>
      <c r="F446" s="92"/>
      <c r="G446" s="93"/>
      <c r="H446" s="138"/>
      <c r="I446" s="93"/>
    </row>
    <row r="447" spans="1:9" x14ac:dyDescent="0.25">
      <c r="A447" s="93"/>
      <c r="B447" s="93"/>
      <c r="C447" s="93"/>
      <c r="D447" s="93"/>
      <c r="E447" s="93"/>
      <c r="F447" s="92"/>
      <c r="G447" s="93"/>
      <c r="H447" s="138"/>
      <c r="I447" s="93"/>
    </row>
    <row r="448" spans="1:9" x14ac:dyDescent="0.25">
      <c r="A448" s="93"/>
      <c r="B448" s="93"/>
      <c r="C448" s="93"/>
      <c r="D448" s="93"/>
      <c r="E448" s="93"/>
      <c r="F448" s="92"/>
      <c r="G448" s="93"/>
      <c r="H448" s="138"/>
      <c r="I448" s="93"/>
    </row>
    <row r="449" spans="1:9" x14ac:dyDescent="0.25">
      <c r="A449" s="93"/>
      <c r="B449" s="93"/>
      <c r="C449" s="93"/>
      <c r="D449" s="93"/>
      <c r="E449" s="93"/>
      <c r="F449" s="92"/>
      <c r="G449" s="93"/>
      <c r="H449" s="138"/>
      <c r="I449" s="93"/>
    </row>
    <row r="450" spans="1:9" x14ac:dyDescent="0.25">
      <c r="A450" s="93"/>
      <c r="B450" s="93"/>
      <c r="C450" s="93"/>
      <c r="D450" s="93"/>
      <c r="E450" s="93"/>
      <c r="F450" s="92"/>
      <c r="G450" s="93"/>
      <c r="H450" s="138"/>
      <c r="I450" s="93"/>
    </row>
    <row r="451" spans="1:9" x14ac:dyDescent="0.25">
      <c r="A451" s="93"/>
      <c r="B451" s="93"/>
      <c r="C451" s="93"/>
      <c r="D451" s="93"/>
      <c r="E451" s="93"/>
      <c r="F451" s="92"/>
      <c r="G451" s="93"/>
      <c r="H451" s="138"/>
      <c r="I451" s="93"/>
    </row>
    <row r="452" spans="1:9" x14ac:dyDescent="0.25">
      <c r="A452" s="93"/>
      <c r="B452" s="93"/>
      <c r="C452" s="93"/>
      <c r="D452" s="93"/>
      <c r="E452" s="93"/>
      <c r="F452" s="92"/>
      <c r="G452" s="93"/>
      <c r="H452" s="138"/>
      <c r="I452" s="93"/>
    </row>
    <row r="453" spans="1:9" x14ac:dyDescent="0.25">
      <c r="A453" s="93"/>
      <c r="B453" s="93"/>
      <c r="C453" s="93"/>
      <c r="D453" s="93"/>
      <c r="E453" s="93"/>
      <c r="F453" s="92"/>
      <c r="G453" s="93"/>
      <c r="H453" s="138"/>
      <c r="I453" s="93"/>
    </row>
    <row r="454" spans="1:9" x14ac:dyDescent="0.25">
      <c r="A454" s="93"/>
      <c r="B454" s="93"/>
      <c r="C454" s="93"/>
      <c r="D454" s="93"/>
      <c r="E454" s="93"/>
      <c r="F454" s="92"/>
      <c r="G454" s="93"/>
      <c r="H454" s="138"/>
      <c r="I454" s="93"/>
    </row>
    <row r="455" spans="1:9" x14ac:dyDescent="0.25">
      <c r="A455" s="93"/>
      <c r="B455" s="93"/>
      <c r="C455" s="93"/>
      <c r="D455" s="93"/>
      <c r="E455" s="93"/>
      <c r="F455" s="92"/>
      <c r="G455" s="93"/>
      <c r="H455" s="138"/>
      <c r="I455" s="93"/>
    </row>
    <row r="456" spans="1:9" x14ac:dyDescent="0.25">
      <c r="A456" s="93"/>
      <c r="B456" s="93"/>
      <c r="C456" s="93"/>
      <c r="D456" s="93"/>
      <c r="E456" s="93"/>
      <c r="F456" s="92"/>
      <c r="G456" s="93"/>
      <c r="H456" s="138"/>
      <c r="I456" s="93"/>
    </row>
    <row r="457" spans="1:9" x14ac:dyDescent="0.25">
      <c r="A457" s="93"/>
      <c r="B457" s="93"/>
      <c r="C457" s="93"/>
      <c r="D457" s="93"/>
      <c r="E457" s="93"/>
      <c r="F457" s="92"/>
      <c r="G457" s="93"/>
      <c r="H457" s="138"/>
      <c r="I457" s="93"/>
    </row>
    <row r="458" spans="1:9" x14ac:dyDescent="0.25">
      <c r="A458" s="93"/>
      <c r="B458" s="93"/>
      <c r="C458" s="93"/>
      <c r="D458" s="93"/>
      <c r="E458" s="93"/>
      <c r="F458" s="92"/>
      <c r="G458" s="93"/>
      <c r="H458" s="138"/>
      <c r="I458" s="93"/>
    </row>
    <row r="459" spans="1:9" x14ac:dyDescent="0.25">
      <c r="A459" s="93"/>
      <c r="B459" s="93"/>
      <c r="C459" s="93"/>
      <c r="D459" s="93"/>
      <c r="E459" s="93"/>
      <c r="F459" s="92"/>
      <c r="G459" s="93"/>
      <c r="H459" s="138"/>
      <c r="I459" s="93"/>
    </row>
    <row r="460" spans="1:9" x14ac:dyDescent="0.25">
      <c r="A460" s="93"/>
      <c r="B460" s="93"/>
      <c r="C460" s="93"/>
      <c r="D460" s="93"/>
      <c r="E460" s="93"/>
      <c r="F460" s="92"/>
      <c r="G460" s="93"/>
      <c r="H460" s="138"/>
      <c r="I460" s="93"/>
    </row>
    <row r="461" spans="1:9" x14ac:dyDescent="0.25">
      <c r="A461" s="93"/>
      <c r="B461" s="93"/>
      <c r="C461" s="93"/>
      <c r="D461" s="93"/>
      <c r="E461" s="93"/>
      <c r="F461" s="92"/>
      <c r="G461" s="93"/>
      <c r="H461" s="138"/>
      <c r="I461" s="93"/>
    </row>
    <row r="462" spans="1:9" x14ac:dyDescent="0.25">
      <c r="A462" s="93"/>
      <c r="B462" s="93"/>
      <c r="C462" s="93"/>
      <c r="D462" s="93"/>
      <c r="E462" s="93"/>
      <c r="F462" s="92"/>
      <c r="G462" s="93"/>
      <c r="H462" s="138"/>
      <c r="I462" s="93"/>
    </row>
    <row r="463" spans="1:9" x14ac:dyDescent="0.25">
      <c r="A463" s="93"/>
      <c r="B463" s="93"/>
      <c r="C463" s="93"/>
      <c r="D463" s="93"/>
      <c r="E463" s="93"/>
      <c r="F463" s="92"/>
      <c r="G463" s="93"/>
      <c r="H463" s="138"/>
      <c r="I463" s="93"/>
    </row>
    <row r="464" spans="1:9" x14ac:dyDescent="0.25">
      <c r="A464" s="93"/>
      <c r="B464" s="93"/>
      <c r="C464" s="93"/>
      <c r="D464" s="93"/>
      <c r="E464" s="93"/>
      <c r="F464" s="92"/>
      <c r="G464" s="93"/>
      <c r="H464" s="138"/>
      <c r="I464" s="93"/>
    </row>
    <row r="465" spans="1:9" x14ac:dyDescent="0.25">
      <c r="A465" s="93"/>
      <c r="B465" s="93"/>
      <c r="C465" s="93"/>
      <c r="D465" s="93"/>
      <c r="E465" s="93"/>
      <c r="F465" s="92"/>
      <c r="G465" s="93"/>
      <c r="H465" s="138"/>
      <c r="I465" s="93"/>
    </row>
    <row r="466" spans="1:9" x14ac:dyDescent="0.25">
      <c r="A466" s="93"/>
      <c r="B466" s="93"/>
      <c r="C466" s="93"/>
      <c r="D466" s="93"/>
      <c r="E466" s="93"/>
      <c r="F466" s="92"/>
      <c r="G466" s="93"/>
      <c r="H466" s="138"/>
      <c r="I466" s="93"/>
    </row>
    <row r="467" spans="1:9" x14ac:dyDescent="0.25">
      <c r="A467" s="93"/>
      <c r="B467" s="93"/>
      <c r="C467" s="93"/>
      <c r="D467" s="93"/>
      <c r="E467" s="93"/>
      <c r="F467" s="92"/>
      <c r="G467" s="93"/>
      <c r="H467" s="138"/>
      <c r="I467" s="93"/>
    </row>
    <row r="468" spans="1:9" x14ac:dyDescent="0.25">
      <c r="A468" s="93"/>
      <c r="B468" s="93"/>
      <c r="C468" s="93"/>
      <c r="D468" s="93"/>
      <c r="E468" s="93"/>
      <c r="F468" s="92"/>
      <c r="G468" s="93"/>
      <c r="H468" s="138"/>
      <c r="I468" s="93"/>
    </row>
    <row r="469" spans="1:9" x14ac:dyDescent="0.25">
      <c r="A469" s="93"/>
      <c r="B469" s="93"/>
      <c r="C469" s="93"/>
      <c r="D469" s="93"/>
      <c r="E469" s="93"/>
      <c r="F469" s="92"/>
      <c r="G469" s="93"/>
      <c r="H469" s="138"/>
      <c r="I469" s="93"/>
    </row>
    <row r="470" spans="1:9" x14ac:dyDescent="0.25">
      <c r="A470" s="93"/>
      <c r="B470" s="93"/>
      <c r="C470" s="93"/>
      <c r="D470" s="93"/>
      <c r="E470" s="93"/>
      <c r="F470" s="92"/>
      <c r="G470" s="93"/>
      <c r="H470" s="138"/>
      <c r="I470" s="93"/>
    </row>
    <row r="471" spans="1:9" x14ac:dyDescent="0.25">
      <c r="A471" s="93"/>
      <c r="B471" s="93"/>
      <c r="C471" s="93"/>
      <c r="D471" s="93"/>
      <c r="E471" s="93"/>
      <c r="F471" s="92"/>
      <c r="G471" s="93"/>
      <c r="H471" s="138"/>
      <c r="I471" s="93"/>
    </row>
    <row r="472" spans="1:9" x14ac:dyDescent="0.25">
      <c r="A472" s="93"/>
      <c r="B472" s="93"/>
      <c r="C472" s="93"/>
      <c r="D472" s="93"/>
      <c r="E472" s="93"/>
      <c r="F472" s="92"/>
      <c r="G472" s="93"/>
      <c r="H472" s="138"/>
      <c r="I472" s="93"/>
    </row>
    <row r="473" spans="1:9" x14ac:dyDescent="0.25">
      <c r="A473" s="93"/>
      <c r="B473" s="93"/>
      <c r="C473" s="93"/>
      <c r="D473" s="93"/>
      <c r="E473" s="93"/>
      <c r="F473" s="92"/>
      <c r="G473" s="93"/>
      <c r="H473" s="138"/>
      <c r="I473" s="93"/>
    </row>
    <row r="474" spans="1:9" x14ac:dyDescent="0.25">
      <c r="A474" s="93"/>
      <c r="B474" s="93"/>
      <c r="C474" s="93"/>
      <c r="D474" s="93"/>
      <c r="E474" s="93"/>
      <c r="F474" s="92"/>
      <c r="G474" s="93"/>
      <c r="H474" s="138"/>
      <c r="I474" s="93"/>
    </row>
    <row r="475" spans="1:9" x14ac:dyDescent="0.25">
      <c r="A475" s="93"/>
      <c r="B475" s="93"/>
      <c r="C475" s="93"/>
      <c r="D475" s="93"/>
      <c r="E475" s="93"/>
      <c r="F475" s="92"/>
      <c r="G475" s="93"/>
      <c r="H475" s="138"/>
      <c r="I475" s="93"/>
    </row>
    <row r="476" spans="1:9" x14ac:dyDescent="0.25">
      <c r="A476" s="93"/>
      <c r="B476" s="93"/>
      <c r="C476" s="93"/>
      <c r="D476" s="93"/>
      <c r="E476" s="93"/>
      <c r="F476" s="92"/>
      <c r="G476" s="93"/>
      <c r="H476" s="138"/>
      <c r="I476" s="93"/>
    </row>
    <row r="477" spans="1:9" x14ac:dyDescent="0.25">
      <c r="A477" s="93"/>
      <c r="B477" s="93"/>
      <c r="C477" s="93"/>
      <c r="D477" s="93"/>
      <c r="E477" s="93"/>
      <c r="F477" s="92"/>
      <c r="G477" s="93"/>
      <c r="H477" s="138"/>
      <c r="I477" s="93"/>
    </row>
    <row r="478" spans="1:9" x14ac:dyDescent="0.25">
      <c r="A478" s="93"/>
      <c r="B478" s="93"/>
      <c r="C478" s="93"/>
      <c r="D478" s="93"/>
      <c r="E478" s="93"/>
      <c r="F478" s="92"/>
      <c r="G478" s="93"/>
      <c r="H478" s="138"/>
      <c r="I478" s="93"/>
    </row>
    <row r="479" spans="1:9" x14ac:dyDescent="0.25">
      <c r="A479" s="93"/>
      <c r="B479" s="93"/>
      <c r="C479" s="93"/>
      <c r="D479" s="93"/>
      <c r="E479" s="93"/>
      <c r="F479" s="92"/>
      <c r="G479" s="93"/>
      <c r="H479" s="138"/>
      <c r="I479" s="93"/>
    </row>
    <row r="480" spans="1:9" x14ac:dyDescent="0.25">
      <c r="A480" s="93"/>
      <c r="B480" s="93"/>
      <c r="C480" s="93"/>
      <c r="D480" s="93"/>
      <c r="E480" s="93"/>
      <c r="F480" s="92"/>
      <c r="G480" s="93"/>
      <c r="H480" s="138"/>
      <c r="I480" s="93"/>
    </row>
    <row r="481" spans="1:9" x14ac:dyDescent="0.25">
      <c r="A481" s="93"/>
      <c r="B481" s="93"/>
      <c r="C481" s="93"/>
      <c r="D481" s="93"/>
      <c r="E481" s="93"/>
      <c r="F481" s="92"/>
      <c r="G481" s="93"/>
      <c r="H481" s="138"/>
      <c r="I481" s="93"/>
    </row>
    <row r="482" spans="1:9" x14ac:dyDescent="0.25">
      <c r="A482" s="93"/>
      <c r="B482" s="93"/>
      <c r="C482" s="93"/>
      <c r="D482" s="93"/>
      <c r="E482" s="93"/>
      <c r="F482" s="92"/>
      <c r="G482" s="93"/>
      <c r="H482" s="138"/>
      <c r="I482" s="93"/>
    </row>
    <row r="483" spans="1:9" x14ac:dyDescent="0.25">
      <c r="A483" s="93"/>
      <c r="B483" s="93"/>
      <c r="C483" s="93"/>
      <c r="D483" s="93"/>
      <c r="E483" s="93"/>
      <c r="F483" s="92"/>
      <c r="G483" s="93"/>
      <c r="H483" s="138"/>
      <c r="I483" s="93"/>
    </row>
    <row r="484" spans="1:9" x14ac:dyDescent="0.25">
      <c r="A484" s="93"/>
      <c r="B484" s="93"/>
      <c r="C484" s="93"/>
      <c r="D484" s="93"/>
      <c r="E484" s="93"/>
      <c r="F484" s="92"/>
      <c r="G484" s="93"/>
      <c r="H484" s="138"/>
      <c r="I484" s="93"/>
    </row>
    <row r="485" spans="1:9" x14ac:dyDescent="0.25">
      <c r="A485" s="93"/>
      <c r="B485" s="93"/>
      <c r="C485" s="93"/>
      <c r="D485" s="93"/>
      <c r="E485" s="93"/>
      <c r="F485" s="92"/>
      <c r="G485" s="93"/>
      <c r="H485" s="138"/>
      <c r="I485" s="93"/>
    </row>
    <row r="486" spans="1:9" x14ac:dyDescent="0.25">
      <c r="A486" s="93"/>
      <c r="B486" s="93"/>
      <c r="C486" s="93"/>
      <c r="D486" s="93"/>
      <c r="E486" s="93"/>
      <c r="F486" s="92"/>
      <c r="G486" s="93"/>
      <c r="H486" s="138"/>
      <c r="I486" s="93"/>
    </row>
    <row r="487" spans="1:9" x14ac:dyDescent="0.25">
      <c r="A487" s="93"/>
      <c r="B487" s="93"/>
      <c r="C487" s="93"/>
      <c r="D487" s="93"/>
      <c r="E487" s="93"/>
      <c r="F487" s="92"/>
      <c r="G487" s="93"/>
      <c r="H487" s="138"/>
      <c r="I487" s="93"/>
    </row>
    <row r="488" spans="1:9" x14ac:dyDescent="0.25">
      <c r="A488" s="93"/>
      <c r="B488" s="93"/>
      <c r="C488" s="93"/>
      <c r="D488" s="93"/>
      <c r="E488" s="93"/>
      <c r="F488" s="92"/>
      <c r="G488" s="93"/>
      <c r="H488" s="138"/>
      <c r="I488" s="93"/>
    </row>
    <row r="489" spans="1:9" x14ac:dyDescent="0.25">
      <c r="A489" s="93"/>
      <c r="B489" s="93"/>
      <c r="C489" s="93"/>
      <c r="D489" s="93"/>
      <c r="E489" s="93"/>
      <c r="F489" s="92"/>
      <c r="G489" s="93"/>
      <c r="H489" s="138"/>
      <c r="I489" s="93"/>
    </row>
    <row r="490" spans="1:9" x14ac:dyDescent="0.25">
      <c r="A490" s="93"/>
      <c r="B490" s="93"/>
      <c r="C490" s="93"/>
      <c r="D490" s="93"/>
      <c r="E490" s="93"/>
      <c r="F490" s="92"/>
      <c r="G490" s="93"/>
      <c r="H490" s="138"/>
      <c r="I490" s="93"/>
    </row>
    <row r="491" spans="1:9" x14ac:dyDescent="0.25">
      <c r="A491" s="93"/>
      <c r="B491" s="93"/>
      <c r="C491" s="93"/>
      <c r="D491" s="93"/>
      <c r="E491" s="93"/>
      <c r="F491" s="92"/>
      <c r="G491" s="93"/>
      <c r="H491" s="138"/>
      <c r="I491" s="93"/>
    </row>
    <row r="492" spans="1:9" x14ac:dyDescent="0.25">
      <c r="A492" s="93"/>
      <c r="B492" s="93"/>
      <c r="C492" s="93"/>
      <c r="D492" s="93"/>
      <c r="E492" s="93"/>
      <c r="F492" s="92"/>
      <c r="G492" s="93"/>
      <c r="H492" s="138"/>
      <c r="I492" s="93"/>
    </row>
    <row r="493" spans="1:9" x14ac:dyDescent="0.25">
      <c r="A493" s="93"/>
      <c r="B493" s="93"/>
      <c r="C493" s="93"/>
      <c r="D493" s="93"/>
      <c r="E493" s="93"/>
      <c r="F493" s="92"/>
      <c r="G493" s="93"/>
      <c r="H493" s="138"/>
      <c r="I493" s="93"/>
    </row>
    <row r="494" spans="1:9" x14ac:dyDescent="0.25">
      <c r="A494" s="93"/>
      <c r="B494" s="93"/>
      <c r="C494" s="93"/>
      <c r="D494" s="93"/>
      <c r="E494" s="93"/>
      <c r="F494" s="92"/>
      <c r="G494" s="93"/>
      <c r="H494" s="138"/>
      <c r="I494" s="93"/>
    </row>
    <row r="495" spans="1:9" x14ac:dyDescent="0.25">
      <c r="A495" s="93"/>
      <c r="B495" s="93"/>
      <c r="C495" s="93"/>
      <c r="D495" s="93"/>
      <c r="E495" s="93"/>
      <c r="F495" s="92"/>
      <c r="G495" s="93"/>
      <c r="H495" s="138"/>
      <c r="I495" s="93"/>
    </row>
    <row r="496" spans="1:9" x14ac:dyDescent="0.25">
      <c r="A496" s="93"/>
      <c r="B496" s="93"/>
      <c r="C496" s="93"/>
      <c r="D496" s="93"/>
      <c r="E496" s="93"/>
      <c r="F496" s="92"/>
      <c r="G496" s="93"/>
      <c r="H496" s="138"/>
      <c r="I496" s="93"/>
    </row>
    <row r="497" spans="1:9" x14ac:dyDescent="0.25">
      <c r="A497" s="93"/>
      <c r="B497" s="93"/>
      <c r="C497" s="93"/>
      <c r="D497" s="93"/>
      <c r="E497" s="93"/>
      <c r="F497" s="92"/>
      <c r="G497" s="93"/>
      <c r="H497" s="138"/>
      <c r="I497" s="93"/>
    </row>
    <row r="498" spans="1:9" x14ac:dyDescent="0.25">
      <c r="A498" s="93"/>
      <c r="B498" s="93"/>
      <c r="C498" s="93"/>
      <c r="D498" s="93"/>
      <c r="E498" s="93"/>
      <c r="F498" s="92"/>
      <c r="G498" s="93"/>
      <c r="H498" s="138"/>
      <c r="I498" s="93"/>
    </row>
    <row r="499" spans="1:9" x14ac:dyDescent="0.25">
      <c r="A499" s="93"/>
      <c r="B499" s="93"/>
      <c r="C499" s="93"/>
      <c r="D499" s="93"/>
      <c r="E499" s="93"/>
      <c r="F499" s="92"/>
      <c r="G499" s="93"/>
      <c r="H499" s="138"/>
      <c r="I499" s="93"/>
    </row>
    <row r="500" spans="1:9" x14ac:dyDescent="0.25">
      <c r="A500" s="93"/>
      <c r="B500" s="93"/>
      <c r="C500" s="93"/>
      <c r="D500" s="93"/>
      <c r="E500" s="93"/>
      <c r="F500" s="92"/>
      <c r="G500" s="93"/>
      <c r="H500" s="138"/>
      <c r="I500" s="93"/>
    </row>
    <row r="501" spans="1:9" x14ac:dyDescent="0.25">
      <c r="A501" s="93"/>
      <c r="B501" s="93"/>
      <c r="C501" s="93"/>
      <c r="D501" s="93"/>
      <c r="E501" s="93"/>
      <c r="F501" s="92"/>
      <c r="G501" s="93"/>
      <c r="H501" s="138"/>
      <c r="I501" s="93"/>
    </row>
    <row r="502" spans="1:9" x14ac:dyDescent="0.25">
      <c r="A502" s="93"/>
      <c r="B502" s="93"/>
      <c r="C502" s="93"/>
      <c r="D502" s="93"/>
      <c r="E502" s="93"/>
      <c r="F502" s="92"/>
      <c r="G502" s="93"/>
      <c r="H502" s="138"/>
      <c r="I502" s="93"/>
    </row>
    <row r="503" spans="1:9" x14ac:dyDescent="0.25">
      <c r="A503" s="93"/>
      <c r="B503" s="93"/>
      <c r="C503" s="93"/>
      <c r="D503" s="93"/>
      <c r="E503" s="93"/>
      <c r="F503" s="92"/>
      <c r="G503" s="93"/>
      <c r="H503" s="138"/>
      <c r="I503" s="93"/>
    </row>
    <row r="504" spans="1:9" x14ac:dyDescent="0.25">
      <c r="A504" s="93"/>
      <c r="B504" s="93"/>
      <c r="C504" s="93"/>
      <c r="D504" s="93"/>
      <c r="E504" s="93"/>
      <c r="F504" s="92"/>
      <c r="G504" s="93"/>
      <c r="H504" s="138"/>
      <c r="I504" s="93"/>
    </row>
    <row r="505" spans="1:9" x14ac:dyDescent="0.25">
      <c r="A505" s="93"/>
      <c r="B505" s="93"/>
      <c r="C505" s="93"/>
      <c r="D505" s="93"/>
      <c r="E505" s="93"/>
      <c r="F505" s="92"/>
      <c r="G505" s="93"/>
      <c r="H505" s="138"/>
      <c r="I505" s="93"/>
    </row>
    <row r="506" spans="1:9" x14ac:dyDescent="0.25">
      <c r="A506" s="93"/>
      <c r="B506" s="93"/>
      <c r="C506" s="93"/>
      <c r="D506" s="93"/>
      <c r="E506" s="93"/>
      <c r="F506" s="92"/>
      <c r="G506" s="93"/>
      <c r="H506" s="138"/>
      <c r="I506" s="93"/>
    </row>
    <row r="507" spans="1:9" x14ac:dyDescent="0.25">
      <c r="A507" s="93"/>
      <c r="B507" s="93"/>
      <c r="C507" s="93"/>
      <c r="D507" s="93"/>
      <c r="E507" s="93"/>
      <c r="F507" s="92"/>
      <c r="G507" s="93"/>
      <c r="H507" s="138"/>
      <c r="I507" s="93"/>
    </row>
    <row r="508" spans="1:9" x14ac:dyDescent="0.25">
      <c r="A508" s="93"/>
      <c r="B508" s="93"/>
      <c r="C508" s="93"/>
      <c r="D508" s="93"/>
      <c r="E508" s="93"/>
      <c r="F508" s="92"/>
      <c r="G508" s="93"/>
      <c r="H508" s="138"/>
      <c r="I508" s="93"/>
    </row>
    <row r="509" spans="1:9" x14ac:dyDescent="0.25">
      <c r="A509" s="93"/>
      <c r="B509" s="93"/>
      <c r="C509" s="93"/>
      <c r="D509" s="93"/>
      <c r="E509" s="93"/>
      <c r="F509" s="92"/>
      <c r="G509" s="93"/>
      <c r="H509" s="138"/>
      <c r="I509" s="93"/>
    </row>
    <row r="510" spans="1:9" x14ac:dyDescent="0.25">
      <c r="A510" s="93"/>
      <c r="B510" s="93"/>
      <c r="C510" s="93"/>
      <c r="D510" s="93"/>
      <c r="E510" s="93"/>
      <c r="F510" s="92"/>
      <c r="G510" s="93"/>
      <c r="H510" s="138"/>
      <c r="I510" s="93"/>
    </row>
    <row r="511" spans="1:9" x14ac:dyDescent="0.25">
      <c r="A511" s="93"/>
      <c r="B511" s="93"/>
      <c r="C511" s="93"/>
      <c r="D511" s="93"/>
      <c r="E511" s="93"/>
      <c r="F511" s="92"/>
      <c r="G511" s="93"/>
      <c r="H511" s="138"/>
      <c r="I511" s="93"/>
    </row>
    <row r="512" spans="1:9" x14ac:dyDescent="0.25">
      <c r="A512" s="93"/>
      <c r="B512" s="93"/>
      <c r="C512" s="93"/>
      <c r="D512" s="93"/>
      <c r="E512" s="93"/>
      <c r="F512" s="92"/>
      <c r="G512" s="93"/>
      <c r="H512" s="138"/>
      <c r="I512" s="93"/>
    </row>
    <row r="513" spans="1:9" x14ac:dyDescent="0.25">
      <c r="A513" s="93"/>
      <c r="B513" s="93"/>
      <c r="C513" s="93"/>
      <c r="D513" s="93"/>
      <c r="E513" s="93"/>
      <c r="F513" s="92"/>
      <c r="G513" s="93"/>
      <c r="H513" s="138"/>
      <c r="I513" s="93"/>
    </row>
    <row r="514" spans="1:9" x14ac:dyDescent="0.25">
      <c r="A514" s="93"/>
      <c r="B514" s="93"/>
      <c r="C514" s="93"/>
      <c r="D514" s="93"/>
      <c r="E514" s="93"/>
      <c r="F514" s="92"/>
      <c r="G514" s="93"/>
      <c r="H514" s="138"/>
      <c r="I514" s="93"/>
    </row>
    <row r="515" spans="1:9" x14ac:dyDescent="0.25">
      <c r="A515" s="93"/>
      <c r="B515" s="93"/>
      <c r="C515" s="93"/>
      <c r="D515" s="93"/>
      <c r="E515" s="93"/>
      <c r="F515" s="92"/>
      <c r="G515" s="93"/>
      <c r="H515" s="138"/>
      <c r="I515" s="93"/>
    </row>
    <row r="516" spans="1:9" x14ac:dyDescent="0.25">
      <c r="A516" s="93"/>
      <c r="B516" s="93"/>
      <c r="C516" s="93"/>
      <c r="D516" s="93"/>
      <c r="E516" s="93"/>
      <c r="F516" s="92"/>
      <c r="G516" s="93"/>
      <c r="H516" s="138"/>
      <c r="I516" s="93"/>
    </row>
    <row r="517" spans="1:9" x14ac:dyDescent="0.25">
      <c r="A517" s="93"/>
      <c r="B517" s="93"/>
      <c r="C517" s="93"/>
      <c r="D517" s="93"/>
      <c r="E517" s="93"/>
      <c r="F517" s="92"/>
      <c r="G517" s="93"/>
      <c r="H517" s="138"/>
      <c r="I517" s="93"/>
    </row>
    <row r="518" spans="1:9" x14ac:dyDescent="0.25">
      <c r="A518" s="93"/>
      <c r="B518" s="93"/>
      <c r="C518" s="93"/>
      <c r="D518" s="93"/>
      <c r="E518" s="93"/>
      <c r="F518" s="92"/>
      <c r="G518" s="93"/>
      <c r="H518" s="138"/>
      <c r="I518" s="93"/>
    </row>
    <row r="519" spans="1:9" x14ac:dyDescent="0.25">
      <c r="A519" s="93"/>
      <c r="B519" s="93"/>
      <c r="C519" s="93"/>
      <c r="D519" s="93"/>
      <c r="E519" s="93"/>
      <c r="F519" s="92"/>
      <c r="G519" s="93"/>
      <c r="H519" s="138"/>
      <c r="I519" s="93"/>
    </row>
    <row r="520" spans="1:9" x14ac:dyDescent="0.25">
      <c r="A520" s="93"/>
      <c r="B520" s="93"/>
      <c r="C520" s="93"/>
      <c r="D520" s="93"/>
      <c r="E520" s="93"/>
      <c r="F520" s="92"/>
      <c r="G520" s="93"/>
      <c r="H520" s="138"/>
      <c r="I520" s="93"/>
    </row>
    <row r="521" spans="1:9" x14ac:dyDescent="0.25">
      <c r="A521" s="93"/>
      <c r="B521" s="93"/>
      <c r="C521" s="93"/>
      <c r="D521" s="93"/>
      <c r="E521" s="93"/>
      <c r="F521" s="92"/>
      <c r="G521" s="93"/>
      <c r="H521" s="138"/>
      <c r="I521" s="93"/>
    </row>
    <row r="522" spans="1:9" x14ac:dyDescent="0.25">
      <c r="A522" s="93"/>
      <c r="B522" s="93"/>
      <c r="C522" s="93"/>
      <c r="D522" s="93"/>
      <c r="E522" s="93"/>
      <c r="F522" s="92"/>
      <c r="G522" s="93"/>
      <c r="H522" s="138"/>
      <c r="I522" s="93"/>
    </row>
    <row r="523" spans="1:9" x14ac:dyDescent="0.25">
      <c r="A523" s="93"/>
      <c r="B523" s="93"/>
      <c r="C523" s="93"/>
      <c r="D523" s="93"/>
      <c r="E523" s="93"/>
      <c r="F523" s="92"/>
      <c r="G523" s="93"/>
      <c r="H523" s="138"/>
      <c r="I523" s="93"/>
    </row>
    <row r="524" spans="1:9" x14ac:dyDescent="0.25">
      <c r="A524" s="93"/>
      <c r="B524" s="93"/>
      <c r="C524" s="93"/>
      <c r="D524" s="93"/>
      <c r="E524" s="93"/>
      <c r="F524" s="92"/>
      <c r="G524" s="93"/>
      <c r="H524" s="138"/>
      <c r="I524" s="93"/>
    </row>
    <row r="525" spans="1:9" x14ac:dyDescent="0.25">
      <c r="A525" s="93"/>
      <c r="B525" s="93"/>
      <c r="C525" s="93"/>
      <c r="D525" s="93"/>
      <c r="E525" s="93"/>
      <c r="F525" s="92"/>
      <c r="G525" s="93"/>
      <c r="H525" s="138"/>
      <c r="I525" s="93"/>
    </row>
    <row r="526" spans="1:9" x14ac:dyDescent="0.25">
      <c r="A526" s="93"/>
      <c r="B526" s="93"/>
      <c r="C526" s="93"/>
      <c r="D526" s="93"/>
      <c r="E526" s="93"/>
      <c r="F526" s="92"/>
      <c r="G526" s="93"/>
      <c r="H526" s="138"/>
      <c r="I526" s="93"/>
    </row>
    <row r="527" spans="1:9" x14ac:dyDescent="0.25">
      <c r="A527" s="93"/>
      <c r="B527" s="93"/>
      <c r="C527" s="93"/>
      <c r="D527" s="93"/>
      <c r="E527" s="93"/>
      <c r="F527" s="92"/>
      <c r="G527" s="93"/>
      <c r="H527" s="138"/>
      <c r="I527" s="93"/>
    </row>
    <row r="528" spans="1:9" x14ac:dyDescent="0.25">
      <c r="A528" s="93"/>
      <c r="B528" s="93"/>
      <c r="C528" s="93"/>
      <c r="D528" s="93"/>
      <c r="E528" s="93"/>
      <c r="F528" s="92"/>
      <c r="G528" s="93"/>
      <c r="H528" s="138"/>
      <c r="I528" s="93"/>
    </row>
    <row r="529" spans="1:9" x14ac:dyDescent="0.25">
      <c r="A529" s="93"/>
      <c r="B529" s="93"/>
      <c r="C529" s="93"/>
      <c r="D529" s="93"/>
      <c r="E529" s="93"/>
      <c r="F529" s="92"/>
      <c r="G529" s="93"/>
      <c r="H529" s="138"/>
      <c r="I529" s="93"/>
    </row>
    <row r="530" spans="1:9" x14ac:dyDescent="0.25">
      <c r="A530" s="93"/>
      <c r="B530" s="93"/>
      <c r="C530" s="93"/>
      <c r="D530" s="93"/>
      <c r="E530" s="93"/>
      <c r="F530" s="92"/>
      <c r="G530" s="93"/>
      <c r="H530" s="138"/>
      <c r="I530" s="93"/>
    </row>
    <row r="531" spans="1:9" x14ac:dyDescent="0.25">
      <c r="A531" s="93"/>
      <c r="B531" s="93"/>
      <c r="C531" s="93"/>
      <c r="D531" s="93"/>
      <c r="E531" s="93"/>
      <c r="F531" s="92"/>
      <c r="G531" s="93"/>
      <c r="H531" s="138"/>
      <c r="I531" s="93"/>
    </row>
    <row r="532" spans="1:9" x14ac:dyDescent="0.25">
      <c r="A532" s="93"/>
      <c r="B532" s="93"/>
      <c r="C532" s="93"/>
      <c r="D532" s="93"/>
      <c r="E532" s="93"/>
      <c r="F532" s="92"/>
      <c r="G532" s="93"/>
      <c r="H532" s="138"/>
      <c r="I532" s="93"/>
    </row>
    <row r="533" spans="1:9" x14ac:dyDescent="0.25">
      <c r="A533" s="93"/>
      <c r="B533" s="93"/>
      <c r="C533" s="93"/>
      <c r="D533" s="93"/>
      <c r="E533" s="93"/>
      <c r="F533" s="92"/>
      <c r="G533" s="93"/>
      <c r="H533" s="138"/>
      <c r="I533" s="93"/>
    </row>
    <row r="534" spans="1:9" x14ac:dyDescent="0.25">
      <c r="A534" s="93"/>
      <c r="B534" s="93"/>
      <c r="C534" s="93"/>
      <c r="D534" s="93"/>
      <c r="E534" s="93"/>
      <c r="F534" s="92"/>
      <c r="G534" s="93"/>
      <c r="H534" s="138"/>
      <c r="I534" s="93"/>
    </row>
    <row r="535" spans="1:9" x14ac:dyDescent="0.25">
      <c r="A535" s="93"/>
      <c r="B535" s="93"/>
      <c r="C535" s="93"/>
      <c r="D535" s="93"/>
      <c r="E535" s="93"/>
      <c r="F535" s="92"/>
      <c r="G535" s="93"/>
      <c r="H535" s="138"/>
      <c r="I535" s="93"/>
    </row>
    <row r="536" spans="1:9" x14ac:dyDescent="0.25">
      <c r="A536" s="93"/>
      <c r="B536" s="93"/>
      <c r="C536" s="93"/>
      <c r="D536" s="93"/>
      <c r="E536" s="93"/>
      <c r="F536" s="92"/>
      <c r="G536" s="93"/>
      <c r="H536" s="138"/>
      <c r="I536" s="93"/>
    </row>
    <row r="537" spans="1:9" x14ac:dyDescent="0.25">
      <c r="A537" s="93"/>
      <c r="B537" s="93"/>
      <c r="C537" s="93"/>
      <c r="D537" s="93"/>
      <c r="E537" s="93"/>
      <c r="F537" s="92"/>
      <c r="G537" s="93"/>
      <c r="H537" s="138"/>
      <c r="I537" s="93"/>
    </row>
    <row r="538" spans="1:9" x14ac:dyDescent="0.25">
      <c r="A538" s="93"/>
      <c r="B538" s="93"/>
      <c r="C538" s="93"/>
      <c r="D538" s="93"/>
      <c r="E538" s="93"/>
      <c r="F538" s="92"/>
      <c r="G538" s="93"/>
      <c r="H538" s="138"/>
      <c r="I538" s="93"/>
    </row>
    <row r="539" spans="1:9" x14ac:dyDescent="0.25">
      <c r="A539" s="93"/>
      <c r="B539" s="93"/>
      <c r="C539" s="93"/>
      <c r="D539" s="93"/>
      <c r="E539" s="93"/>
      <c r="F539" s="92"/>
      <c r="G539" s="93"/>
      <c r="H539" s="138"/>
      <c r="I539" s="93"/>
    </row>
    <row r="540" spans="1:9" x14ac:dyDescent="0.25">
      <c r="A540" s="93"/>
      <c r="B540" s="93"/>
      <c r="C540" s="93"/>
      <c r="D540" s="93"/>
      <c r="E540" s="93"/>
      <c r="F540" s="92"/>
      <c r="G540" s="93"/>
      <c r="H540" s="138"/>
      <c r="I540" s="93"/>
    </row>
    <row r="541" spans="1:9" x14ac:dyDescent="0.25">
      <c r="A541" s="93"/>
      <c r="B541" s="93"/>
      <c r="C541" s="93"/>
      <c r="D541" s="93"/>
      <c r="E541" s="93"/>
      <c r="F541" s="92"/>
      <c r="G541" s="93"/>
      <c r="H541" s="138"/>
      <c r="I541" s="93"/>
    </row>
    <row r="542" spans="1:9" x14ac:dyDescent="0.25">
      <c r="A542" s="93"/>
      <c r="B542" s="93"/>
      <c r="C542" s="93"/>
      <c r="D542" s="93"/>
      <c r="E542" s="93"/>
      <c r="F542" s="92"/>
      <c r="G542" s="93"/>
      <c r="H542" s="138"/>
      <c r="I542" s="93"/>
    </row>
    <row r="543" spans="1:9" x14ac:dyDescent="0.25">
      <c r="A543" s="93"/>
      <c r="B543" s="93"/>
      <c r="C543" s="93"/>
      <c r="D543" s="93"/>
      <c r="E543" s="93"/>
      <c r="F543" s="92"/>
      <c r="G543" s="93"/>
      <c r="H543" s="138"/>
      <c r="I543" s="93"/>
    </row>
    <row r="544" spans="1:9" x14ac:dyDescent="0.25">
      <c r="A544" s="93"/>
      <c r="B544" s="93"/>
      <c r="C544" s="93"/>
      <c r="D544" s="93"/>
      <c r="E544" s="93"/>
      <c r="F544" s="92"/>
      <c r="G544" s="93"/>
      <c r="H544" s="138"/>
      <c r="I544" s="93"/>
    </row>
    <row r="545" spans="1:9" x14ac:dyDescent="0.25">
      <c r="A545" s="93"/>
      <c r="B545" s="93"/>
      <c r="C545" s="93"/>
      <c r="D545" s="93"/>
      <c r="E545" s="93"/>
      <c r="F545" s="92"/>
      <c r="G545" s="93"/>
      <c r="H545" s="138"/>
      <c r="I545" s="93"/>
    </row>
    <row r="546" spans="1:9" x14ac:dyDescent="0.25">
      <c r="A546" s="93"/>
      <c r="B546" s="93"/>
      <c r="C546" s="93"/>
      <c r="D546" s="93"/>
      <c r="E546" s="93"/>
      <c r="F546" s="92"/>
      <c r="G546" s="93"/>
      <c r="H546" s="138"/>
      <c r="I546" s="93"/>
    </row>
    <row r="547" spans="1:9" x14ac:dyDescent="0.25">
      <c r="A547" s="93"/>
      <c r="B547" s="93"/>
      <c r="C547" s="93"/>
      <c r="D547" s="93"/>
      <c r="E547" s="93"/>
      <c r="F547" s="92"/>
      <c r="G547" s="93"/>
      <c r="H547" s="138"/>
      <c r="I547" s="93"/>
    </row>
    <row r="548" spans="1:9" x14ac:dyDescent="0.25">
      <c r="A548" s="93"/>
      <c r="B548" s="93"/>
      <c r="C548" s="93"/>
      <c r="D548" s="93"/>
      <c r="E548" s="93"/>
      <c r="F548" s="92"/>
      <c r="G548" s="93"/>
      <c r="H548" s="138"/>
      <c r="I548" s="93"/>
    </row>
    <row r="549" spans="1:9" x14ac:dyDescent="0.25">
      <c r="A549" s="93"/>
      <c r="B549" s="93"/>
      <c r="C549" s="93"/>
      <c r="D549" s="93"/>
      <c r="E549" s="93"/>
      <c r="F549" s="92"/>
      <c r="G549" s="93"/>
      <c r="H549" s="138"/>
      <c r="I549" s="93"/>
    </row>
    <row r="550" spans="1:9" x14ac:dyDescent="0.25">
      <c r="A550" s="93"/>
      <c r="B550" s="93"/>
      <c r="C550" s="93"/>
      <c r="D550" s="93"/>
      <c r="E550" s="93"/>
      <c r="F550" s="92"/>
      <c r="G550" s="93"/>
      <c r="H550" s="138"/>
      <c r="I550" s="93"/>
    </row>
    <row r="551" spans="1:9" x14ac:dyDescent="0.25">
      <c r="A551" s="93"/>
      <c r="B551" s="93"/>
      <c r="C551" s="93"/>
      <c r="D551" s="93"/>
      <c r="E551" s="93"/>
      <c r="F551" s="92"/>
      <c r="G551" s="93"/>
      <c r="H551" s="138"/>
      <c r="I551" s="93"/>
    </row>
    <row r="552" spans="1:9" x14ac:dyDescent="0.25">
      <c r="A552" s="93"/>
      <c r="B552" s="93"/>
      <c r="C552" s="93"/>
      <c r="D552" s="93"/>
      <c r="E552" s="93"/>
      <c r="F552" s="92"/>
      <c r="G552" s="93"/>
      <c r="H552" s="138"/>
      <c r="I552" s="93"/>
    </row>
    <row r="553" spans="1:9" x14ac:dyDescent="0.25">
      <c r="A553" s="93"/>
      <c r="B553" s="93"/>
      <c r="C553" s="93"/>
      <c r="D553" s="93"/>
      <c r="E553" s="93"/>
      <c r="F553" s="92"/>
      <c r="G553" s="93"/>
      <c r="H553" s="138"/>
      <c r="I553" s="93"/>
    </row>
    <row r="554" spans="1:9" x14ac:dyDescent="0.25">
      <c r="A554" s="93"/>
      <c r="B554" s="93"/>
      <c r="C554" s="93"/>
      <c r="D554" s="93"/>
      <c r="E554" s="93"/>
      <c r="F554" s="92"/>
      <c r="G554" s="93"/>
      <c r="H554" s="138"/>
      <c r="I554" s="93"/>
    </row>
    <row r="555" spans="1:9" x14ac:dyDescent="0.25">
      <c r="A555" s="93"/>
      <c r="B555" s="93"/>
      <c r="C555" s="93"/>
      <c r="D555" s="93"/>
      <c r="E555" s="93"/>
      <c r="F555" s="92"/>
      <c r="G555" s="93"/>
      <c r="H555" s="138"/>
      <c r="I555" s="93"/>
    </row>
    <row r="556" spans="1:9" x14ac:dyDescent="0.25">
      <c r="A556" s="93"/>
      <c r="B556" s="93"/>
      <c r="C556" s="93"/>
      <c r="D556" s="93"/>
      <c r="E556" s="93"/>
      <c r="F556" s="92"/>
      <c r="G556" s="93"/>
      <c r="H556" s="138"/>
      <c r="I556" s="93"/>
    </row>
    <row r="557" spans="1:9" x14ac:dyDescent="0.25">
      <c r="A557" s="93"/>
      <c r="B557" s="93"/>
      <c r="C557" s="93"/>
      <c r="D557" s="93"/>
      <c r="E557" s="93"/>
      <c r="F557" s="92"/>
      <c r="G557" s="93"/>
      <c r="H557" s="138"/>
      <c r="I557" s="93"/>
    </row>
    <row r="558" spans="1:9" x14ac:dyDescent="0.25">
      <c r="A558" s="93"/>
      <c r="B558" s="93"/>
      <c r="C558" s="93"/>
      <c r="D558" s="93"/>
      <c r="E558" s="93"/>
      <c r="F558" s="92"/>
      <c r="G558" s="93"/>
      <c r="H558" s="138"/>
      <c r="I558" s="93"/>
    </row>
    <row r="559" spans="1:9" x14ac:dyDescent="0.25">
      <c r="A559" s="93"/>
      <c r="B559" s="93"/>
      <c r="C559" s="93"/>
      <c r="D559" s="93"/>
      <c r="E559" s="93"/>
      <c r="F559" s="92"/>
      <c r="G559" s="93"/>
      <c r="H559" s="138"/>
      <c r="I559" s="93"/>
    </row>
    <row r="560" spans="1:9" x14ac:dyDescent="0.25">
      <c r="A560" s="93"/>
      <c r="B560" s="93"/>
      <c r="C560" s="93"/>
      <c r="D560" s="93"/>
      <c r="E560" s="93"/>
      <c r="F560" s="92"/>
      <c r="G560" s="93"/>
      <c r="H560" s="138"/>
      <c r="I560" s="93"/>
    </row>
    <row r="561" spans="1:9" x14ac:dyDescent="0.25">
      <c r="A561" s="93"/>
      <c r="B561" s="93"/>
      <c r="C561" s="93"/>
      <c r="D561" s="93"/>
      <c r="E561" s="93"/>
      <c r="F561" s="92"/>
      <c r="G561" s="93"/>
      <c r="H561" s="138"/>
      <c r="I561" s="93"/>
    </row>
    <row r="562" spans="1:9" x14ac:dyDescent="0.25">
      <c r="A562" s="93"/>
      <c r="B562" s="93"/>
      <c r="C562" s="93"/>
      <c r="D562" s="93"/>
      <c r="E562" s="93"/>
      <c r="F562" s="92"/>
      <c r="G562" s="93"/>
      <c r="H562" s="138"/>
      <c r="I562" s="93"/>
    </row>
    <row r="563" spans="1:9" x14ac:dyDescent="0.25">
      <c r="A563" s="93"/>
      <c r="B563" s="93"/>
      <c r="C563" s="93"/>
      <c r="D563" s="93"/>
      <c r="E563" s="93"/>
      <c r="F563" s="92"/>
      <c r="G563" s="93"/>
      <c r="H563" s="138"/>
      <c r="I563" s="93"/>
    </row>
    <row r="564" spans="1:9" x14ac:dyDescent="0.25">
      <c r="A564" s="93"/>
      <c r="B564" s="93"/>
      <c r="C564" s="93"/>
      <c r="D564" s="93"/>
      <c r="E564" s="93"/>
      <c r="F564" s="92"/>
      <c r="G564" s="93"/>
      <c r="H564" s="138"/>
      <c r="I564" s="93"/>
    </row>
    <row r="565" spans="1:9" x14ac:dyDescent="0.25">
      <c r="A565" s="93"/>
      <c r="B565" s="93"/>
      <c r="C565" s="93"/>
      <c r="D565" s="93"/>
      <c r="E565" s="93"/>
      <c r="F565" s="92"/>
      <c r="G565" s="93"/>
      <c r="H565" s="138"/>
      <c r="I565" s="93"/>
    </row>
    <row r="566" spans="1:9" x14ac:dyDescent="0.25">
      <c r="A566" s="93"/>
      <c r="B566" s="93"/>
      <c r="C566" s="93"/>
      <c r="D566" s="93"/>
      <c r="E566" s="93"/>
      <c r="F566" s="92"/>
      <c r="G566" s="93"/>
      <c r="H566" s="138"/>
      <c r="I566" s="93"/>
    </row>
    <row r="567" spans="1:9" x14ac:dyDescent="0.25">
      <c r="A567" s="93"/>
      <c r="B567" s="93"/>
      <c r="C567" s="93"/>
      <c r="D567" s="93"/>
      <c r="E567" s="93"/>
      <c r="F567" s="92"/>
      <c r="G567" s="93"/>
      <c r="H567" s="138"/>
      <c r="I567" s="93"/>
    </row>
    <row r="568" spans="1:9" x14ac:dyDescent="0.25">
      <c r="A568" s="93"/>
      <c r="B568" s="93"/>
      <c r="C568" s="93"/>
      <c r="D568" s="93"/>
      <c r="E568" s="93"/>
      <c r="F568" s="92"/>
      <c r="G568" s="93"/>
      <c r="H568" s="138"/>
      <c r="I568" s="93"/>
    </row>
    <row r="569" spans="1:9" x14ac:dyDescent="0.25">
      <c r="A569" s="93"/>
      <c r="B569" s="93"/>
      <c r="C569" s="93"/>
      <c r="D569" s="93"/>
      <c r="E569" s="93"/>
      <c r="F569" s="92"/>
      <c r="G569" s="93"/>
      <c r="H569" s="138"/>
      <c r="I569" s="93"/>
    </row>
    <row r="570" spans="1:9" x14ac:dyDescent="0.25">
      <c r="A570" s="93"/>
      <c r="B570" s="93"/>
      <c r="C570" s="93"/>
      <c r="D570" s="93"/>
      <c r="E570" s="93"/>
      <c r="F570" s="92"/>
      <c r="G570" s="93"/>
      <c r="H570" s="138"/>
      <c r="I570" s="93"/>
    </row>
    <row r="571" spans="1:9" x14ac:dyDescent="0.25">
      <c r="A571" s="93"/>
      <c r="B571" s="93"/>
      <c r="C571" s="93"/>
      <c r="D571" s="93"/>
      <c r="E571" s="93"/>
      <c r="F571" s="92"/>
      <c r="G571" s="93"/>
      <c r="H571" s="138"/>
      <c r="I571" s="93"/>
    </row>
    <row r="572" spans="1:9" x14ac:dyDescent="0.25">
      <c r="A572" s="93"/>
      <c r="B572" s="93"/>
      <c r="C572" s="93"/>
      <c r="D572" s="93"/>
      <c r="E572" s="93"/>
      <c r="F572" s="92"/>
      <c r="G572" s="93"/>
      <c r="H572" s="138"/>
      <c r="I572" s="93"/>
    </row>
    <row r="573" spans="1:9" x14ac:dyDescent="0.25">
      <c r="A573" s="93"/>
      <c r="B573" s="93"/>
      <c r="C573" s="93"/>
      <c r="D573" s="93"/>
      <c r="E573" s="93"/>
      <c r="F573" s="92"/>
      <c r="G573" s="93"/>
      <c r="H573" s="138"/>
      <c r="I573" s="93"/>
    </row>
    <row r="574" spans="1:9" x14ac:dyDescent="0.25">
      <c r="A574" s="93"/>
      <c r="B574" s="93"/>
      <c r="C574" s="93"/>
      <c r="D574" s="93"/>
      <c r="E574" s="93"/>
      <c r="F574" s="92"/>
      <c r="G574" s="93"/>
      <c r="H574" s="138"/>
      <c r="I574" s="93"/>
    </row>
    <row r="575" spans="1:9" x14ac:dyDescent="0.25">
      <c r="A575" s="93"/>
      <c r="B575" s="93"/>
      <c r="C575" s="93"/>
      <c r="D575" s="93"/>
      <c r="E575" s="93"/>
      <c r="F575" s="92"/>
      <c r="G575" s="93"/>
      <c r="H575" s="138"/>
      <c r="I575" s="93"/>
    </row>
    <row r="576" spans="1:9" x14ac:dyDescent="0.25">
      <c r="A576" s="93"/>
      <c r="B576" s="93"/>
      <c r="C576" s="93"/>
      <c r="D576" s="93"/>
      <c r="E576" s="93"/>
      <c r="F576" s="92"/>
      <c r="G576" s="93"/>
      <c r="H576" s="138"/>
      <c r="I576" s="93"/>
    </row>
    <row r="577" spans="1:9" x14ac:dyDescent="0.25">
      <c r="A577" s="93"/>
      <c r="B577" s="93"/>
      <c r="C577" s="93"/>
      <c r="D577" s="93"/>
      <c r="E577" s="93"/>
      <c r="F577" s="92"/>
      <c r="G577" s="93"/>
      <c r="H577" s="138"/>
      <c r="I577" s="93"/>
    </row>
    <row r="578" spans="1:9" x14ac:dyDescent="0.25">
      <c r="A578" s="93"/>
      <c r="B578" s="93"/>
      <c r="C578" s="93"/>
      <c r="D578" s="93"/>
      <c r="E578" s="93"/>
      <c r="F578" s="92"/>
      <c r="G578" s="93"/>
      <c r="H578" s="138"/>
      <c r="I578" s="93"/>
    </row>
    <row r="579" spans="1:9" x14ac:dyDescent="0.25">
      <c r="A579" s="93"/>
      <c r="B579" s="93"/>
      <c r="C579" s="93"/>
      <c r="D579" s="93"/>
      <c r="E579" s="93"/>
      <c r="F579" s="92"/>
      <c r="G579" s="93"/>
      <c r="H579" s="138"/>
      <c r="I579" s="93"/>
    </row>
    <row r="580" spans="1:9" x14ac:dyDescent="0.25">
      <c r="A580" s="93"/>
      <c r="B580" s="93"/>
      <c r="C580" s="93"/>
      <c r="D580" s="93"/>
      <c r="E580" s="93"/>
      <c r="F580" s="92"/>
      <c r="G580" s="93"/>
      <c r="H580" s="138"/>
      <c r="I580" s="93"/>
    </row>
    <row r="581" spans="1:9" x14ac:dyDescent="0.25">
      <c r="A581" s="93"/>
      <c r="B581" s="93"/>
      <c r="C581" s="93"/>
      <c r="D581" s="93"/>
      <c r="E581" s="93"/>
      <c r="F581" s="92"/>
      <c r="G581" s="93"/>
      <c r="H581" s="138"/>
      <c r="I581" s="93"/>
    </row>
    <row r="582" spans="1:9" x14ac:dyDescent="0.25">
      <c r="A582" s="93"/>
      <c r="B582" s="93"/>
      <c r="C582" s="93"/>
      <c r="D582" s="93"/>
      <c r="E582" s="93"/>
      <c r="F582" s="92"/>
      <c r="G582" s="93"/>
      <c r="H582" s="138"/>
      <c r="I582" s="93"/>
    </row>
    <row r="583" spans="1:9" x14ac:dyDescent="0.25">
      <c r="A583" s="93"/>
      <c r="B583" s="93"/>
      <c r="C583" s="93"/>
      <c r="D583" s="93"/>
      <c r="E583" s="93"/>
      <c r="F583" s="92"/>
      <c r="G583" s="93"/>
      <c r="H583" s="138"/>
      <c r="I583" s="93"/>
    </row>
    <row r="584" spans="1:9" x14ac:dyDescent="0.25">
      <c r="A584" s="93"/>
      <c r="B584" s="93"/>
      <c r="C584" s="93"/>
      <c r="D584" s="93"/>
      <c r="E584" s="93"/>
      <c r="F584" s="92"/>
      <c r="G584" s="93"/>
      <c r="H584" s="138"/>
      <c r="I584" s="93"/>
    </row>
    <row r="585" spans="1:9" x14ac:dyDescent="0.25">
      <c r="A585" s="93"/>
      <c r="B585" s="93"/>
      <c r="C585" s="93"/>
      <c r="D585" s="93"/>
      <c r="E585" s="93"/>
      <c r="F585" s="92"/>
      <c r="G585" s="93"/>
      <c r="H585" s="138"/>
      <c r="I585" s="93"/>
    </row>
    <row r="586" spans="1:9" x14ac:dyDescent="0.25">
      <c r="A586" s="93"/>
      <c r="B586" s="93"/>
      <c r="C586" s="93"/>
      <c r="D586" s="93"/>
      <c r="E586" s="93"/>
      <c r="F586" s="92"/>
      <c r="G586" s="93"/>
      <c r="H586" s="138"/>
      <c r="I586" s="93"/>
    </row>
    <row r="587" spans="1:9" x14ac:dyDescent="0.25">
      <c r="A587" s="93"/>
      <c r="B587" s="93"/>
      <c r="C587" s="93"/>
      <c r="D587" s="93"/>
      <c r="E587" s="93"/>
      <c r="F587" s="92"/>
      <c r="G587" s="93"/>
      <c r="H587" s="138"/>
      <c r="I587" s="93"/>
    </row>
    <row r="588" spans="1:9" x14ac:dyDescent="0.25">
      <c r="A588" s="93"/>
      <c r="B588" s="93"/>
      <c r="C588" s="93"/>
      <c r="D588" s="93"/>
      <c r="E588" s="93"/>
      <c r="F588" s="92"/>
      <c r="G588" s="93"/>
      <c r="H588" s="138"/>
      <c r="I588" s="93"/>
    </row>
    <row r="589" spans="1:9" x14ac:dyDescent="0.25">
      <c r="A589" s="93"/>
      <c r="B589" s="93"/>
      <c r="C589" s="93"/>
      <c r="D589" s="93"/>
      <c r="E589" s="93"/>
      <c r="F589" s="92"/>
      <c r="G589" s="93"/>
      <c r="H589" s="138"/>
      <c r="I589" s="93"/>
    </row>
    <row r="590" spans="1:9" x14ac:dyDescent="0.25">
      <c r="A590" s="93"/>
      <c r="B590" s="93"/>
      <c r="C590" s="93"/>
      <c r="D590" s="93"/>
      <c r="E590" s="93"/>
      <c r="F590" s="92"/>
      <c r="G590" s="93"/>
      <c r="H590" s="138"/>
      <c r="I590" s="93"/>
    </row>
    <row r="591" spans="1:9" x14ac:dyDescent="0.25">
      <c r="A591" s="93"/>
      <c r="B591" s="93"/>
      <c r="C591" s="93"/>
      <c r="D591" s="93"/>
      <c r="E591" s="93"/>
      <c r="F591" s="92"/>
      <c r="G591" s="93"/>
      <c r="H591" s="138"/>
      <c r="I591" s="93"/>
    </row>
    <row r="592" spans="1:9" x14ac:dyDescent="0.25">
      <c r="A592" s="93"/>
      <c r="B592" s="93"/>
      <c r="C592" s="93"/>
      <c r="D592" s="93"/>
      <c r="E592" s="93"/>
      <c r="F592" s="92"/>
      <c r="G592" s="93"/>
      <c r="H592" s="138"/>
      <c r="I592" s="93"/>
    </row>
    <row r="593" spans="1:9" x14ac:dyDescent="0.25">
      <c r="A593" s="93"/>
      <c r="B593" s="93"/>
      <c r="C593" s="93"/>
      <c r="D593" s="93"/>
      <c r="E593" s="93"/>
      <c r="F593" s="92"/>
      <c r="G593" s="93"/>
      <c r="H593" s="138"/>
      <c r="I593" s="93"/>
    </row>
    <row r="594" spans="1:9" x14ac:dyDescent="0.25">
      <c r="A594" s="93"/>
      <c r="B594" s="93"/>
      <c r="C594" s="93"/>
      <c r="D594" s="93"/>
      <c r="E594" s="93"/>
      <c r="F594" s="92"/>
      <c r="G594" s="93"/>
      <c r="H594" s="138"/>
      <c r="I594" s="93"/>
    </row>
    <row r="595" spans="1:9" x14ac:dyDescent="0.25">
      <c r="A595" s="93"/>
      <c r="B595" s="93"/>
      <c r="C595" s="93"/>
      <c r="D595" s="93"/>
      <c r="E595" s="93"/>
      <c r="F595" s="92"/>
      <c r="G595" s="93"/>
      <c r="H595" s="138"/>
      <c r="I595" s="93"/>
    </row>
    <row r="596" spans="1:9" x14ac:dyDescent="0.25">
      <c r="A596" s="93"/>
      <c r="B596" s="93"/>
      <c r="C596" s="93"/>
      <c r="D596" s="93"/>
      <c r="E596" s="93"/>
      <c r="F596" s="92"/>
      <c r="G596" s="93"/>
      <c r="H596" s="138"/>
      <c r="I596" s="93"/>
    </row>
    <row r="597" spans="1:9" x14ac:dyDescent="0.25">
      <c r="A597" s="93"/>
      <c r="B597" s="93"/>
      <c r="C597" s="93"/>
      <c r="D597" s="93"/>
      <c r="E597" s="93"/>
      <c r="F597" s="92"/>
      <c r="G597" s="93"/>
      <c r="H597" s="138"/>
      <c r="I597" s="93"/>
    </row>
    <row r="598" spans="1:9" x14ac:dyDescent="0.25">
      <c r="A598" s="93"/>
      <c r="B598" s="93"/>
      <c r="C598" s="93"/>
      <c r="D598" s="93"/>
      <c r="E598" s="93"/>
      <c r="F598" s="92"/>
      <c r="G598" s="93"/>
      <c r="H598" s="138"/>
      <c r="I598" s="93"/>
    </row>
    <row r="599" spans="1:9" x14ac:dyDescent="0.25">
      <c r="A599" s="93"/>
      <c r="B599" s="93"/>
      <c r="C599" s="93"/>
      <c r="D599" s="93"/>
      <c r="E599" s="93"/>
      <c r="F599" s="92"/>
      <c r="G599" s="93"/>
      <c r="H599" s="138"/>
      <c r="I599" s="93"/>
    </row>
    <row r="600" spans="1:9" x14ac:dyDescent="0.25">
      <c r="A600" s="93"/>
      <c r="B600" s="93"/>
      <c r="C600" s="93"/>
      <c r="D600" s="93"/>
      <c r="E600" s="93"/>
      <c r="F600" s="92"/>
      <c r="G600" s="93"/>
      <c r="H600" s="138"/>
      <c r="I600" s="93"/>
    </row>
    <row r="601" spans="1:9" x14ac:dyDescent="0.25">
      <c r="A601" s="93"/>
      <c r="B601" s="93"/>
      <c r="C601" s="93"/>
      <c r="D601" s="93"/>
      <c r="E601" s="93"/>
      <c r="F601" s="92"/>
      <c r="G601" s="93"/>
      <c r="H601" s="138"/>
      <c r="I601" s="93"/>
    </row>
    <row r="602" spans="1:9" x14ac:dyDescent="0.25">
      <c r="A602" s="93"/>
      <c r="B602" s="93"/>
      <c r="C602" s="93"/>
      <c r="D602" s="93"/>
      <c r="E602" s="93"/>
      <c r="F602" s="92"/>
      <c r="G602" s="93"/>
      <c r="H602" s="138"/>
      <c r="I602" s="93"/>
    </row>
    <row r="603" spans="1:9" x14ac:dyDescent="0.25">
      <c r="A603" s="93"/>
      <c r="B603" s="93"/>
      <c r="C603" s="93"/>
      <c r="D603" s="93"/>
      <c r="E603" s="93"/>
      <c r="F603" s="92"/>
      <c r="G603" s="93"/>
      <c r="H603" s="138"/>
      <c r="I603" s="93"/>
    </row>
    <row r="604" spans="1:9" x14ac:dyDescent="0.25">
      <c r="A604" s="93"/>
      <c r="B604" s="93"/>
      <c r="C604" s="93"/>
      <c r="D604" s="93"/>
      <c r="E604" s="93"/>
      <c r="F604" s="92"/>
      <c r="G604" s="93"/>
      <c r="H604" s="138"/>
      <c r="I604" s="93"/>
    </row>
    <row r="605" spans="1:9" x14ac:dyDescent="0.25">
      <c r="A605" s="93"/>
      <c r="B605" s="93"/>
      <c r="C605" s="93"/>
      <c r="D605" s="93"/>
      <c r="E605" s="93"/>
      <c r="F605" s="92"/>
      <c r="G605" s="93"/>
      <c r="H605" s="138"/>
      <c r="I605" s="93"/>
    </row>
    <row r="606" spans="1:9" x14ac:dyDescent="0.25">
      <c r="A606" s="93"/>
      <c r="B606" s="93"/>
      <c r="C606" s="93"/>
      <c r="D606" s="93"/>
      <c r="E606" s="93"/>
      <c r="F606" s="92"/>
      <c r="G606" s="93"/>
      <c r="H606" s="138"/>
      <c r="I606" s="93"/>
    </row>
    <row r="607" spans="1:9" x14ac:dyDescent="0.25">
      <c r="A607" s="93"/>
      <c r="B607" s="93"/>
      <c r="C607" s="93"/>
      <c r="D607" s="93"/>
      <c r="E607" s="93"/>
      <c r="F607" s="92"/>
      <c r="G607" s="93"/>
      <c r="H607" s="138"/>
      <c r="I607" s="93"/>
    </row>
    <row r="608" spans="1:9" x14ac:dyDescent="0.25">
      <c r="A608" s="93"/>
      <c r="B608" s="93"/>
      <c r="C608" s="93"/>
      <c r="D608" s="93"/>
      <c r="E608" s="93"/>
      <c r="F608" s="92"/>
      <c r="G608" s="93"/>
      <c r="H608" s="138"/>
      <c r="I608" s="93"/>
    </row>
    <row r="609" spans="1:9" x14ac:dyDescent="0.25">
      <c r="A609" s="93"/>
      <c r="B609" s="93"/>
      <c r="C609" s="93"/>
      <c r="D609" s="93"/>
      <c r="E609" s="93"/>
      <c r="F609" s="92"/>
      <c r="G609" s="93"/>
      <c r="H609" s="138"/>
      <c r="I609" s="93"/>
    </row>
    <row r="610" spans="1:9" x14ac:dyDescent="0.25">
      <c r="A610" s="93"/>
      <c r="B610" s="93"/>
      <c r="C610" s="93"/>
      <c r="D610" s="93"/>
      <c r="E610" s="93"/>
      <c r="F610" s="92"/>
      <c r="G610" s="93"/>
      <c r="H610" s="138"/>
      <c r="I610" s="93"/>
    </row>
    <row r="611" spans="1:9" x14ac:dyDescent="0.25">
      <c r="A611" s="93"/>
      <c r="B611" s="93"/>
      <c r="C611" s="93"/>
      <c r="D611" s="93"/>
      <c r="E611" s="93"/>
      <c r="F611" s="92"/>
      <c r="G611" s="93"/>
      <c r="H611" s="138"/>
      <c r="I611" s="93"/>
    </row>
    <row r="612" spans="1:9" x14ac:dyDescent="0.25">
      <c r="A612" s="93"/>
      <c r="B612" s="93"/>
      <c r="C612" s="93"/>
      <c r="D612" s="93"/>
      <c r="E612" s="93"/>
      <c r="F612" s="92"/>
      <c r="G612" s="93"/>
      <c r="H612" s="138"/>
      <c r="I612" s="93"/>
    </row>
    <row r="613" spans="1:9" x14ac:dyDescent="0.25">
      <c r="A613" s="93"/>
      <c r="B613" s="93"/>
      <c r="C613" s="93"/>
      <c r="D613" s="93"/>
      <c r="E613" s="93"/>
      <c r="F613" s="92"/>
      <c r="G613" s="93"/>
      <c r="H613" s="138"/>
      <c r="I613" s="93"/>
    </row>
    <row r="614" spans="1:9" x14ac:dyDescent="0.25">
      <c r="A614" s="93"/>
      <c r="B614" s="93"/>
      <c r="C614" s="93"/>
      <c r="D614" s="93"/>
      <c r="E614" s="93"/>
      <c r="F614" s="92"/>
      <c r="G614" s="93"/>
      <c r="H614" s="138"/>
      <c r="I614" s="93"/>
    </row>
    <row r="615" spans="1:9" x14ac:dyDescent="0.25">
      <c r="A615" s="93"/>
      <c r="B615" s="93"/>
      <c r="C615" s="93"/>
      <c r="D615" s="93"/>
      <c r="E615" s="93"/>
      <c r="F615" s="92"/>
      <c r="G615" s="93"/>
      <c r="H615" s="138"/>
      <c r="I615" s="93"/>
    </row>
    <row r="616" spans="1:9" x14ac:dyDescent="0.25">
      <c r="A616" s="93"/>
      <c r="B616" s="93"/>
      <c r="C616" s="93"/>
      <c r="D616" s="93"/>
      <c r="E616" s="93"/>
      <c r="F616" s="92"/>
      <c r="G616" s="93"/>
      <c r="H616" s="138"/>
      <c r="I616" s="93"/>
    </row>
    <row r="617" spans="1:9" x14ac:dyDescent="0.25">
      <c r="A617" s="93"/>
      <c r="B617" s="93"/>
      <c r="C617" s="93"/>
      <c r="D617" s="93"/>
      <c r="E617" s="93"/>
      <c r="F617" s="92"/>
      <c r="G617" s="93"/>
      <c r="H617" s="138"/>
      <c r="I617" s="93"/>
    </row>
    <row r="618" spans="1:9" x14ac:dyDescent="0.25">
      <c r="A618" s="93"/>
      <c r="B618" s="93"/>
      <c r="C618" s="93"/>
      <c r="D618" s="93"/>
      <c r="E618" s="93"/>
      <c r="F618" s="92"/>
      <c r="G618" s="93"/>
      <c r="H618" s="138"/>
      <c r="I618" s="93"/>
    </row>
    <row r="619" spans="1:9" x14ac:dyDescent="0.25">
      <c r="A619" s="93"/>
      <c r="B619" s="93"/>
      <c r="C619" s="93"/>
      <c r="D619" s="93"/>
      <c r="E619" s="93"/>
      <c r="F619" s="92"/>
      <c r="G619" s="93"/>
      <c r="H619" s="138"/>
      <c r="I619" s="93"/>
    </row>
    <row r="620" spans="1:9" x14ac:dyDescent="0.25">
      <c r="A620" s="93"/>
      <c r="B620" s="93"/>
      <c r="C620" s="93"/>
      <c r="D620" s="93"/>
      <c r="E620" s="93"/>
      <c r="F620" s="92"/>
      <c r="G620" s="93"/>
      <c r="H620" s="138"/>
      <c r="I620" s="93"/>
    </row>
    <row r="621" spans="1:9" x14ac:dyDescent="0.25">
      <c r="A621" s="93"/>
      <c r="B621" s="93"/>
      <c r="C621" s="93"/>
      <c r="D621" s="93"/>
      <c r="E621" s="93"/>
      <c r="F621" s="92"/>
      <c r="G621" s="93"/>
      <c r="H621" s="138"/>
      <c r="I621" s="93"/>
    </row>
    <row r="622" spans="1:9" x14ac:dyDescent="0.25">
      <c r="A622" s="93"/>
      <c r="B622" s="93"/>
      <c r="C622" s="93"/>
      <c r="D622" s="93"/>
      <c r="E622" s="93"/>
      <c r="F622" s="92"/>
      <c r="G622" s="93"/>
      <c r="H622" s="138"/>
      <c r="I622" s="93"/>
    </row>
    <row r="623" spans="1:9" x14ac:dyDescent="0.25">
      <c r="A623" s="93"/>
      <c r="B623" s="93"/>
      <c r="C623" s="93"/>
      <c r="D623" s="93"/>
      <c r="E623" s="93"/>
      <c r="F623" s="92"/>
      <c r="G623" s="93"/>
      <c r="H623" s="138"/>
      <c r="I623" s="93"/>
    </row>
    <row r="624" spans="1:9" x14ac:dyDescent="0.25">
      <c r="A624" s="93"/>
      <c r="B624" s="93"/>
      <c r="C624" s="93"/>
      <c r="D624" s="93"/>
      <c r="E624" s="93"/>
      <c r="F624" s="92"/>
      <c r="G624" s="93"/>
      <c r="H624" s="138"/>
      <c r="I624" s="93"/>
    </row>
    <row r="625" spans="1:9" x14ac:dyDescent="0.25">
      <c r="A625" s="93"/>
      <c r="B625" s="93"/>
      <c r="C625" s="93"/>
      <c r="D625" s="93"/>
      <c r="E625" s="93"/>
      <c r="F625" s="92"/>
      <c r="G625" s="93"/>
      <c r="H625" s="138"/>
      <c r="I625" s="93"/>
    </row>
    <row r="626" spans="1:9" x14ac:dyDescent="0.25">
      <c r="A626" s="93"/>
      <c r="B626" s="93"/>
      <c r="C626" s="93"/>
      <c r="D626" s="93"/>
      <c r="E626" s="93"/>
      <c r="F626" s="92"/>
      <c r="G626" s="93"/>
      <c r="H626" s="138"/>
      <c r="I626" s="93"/>
    </row>
    <row r="627" spans="1:9" x14ac:dyDescent="0.25">
      <c r="A627" s="93"/>
      <c r="B627" s="93"/>
      <c r="C627" s="93"/>
      <c r="D627" s="93"/>
      <c r="E627" s="93"/>
      <c r="F627" s="92"/>
      <c r="G627" s="93"/>
      <c r="H627" s="138"/>
      <c r="I627" s="93"/>
    </row>
    <row r="628" spans="1:9" x14ac:dyDescent="0.25">
      <c r="A628" s="93"/>
      <c r="B628" s="93"/>
      <c r="C628" s="93"/>
      <c r="D628" s="93"/>
      <c r="E628" s="93"/>
      <c r="F628" s="92"/>
      <c r="G628" s="93"/>
      <c r="H628" s="138"/>
      <c r="I628" s="93"/>
    </row>
    <row r="629" spans="1:9" x14ac:dyDescent="0.25">
      <c r="A629" s="93"/>
      <c r="B629" s="93"/>
      <c r="C629" s="93"/>
      <c r="D629" s="93"/>
      <c r="E629" s="93"/>
      <c r="F629" s="92"/>
      <c r="G629" s="93"/>
      <c r="H629" s="138"/>
      <c r="I629" s="93"/>
    </row>
    <row r="630" spans="1:9" x14ac:dyDescent="0.25">
      <c r="A630" s="93"/>
      <c r="B630" s="93"/>
      <c r="C630" s="93"/>
      <c r="D630" s="93"/>
      <c r="E630" s="93"/>
      <c r="F630" s="92"/>
      <c r="G630" s="93"/>
      <c r="H630" s="138"/>
      <c r="I630" s="93"/>
    </row>
    <row r="631" spans="1:9" x14ac:dyDescent="0.25">
      <c r="A631" s="93"/>
      <c r="B631" s="93"/>
      <c r="C631" s="93"/>
      <c r="D631" s="93"/>
      <c r="E631" s="93"/>
      <c r="F631" s="92"/>
      <c r="G631" s="93"/>
      <c r="H631" s="138"/>
      <c r="I631" s="93"/>
    </row>
    <row r="632" spans="1:9" x14ac:dyDescent="0.25">
      <c r="A632" s="93"/>
      <c r="B632" s="93"/>
      <c r="C632" s="93"/>
      <c r="D632" s="93"/>
      <c r="E632" s="93"/>
      <c r="F632" s="92"/>
      <c r="G632" s="93"/>
      <c r="H632" s="138"/>
      <c r="I632" s="93"/>
    </row>
    <row r="633" spans="1:9" x14ac:dyDescent="0.25">
      <c r="A633" s="93"/>
      <c r="B633" s="93"/>
      <c r="C633" s="93"/>
      <c r="D633" s="93"/>
      <c r="E633" s="93"/>
      <c r="F633" s="92"/>
      <c r="G633" s="93"/>
      <c r="H633" s="138"/>
      <c r="I633" s="93"/>
    </row>
    <row r="634" spans="1:9" x14ac:dyDescent="0.25">
      <c r="A634" s="93"/>
      <c r="B634" s="93"/>
      <c r="C634" s="93"/>
      <c r="D634" s="93"/>
      <c r="E634" s="93"/>
      <c r="F634" s="92"/>
      <c r="G634" s="93"/>
      <c r="H634" s="138"/>
      <c r="I634" s="93"/>
    </row>
    <row r="635" spans="1:9" x14ac:dyDescent="0.25">
      <c r="A635" s="93"/>
      <c r="B635" s="93"/>
      <c r="C635" s="93"/>
      <c r="D635" s="93"/>
      <c r="E635" s="93"/>
      <c r="F635" s="92"/>
      <c r="G635" s="93"/>
      <c r="H635" s="138"/>
      <c r="I635" s="93"/>
    </row>
    <row r="636" spans="1:9" x14ac:dyDescent="0.25">
      <c r="A636" s="93"/>
      <c r="B636" s="93"/>
      <c r="C636" s="93"/>
      <c r="D636" s="93"/>
      <c r="E636" s="93"/>
      <c r="F636" s="92"/>
      <c r="G636" s="93"/>
      <c r="H636" s="138"/>
      <c r="I636" s="93"/>
    </row>
    <row r="637" spans="1:9" x14ac:dyDescent="0.25">
      <c r="A637" s="93"/>
      <c r="B637" s="93"/>
      <c r="C637" s="93"/>
      <c r="D637" s="93"/>
      <c r="E637" s="93"/>
      <c r="F637" s="92"/>
      <c r="G637" s="93"/>
      <c r="H637" s="138"/>
      <c r="I637" s="93"/>
    </row>
    <row r="638" spans="1:9" x14ac:dyDescent="0.25">
      <c r="A638" s="93"/>
      <c r="B638" s="93"/>
      <c r="C638" s="93"/>
      <c r="D638" s="93"/>
      <c r="E638" s="93"/>
      <c r="F638" s="92"/>
      <c r="G638" s="93"/>
      <c r="H638" s="138"/>
      <c r="I638" s="93"/>
    </row>
    <row r="639" spans="1:9" x14ac:dyDescent="0.25">
      <c r="A639" s="93"/>
      <c r="B639" s="93"/>
      <c r="C639" s="93"/>
      <c r="D639" s="93"/>
      <c r="E639" s="93"/>
      <c r="F639" s="92"/>
      <c r="G639" s="93"/>
      <c r="H639" s="138"/>
      <c r="I639" s="93"/>
    </row>
    <row r="640" spans="1:9" x14ac:dyDescent="0.25">
      <c r="A640" s="93"/>
      <c r="B640" s="93"/>
      <c r="C640" s="93"/>
      <c r="D640" s="93"/>
      <c r="E640" s="93"/>
      <c r="F640" s="92"/>
      <c r="G640" s="93"/>
      <c r="H640" s="138"/>
      <c r="I640" s="93"/>
    </row>
    <row r="641" spans="1:9" x14ac:dyDescent="0.25">
      <c r="A641" s="93"/>
      <c r="B641" s="93"/>
      <c r="C641" s="93"/>
      <c r="D641" s="93"/>
      <c r="E641" s="93"/>
      <c r="F641" s="92"/>
      <c r="G641" s="93"/>
      <c r="H641" s="138"/>
      <c r="I641" s="93"/>
    </row>
    <row r="642" spans="1:9" x14ac:dyDescent="0.25">
      <c r="A642" s="93"/>
      <c r="B642" s="93"/>
      <c r="C642" s="93"/>
      <c r="D642" s="93"/>
      <c r="E642" s="93"/>
      <c r="F642" s="92"/>
      <c r="G642" s="93"/>
      <c r="H642" s="138"/>
      <c r="I642" s="93"/>
    </row>
    <row r="643" spans="1:9" x14ac:dyDescent="0.25">
      <c r="A643" s="93"/>
      <c r="B643" s="93"/>
      <c r="C643" s="93"/>
      <c r="D643" s="93"/>
      <c r="E643" s="93"/>
      <c r="F643" s="92"/>
      <c r="G643" s="93"/>
      <c r="H643" s="138"/>
      <c r="I643" s="93"/>
    </row>
    <row r="644" spans="1:9" x14ac:dyDescent="0.25">
      <c r="A644" s="93"/>
      <c r="B644" s="93"/>
      <c r="C644" s="93"/>
      <c r="D644" s="93"/>
      <c r="E644" s="93"/>
      <c r="F644" s="92"/>
      <c r="G644" s="93"/>
      <c r="H644" s="138"/>
      <c r="I644" s="93"/>
    </row>
    <row r="645" spans="1:9" x14ac:dyDescent="0.25">
      <c r="A645" s="93"/>
      <c r="B645" s="93"/>
      <c r="C645" s="93"/>
      <c r="D645" s="93"/>
      <c r="E645" s="93"/>
      <c r="F645" s="92"/>
      <c r="G645" s="93"/>
      <c r="H645" s="138"/>
      <c r="I645" s="93"/>
    </row>
    <row r="646" spans="1:9" x14ac:dyDescent="0.25">
      <c r="A646" s="93"/>
      <c r="B646" s="93"/>
      <c r="C646" s="93"/>
      <c r="D646" s="93"/>
      <c r="E646" s="93"/>
      <c r="F646" s="92"/>
      <c r="G646" s="93"/>
      <c r="H646" s="138"/>
      <c r="I646" s="93"/>
    </row>
    <row r="647" spans="1:9" x14ac:dyDescent="0.25">
      <c r="A647" s="93"/>
      <c r="B647" s="93"/>
      <c r="C647" s="93"/>
      <c r="D647" s="93"/>
      <c r="E647" s="93"/>
      <c r="F647" s="92"/>
      <c r="G647" s="93"/>
      <c r="H647" s="138"/>
      <c r="I647" s="93"/>
    </row>
    <row r="648" spans="1:9" x14ac:dyDescent="0.25">
      <c r="A648" s="93"/>
      <c r="B648" s="93"/>
      <c r="C648" s="93"/>
      <c r="D648" s="93"/>
      <c r="E648" s="93"/>
      <c r="F648" s="92"/>
      <c r="G648" s="93"/>
      <c r="H648" s="138"/>
      <c r="I648" s="93"/>
    </row>
    <row r="649" spans="1:9" x14ac:dyDescent="0.25">
      <c r="A649" s="93"/>
      <c r="B649" s="93"/>
      <c r="C649" s="93"/>
      <c r="D649" s="93"/>
      <c r="E649" s="93"/>
      <c r="F649" s="92"/>
      <c r="G649" s="93"/>
      <c r="H649" s="138"/>
      <c r="I649" s="93"/>
    </row>
    <row r="650" spans="1:9" x14ac:dyDescent="0.25">
      <c r="A650" s="93"/>
      <c r="B650" s="93"/>
      <c r="C650" s="93"/>
      <c r="D650" s="93"/>
      <c r="E650" s="93"/>
      <c r="F650" s="92"/>
      <c r="G650" s="93"/>
      <c r="H650" s="138"/>
      <c r="I650" s="93"/>
    </row>
    <row r="651" spans="1:9" x14ac:dyDescent="0.25">
      <c r="A651" s="93"/>
      <c r="B651" s="93"/>
      <c r="C651" s="93"/>
      <c r="D651" s="93"/>
      <c r="E651" s="93"/>
      <c r="F651" s="92"/>
      <c r="G651" s="93"/>
      <c r="H651" s="138"/>
      <c r="I651" s="93"/>
    </row>
    <row r="652" spans="1:9" x14ac:dyDescent="0.25">
      <c r="A652" s="93"/>
      <c r="B652" s="93"/>
      <c r="C652" s="93"/>
      <c r="D652" s="93"/>
      <c r="E652" s="93"/>
      <c r="F652" s="92"/>
      <c r="G652" s="93"/>
      <c r="H652" s="138"/>
      <c r="I652" s="93"/>
    </row>
    <row r="653" spans="1:9" x14ac:dyDescent="0.25">
      <c r="A653" s="93"/>
      <c r="B653" s="93"/>
      <c r="C653" s="93"/>
      <c r="D653" s="93"/>
      <c r="E653" s="93"/>
      <c r="F653" s="92"/>
      <c r="G653" s="93"/>
      <c r="H653" s="138"/>
      <c r="I653" s="93"/>
    </row>
    <row r="654" spans="1:9" x14ac:dyDescent="0.25">
      <c r="A654" s="93"/>
      <c r="B654" s="93"/>
      <c r="C654" s="93"/>
      <c r="D654" s="93"/>
      <c r="E654" s="93"/>
      <c r="F654" s="92"/>
      <c r="G654" s="93"/>
      <c r="H654" s="138"/>
      <c r="I654" s="93"/>
    </row>
    <row r="655" spans="1:9" x14ac:dyDescent="0.25">
      <c r="A655" s="93"/>
      <c r="B655" s="93"/>
      <c r="C655" s="93"/>
      <c r="D655" s="93"/>
      <c r="E655" s="93"/>
      <c r="F655" s="92"/>
      <c r="G655" s="93"/>
      <c r="H655" s="138"/>
      <c r="I655" s="93"/>
    </row>
    <row r="656" spans="1:9" x14ac:dyDescent="0.25">
      <c r="A656" s="93"/>
      <c r="B656" s="93"/>
      <c r="C656" s="93"/>
      <c r="D656" s="93"/>
      <c r="E656" s="93"/>
      <c r="F656" s="92"/>
      <c r="G656" s="93"/>
      <c r="H656" s="138"/>
      <c r="I656" s="93"/>
    </row>
    <row r="657" spans="1:9" x14ac:dyDescent="0.25">
      <c r="A657" s="93"/>
      <c r="B657" s="93"/>
      <c r="C657" s="93"/>
      <c r="D657" s="93"/>
      <c r="E657" s="93"/>
      <c r="F657" s="92"/>
      <c r="G657" s="93"/>
      <c r="H657" s="138"/>
      <c r="I657" s="93"/>
    </row>
    <row r="658" spans="1:9" x14ac:dyDescent="0.25">
      <c r="A658" s="93"/>
      <c r="B658" s="93"/>
      <c r="C658" s="93"/>
      <c r="D658" s="93"/>
      <c r="E658" s="93"/>
      <c r="F658" s="92"/>
      <c r="G658" s="93"/>
      <c r="H658" s="138"/>
      <c r="I658" s="93"/>
    </row>
    <row r="659" spans="1:9" x14ac:dyDescent="0.25">
      <c r="A659" s="93"/>
      <c r="B659" s="93"/>
      <c r="C659" s="93"/>
      <c r="D659" s="93"/>
      <c r="E659" s="93"/>
      <c r="F659" s="92"/>
      <c r="G659" s="93"/>
      <c r="H659" s="138"/>
      <c r="I659" s="93"/>
    </row>
    <row r="660" spans="1:9" x14ac:dyDescent="0.25">
      <c r="A660" s="93"/>
      <c r="B660" s="93"/>
      <c r="C660" s="93"/>
      <c r="D660" s="93"/>
      <c r="E660" s="93"/>
      <c r="F660" s="92"/>
      <c r="G660" s="93"/>
      <c r="H660" s="138"/>
      <c r="I660" s="93"/>
    </row>
    <row r="661" spans="1:9" x14ac:dyDescent="0.25">
      <c r="A661" s="93"/>
      <c r="B661" s="93"/>
      <c r="C661" s="93"/>
      <c r="D661" s="93"/>
      <c r="E661" s="93"/>
      <c r="F661" s="92"/>
      <c r="G661" s="93"/>
      <c r="H661" s="138"/>
      <c r="I661" s="93"/>
    </row>
    <row r="662" spans="1:9" x14ac:dyDescent="0.25">
      <c r="A662" s="93"/>
      <c r="B662" s="93"/>
      <c r="C662" s="93"/>
      <c r="D662" s="93"/>
      <c r="E662" s="93"/>
      <c r="F662" s="92"/>
      <c r="G662" s="93"/>
      <c r="H662" s="138"/>
      <c r="I662" s="93"/>
    </row>
    <row r="663" spans="1:9" x14ac:dyDescent="0.25">
      <c r="A663" s="93"/>
      <c r="B663" s="93"/>
      <c r="C663" s="93"/>
      <c r="D663" s="93"/>
      <c r="E663" s="93"/>
      <c r="F663" s="92"/>
      <c r="G663" s="93"/>
      <c r="H663" s="138"/>
      <c r="I663" s="93"/>
    </row>
    <row r="664" spans="1:9" x14ac:dyDescent="0.25">
      <c r="A664" s="93"/>
      <c r="B664" s="93"/>
      <c r="C664" s="93"/>
      <c r="D664" s="93"/>
      <c r="E664" s="93"/>
      <c r="F664" s="92"/>
      <c r="G664" s="93"/>
      <c r="H664" s="138"/>
      <c r="I664" s="93"/>
    </row>
    <row r="665" spans="1:9" x14ac:dyDescent="0.25">
      <c r="A665" s="93"/>
      <c r="B665" s="93"/>
      <c r="C665" s="93"/>
      <c r="D665" s="93"/>
      <c r="E665" s="93"/>
      <c r="F665" s="92"/>
      <c r="G665" s="93"/>
      <c r="H665" s="138"/>
      <c r="I665" s="93"/>
    </row>
    <row r="666" spans="1:9" x14ac:dyDescent="0.25">
      <c r="A666" s="93"/>
      <c r="B666" s="93"/>
      <c r="C666" s="93"/>
      <c r="D666" s="93"/>
      <c r="E666" s="93"/>
      <c r="F666" s="92"/>
      <c r="G666" s="93"/>
      <c r="H666" s="138"/>
      <c r="I666" s="93"/>
    </row>
    <row r="667" spans="1:9" x14ac:dyDescent="0.25">
      <c r="A667" s="93"/>
      <c r="B667" s="93"/>
      <c r="C667" s="93"/>
      <c r="D667" s="93"/>
      <c r="E667" s="93"/>
      <c r="F667" s="92"/>
      <c r="G667" s="93"/>
      <c r="H667" s="138"/>
      <c r="I667" s="93"/>
    </row>
    <row r="668" spans="1:9" x14ac:dyDescent="0.25">
      <c r="A668" s="93"/>
      <c r="B668" s="93"/>
      <c r="C668" s="93"/>
      <c r="D668" s="93"/>
      <c r="E668" s="93"/>
      <c r="F668" s="92"/>
      <c r="G668" s="93"/>
      <c r="H668" s="138"/>
      <c r="I668" s="93"/>
    </row>
    <row r="669" spans="1:9" x14ac:dyDescent="0.25">
      <c r="A669" s="93"/>
      <c r="B669" s="93"/>
      <c r="C669" s="93"/>
      <c r="D669" s="93"/>
      <c r="E669" s="93"/>
      <c r="F669" s="92"/>
      <c r="G669" s="93"/>
      <c r="H669" s="138"/>
      <c r="I669" s="93"/>
    </row>
    <row r="670" spans="1:9" x14ac:dyDescent="0.25">
      <c r="A670" s="93"/>
      <c r="B670" s="93"/>
      <c r="C670" s="93"/>
      <c r="D670" s="93"/>
      <c r="E670" s="93"/>
      <c r="F670" s="92"/>
      <c r="G670" s="93"/>
      <c r="H670" s="138"/>
      <c r="I670" s="93"/>
    </row>
    <row r="671" spans="1:9" x14ac:dyDescent="0.25">
      <c r="A671" s="93"/>
      <c r="B671" s="93"/>
      <c r="C671" s="93"/>
      <c r="D671" s="93"/>
      <c r="E671" s="93"/>
      <c r="F671" s="92"/>
      <c r="G671" s="93"/>
      <c r="H671" s="138"/>
      <c r="I671" s="93"/>
    </row>
    <row r="672" spans="1:9" x14ac:dyDescent="0.25">
      <c r="A672" s="93"/>
      <c r="B672" s="93"/>
      <c r="C672" s="93"/>
      <c r="D672" s="93"/>
      <c r="E672" s="93"/>
      <c r="F672" s="92"/>
      <c r="G672" s="93"/>
      <c r="H672" s="138"/>
      <c r="I672" s="93"/>
    </row>
    <row r="673" spans="1:9" x14ac:dyDescent="0.25">
      <c r="A673" s="93"/>
      <c r="B673" s="93"/>
      <c r="C673" s="93"/>
      <c r="D673" s="93"/>
      <c r="E673" s="93"/>
      <c r="F673" s="92"/>
      <c r="G673" s="93"/>
      <c r="H673" s="138"/>
      <c r="I673" s="93"/>
    </row>
    <row r="674" spans="1:9" x14ac:dyDescent="0.25">
      <c r="A674" s="93"/>
      <c r="B674" s="93"/>
      <c r="C674" s="93"/>
      <c r="D674" s="93"/>
      <c r="E674" s="93"/>
      <c r="F674" s="92"/>
      <c r="G674" s="93"/>
      <c r="H674" s="138"/>
      <c r="I674" s="93"/>
    </row>
    <row r="675" spans="1:9" x14ac:dyDescent="0.25">
      <c r="A675" s="93"/>
      <c r="B675" s="93"/>
      <c r="C675" s="93"/>
      <c r="D675" s="93"/>
      <c r="E675" s="93"/>
      <c r="F675" s="92"/>
      <c r="G675" s="93"/>
      <c r="H675" s="138"/>
      <c r="I675" s="93"/>
    </row>
    <row r="676" spans="1:9" x14ac:dyDescent="0.25">
      <c r="A676" s="93"/>
      <c r="B676" s="93"/>
      <c r="C676" s="93"/>
      <c r="D676" s="93"/>
      <c r="E676" s="93"/>
      <c r="F676" s="92"/>
      <c r="G676" s="93"/>
      <c r="H676" s="138"/>
      <c r="I676" s="93"/>
    </row>
    <row r="677" spans="1:9" x14ac:dyDescent="0.25">
      <c r="A677" s="93"/>
      <c r="B677" s="93"/>
      <c r="C677" s="93"/>
      <c r="D677" s="93"/>
      <c r="E677" s="93"/>
      <c r="F677" s="92"/>
      <c r="G677" s="93"/>
      <c r="H677" s="138"/>
      <c r="I677" s="93"/>
    </row>
    <row r="678" spans="1:9" x14ac:dyDescent="0.25">
      <c r="A678" s="93"/>
      <c r="B678" s="93"/>
      <c r="C678" s="93"/>
      <c r="D678" s="93"/>
      <c r="E678" s="93"/>
      <c r="F678" s="92"/>
      <c r="G678" s="93"/>
      <c r="H678" s="138"/>
      <c r="I678" s="93"/>
    </row>
    <row r="679" spans="1:9" x14ac:dyDescent="0.25">
      <c r="A679" s="93"/>
      <c r="B679" s="93"/>
      <c r="C679" s="93"/>
      <c r="D679" s="93"/>
      <c r="E679" s="93"/>
      <c r="F679" s="92"/>
      <c r="G679" s="93"/>
      <c r="H679" s="138"/>
      <c r="I679" s="93"/>
    </row>
    <row r="680" spans="1:9" x14ac:dyDescent="0.25">
      <c r="A680" s="93"/>
      <c r="B680" s="93"/>
      <c r="C680" s="93"/>
      <c r="D680" s="93"/>
      <c r="E680" s="93"/>
      <c r="F680" s="92"/>
      <c r="G680" s="93"/>
      <c r="H680" s="138"/>
      <c r="I680" s="93"/>
    </row>
    <row r="681" spans="1:9" x14ac:dyDescent="0.25">
      <c r="A681" s="93"/>
      <c r="B681" s="93"/>
      <c r="C681" s="93"/>
      <c r="D681" s="93"/>
      <c r="E681" s="93"/>
      <c r="F681" s="92"/>
      <c r="G681" s="93"/>
      <c r="H681" s="138"/>
      <c r="I681" s="93"/>
    </row>
    <row r="682" spans="1:9" x14ac:dyDescent="0.25">
      <c r="A682" s="93"/>
      <c r="B682" s="93"/>
      <c r="C682" s="93"/>
      <c r="D682" s="93"/>
      <c r="E682" s="93"/>
      <c r="F682" s="92"/>
      <c r="G682" s="93"/>
      <c r="H682" s="138"/>
      <c r="I682" s="93"/>
    </row>
    <row r="683" spans="1:9" x14ac:dyDescent="0.25">
      <c r="A683" s="93"/>
      <c r="B683" s="93"/>
      <c r="C683" s="93"/>
      <c r="D683" s="93"/>
      <c r="E683" s="93"/>
      <c r="F683" s="92"/>
      <c r="G683" s="93"/>
      <c r="H683" s="138"/>
      <c r="I683" s="93"/>
    </row>
    <row r="684" spans="1:9" x14ac:dyDescent="0.25">
      <c r="A684" s="93"/>
      <c r="B684" s="93"/>
      <c r="C684" s="93"/>
      <c r="D684" s="93"/>
      <c r="E684" s="93"/>
      <c r="F684" s="92"/>
      <c r="G684" s="93"/>
      <c r="H684" s="138"/>
      <c r="I684" s="93"/>
    </row>
    <row r="685" spans="1:9" x14ac:dyDescent="0.25">
      <c r="A685" s="93"/>
      <c r="B685" s="93"/>
      <c r="C685" s="93"/>
      <c r="D685" s="93"/>
      <c r="E685" s="93"/>
      <c r="F685" s="92"/>
      <c r="G685" s="93"/>
      <c r="H685" s="138"/>
      <c r="I685" s="93"/>
    </row>
    <row r="686" spans="1:9" x14ac:dyDescent="0.25">
      <c r="A686" s="93"/>
      <c r="B686" s="93"/>
      <c r="C686" s="93"/>
      <c r="D686" s="93"/>
      <c r="E686" s="93"/>
      <c r="F686" s="92"/>
      <c r="G686" s="93"/>
      <c r="H686" s="138"/>
      <c r="I686" s="93"/>
    </row>
  </sheetData>
  <autoFilter ref="A2:I398">
    <filterColumn colId="3">
      <filters>
        <filter val="ТД БМЗ"/>
      </filters>
    </filterColumn>
  </autoFilter>
  <sortState ref="A6:I38">
    <sortCondition ref="D6:D38"/>
  </sortState>
  <phoneticPr fontId="8" type="noConversion"/>
  <pageMargins left="0.19685039370078741" right="0.19685039370078741" top="0.39370078740157483" bottom="0.39370078740157483" header="0.51181102362204722" footer="0.51181102362204722"/>
  <pageSetup paperSize="9" scale="73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9"/>
  <sheetViews>
    <sheetView zoomScaleNormal="100" workbookViewId="0">
      <pane ySplit="2" topLeftCell="A3" activePane="bottomLeft" state="frozen"/>
      <selection pane="bottomLeft" activeCell="D19" sqref="D19"/>
    </sheetView>
  </sheetViews>
  <sheetFormatPr defaultColWidth="9.44140625" defaultRowHeight="13.8" x14ac:dyDescent="0.25"/>
  <cols>
    <col min="1" max="1" width="14.5546875" style="1" customWidth="1"/>
    <col min="2" max="2" width="14.77734375" style="1" customWidth="1"/>
    <col min="3" max="3" width="7" style="54" customWidth="1"/>
    <col min="4" max="4" width="21.33203125" style="1" customWidth="1"/>
    <col min="5" max="5" width="13" style="1" customWidth="1"/>
    <col min="6" max="6" width="17.5546875" style="31" customWidth="1"/>
    <col min="7" max="7" width="16.88671875" style="1" customWidth="1"/>
    <col min="8" max="8" width="11" style="30" customWidth="1"/>
    <col min="9" max="9" width="36.5546875" style="1" customWidth="1"/>
    <col min="10" max="10" width="12" style="16" customWidth="1"/>
    <col min="11" max="11" width="6.44140625" style="5" customWidth="1"/>
    <col min="12" max="12" width="11" style="5" customWidth="1"/>
    <col min="13" max="13" width="11.44140625" style="5" customWidth="1"/>
    <col min="14" max="15" width="9.44140625" style="5"/>
    <col min="16" max="16384" width="9.44140625" style="2"/>
  </cols>
  <sheetData>
    <row r="1" spans="1:19" ht="16.8" thickTop="1" thickBot="1" x14ac:dyDescent="0.3">
      <c r="D1" s="162"/>
      <c r="E1" s="48" t="s">
        <v>211</v>
      </c>
      <c r="F1" s="109">
        <f>SUM(F3:F9)</f>
        <v>1146605.29</v>
      </c>
      <c r="G1" s="31"/>
    </row>
    <row r="2" spans="1:19" s="8" customFormat="1" ht="36" customHeight="1" thickTop="1" x14ac:dyDescent="0.25">
      <c r="A2" s="487" t="s">
        <v>192</v>
      </c>
      <c r="B2" s="487" t="s">
        <v>186</v>
      </c>
      <c r="C2" s="488"/>
      <c r="D2" s="487" t="s">
        <v>109</v>
      </c>
      <c r="E2" s="487" t="s">
        <v>121</v>
      </c>
      <c r="F2" s="489" t="s">
        <v>56</v>
      </c>
      <c r="G2" s="487" t="s">
        <v>58</v>
      </c>
      <c r="H2" s="490" t="s">
        <v>636</v>
      </c>
      <c r="I2" s="491" t="s">
        <v>10</v>
      </c>
      <c r="J2" s="18"/>
      <c r="K2" s="15"/>
      <c r="L2" s="15"/>
      <c r="M2" s="15"/>
      <c r="N2" s="15"/>
      <c r="O2" s="15"/>
    </row>
    <row r="3" spans="1:19" s="62" customFormat="1" ht="15" customHeight="1" x14ac:dyDescent="0.25">
      <c r="A3" s="32" t="s">
        <v>455</v>
      </c>
      <c r="B3" s="14"/>
      <c r="C3" s="13"/>
      <c r="D3" s="13" t="s">
        <v>6977</v>
      </c>
      <c r="E3" s="13" t="s">
        <v>958</v>
      </c>
      <c r="F3" s="37">
        <v>54542.9</v>
      </c>
      <c r="G3" s="189" t="s">
        <v>730</v>
      </c>
      <c r="H3" s="14">
        <v>43480</v>
      </c>
      <c r="I3" s="4" t="s">
        <v>4997</v>
      </c>
      <c r="J3" s="261" t="s">
        <v>4998</v>
      </c>
      <c r="K3" s="445" t="s">
        <v>4999</v>
      </c>
      <c r="L3" s="71"/>
      <c r="M3" s="170"/>
      <c r="N3" s="71"/>
      <c r="O3" s="71"/>
      <c r="P3" s="35"/>
      <c r="Q3" s="35"/>
      <c r="R3" s="35"/>
      <c r="S3" s="35"/>
    </row>
    <row r="4" spans="1:19" s="62" customFormat="1" ht="15" customHeight="1" x14ac:dyDescent="0.25">
      <c r="A4" s="32" t="s">
        <v>455</v>
      </c>
      <c r="B4" s="14"/>
      <c r="C4" s="13"/>
      <c r="D4" s="13" t="s">
        <v>6977</v>
      </c>
      <c r="E4" s="32" t="s">
        <v>958</v>
      </c>
      <c r="F4" s="4">
        <v>18215.75</v>
      </c>
      <c r="G4" s="28" t="s">
        <v>167</v>
      </c>
      <c r="H4" s="14">
        <v>43493</v>
      </c>
      <c r="I4" s="32" t="s">
        <v>5046</v>
      </c>
      <c r="J4" s="442" t="s">
        <v>4998</v>
      </c>
      <c r="K4" s="4" t="s">
        <v>4999</v>
      </c>
      <c r="L4" s="170"/>
      <c r="M4" s="71"/>
      <c r="N4" s="71"/>
      <c r="O4" s="71"/>
      <c r="P4" s="35"/>
      <c r="Q4" s="35"/>
      <c r="R4" s="35"/>
      <c r="S4" s="35"/>
    </row>
    <row r="5" spans="1:19" s="62" customFormat="1" ht="15" customHeight="1" x14ac:dyDescent="0.25">
      <c r="A5" s="32" t="s">
        <v>455</v>
      </c>
      <c r="B5" s="14"/>
      <c r="C5" s="13"/>
      <c r="D5" s="13" t="s">
        <v>6977</v>
      </c>
      <c r="E5" s="32" t="s">
        <v>958</v>
      </c>
      <c r="F5" s="4">
        <v>399460.04</v>
      </c>
      <c r="G5" s="28" t="s">
        <v>1242</v>
      </c>
      <c r="H5" s="14">
        <v>43508</v>
      </c>
      <c r="I5" s="32" t="s">
        <v>4997</v>
      </c>
      <c r="J5" s="442" t="s">
        <v>4998</v>
      </c>
      <c r="K5" s="4" t="s">
        <v>4999</v>
      </c>
      <c r="L5" s="170"/>
      <c r="M5" s="71"/>
      <c r="N5" s="71"/>
      <c r="O5" s="71"/>
      <c r="P5" s="35"/>
      <c r="Q5" s="35"/>
      <c r="R5" s="35"/>
      <c r="S5" s="35"/>
    </row>
    <row r="6" spans="1:19" s="228" customFormat="1" x14ac:dyDescent="0.25">
      <c r="A6" s="32" t="s">
        <v>455</v>
      </c>
      <c r="B6" s="14"/>
      <c r="C6" s="13"/>
      <c r="D6" s="13" t="s">
        <v>6977</v>
      </c>
      <c r="E6" s="13" t="s">
        <v>958</v>
      </c>
      <c r="F6" s="4">
        <v>4118</v>
      </c>
      <c r="G6" s="29" t="s">
        <v>5031</v>
      </c>
      <c r="H6" s="14">
        <v>43523</v>
      </c>
      <c r="I6" s="4" t="s">
        <v>6978</v>
      </c>
      <c r="J6" s="21"/>
    </row>
    <row r="7" spans="1:19" s="62" customFormat="1" x14ac:dyDescent="0.25">
      <c r="A7" s="32" t="s">
        <v>455</v>
      </c>
      <c r="B7" s="14"/>
      <c r="C7" s="13"/>
      <c r="D7" s="13" t="s">
        <v>5066</v>
      </c>
      <c r="E7" s="13" t="s">
        <v>958</v>
      </c>
      <c r="F7" s="37">
        <v>631581.6</v>
      </c>
      <c r="G7" s="189" t="s">
        <v>5067</v>
      </c>
      <c r="H7" s="14">
        <v>43508</v>
      </c>
      <c r="I7" s="4" t="s">
        <v>6983</v>
      </c>
      <c r="J7" s="22"/>
      <c r="K7" s="21"/>
      <c r="L7" s="21"/>
      <c r="M7" s="21"/>
      <c r="N7" s="71"/>
      <c r="O7" s="71"/>
      <c r="P7" s="35"/>
      <c r="Q7" s="35"/>
      <c r="R7" s="35"/>
      <c r="S7" s="35"/>
    </row>
    <row r="8" spans="1:19" s="62" customFormat="1" ht="15" customHeight="1" x14ac:dyDescent="0.25">
      <c r="A8" s="32" t="s">
        <v>310</v>
      </c>
      <c r="B8" s="14"/>
      <c r="C8" s="13"/>
      <c r="D8" s="32" t="s">
        <v>304</v>
      </c>
      <c r="E8" s="32" t="s">
        <v>958</v>
      </c>
      <c r="F8" s="4">
        <f>40293.6-1606.6</f>
        <v>38687</v>
      </c>
      <c r="G8" s="28" t="s">
        <v>5147</v>
      </c>
      <c r="H8" s="14">
        <v>43430</v>
      </c>
      <c r="I8" s="32" t="s">
        <v>4997</v>
      </c>
      <c r="J8" s="442" t="s">
        <v>4998</v>
      </c>
      <c r="K8" s="4" t="s">
        <v>4999</v>
      </c>
      <c r="L8" s="443"/>
      <c r="M8" s="476"/>
      <c r="O8" s="35"/>
      <c r="P8" s="35"/>
      <c r="Q8" s="35"/>
      <c r="R8" s="35"/>
      <c r="S8" s="35"/>
    </row>
    <row r="9" spans="1:19" s="93" customFormat="1" ht="6.6" customHeight="1" x14ac:dyDescent="0.25">
      <c r="A9" s="77">
        <v>0</v>
      </c>
      <c r="B9" s="14"/>
      <c r="C9" s="13"/>
      <c r="D9" s="13"/>
      <c r="E9" s="13"/>
      <c r="F9" s="4"/>
      <c r="G9" s="29"/>
      <c r="H9" s="14"/>
      <c r="I9" s="4"/>
      <c r="J9" s="132"/>
      <c r="K9" s="18"/>
      <c r="L9" s="449"/>
      <c r="M9" s="16"/>
      <c r="N9" s="16"/>
      <c r="O9" s="16"/>
    </row>
  </sheetData>
  <autoFilter ref="A2:I9"/>
  <pageMargins left="0.19685039370078741" right="0.19685039370078741" top="0.59055118110236227" bottom="0.19685039370078741" header="0.51181102362204722" footer="0.51181102362204722"/>
  <pageSetup paperSize="9" scale="80" fitToHeight="0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  <pageSetUpPr fitToPage="1"/>
  </sheetPr>
  <dimension ref="A1:S126"/>
  <sheetViews>
    <sheetView zoomScaleNormal="100" workbookViewId="0">
      <pane ySplit="2" topLeftCell="A21" activePane="bottomLeft" state="frozen"/>
      <selection activeCell="F152" sqref="F152"/>
      <selection pane="bottomLeft" activeCell="H72" sqref="H72"/>
    </sheetView>
  </sheetViews>
  <sheetFormatPr defaultColWidth="9.44140625" defaultRowHeight="13.8" x14ac:dyDescent="0.25"/>
  <cols>
    <col min="1" max="1" width="14.44140625" style="2" customWidth="1"/>
    <col min="2" max="2" width="13" style="33" customWidth="1"/>
    <col min="3" max="3" width="10" style="49" customWidth="1"/>
    <col min="4" max="4" width="23.44140625" style="2" customWidth="1"/>
    <col min="5" max="5" width="11.88671875" style="2" customWidth="1"/>
    <col min="6" max="6" width="18.44140625" style="31" customWidth="1"/>
    <col min="7" max="7" width="19.109375" style="26" customWidth="1"/>
    <col min="8" max="8" width="10.109375" style="2" customWidth="1"/>
    <col min="9" max="9" width="32" style="2" customWidth="1"/>
    <col min="10" max="10" width="13.5546875" style="34" customWidth="1"/>
    <col min="11" max="11" width="15.5546875" style="31" customWidth="1"/>
    <col min="12" max="12" width="17.5546875" style="31" customWidth="1"/>
    <col min="13" max="16384" width="9.44140625" style="2"/>
  </cols>
  <sheetData>
    <row r="1" spans="1:19" ht="27.6" customHeight="1" thickTop="1" thickBot="1" x14ac:dyDescent="0.3">
      <c r="A1" s="234"/>
      <c r="B1" s="104"/>
      <c r="C1" s="104"/>
      <c r="E1" s="48" t="s">
        <v>211</v>
      </c>
      <c r="F1" s="109">
        <f>F3+F15+F22+F35+F39+F68</f>
        <v>30754631.75</v>
      </c>
      <c r="G1" s="568"/>
      <c r="H1" s="569"/>
      <c r="I1" s="105"/>
    </row>
    <row r="2" spans="1:19" s="8" customFormat="1" ht="28.2" thickTop="1" x14ac:dyDescent="0.25">
      <c r="A2" s="6" t="s">
        <v>192</v>
      </c>
      <c r="B2" s="14" t="s">
        <v>37</v>
      </c>
      <c r="C2" s="42" t="s">
        <v>51</v>
      </c>
      <c r="D2" s="6" t="s">
        <v>109</v>
      </c>
      <c r="E2" s="6" t="s">
        <v>121</v>
      </c>
      <c r="F2" s="241" t="s">
        <v>56</v>
      </c>
      <c r="G2" s="27" t="s">
        <v>58</v>
      </c>
      <c r="H2" s="6" t="s">
        <v>57</v>
      </c>
      <c r="I2" s="7" t="s">
        <v>10</v>
      </c>
      <c r="J2" s="23"/>
      <c r="K2" s="23"/>
      <c r="L2" s="23"/>
    </row>
    <row r="3" spans="1:19" s="8" customFormat="1" ht="18.75" customHeight="1" x14ac:dyDescent="0.25">
      <c r="A3" s="11" t="s">
        <v>708</v>
      </c>
      <c r="B3" s="66"/>
      <c r="C3" s="213"/>
      <c r="D3" s="9"/>
      <c r="E3" s="9"/>
      <c r="F3" s="146">
        <f>SUM(F4:F8)</f>
        <v>7534711.9199999999</v>
      </c>
      <c r="G3" s="24"/>
      <c r="H3" s="9"/>
      <c r="I3" s="10"/>
      <c r="J3" s="34"/>
      <c r="K3" s="34"/>
      <c r="L3" s="34"/>
      <c r="M3" s="23"/>
      <c r="N3" s="23"/>
      <c r="O3" s="23"/>
      <c r="P3" s="23"/>
      <c r="Q3" s="23"/>
      <c r="R3" s="23"/>
      <c r="S3" s="23"/>
    </row>
    <row r="4" spans="1:19" s="310" customFormat="1" x14ac:dyDescent="0.25">
      <c r="A4" s="300" t="s">
        <v>92</v>
      </c>
      <c r="B4" s="301"/>
      <c r="C4" s="302" t="s">
        <v>1838</v>
      </c>
      <c r="D4" s="303" t="s">
        <v>737</v>
      </c>
      <c r="E4" s="300" t="s">
        <v>140</v>
      </c>
      <c r="F4" s="304">
        <f>23524.54</f>
        <v>23524.54</v>
      </c>
      <c r="G4" s="305" t="s">
        <v>1163</v>
      </c>
      <c r="H4" s="306"/>
      <c r="I4" s="303" t="s">
        <v>1249</v>
      </c>
      <c r="J4" s="307" t="s">
        <v>1386</v>
      </c>
      <c r="K4" s="308"/>
      <c r="L4" s="309"/>
    </row>
    <row r="5" spans="1:19" s="310" customFormat="1" x14ac:dyDescent="0.25">
      <c r="A5" s="300" t="s">
        <v>92</v>
      </c>
      <c r="B5" s="311"/>
      <c r="C5" s="302" t="s">
        <v>1838</v>
      </c>
      <c r="D5" s="303" t="s">
        <v>737</v>
      </c>
      <c r="E5" s="300" t="s">
        <v>140</v>
      </c>
      <c r="F5" s="304">
        <v>38399.94</v>
      </c>
      <c r="G5" s="305" t="s">
        <v>1184</v>
      </c>
      <c r="H5" s="306">
        <v>43109</v>
      </c>
      <c r="I5" s="303" t="s">
        <v>1250</v>
      </c>
      <c r="J5" s="307" t="s">
        <v>1386</v>
      </c>
      <c r="K5" s="308"/>
      <c r="L5" s="309"/>
    </row>
    <row r="6" spans="1:19" s="310" customFormat="1" x14ac:dyDescent="0.25">
      <c r="A6" s="300" t="s">
        <v>92</v>
      </c>
      <c r="B6" s="301"/>
      <c r="C6" s="302" t="s">
        <v>1838</v>
      </c>
      <c r="D6" s="303" t="s">
        <v>737</v>
      </c>
      <c r="E6" s="300" t="s">
        <v>140</v>
      </c>
      <c r="F6" s="304">
        <v>145207.44</v>
      </c>
      <c r="G6" s="305" t="s">
        <v>4409</v>
      </c>
      <c r="H6" s="306">
        <v>43497</v>
      </c>
      <c r="I6" s="303" t="s">
        <v>4410</v>
      </c>
      <c r="J6" s="307" t="s">
        <v>771</v>
      </c>
      <c r="K6" s="308"/>
      <c r="L6" s="309"/>
    </row>
    <row r="7" spans="1:19" s="228" customFormat="1" ht="13.95" customHeight="1" x14ac:dyDescent="0.25">
      <c r="A7" s="61" t="s">
        <v>1422</v>
      </c>
      <c r="B7" s="151"/>
      <c r="C7" s="13"/>
      <c r="D7" s="32" t="s">
        <v>390</v>
      </c>
      <c r="E7" s="32" t="s">
        <v>130</v>
      </c>
      <c r="F7" s="4">
        <f>227580</f>
        <v>227580</v>
      </c>
      <c r="G7" s="210" t="s">
        <v>2061</v>
      </c>
      <c r="H7" s="211">
        <v>43402</v>
      </c>
      <c r="I7" s="84" t="s">
        <v>255</v>
      </c>
      <c r="J7" s="21"/>
      <c r="K7" s="389"/>
      <c r="L7" s="388"/>
    </row>
    <row r="8" spans="1:19" s="228" customFormat="1" ht="13.95" customHeight="1" x14ac:dyDescent="0.25">
      <c r="A8" s="13" t="s">
        <v>495</v>
      </c>
      <c r="B8" s="151"/>
      <c r="C8" s="13"/>
      <c r="D8" s="32" t="s">
        <v>390</v>
      </c>
      <c r="E8" s="32" t="s">
        <v>130</v>
      </c>
      <c r="F8" s="4">
        <f>7590180-50000-150000-190180-50000*2</f>
        <v>7100000</v>
      </c>
      <c r="G8" s="210" t="s">
        <v>2062</v>
      </c>
      <c r="H8" s="211">
        <v>43402</v>
      </c>
      <c r="I8" s="84" t="s">
        <v>2063</v>
      </c>
      <c r="J8" s="21"/>
      <c r="K8" s="389"/>
      <c r="L8" s="388"/>
    </row>
    <row r="9" spans="1:19" s="228" customFormat="1" ht="13.95" customHeight="1" x14ac:dyDescent="0.25">
      <c r="A9" s="13" t="s">
        <v>1147</v>
      </c>
      <c r="B9" s="14"/>
      <c r="C9" s="13"/>
      <c r="D9" s="32" t="s">
        <v>4166</v>
      </c>
      <c r="E9" s="32" t="s">
        <v>130</v>
      </c>
      <c r="F9" s="4">
        <v>45000</v>
      </c>
      <c r="G9" s="210" t="s">
        <v>54</v>
      </c>
      <c r="H9" s="211">
        <v>43612</v>
      </c>
      <c r="I9" s="211" t="s">
        <v>5772</v>
      </c>
      <c r="J9" s="21"/>
      <c r="K9" s="389"/>
      <c r="L9" s="388"/>
    </row>
    <row r="10" spans="1:19" s="228" customFormat="1" ht="15" customHeight="1" x14ac:dyDescent="0.25">
      <c r="A10" s="32" t="s">
        <v>1219</v>
      </c>
      <c r="B10" s="14"/>
      <c r="C10" s="13"/>
      <c r="D10" s="32" t="s">
        <v>1220</v>
      </c>
      <c r="E10" s="32" t="s">
        <v>1221</v>
      </c>
      <c r="F10" s="4"/>
      <c r="G10" s="28" t="s">
        <v>476</v>
      </c>
      <c r="H10" s="14">
        <v>43617</v>
      </c>
      <c r="I10" s="41" t="s">
        <v>1325</v>
      </c>
      <c r="J10" s="167" t="s">
        <v>526</v>
      </c>
      <c r="K10" s="167"/>
      <c r="L10" s="35"/>
    </row>
    <row r="11" spans="1:19" s="228" customFormat="1" ht="15" customHeight="1" x14ac:dyDescent="0.25">
      <c r="A11" s="32" t="s">
        <v>1219</v>
      </c>
      <c r="B11" s="14"/>
      <c r="C11" s="13"/>
      <c r="D11" s="32" t="s">
        <v>1220</v>
      </c>
      <c r="E11" s="32" t="s">
        <v>1221</v>
      </c>
      <c r="F11" s="4"/>
      <c r="G11" s="28" t="s">
        <v>1264</v>
      </c>
      <c r="H11" s="14">
        <v>43617</v>
      </c>
      <c r="I11" s="41" t="s">
        <v>1950</v>
      </c>
      <c r="J11" s="167" t="s">
        <v>1386</v>
      </c>
      <c r="K11" s="167"/>
      <c r="L11" s="35"/>
    </row>
    <row r="12" spans="1:19" s="50" customFormat="1" x14ac:dyDescent="0.25">
      <c r="A12" s="32" t="s">
        <v>91</v>
      </c>
      <c r="B12" s="14"/>
      <c r="C12" s="13"/>
      <c r="D12" s="13" t="s">
        <v>1232</v>
      </c>
      <c r="E12" s="32" t="s">
        <v>891</v>
      </c>
      <c r="F12" s="4"/>
      <c r="G12" s="28" t="s">
        <v>6649</v>
      </c>
      <c r="H12" s="14">
        <v>43564</v>
      </c>
      <c r="I12" s="32" t="s">
        <v>1538</v>
      </c>
      <c r="J12" s="21" t="s">
        <v>366</v>
      </c>
      <c r="K12" s="228"/>
      <c r="L12" s="228"/>
      <c r="M12" s="228"/>
      <c r="N12" s="228"/>
    </row>
    <row r="13" spans="1:19" s="50" customFormat="1" x14ac:dyDescent="0.25">
      <c r="A13" s="32" t="s">
        <v>442</v>
      </c>
      <c r="B13" s="14" t="s">
        <v>5172</v>
      </c>
      <c r="C13" s="13"/>
      <c r="D13" s="13" t="s">
        <v>5171</v>
      </c>
      <c r="E13" s="32" t="s">
        <v>494</v>
      </c>
      <c r="F13" s="4">
        <v>368643.2</v>
      </c>
      <c r="G13" s="28" t="s">
        <v>5173</v>
      </c>
      <c r="H13" s="14">
        <v>43344</v>
      </c>
      <c r="I13" s="32" t="s">
        <v>5816</v>
      </c>
      <c r="J13" s="21"/>
      <c r="K13" s="228"/>
      <c r="L13" s="228"/>
      <c r="M13" s="228"/>
      <c r="N13" s="228"/>
    </row>
    <row r="14" spans="1:19" s="97" customFormat="1" ht="8.4" customHeight="1" x14ac:dyDescent="0.25">
      <c r="A14" s="171">
        <v>0</v>
      </c>
      <c r="B14" s="212"/>
      <c r="C14" s="3"/>
      <c r="D14" s="3"/>
      <c r="E14" s="3"/>
      <c r="F14" s="337"/>
      <c r="G14" s="25"/>
      <c r="H14" s="212"/>
      <c r="I14" s="338"/>
      <c r="J14" s="133"/>
      <c r="K14" s="389"/>
      <c r="L14" s="388"/>
    </row>
    <row r="15" spans="1:19" s="97" customFormat="1" ht="15.6" x14ac:dyDescent="0.25">
      <c r="A15" s="141" t="s">
        <v>484</v>
      </c>
      <c r="B15" s="235"/>
      <c r="C15" s="238"/>
      <c r="D15" s="143"/>
      <c r="E15" s="143"/>
      <c r="F15" s="239">
        <f>SUM(F16:F21)</f>
        <v>6236599.3300000001</v>
      </c>
      <c r="G15" s="220"/>
      <c r="H15" s="240"/>
      <c r="I15" s="143"/>
      <c r="J15" s="133"/>
      <c r="K15" s="389"/>
      <c r="L15" s="388"/>
    </row>
    <row r="16" spans="1:19" s="97" customFormat="1" ht="7.2" customHeight="1" x14ac:dyDescent="0.25">
      <c r="A16" s="13">
        <v>0</v>
      </c>
      <c r="B16" s="14"/>
      <c r="C16" s="13"/>
      <c r="D16" s="13"/>
      <c r="E16" s="13"/>
      <c r="F16" s="4"/>
      <c r="G16" s="29"/>
      <c r="H16" s="14"/>
      <c r="I16" s="4"/>
      <c r="J16" s="133"/>
      <c r="K16" s="389"/>
      <c r="L16" s="388"/>
    </row>
    <row r="17" spans="1:19" s="31" customFormat="1" ht="13.95" customHeight="1" x14ac:dyDescent="0.25">
      <c r="A17" s="13" t="s">
        <v>91</v>
      </c>
      <c r="B17" s="14" t="s">
        <v>284</v>
      </c>
      <c r="C17" s="13"/>
      <c r="D17" s="13" t="s">
        <v>745</v>
      </c>
      <c r="E17" s="13" t="s">
        <v>891</v>
      </c>
      <c r="F17" s="37">
        <f>8899504-100000-200000*4-400000*6-500000</f>
        <v>5099504</v>
      </c>
      <c r="G17" s="29" t="s">
        <v>2018</v>
      </c>
      <c r="H17" s="14">
        <v>43377</v>
      </c>
      <c r="I17" s="4" t="s">
        <v>484</v>
      </c>
      <c r="J17" s="34"/>
      <c r="O17" s="34"/>
      <c r="P17" s="34"/>
      <c r="Q17" s="34"/>
      <c r="R17" s="34"/>
      <c r="S17" s="34"/>
    </row>
    <row r="18" spans="1:19" s="31" customFormat="1" ht="13.95" customHeight="1" x14ac:dyDescent="0.25">
      <c r="A18" s="13" t="s">
        <v>358</v>
      </c>
      <c r="B18" s="14" t="s">
        <v>284</v>
      </c>
      <c r="C18" s="13" t="s">
        <v>400</v>
      </c>
      <c r="D18" s="13" t="s">
        <v>745</v>
      </c>
      <c r="E18" s="13" t="s">
        <v>742</v>
      </c>
      <c r="F18" s="37">
        <v>337095.33</v>
      </c>
      <c r="G18" s="29" t="s">
        <v>8477</v>
      </c>
      <c r="H18" s="14">
        <v>43613</v>
      </c>
      <c r="I18" s="4" t="s">
        <v>484</v>
      </c>
      <c r="J18" s="34"/>
      <c r="O18" s="34"/>
      <c r="P18" s="34"/>
      <c r="Q18" s="34"/>
      <c r="R18" s="34"/>
      <c r="S18" s="34"/>
    </row>
    <row r="19" spans="1:19" s="31" customFormat="1" ht="13.95" customHeight="1" x14ac:dyDescent="0.25">
      <c r="A19" s="13" t="s">
        <v>310</v>
      </c>
      <c r="B19" s="14" t="s">
        <v>416</v>
      </c>
      <c r="C19" s="13"/>
      <c r="D19" s="13" t="s">
        <v>745</v>
      </c>
      <c r="E19" s="13" t="s">
        <v>314</v>
      </c>
      <c r="F19" s="37">
        <f>800000</f>
        <v>800000</v>
      </c>
      <c r="G19" s="29" t="s">
        <v>6278</v>
      </c>
      <c r="H19" s="14">
        <v>43557</v>
      </c>
      <c r="I19" s="4" t="s">
        <v>484</v>
      </c>
      <c r="J19" s="34"/>
      <c r="O19" s="34"/>
      <c r="P19" s="34"/>
      <c r="Q19" s="34"/>
      <c r="R19" s="34"/>
      <c r="S19" s="34"/>
    </row>
    <row r="20" spans="1:19" s="31" customFormat="1" ht="13.95" customHeight="1" x14ac:dyDescent="0.25">
      <c r="A20" s="13" t="s">
        <v>637</v>
      </c>
      <c r="B20" s="14" t="s">
        <v>284</v>
      </c>
      <c r="C20" s="13"/>
      <c r="D20" s="13" t="s">
        <v>5440</v>
      </c>
      <c r="E20" s="13" t="s">
        <v>547</v>
      </c>
      <c r="F20" s="37">
        <v>0</v>
      </c>
      <c r="G20" s="29" t="s">
        <v>5441</v>
      </c>
      <c r="H20" s="14">
        <v>43522</v>
      </c>
      <c r="I20" s="4" t="s">
        <v>484</v>
      </c>
      <c r="J20" s="34"/>
      <c r="O20" s="34"/>
      <c r="P20" s="34"/>
      <c r="Q20" s="34"/>
      <c r="R20" s="34"/>
      <c r="S20" s="34"/>
    </row>
    <row r="21" spans="1:19" s="97" customFormat="1" ht="8.4" customHeight="1" x14ac:dyDescent="0.25">
      <c r="A21" s="171">
        <v>0</v>
      </c>
      <c r="B21" s="212"/>
      <c r="C21" s="3"/>
      <c r="D21" s="3"/>
      <c r="E21" s="3"/>
      <c r="F21" s="208"/>
      <c r="G21" s="25"/>
      <c r="H21" s="212"/>
      <c r="I21" s="68"/>
      <c r="J21" s="133"/>
      <c r="K21" s="22"/>
      <c r="L21" s="134"/>
    </row>
    <row r="22" spans="1:19" s="97" customFormat="1" ht="15.6" x14ac:dyDescent="0.25">
      <c r="A22" s="141" t="s">
        <v>1469</v>
      </c>
      <c r="B22" s="235"/>
      <c r="C22" s="238"/>
      <c r="D22" s="143"/>
      <c r="E22" s="143"/>
      <c r="F22" s="239">
        <f>SUM(F23:F34)</f>
        <v>2446508.5</v>
      </c>
      <c r="G22" s="220"/>
      <c r="H22" s="240"/>
      <c r="I22" s="143"/>
      <c r="J22" s="133"/>
      <c r="K22" s="22"/>
      <c r="L22" s="134"/>
    </row>
    <row r="23" spans="1:19" s="97" customFormat="1" ht="7.2" customHeight="1" x14ac:dyDescent="0.25">
      <c r="A23" s="13">
        <v>0</v>
      </c>
      <c r="B23" s="14"/>
      <c r="C23" s="13"/>
      <c r="D23" s="13"/>
      <c r="E23" s="13"/>
      <c r="F23" s="4"/>
      <c r="G23" s="29"/>
      <c r="H23" s="14"/>
      <c r="I23" s="4"/>
      <c r="J23" s="133"/>
      <c r="K23" s="22"/>
      <c r="L23" s="134"/>
    </row>
    <row r="24" spans="1:19" s="228" customFormat="1" ht="27.6" x14ac:dyDescent="0.25">
      <c r="A24" s="68" t="s">
        <v>3369</v>
      </c>
      <c r="B24" s="14"/>
      <c r="C24" s="13"/>
      <c r="D24" s="32" t="s">
        <v>1805</v>
      </c>
      <c r="E24" s="32" t="s">
        <v>130</v>
      </c>
      <c r="F24" s="4">
        <v>500000</v>
      </c>
      <c r="G24" s="86" t="s">
        <v>3367</v>
      </c>
      <c r="H24" s="211">
        <v>43426</v>
      </c>
      <c r="I24" s="208" t="s">
        <v>3368</v>
      </c>
      <c r="J24" s="21" t="s">
        <v>8915</v>
      </c>
    </row>
    <row r="25" spans="1:19" s="31" customFormat="1" ht="27.6" customHeight="1" x14ac:dyDescent="0.25">
      <c r="A25" s="13" t="s">
        <v>638</v>
      </c>
      <c r="B25" s="14" t="s">
        <v>416</v>
      </c>
      <c r="C25" s="13"/>
      <c r="D25" s="13" t="s">
        <v>598</v>
      </c>
      <c r="E25" s="13" t="s">
        <v>547</v>
      </c>
      <c r="F25" s="37">
        <v>240000</v>
      </c>
      <c r="G25" s="29" t="s">
        <v>2926</v>
      </c>
      <c r="H25" s="14"/>
      <c r="I25" s="4" t="s">
        <v>678</v>
      </c>
      <c r="J25" s="34" t="s">
        <v>9242</v>
      </c>
      <c r="K25" s="389"/>
      <c r="L25" s="388"/>
      <c r="O25" s="34"/>
      <c r="P25" s="34"/>
      <c r="Q25" s="34"/>
      <c r="R25" s="34"/>
      <c r="S25" s="34"/>
    </row>
    <row r="26" spans="1:19" s="62" customFormat="1" ht="27.6" x14ac:dyDescent="0.25">
      <c r="A26" s="13" t="s">
        <v>660</v>
      </c>
      <c r="B26" s="14" t="s">
        <v>416</v>
      </c>
      <c r="C26" s="13"/>
      <c r="D26" s="13" t="s">
        <v>6928</v>
      </c>
      <c r="E26" s="13" t="s">
        <v>130</v>
      </c>
      <c r="F26" s="37">
        <v>197250</v>
      </c>
      <c r="G26" s="29" t="s">
        <v>6929</v>
      </c>
      <c r="H26" s="14">
        <v>43572</v>
      </c>
      <c r="I26" s="4" t="s">
        <v>6930</v>
      </c>
      <c r="J26" s="476" t="s">
        <v>8713</v>
      </c>
      <c r="O26" s="35"/>
      <c r="P26" s="35"/>
      <c r="Q26" s="35"/>
      <c r="R26" s="35"/>
      <c r="S26" s="35"/>
    </row>
    <row r="27" spans="1:19" s="62" customFormat="1" ht="13.95" customHeight="1" x14ac:dyDescent="0.25">
      <c r="A27" s="13" t="s">
        <v>91</v>
      </c>
      <c r="B27" s="14" t="s">
        <v>416</v>
      </c>
      <c r="C27" s="13"/>
      <c r="D27" s="13" t="s">
        <v>1501</v>
      </c>
      <c r="E27" s="13" t="s">
        <v>130</v>
      </c>
      <c r="F27" s="4">
        <f>1065316-500000</f>
        <v>565316</v>
      </c>
      <c r="G27" s="29" t="s">
        <v>8502</v>
      </c>
      <c r="H27" s="14"/>
      <c r="I27" s="4" t="s">
        <v>1502</v>
      </c>
      <c r="J27" s="35"/>
      <c r="O27" s="35"/>
      <c r="P27" s="35"/>
      <c r="Q27" s="35"/>
      <c r="R27" s="35"/>
      <c r="S27" s="35"/>
    </row>
    <row r="28" spans="1:19" s="62" customFormat="1" ht="13.95" customHeight="1" x14ac:dyDescent="0.25">
      <c r="A28" s="13" t="s">
        <v>92</v>
      </c>
      <c r="B28" s="14"/>
      <c r="C28" s="13"/>
      <c r="D28" s="13" t="s">
        <v>2928</v>
      </c>
      <c r="E28" s="13" t="s">
        <v>140</v>
      </c>
      <c r="F28" s="37">
        <v>128100</v>
      </c>
      <c r="G28" s="29" t="s">
        <v>5773</v>
      </c>
      <c r="H28" s="14">
        <v>43536</v>
      </c>
      <c r="I28" s="4" t="s">
        <v>2930</v>
      </c>
      <c r="J28" s="393" t="s">
        <v>8201</v>
      </c>
      <c r="O28" s="35"/>
      <c r="P28" s="35"/>
      <c r="Q28" s="35"/>
      <c r="R28" s="35"/>
      <c r="S28" s="35"/>
    </row>
    <row r="29" spans="1:19" s="228" customFormat="1" x14ac:dyDescent="0.25">
      <c r="A29" s="13" t="s">
        <v>55</v>
      </c>
      <c r="B29" s="14"/>
      <c r="C29" s="13"/>
      <c r="D29" s="13" t="s">
        <v>2928</v>
      </c>
      <c r="E29" s="13" t="s">
        <v>888</v>
      </c>
      <c r="F29" s="37">
        <v>75000</v>
      </c>
      <c r="G29" s="29" t="s">
        <v>1368</v>
      </c>
      <c r="H29" s="14">
        <v>43581</v>
      </c>
      <c r="I29" s="4" t="s">
        <v>4168</v>
      </c>
      <c r="J29" s="22" t="s">
        <v>754</v>
      </c>
      <c r="K29" s="21"/>
    </row>
    <row r="30" spans="1:19" s="228" customFormat="1" x14ac:dyDescent="0.25">
      <c r="A30" s="13" t="s">
        <v>55</v>
      </c>
      <c r="B30" s="14"/>
      <c r="C30" s="13"/>
      <c r="D30" s="13" t="s">
        <v>2928</v>
      </c>
      <c r="E30" s="13" t="s">
        <v>888</v>
      </c>
      <c r="F30" s="37">
        <v>10000</v>
      </c>
      <c r="G30" s="29" t="s">
        <v>350</v>
      </c>
      <c r="H30" s="14">
        <v>43581</v>
      </c>
      <c r="I30" s="4" t="s">
        <v>4168</v>
      </c>
      <c r="J30" s="22"/>
      <c r="K30" s="21"/>
    </row>
    <row r="31" spans="1:19" s="228" customFormat="1" x14ac:dyDescent="0.25">
      <c r="A31" s="13" t="s">
        <v>310</v>
      </c>
      <c r="B31" s="14"/>
      <c r="C31" s="13"/>
      <c r="D31" s="13" t="s">
        <v>2928</v>
      </c>
      <c r="E31" s="13" t="s">
        <v>130</v>
      </c>
      <c r="F31" s="37">
        <v>376462.5</v>
      </c>
      <c r="G31" s="29" t="s">
        <v>7965</v>
      </c>
      <c r="H31" s="14">
        <v>43579</v>
      </c>
      <c r="I31" s="4" t="s">
        <v>7966</v>
      </c>
      <c r="J31" s="22" t="s">
        <v>7967</v>
      </c>
      <c r="K31" s="21"/>
    </row>
    <row r="32" spans="1:19" s="62" customFormat="1" ht="13.95" customHeight="1" x14ac:dyDescent="0.25">
      <c r="A32" s="13" t="s">
        <v>349</v>
      </c>
      <c r="B32" s="14" t="s">
        <v>416</v>
      </c>
      <c r="C32" s="13"/>
      <c r="D32" s="13" t="s">
        <v>962</v>
      </c>
      <c r="E32" s="13" t="s">
        <v>130</v>
      </c>
      <c r="F32" s="37">
        <v>154980</v>
      </c>
      <c r="G32" s="29" t="s">
        <v>5457</v>
      </c>
      <c r="H32" s="14">
        <v>43521</v>
      </c>
      <c r="I32" s="4" t="s">
        <v>5458</v>
      </c>
      <c r="J32" s="71" t="s">
        <v>7970</v>
      </c>
      <c r="O32" s="35"/>
      <c r="P32" s="35"/>
      <c r="Q32" s="35"/>
      <c r="R32" s="35"/>
      <c r="S32" s="35"/>
    </row>
    <row r="33" spans="1:19" s="62" customFormat="1" ht="13.95" customHeight="1" x14ac:dyDescent="0.25">
      <c r="A33" s="13" t="s">
        <v>505</v>
      </c>
      <c r="B33" s="14" t="s">
        <v>284</v>
      </c>
      <c r="C33" s="13"/>
      <c r="D33" s="13" t="s">
        <v>962</v>
      </c>
      <c r="E33" s="13" t="s">
        <v>130</v>
      </c>
      <c r="F33" s="37">
        <v>199400</v>
      </c>
      <c r="G33" s="29" t="s">
        <v>3479</v>
      </c>
      <c r="H33" s="14">
        <v>43483</v>
      </c>
      <c r="I33" s="4" t="s">
        <v>1470</v>
      </c>
      <c r="J33" s="71" t="s">
        <v>1231</v>
      </c>
      <c r="O33" s="35"/>
      <c r="P33" s="35"/>
      <c r="Q33" s="35"/>
      <c r="R33" s="35"/>
      <c r="S33" s="35"/>
    </row>
    <row r="34" spans="1:19" s="97" customFormat="1" ht="8.4" customHeight="1" x14ac:dyDescent="0.25">
      <c r="A34" s="171">
        <v>0</v>
      </c>
      <c r="B34" s="212"/>
      <c r="C34" s="3"/>
      <c r="D34" s="3"/>
      <c r="E34" s="3"/>
      <c r="F34" s="337"/>
      <c r="G34" s="25"/>
      <c r="H34" s="212"/>
      <c r="I34" s="338"/>
      <c r="J34" s="133"/>
      <c r="K34" s="22"/>
      <c r="L34" s="134"/>
    </row>
    <row r="35" spans="1:19" s="97" customFormat="1" ht="15.6" x14ac:dyDescent="0.25">
      <c r="A35" s="141" t="s">
        <v>1467</v>
      </c>
      <c r="B35" s="235"/>
      <c r="C35" s="238"/>
      <c r="D35" s="143"/>
      <c r="E35" s="143"/>
      <c r="F35" s="239">
        <f>SUM(F36:F38)</f>
        <v>0</v>
      </c>
      <c r="G35" s="220"/>
      <c r="H35" s="240"/>
      <c r="I35" s="143"/>
      <c r="J35" s="133"/>
      <c r="K35" s="22"/>
      <c r="L35" s="134"/>
    </row>
    <row r="36" spans="1:19" s="97" customFormat="1" ht="7.2" customHeight="1" x14ac:dyDescent="0.25">
      <c r="A36" s="13">
        <v>0</v>
      </c>
      <c r="B36" s="14"/>
      <c r="C36" s="13"/>
      <c r="D36" s="13"/>
      <c r="E36" s="13"/>
      <c r="F36" s="4"/>
      <c r="G36" s="29"/>
      <c r="H36" s="14"/>
      <c r="I36" s="4"/>
      <c r="J36" s="133"/>
      <c r="K36" s="22"/>
      <c r="L36" s="134"/>
    </row>
    <row r="37" spans="1:19" s="62" customFormat="1" ht="13.95" customHeight="1" x14ac:dyDescent="0.25">
      <c r="A37" s="13" t="s">
        <v>651</v>
      </c>
      <c r="B37" s="14" t="s">
        <v>284</v>
      </c>
      <c r="C37" s="13"/>
      <c r="D37" s="13" t="s">
        <v>2928</v>
      </c>
      <c r="E37" s="13" t="s">
        <v>130</v>
      </c>
      <c r="F37" s="37">
        <v>0</v>
      </c>
      <c r="G37" s="29" t="s">
        <v>4009</v>
      </c>
      <c r="H37" s="14">
        <v>43501</v>
      </c>
      <c r="I37" s="4" t="s">
        <v>2930</v>
      </c>
      <c r="J37" s="476" t="s">
        <v>4010</v>
      </c>
      <c r="O37" s="35"/>
      <c r="P37" s="35"/>
      <c r="Q37" s="35"/>
      <c r="R37" s="35"/>
      <c r="S37" s="35"/>
    </row>
    <row r="38" spans="1:19" s="97" customFormat="1" ht="8.4" customHeight="1" x14ac:dyDescent="0.25">
      <c r="A38" s="171">
        <v>0</v>
      </c>
      <c r="B38" s="212"/>
      <c r="C38" s="3"/>
      <c r="D38" s="3"/>
      <c r="E38" s="3"/>
      <c r="F38" s="208"/>
      <c r="G38" s="25"/>
      <c r="H38" s="212"/>
      <c r="I38" s="68"/>
      <c r="J38" s="133"/>
      <c r="K38" s="22"/>
      <c r="L38" s="134"/>
    </row>
    <row r="39" spans="1:19" s="97" customFormat="1" ht="15.6" x14ac:dyDescent="0.25">
      <c r="A39" s="141" t="s">
        <v>1468</v>
      </c>
      <c r="B39" s="235"/>
      <c r="C39" s="238"/>
      <c r="D39" s="143"/>
      <c r="E39" s="143"/>
      <c r="F39" s="239">
        <f>SUM(F40:F67)</f>
        <v>13186462</v>
      </c>
      <c r="G39" s="220"/>
      <c r="H39" s="240"/>
      <c r="I39" s="143"/>
      <c r="J39" s="133"/>
      <c r="K39" s="22"/>
      <c r="L39" s="134"/>
    </row>
    <row r="40" spans="1:19" s="97" customFormat="1" ht="7.2" customHeight="1" x14ac:dyDescent="0.25">
      <c r="A40" s="13">
        <v>0</v>
      </c>
      <c r="B40" s="14"/>
      <c r="C40" s="13"/>
      <c r="D40" s="13"/>
      <c r="E40" s="13"/>
      <c r="F40" s="4"/>
      <c r="G40" s="29"/>
      <c r="H40" s="14"/>
      <c r="I40" s="4"/>
      <c r="J40" s="133"/>
      <c r="K40" s="22"/>
      <c r="L40" s="134"/>
    </row>
    <row r="41" spans="1:19" s="62" customFormat="1" ht="13.95" customHeight="1" x14ac:dyDescent="0.25">
      <c r="A41" s="61" t="s">
        <v>91</v>
      </c>
      <c r="B41" s="14" t="s">
        <v>416</v>
      </c>
      <c r="C41" s="13" t="s">
        <v>8252</v>
      </c>
      <c r="D41" s="13" t="s">
        <v>133</v>
      </c>
      <c r="E41" s="13" t="s">
        <v>130</v>
      </c>
      <c r="F41" s="37">
        <v>51920</v>
      </c>
      <c r="G41" s="29" t="s">
        <v>4057</v>
      </c>
      <c r="H41" s="14">
        <v>43438</v>
      </c>
      <c r="I41" s="4" t="s">
        <v>1134</v>
      </c>
      <c r="J41" s="71" t="s">
        <v>1578</v>
      </c>
      <c r="O41" s="35"/>
      <c r="P41" s="35"/>
      <c r="Q41" s="35"/>
      <c r="R41" s="35"/>
      <c r="S41" s="35"/>
    </row>
    <row r="42" spans="1:19" s="62" customFormat="1" x14ac:dyDescent="0.25">
      <c r="A42" s="61" t="s">
        <v>495</v>
      </c>
      <c r="B42" s="14" t="s">
        <v>416</v>
      </c>
      <c r="C42" s="13" t="s">
        <v>8252</v>
      </c>
      <c r="D42" s="13" t="s">
        <v>1468</v>
      </c>
      <c r="E42" s="13" t="s">
        <v>2093</v>
      </c>
      <c r="F42" s="37">
        <f>3260590</f>
        <v>3260590</v>
      </c>
      <c r="G42" s="29" t="s">
        <v>7993</v>
      </c>
      <c r="H42" s="14">
        <v>42765</v>
      </c>
      <c r="I42" s="4" t="s">
        <v>7994</v>
      </c>
      <c r="J42" s="35" t="s">
        <v>7995</v>
      </c>
      <c r="O42" s="35"/>
      <c r="P42" s="35"/>
      <c r="Q42" s="35"/>
      <c r="R42" s="35"/>
      <c r="S42" s="35"/>
    </row>
    <row r="43" spans="1:19" s="62" customFormat="1" x14ac:dyDescent="0.25">
      <c r="A43" s="61" t="s">
        <v>495</v>
      </c>
      <c r="B43" s="14" t="s">
        <v>416</v>
      </c>
      <c r="C43" s="13" t="s">
        <v>8252</v>
      </c>
      <c r="D43" s="13" t="s">
        <v>1468</v>
      </c>
      <c r="E43" s="13" t="s">
        <v>2093</v>
      </c>
      <c r="F43" s="37">
        <f>493200</f>
        <v>493200</v>
      </c>
      <c r="G43" s="29" t="s">
        <v>7996</v>
      </c>
      <c r="H43" s="14">
        <v>42765</v>
      </c>
      <c r="I43" s="4" t="s">
        <v>7994</v>
      </c>
      <c r="J43" s="35" t="s">
        <v>7997</v>
      </c>
      <c r="O43" s="35"/>
      <c r="P43" s="35"/>
      <c r="Q43" s="35"/>
      <c r="R43" s="35"/>
      <c r="S43" s="35"/>
    </row>
    <row r="44" spans="1:19" s="62" customFormat="1" ht="13.95" customHeight="1" x14ac:dyDescent="0.25">
      <c r="A44" s="61" t="s">
        <v>2320</v>
      </c>
      <c r="B44" s="14" t="s">
        <v>284</v>
      </c>
      <c r="C44" s="13" t="s">
        <v>8252</v>
      </c>
      <c r="D44" s="13" t="s">
        <v>133</v>
      </c>
      <c r="E44" s="13" t="s">
        <v>130</v>
      </c>
      <c r="F44" s="37">
        <v>241800</v>
      </c>
      <c r="G44" s="29" t="s">
        <v>9243</v>
      </c>
      <c r="H44" s="14">
        <v>43623</v>
      </c>
      <c r="I44" s="4" t="s">
        <v>131</v>
      </c>
      <c r="J44" s="71" t="s">
        <v>9244</v>
      </c>
      <c r="O44" s="35"/>
      <c r="P44" s="35"/>
      <c r="Q44" s="35"/>
      <c r="R44" s="35"/>
      <c r="S44" s="35"/>
    </row>
    <row r="45" spans="1:19" s="62" customFormat="1" ht="13.95" customHeight="1" x14ac:dyDescent="0.25">
      <c r="A45" s="61" t="s">
        <v>8548</v>
      </c>
      <c r="B45" s="14" t="s">
        <v>284</v>
      </c>
      <c r="C45" s="13" t="s">
        <v>8252</v>
      </c>
      <c r="D45" s="13" t="s">
        <v>133</v>
      </c>
      <c r="E45" s="13" t="s">
        <v>130</v>
      </c>
      <c r="F45" s="37">
        <v>696000</v>
      </c>
      <c r="G45" s="29" t="s">
        <v>8549</v>
      </c>
      <c r="H45" s="14">
        <v>43234</v>
      </c>
      <c r="I45" s="4" t="s">
        <v>8550</v>
      </c>
      <c r="J45" s="71" t="s">
        <v>8551</v>
      </c>
      <c r="O45" s="35"/>
      <c r="P45" s="35"/>
      <c r="Q45" s="35"/>
      <c r="R45" s="35"/>
      <c r="S45" s="35"/>
    </row>
    <row r="46" spans="1:19" s="62" customFormat="1" ht="13.95" customHeight="1" x14ac:dyDescent="0.25">
      <c r="A46" s="61" t="s">
        <v>9229</v>
      </c>
      <c r="B46" s="14" t="s">
        <v>284</v>
      </c>
      <c r="C46" s="13" t="s">
        <v>8252</v>
      </c>
      <c r="D46" s="13" t="s">
        <v>133</v>
      </c>
      <c r="E46" s="13" t="s">
        <v>130</v>
      </c>
      <c r="F46" s="37">
        <v>34800</v>
      </c>
      <c r="G46" s="29" t="s">
        <v>9230</v>
      </c>
      <c r="H46" s="14">
        <v>43635</v>
      </c>
      <c r="I46" s="4" t="s">
        <v>131</v>
      </c>
      <c r="J46" s="71" t="s">
        <v>9231</v>
      </c>
      <c r="O46" s="35"/>
      <c r="P46" s="35"/>
      <c r="Q46" s="35"/>
      <c r="R46" s="35"/>
      <c r="S46" s="35"/>
    </row>
    <row r="47" spans="1:19" s="62" customFormat="1" ht="13.95" customHeight="1" x14ac:dyDescent="0.25">
      <c r="A47" s="61" t="s">
        <v>1472</v>
      </c>
      <c r="B47" s="14" t="s">
        <v>284</v>
      </c>
      <c r="C47" s="13" t="s">
        <v>8252</v>
      </c>
      <c r="D47" s="13" t="s">
        <v>133</v>
      </c>
      <c r="E47" s="13" t="s">
        <v>130</v>
      </c>
      <c r="F47" s="37">
        <f>680624-260000</f>
        <v>420624</v>
      </c>
      <c r="G47" s="29" t="s">
        <v>1626</v>
      </c>
      <c r="H47" s="14">
        <v>43234</v>
      </c>
      <c r="I47" s="4" t="s">
        <v>1134</v>
      </c>
      <c r="J47" s="71" t="s">
        <v>1627</v>
      </c>
      <c r="O47" s="35"/>
      <c r="P47" s="35"/>
      <c r="Q47" s="35"/>
      <c r="R47" s="35"/>
      <c r="S47" s="35"/>
    </row>
    <row r="48" spans="1:19" s="62" customFormat="1" ht="13.95" customHeight="1" x14ac:dyDescent="0.25">
      <c r="A48" s="61" t="s">
        <v>1473</v>
      </c>
      <c r="B48" s="14" t="s">
        <v>284</v>
      </c>
      <c r="C48" s="13" t="s">
        <v>8252</v>
      </c>
      <c r="D48" s="13" t="s">
        <v>133</v>
      </c>
      <c r="E48" s="13" t="s">
        <v>130</v>
      </c>
      <c r="F48" s="37">
        <v>537490</v>
      </c>
      <c r="G48" s="29" t="s">
        <v>1624</v>
      </c>
      <c r="H48" s="14">
        <v>43234</v>
      </c>
      <c r="I48" s="4" t="s">
        <v>1134</v>
      </c>
      <c r="J48" s="71" t="s">
        <v>1625</v>
      </c>
      <c r="O48" s="35"/>
      <c r="P48" s="35"/>
      <c r="Q48" s="35"/>
      <c r="R48" s="35"/>
      <c r="S48" s="35"/>
    </row>
    <row r="49" spans="1:19" s="62" customFormat="1" ht="13.95" customHeight="1" x14ac:dyDescent="0.25">
      <c r="A49" s="61" t="s">
        <v>1474</v>
      </c>
      <c r="B49" s="14" t="s">
        <v>284</v>
      </c>
      <c r="C49" s="13" t="s">
        <v>8252</v>
      </c>
      <c r="D49" s="13" t="s">
        <v>133</v>
      </c>
      <c r="E49" s="13" t="s">
        <v>130</v>
      </c>
      <c r="F49" s="37">
        <v>351404</v>
      </c>
      <c r="G49" s="29" t="s">
        <v>1622</v>
      </c>
      <c r="H49" s="14">
        <v>43234</v>
      </c>
      <c r="I49" s="4" t="s">
        <v>1134</v>
      </c>
      <c r="J49" s="71" t="s">
        <v>1623</v>
      </c>
      <c r="O49" s="35"/>
      <c r="P49" s="35"/>
      <c r="Q49" s="35"/>
      <c r="R49" s="35"/>
      <c r="S49" s="35"/>
    </row>
    <row r="50" spans="1:19" s="62" customFormat="1" ht="13.95" customHeight="1" x14ac:dyDescent="0.25">
      <c r="A50" s="61" t="s">
        <v>1475</v>
      </c>
      <c r="B50" s="14" t="s">
        <v>284</v>
      </c>
      <c r="C50" s="13" t="s">
        <v>8252</v>
      </c>
      <c r="D50" s="13" t="s">
        <v>133</v>
      </c>
      <c r="E50" s="13" t="s">
        <v>130</v>
      </c>
      <c r="F50" s="37">
        <v>426334</v>
      </c>
      <c r="G50" s="29" t="s">
        <v>1620</v>
      </c>
      <c r="H50" s="14">
        <v>43234</v>
      </c>
      <c r="I50" s="4" t="s">
        <v>1134</v>
      </c>
      <c r="J50" s="71" t="s">
        <v>1621</v>
      </c>
      <c r="O50" s="35"/>
      <c r="P50" s="35"/>
      <c r="Q50" s="35"/>
      <c r="R50" s="35"/>
      <c r="S50" s="35"/>
    </row>
    <row r="51" spans="1:19" s="62" customFormat="1" ht="13.95" customHeight="1" x14ac:dyDescent="0.25">
      <c r="A51" s="61" t="s">
        <v>1476</v>
      </c>
      <c r="B51" s="14" t="s">
        <v>284</v>
      </c>
      <c r="C51" s="13" t="s">
        <v>8252</v>
      </c>
      <c r="D51" s="13" t="s">
        <v>133</v>
      </c>
      <c r="E51" s="13" t="s">
        <v>130</v>
      </c>
      <c r="F51" s="37">
        <v>491470</v>
      </c>
      <c r="G51" s="29" t="s">
        <v>1618</v>
      </c>
      <c r="H51" s="14">
        <v>43234</v>
      </c>
      <c r="I51" s="4" t="s">
        <v>1134</v>
      </c>
      <c r="J51" s="71" t="s">
        <v>1619</v>
      </c>
      <c r="O51" s="35"/>
      <c r="P51" s="35"/>
      <c r="Q51" s="35"/>
      <c r="R51" s="35"/>
      <c r="S51" s="35"/>
    </row>
    <row r="52" spans="1:19" s="62" customFormat="1" ht="13.95" customHeight="1" x14ac:dyDescent="0.25">
      <c r="A52" s="61" t="s">
        <v>1477</v>
      </c>
      <c r="B52" s="14" t="s">
        <v>284</v>
      </c>
      <c r="C52" s="13" t="s">
        <v>8252</v>
      </c>
      <c r="D52" s="13" t="s">
        <v>133</v>
      </c>
      <c r="E52" s="13" t="s">
        <v>130</v>
      </c>
      <c r="F52" s="37">
        <v>256650</v>
      </c>
      <c r="G52" s="29" t="s">
        <v>1617</v>
      </c>
      <c r="H52" s="14">
        <v>43234</v>
      </c>
      <c r="I52" s="4" t="s">
        <v>1134</v>
      </c>
      <c r="J52" s="71" t="s">
        <v>1575</v>
      </c>
      <c r="O52" s="35"/>
      <c r="P52" s="35"/>
      <c r="Q52" s="35"/>
      <c r="R52" s="35"/>
      <c r="S52" s="35"/>
    </row>
    <row r="53" spans="1:19" s="62" customFormat="1" ht="13.95" customHeight="1" x14ac:dyDescent="0.25">
      <c r="A53" s="61" t="s">
        <v>1478</v>
      </c>
      <c r="B53" s="14" t="s">
        <v>284</v>
      </c>
      <c r="C53" s="13" t="s">
        <v>8252</v>
      </c>
      <c r="D53" s="13" t="s">
        <v>133</v>
      </c>
      <c r="E53" s="13" t="s">
        <v>130</v>
      </c>
      <c r="F53" s="37">
        <v>623008</v>
      </c>
      <c r="G53" s="29" t="s">
        <v>1615</v>
      </c>
      <c r="H53" s="14">
        <v>43234</v>
      </c>
      <c r="I53" s="4" t="s">
        <v>1134</v>
      </c>
      <c r="J53" s="71" t="s">
        <v>1616</v>
      </c>
      <c r="O53" s="35"/>
      <c r="P53" s="35"/>
      <c r="Q53" s="35"/>
      <c r="R53" s="35"/>
      <c r="S53" s="35"/>
    </row>
    <row r="54" spans="1:19" s="62" customFormat="1" ht="13.95" customHeight="1" x14ac:dyDescent="0.25">
      <c r="A54" s="61" t="s">
        <v>1458</v>
      </c>
      <c r="B54" s="14" t="s">
        <v>284</v>
      </c>
      <c r="C54" s="13" t="s">
        <v>8252</v>
      </c>
      <c r="D54" s="13" t="s">
        <v>133</v>
      </c>
      <c r="E54" s="13" t="s">
        <v>130</v>
      </c>
      <c r="F54" s="37">
        <v>216884</v>
      </c>
      <c r="G54" s="29" t="s">
        <v>1613</v>
      </c>
      <c r="H54" s="14">
        <v>43234</v>
      </c>
      <c r="I54" s="4" t="s">
        <v>1134</v>
      </c>
      <c r="J54" s="71" t="s">
        <v>1614</v>
      </c>
      <c r="O54" s="35"/>
      <c r="P54" s="35"/>
      <c r="Q54" s="35"/>
      <c r="R54" s="35"/>
      <c r="S54" s="35"/>
    </row>
    <row r="55" spans="1:19" s="62" customFormat="1" ht="13.95" customHeight="1" x14ac:dyDescent="0.25">
      <c r="A55" s="61" t="s">
        <v>1459</v>
      </c>
      <c r="B55" s="14" t="s">
        <v>284</v>
      </c>
      <c r="C55" s="13" t="s">
        <v>8252</v>
      </c>
      <c r="D55" s="13" t="s">
        <v>133</v>
      </c>
      <c r="E55" s="13" t="s">
        <v>130</v>
      </c>
      <c r="F55" s="37">
        <v>589174</v>
      </c>
      <c r="G55" s="29" t="s">
        <v>1612</v>
      </c>
      <c r="H55" s="14">
        <v>43234</v>
      </c>
      <c r="I55" s="4" t="s">
        <v>1134</v>
      </c>
      <c r="J55" s="71" t="s">
        <v>1611</v>
      </c>
      <c r="O55" s="35"/>
      <c r="P55" s="35"/>
      <c r="Q55" s="35"/>
      <c r="R55" s="35"/>
      <c r="S55" s="35"/>
    </row>
    <row r="56" spans="1:19" s="62" customFormat="1" ht="13.95" customHeight="1" x14ac:dyDescent="0.25">
      <c r="A56" s="61" t="s">
        <v>1460</v>
      </c>
      <c r="B56" s="14" t="s">
        <v>284</v>
      </c>
      <c r="C56" s="13" t="s">
        <v>8252</v>
      </c>
      <c r="D56" s="13" t="s">
        <v>133</v>
      </c>
      <c r="E56" s="13" t="s">
        <v>130</v>
      </c>
      <c r="F56" s="37">
        <v>485334</v>
      </c>
      <c r="G56" s="29" t="s">
        <v>1609</v>
      </c>
      <c r="H56" s="14">
        <v>43234</v>
      </c>
      <c r="I56" s="4" t="s">
        <v>1134</v>
      </c>
      <c r="J56" s="71" t="s">
        <v>1610</v>
      </c>
      <c r="O56" s="35"/>
      <c r="P56" s="35"/>
      <c r="Q56" s="35"/>
      <c r="R56" s="35"/>
      <c r="S56" s="35"/>
    </row>
    <row r="57" spans="1:19" s="62" customFormat="1" ht="13.95" customHeight="1" x14ac:dyDescent="0.25">
      <c r="A57" s="61" t="s">
        <v>1464</v>
      </c>
      <c r="B57" s="14" t="s">
        <v>284</v>
      </c>
      <c r="C57" s="13" t="s">
        <v>8252</v>
      </c>
      <c r="D57" s="13" t="s">
        <v>133</v>
      </c>
      <c r="E57" s="13" t="s">
        <v>130</v>
      </c>
      <c r="F57" s="37">
        <v>532534</v>
      </c>
      <c r="G57" s="29" t="s">
        <v>1635</v>
      </c>
      <c r="H57" s="14">
        <v>43242</v>
      </c>
      <c r="I57" s="4" t="s">
        <v>1134</v>
      </c>
      <c r="J57" s="71" t="s">
        <v>1636</v>
      </c>
      <c r="O57" s="35"/>
      <c r="P57" s="35"/>
      <c r="Q57" s="35"/>
      <c r="R57" s="35"/>
      <c r="S57" s="35"/>
    </row>
    <row r="58" spans="1:19" s="62" customFormat="1" ht="13.95" customHeight="1" x14ac:dyDescent="0.25">
      <c r="A58" s="61" t="s">
        <v>1463</v>
      </c>
      <c r="B58" s="14" t="s">
        <v>284</v>
      </c>
      <c r="C58" s="13" t="s">
        <v>8252</v>
      </c>
      <c r="D58" s="13" t="s">
        <v>133</v>
      </c>
      <c r="E58" s="13" t="s">
        <v>130</v>
      </c>
      <c r="F58" s="37">
        <v>808654</v>
      </c>
      <c r="G58" s="29" t="s">
        <v>1634</v>
      </c>
      <c r="H58" s="14">
        <v>43242</v>
      </c>
      <c r="I58" s="4" t="s">
        <v>1134</v>
      </c>
      <c r="J58" s="71" t="s">
        <v>1580</v>
      </c>
      <c r="O58" s="35"/>
      <c r="P58" s="35"/>
      <c r="Q58" s="35"/>
      <c r="R58" s="35"/>
      <c r="S58" s="35"/>
    </row>
    <row r="59" spans="1:19" s="62" customFormat="1" ht="13.95" customHeight="1" x14ac:dyDescent="0.25">
      <c r="A59" s="61" t="s">
        <v>1462</v>
      </c>
      <c r="B59" s="14" t="s">
        <v>284</v>
      </c>
      <c r="C59" s="13" t="s">
        <v>8252</v>
      </c>
      <c r="D59" s="13" t="s">
        <v>133</v>
      </c>
      <c r="E59" s="13" t="s">
        <v>130</v>
      </c>
      <c r="F59" s="37">
        <v>563450</v>
      </c>
      <c r="G59" s="29" t="s">
        <v>1633</v>
      </c>
      <c r="H59" s="14">
        <v>43242</v>
      </c>
      <c r="I59" s="4" t="s">
        <v>1134</v>
      </c>
      <c r="J59" s="71" t="s">
        <v>1579</v>
      </c>
      <c r="O59" s="35"/>
      <c r="P59" s="35"/>
      <c r="Q59" s="35"/>
      <c r="R59" s="35"/>
      <c r="S59" s="35"/>
    </row>
    <row r="60" spans="1:19" s="62" customFormat="1" ht="13.95" customHeight="1" x14ac:dyDescent="0.25">
      <c r="A60" s="61" t="s">
        <v>1461</v>
      </c>
      <c r="B60" s="14" t="s">
        <v>284</v>
      </c>
      <c r="C60" s="13" t="s">
        <v>8252</v>
      </c>
      <c r="D60" s="13" t="s">
        <v>133</v>
      </c>
      <c r="E60" s="13" t="s">
        <v>130</v>
      </c>
      <c r="F60" s="37">
        <v>382084</v>
      </c>
      <c r="G60" s="29" t="s">
        <v>1632</v>
      </c>
      <c r="H60" s="14">
        <v>43242</v>
      </c>
      <c r="I60" s="4" t="s">
        <v>1134</v>
      </c>
      <c r="J60" s="71" t="s">
        <v>1578</v>
      </c>
      <c r="O60" s="35"/>
      <c r="P60" s="35"/>
      <c r="Q60" s="35"/>
      <c r="R60" s="35"/>
      <c r="S60" s="35"/>
    </row>
    <row r="61" spans="1:19" s="62" customFormat="1" ht="13.95" customHeight="1" x14ac:dyDescent="0.25">
      <c r="A61" s="61" t="s">
        <v>1480</v>
      </c>
      <c r="B61" s="14" t="s">
        <v>284</v>
      </c>
      <c r="C61" s="13" t="s">
        <v>8252</v>
      </c>
      <c r="D61" s="13" t="s">
        <v>133</v>
      </c>
      <c r="E61" s="13" t="s">
        <v>130</v>
      </c>
      <c r="F61" s="37">
        <v>599794</v>
      </c>
      <c r="G61" s="29" t="s">
        <v>1631</v>
      </c>
      <c r="H61" s="14">
        <v>43242</v>
      </c>
      <c r="I61" s="4" t="s">
        <v>1134</v>
      </c>
      <c r="J61" s="71" t="s">
        <v>1577</v>
      </c>
      <c r="O61" s="35"/>
      <c r="P61" s="35"/>
      <c r="Q61" s="35"/>
      <c r="R61" s="35"/>
      <c r="S61" s="35"/>
    </row>
    <row r="62" spans="1:19" s="62" customFormat="1" ht="13.95" customHeight="1" x14ac:dyDescent="0.25">
      <c r="A62" s="61" t="s">
        <v>1479</v>
      </c>
      <c r="B62" s="14" t="s">
        <v>284</v>
      </c>
      <c r="C62" s="13" t="s">
        <v>8252</v>
      </c>
      <c r="D62" s="13" t="s">
        <v>133</v>
      </c>
      <c r="E62" s="13" t="s">
        <v>130</v>
      </c>
      <c r="F62" s="37">
        <v>446984</v>
      </c>
      <c r="G62" s="29" t="s">
        <v>1630</v>
      </c>
      <c r="H62" s="14">
        <v>43242</v>
      </c>
      <c r="I62" s="4" t="s">
        <v>1134</v>
      </c>
      <c r="J62" s="71" t="s">
        <v>1576</v>
      </c>
      <c r="O62" s="35"/>
      <c r="P62" s="35"/>
      <c r="Q62" s="35"/>
      <c r="R62" s="35"/>
      <c r="S62" s="35"/>
    </row>
    <row r="63" spans="1:19" s="62" customFormat="1" ht="13.95" customHeight="1" x14ac:dyDescent="0.25">
      <c r="A63" s="61" t="s">
        <v>1052</v>
      </c>
      <c r="B63" s="14" t="s">
        <v>284</v>
      </c>
      <c r="C63" s="13" t="s">
        <v>8252</v>
      </c>
      <c r="D63" s="13" t="s">
        <v>133</v>
      </c>
      <c r="E63" s="13" t="s">
        <v>130</v>
      </c>
      <c r="F63" s="37">
        <v>279660</v>
      </c>
      <c r="G63" s="29" t="s">
        <v>1053</v>
      </c>
      <c r="H63" s="14"/>
      <c r="I63" s="4" t="s">
        <v>861</v>
      </c>
      <c r="J63" s="71" t="s">
        <v>1054</v>
      </c>
      <c r="O63" s="35"/>
      <c r="P63" s="35"/>
      <c r="Q63" s="35"/>
      <c r="R63" s="35"/>
      <c r="S63" s="35"/>
    </row>
    <row r="64" spans="1:19" s="62" customFormat="1" ht="13.95" customHeight="1" x14ac:dyDescent="0.25">
      <c r="A64" s="13" t="s">
        <v>1422</v>
      </c>
      <c r="B64" s="14" t="s">
        <v>284</v>
      </c>
      <c r="C64" s="13" t="s">
        <v>8252</v>
      </c>
      <c r="D64" s="13" t="s">
        <v>133</v>
      </c>
      <c r="E64" s="13" t="s">
        <v>440</v>
      </c>
      <c r="F64" s="37">
        <f>105160</f>
        <v>105160</v>
      </c>
      <c r="G64" s="29" t="s">
        <v>1423</v>
      </c>
      <c r="H64" s="14">
        <v>43160</v>
      </c>
      <c r="I64" s="4" t="s">
        <v>1134</v>
      </c>
      <c r="J64" s="71" t="s">
        <v>1424</v>
      </c>
      <c r="O64" s="35"/>
      <c r="P64" s="35"/>
      <c r="Q64" s="35"/>
      <c r="R64" s="35"/>
      <c r="S64" s="35"/>
    </row>
    <row r="65" spans="1:19" s="62" customFormat="1" ht="13.95" customHeight="1" x14ac:dyDescent="0.25">
      <c r="A65" s="61" t="s">
        <v>495</v>
      </c>
      <c r="B65" s="14" t="s">
        <v>284</v>
      </c>
      <c r="C65" s="13" t="s">
        <v>8252</v>
      </c>
      <c r="D65" s="13" t="s">
        <v>133</v>
      </c>
      <c r="E65" s="13" t="s">
        <v>130</v>
      </c>
      <c r="F65" s="37">
        <v>247800</v>
      </c>
      <c r="G65" s="29" t="s">
        <v>599</v>
      </c>
      <c r="H65" s="14">
        <v>42604</v>
      </c>
      <c r="I65" s="4" t="s">
        <v>575</v>
      </c>
      <c r="J65" s="71" t="s">
        <v>600</v>
      </c>
      <c r="O65" s="35"/>
      <c r="P65" s="35"/>
      <c r="Q65" s="35"/>
      <c r="R65" s="35"/>
      <c r="S65" s="35"/>
    </row>
    <row r="66" spans="1:19" s="62" customFormat="1" ht="13.95" customHeight="1" x14ac:dyDescent="0.25">
      <c r="A66" s="13" t="s">
        <v>213</v>
      </c>
      <c r="B66" s="14" t="s">
        <v>284</v>
      </c>
      <c r="C66" s="13" t="s">
        <v>8252</v>
      </c>
      <c r="D66" s="13" t="s">
        <v>133</v>
      </c>
      <c r="E66" s="13" t="s">
        <v>130</v>
      </c>
      <c r="F66" s="37">
        <v>43660</v>
      </c>
      <c r="G66" s="29" t="s">
        <v>973</v>
      </c>
      <c r="H66" s="14">
        <v>42968</v>
      </c>
      <c r="I66" s="4" t="s">
        <v>131</v>
      </c>
      <c r="J66" s="71" t="s">
        <v>974</v>
      </c>
      <c r="O66" s="35"/>
      <c r="P66" s="35"/>
      <c r="Q66" s="35"/>
      <c r="R66" s="35"/>
      <c r="S66" s="35"/>
    </row>
    <row r="67" spans="1:19" s="97" customFormat="1" ht="8.4" customHeight="1" x14ac:dyDescent="0.25">
      <c r="A67" s="171">
        <v>0</v>
      </c>
      <c r="B67" s="212"/>
      <c r="C67" s="3"/>
      <c r="D67" s="3"/>
      <c r="E67" s="3"/>
      <c r="F67" s="337"/>
      <c r="G67" s="25"/>
      <c r="H67" s="212"/>
      <c r="I67" s="338"/>
      <c r="J67" s="133"/>
      <c r="K67" s="22"/>
      <c r="L67" s="134"/>
    </row>
    <row r="68" spans="1:19" s="97" customFormat="1" ht="15.6" x14ac:dyDescent="0.25">
      <c r="A68" s="141" t="s">
        <v>8542</v>
      </c>
      <c r="B68" s="235"/>
      <c r="C68" s="238"/>
      <c r="D68" s="143"/>
      <c r="E68" s="143"/>
      <c r="F68" s="239">
        <f>SUM(F69:F95)</f>
        <v>1350350</v>
      </c>
      <c r="G68" s="220"/>
      <c r="H68" s="240"/>
      <c r="I68" s="143"/>
      <c r="J68" s="133"/>
      <c r="K68" s="22"/>
      <c r="L68" s="134"/>
    </row>
    <row r="69" spans="1:19" s="97" customFormat="1" ht="7.2" customHeight="1" x14ac:dyDescent="0.25">
      <c r="A69" s="13">
        <v>0</v>
      </c>
      <c r="B69" s="14"/>
      <c r="C69" s="13"/>
      <c r="D69" s="13"/>
      <c r="E69" s="13"/>
      <c r="F69" s="4"/>
      <c r="G69" s="29"/>
      <c r="H69" s="14"/>
      <c r="I69" s="4"/>
      <c r="J69" s="133"/>
      <c r="K69" s="22"/>
      <c r="L69" s="134"/>
    </row>
    <row r="70" spans="1:19" s="62" customFormat="1" x14ac:dyDescent="0.25">
      <c r="A70" s="61" t="s">
        <v>659</v>
      </c>
      <c r="B70" s="14"/>
      <c r="C70" s="13"/>
      <c r="D70" s="13" t="s">
        <v>8544</v>
      </c>
      <c r="E70" s="13" t="s">
        <v>130</v>
      </c>
      <c r="F70" s="37">
        <v>46800</v>
      </c>
      <c r="G70" s="29" t="s">
        <v>8543</v>
      </c>
      <c r="H70" s="14">
        <v>43612</v>
      </c>
      <c r="I70" s="4" t="s">
        <v>576</v>
      </c>
      <c r="J70" s="71"/>
      <c r="O70" s="35"/>
      <c r="P70" s="35"/>
      <c r="Q70" s="35"/>
      <c r="R70" s="35"/>
      <c r="S70" s="35"/>
    </row>
    <row r="71" spans="1:19" s="62" customFormat="1" x14ac:dyDescent="0.25">
      <c r="A71" s="61" t="s">
        <v>659</v>
      </c>
      <c r="B71" s="14"/>
      <c r="C71" s="13"/>
      <c r="D71" s="13" t="s">
        <v>8544</v>
      </c>
      <c r="E71" s="13" t="s">
        <v>130</v>
      </c>
      <c r="F71" s="37">
        <v>55250</v>
      </c>
      <c r="G71" s="29" t="s">
        <v>9459</v>
      </c>
      <c r="H71" s="14">
        <v>43643</v>
      </c>
      <c r="I71" s="4" t="s">
        <v>576</v>
      </c>
      <c r="J71" s="71"/>
      <c r="O71" s="35"/>
      <c r="P71" s="35"/>
      <c r="Q71" s="35"/>
      <c r="R71" s="35"/>
      <c r="S71" s="35"/>
    </row>
    <row r="72" spans="1:19" s="62" customFormat="1" ht="13.95" customHeight="1" x14ac:dyDescent="0.25">
      <c r="A72" s="13" t="s">
        <v>92</v>
      </c>
      <c r="B72" s="14"/>
      <c r="C72" s="13"/>
      <c r="D72" s="13" t="s">
        <v>267</v>
      </c>
      <c r="E72" s="13" t="s">
        <v>130</v>
      </c>
      <c r="F72" s="37">
        <v>86400</v>
      </c>
      <c r="G72" s="29" t="s">
        <v>4</v>
      </c>
      <c r="H72" s="14">
        <v>43555</v>
      </c>
      <c r="I72" s="4" t="s">
        <v>576</v>
      </c>
      <c r="J72" s="71"/>
      <c r="O72" s="35"/>
      <c r="P72" s="35"/>
      <c r="Q72" s="35"/>
      <c r="R72" s="35"/>
      <c r="S72" s="35"/>
    </row>
    <row r="73" spans="1:19" s="62" customFormat="1" ht="13.95" customHeight="1" x14ac:dyDescent="0.25">
      <c r="A73" s="13" t="s">
        <v>310</v>
      </c>
      <c r="B73" s="14"/>
      <c r="C73" s="13"/>
      <c r="D73" s="13" t="s">
        <v>267</v>
      </c>
      <c r="E73" s="13" t="s">
        <v>130</v>
      </c>
      <c r="F73" s="37">
        <v>37100</v>
      </c>
      <c r="G73" s="29" t="s">
        <v>302</v>
      </c>
      <c r="H73" s="14">
        <v>43555</v>
      </c>
      <c r="I73" s="4" t="s">
        <v>576</v>
      </c>
      <c r="J73" s="71"/>
      <c r="O73" s="35"/>
      <c r="P73" s="35"/>
      <c r="Q73" s="35"/>
      <c r="R73" s="35"/>
      <c r="S73" s="35"/>
    </row>
    <row r="74" spans="1:19" s="62" customFormat="1" ht="13.95" customHeight="1" x14ac:dyDescent="0.25">
      <c r="A74" s="13" t="s">
        <v>455</v>
      </c>
      <c r="B74" s="14"/>
      <c r="C74" s="13"/>
      <c r="D74" s="13" t="s">
        <v>267</v>
      </c>
      <c r="E74" s="13" t="s">
        <v>130</v>
      </c>
      <c r="F74" s="37">
        <v>33600</v>
      </c>
      <c r="G74" s="29" t="s">
        <v>3184</v>
      </c>
      <c r="H74" s="14">
        <v>43555</v>
      </c>
      <c r="I74" s="4" t="s">
        <v>576</v>
      </c>
      <c r="J74" s="71"/>
      <c r="O74" s="35"/>
      <c r="P74" s="35"/>
      <c r="Q74" s="35"/>
      <c r="R74" s="35"/>
      <c r="S74" s="35"/>
    </row>
    <row r="75" spans="1:19" s="62" customFormat="1" ht="13.95" customHeight="1" x14ac:dyDescent="0.25">
      <c r="A75" s="13" t="s">
        <v>358</v>
      </c>
      <c r="B75" s="14"/>
      <c r="C75" s="13"/>
      <c r="D75" s="13" t="s">
        <v>267</v>
      </c>
      <c r="E75" s="13" t="s">
        <v>130</v>
      </c>
      <c r="F75" s="37">
        <v>37100</v>
      </c>
      <c r="G75" s="29" t="s">
        <v>317</v>
      </c>
      <c r="H75" s="14">
        <v>43555</v>
      </c>
      <c r="I75" s="4" t="s">
        <v>576</v>
      </c>
      <c r="J75" s="71"/>
      <c r="O75" s="35"/>
      <c r="P75" s="35"/>
      <c r="Q75" s="35"/>
      <c r="R75" s="35"/>
      <c r="S75" s="35"/>
    </row>
    <row r="76" spans="1:19" s="62" customFormat="1" ht="13.95" customHeight="1" x14ac:dyDescent="0.25">
      <c r="A76" s="13" t="s">
        <v>637</v>
      </c>
      <c r="B76" s="14"/>
      <c r="C76" s="13"/>
      <c r="D76" s="13" t="s">
        <v>267</v>
      </c>
      <c r="E76" s="13" t="s">
        <v>130</v>
      </c>
      <c r="F76" s="37">
        <v>15400</v>
      </c>
      <c r="G76" s="29" t="s">
        <v>27</v>
      </c>
      <c r="H76" s="14">
        <v>43555</v>
      </c>
      <c r="I76" s="4" t="s">
        <v>576</v>
      </c>
      <c r="J76" s="71"/>
      <c r="O76" s="35"/>
      <c r="P76" s="35"/>
      <c r="Q76" s="35"/>
      <c r="R76" s="35"/>
      <c r="S76" s="35"/>
    </row>
    <row r="77" spans="1:19" s="62" customFormat="1" ht="13.95" customHeight="1" x14ac:dyDescent="0.25">
      <c r="A77" s="13" t="s">
        <v>639</v>
      </c>
      <c r="B77" s="14"/>
      <c r="C77" s="13"/>
      <c r="D77" s="13" t="s">
        <v>267</v>
      </c>
      <c r="E77" s="13" t="s">
        <v>130</v>
      </c>
      <c r="F77" s="37">
        <v>45500</v>
      </c>
      <c r="G77" s="29" t="s">
        <v>145</v>
      </c>
      <c r="H77" s="14">
        <v>43555</v>
      </c>
      <c r="I77" s="4" t="s">
        <v>576</v>
      </c>
      <c r="J77" s="71"/>
      <c r="O77" s="35"/>
      <c r="P77" s="35"/>
      <c r="Q77" s="35"/>
      <c r="R77" s="35"/>
      <c r="S77" s="35"/>
    </row>
    <row r="78" spans="1:19" s="62" customFormat="1" ht="13.95" customHeight="1" x14ac:dyDescent="0.25">
      <c r="A78" s="13" t="s">
        <v>91</v>
      </c>
      <c r="B78" s="14"/>
      <c r="C78" s="13"/>
      <c r="D78" s="13" t="s">
        <v>267</v>
      </c>
      <c r="E78" s="13" t="s">
        <v>130</v>
      </c>
      <c r="F78" s="37">
        <v>89600</v>
      </c>
      <c r="G78" s="29" t="s">
        <v>478</v>
      </c>
      <c r="H78" s="14">
        <v>43585</v>
      </c>
      <c r="I78" s="4" t="s">
        <v>576</v>
      </c>
      <c r="J78" s="71"/>
      <c r="O78" s="35"/>
      <c r="P78" s="35"/>
      <c r="Q78" s="35"/>
      <c r="R78" s="35"/>
      <c r="S78" s="35"/>
    </row>
    <row r="79" spans="1:19" s="62" customFormat="1" ht="13.95" customHeight="1" x14ac:dyDescent="0.25">
      <c r="A79" s="13" t="s">
        <v>92</v>
      </c>
      <c r="B79" s="14"/>
      <c r="C79" s="13"/>
      <c r="D79" s="13" t="s">
        <v>267</v>
      </c>
      <c r="E79" s="13" t="s">
        <v>130</v>
      </c>
      <c r="F79" s="37">
        <v>86400</v>
      </c>
      <c r="G79" s="29" t="s">
        <v>1155</v>
      </c>
      <c r="H79" s="14">
        <v>43585</v>
      </c>
      <c r="I79" s="4" t="s">
        <v>576</v>
      </c>
      <c r="J79" s="71"/>
      <c r="O79" s="35"/>
      <c r="P79" s="35"/>
      <c r="Q79" s="35"/>
      <c r="R79" s="35"/>
      <c r="S79" s="35"/>
    </row>
    <row r="80" spans="1:19" s="62" customFormat="1" ht="13.95" customHeight="1" x14ac:dyDescent="0.25">
      <c r="A80" s="13" t="s">
        <v>310</v>
      </c>
      <c r="B80" s="14"/>
      <c r="C80" s="13"/>
      <c r="D80" s="13" t="s">
        <v>267</v>
      </c>
      <c r="E80" s="13" t="s">
        <v>130</v>
      </c>
      <c r="F80" s="37">
        <v>37100</v>
      </c>
      <c r="G80" s="29" t="s">
        <v>479</v>
      </c>
      <c r="H80" s="14">
        <v>43585</v>
      </c>
      <c r="I80" s="4" t="s">
        <v>576</v>
      </c>
      <c r="J80" s="71"/>
      <c r="O80" s="35"/>
      <c r="P80" s="35"/>
      <c r="Q80" s="35"/>
      <c r="R80" s="35"/>
      <c r="S80" s="35"/>
    </row>
    <row r="81" spans="1:19" s="62" customFormat="1" ht="13.95" customHeight="1" x14ac:dyDescent="0.25">
      <c r="A81" s="13" t="s">
        <v>455</v>
      </c>
      <c r="B81" s="14"/>
      <c r="C81" s="13"/>
      <c r="D81" s="13" t="s">
        <v>267</v>
      </c>
      <c r="E81" s="13" t="s">
        <v>130</v>
      </c>
      <c r="F81" s="37">
        <v>33600</v>
      </c>
      <c r="G81" s="29" t="s">
        <v>77</v>
      </c>
      <c r="H81" s="14">
        <v>43585</v>
      </c>
      <c r="I81" s="4" t="s">
        <v>576</v>
      </c>
      <c r="J81" s="71"/>
      <c r="O81" s="35"/>
      <c r="P81" s="35"/>
      <c r="Q81" s="35"/>
      <c r="R81" s="35"/>
      <c r="S81" s="35"/>
    </row>
    <row r="82" spans="1:19" s="62" customFormat="1" ht="13.95" customHeight="1" x14ac:dyDescent="0.25">
      <c r="A82" s="13" t="s">
        <v>442</v>
      </c>
      <c r="B82" s="14"/>
      <c r="C82" s="13"/>
      <c r="D82" s="13" t="s">
        <v>267</v>
      </c>
      <c r="E82" s="13" t="s">
        <v>130</v>
      </c>
      <c r="F82" s="37">
        <v>102200</v>
      </c>
      <c r="G82" s="29" t="s">
        <v>3592</v>
      </c>
      <c r="H82" s="14">
        <v>43585</v>
      </c>
      <c r="I82" s="4" t="s">
        <v>576</v>
      </c>
      <c r="J82" s="71"/>
      <c r="O82" s="35"/>
      <c r="P82" s="35"/>
      <c r="Q82" s="35"/>
      <c r="R82" s="35"/>
      <c r="S82" s="35"/>
    </row>
    <row r="83" spans="1:19" s="62" customFormat="1" ht="13.95" customHeight="1" x14ac:dyDescent="0.25">
      <c r="A83" s="13" t="s">
        <v>358</v>
      </c>
      <c r="B83" s="14"/>
      <c r="C83" s="13"/>
      <c r="D83" s="13" t="s">
        <v>267</v>
      </c>
      <c r="E83" s="13" t="s">
        <v>130</v>
      </c>
      <c r="F83" s="37">
        <v>37100</v>
      </c>
      <c r="G83" s="29" t="s">
        <v>3339</v>
      </c>
      <c r="H83" s="14">
        <v>43585</v>
      </c>
      <c r="I83" s="4" t="s">
        <v>576</v>
      </c>
      <c r="J83" s="71"/>
      <c r="O83" s="35"/>
      <c r="P83" s="35"/>
      <c r="Q83" s="35"/>
      <c r="R83" s="35"/>
      <c r="S83" s="35"/>
    </row>
    <row r="84" spans="1:19" s="62" customFormat="1" ht="13.95" customHeight="1" x14ac:dyDescent="0.25">
      <c r="A84" s="13" t="s">
        <v>637</v>
      </c>
      <c r="B84" s="14"/>
      <c r="C84" s="13"/>
      <c r="D84" s="13" t="s">
        <v>267</v>
      </c>
      <c r="E84" s="13" t="s">
        <v>130</v>
      </c>
      <c r="F84" s="37">
        <v>15400</v>
      </c>
      <c r="G84" s="29" t="s">
        <v>3273</v>
      </c>
      <c r="H84" s="14">
        <v>43585</v>
      </c>
      <c r="I84" s="4" t="s">
        <v>576</v>
      </c>
      <c r="J84" s="71"/>
      <c r="O84" s="35"/>
      <c r="P84" s="35"/>
      <c r="Q84" s="35"/>
      <c r="R84" s="35"/>
      <c r="S84" s="35"/>
    </row>
    <row r="85" spans="1:19" s="62" customFormat="1" ht="13.95" customHeight="1" x14ac:dyDescent="0.25">
      <c r="A85" s="13" t="s">
        <v>639</v>
      </c>
      <c r="B85" s="14"/>
      <c r="C85" s="13"/>
      <c r="D85" s="13" t="s">
        <v>267</v>
      </c>
      <c r="E85" s="13" t="s">
        <v>130</v>
      </c>
      <c r="F85" s="37">
        <v>52500</v>
      </c>
      <c r="G85" s="29" t="s">
        <v>3964</v>
      </c>
      <c r="H85" s="14">
        <v>43585</v>
      </c>
      <c r="I85" s="4" t="s">
        <v>576</v>
      </c>
      <c r="J85" s="71"/>
      <c r="O85" s="35"/>
      <c r="P85" s="35"/>
      <c r="Q85" s="35"/>
      <c r="R85" s="35"/>
      <c r="S85" s="35"/>
    </row>
    <row r="86" spans="1:19" s="62" customFormat="1" ht="13.95" customHeight="1" x14ac:dyDescent="0.25">
      <c r="A86" s="13" t="s">
        <v>91</v>
      </c>
      <c r="B86" s="14"/>
      <c r="C86" s="13"/>
      <c r="D86" s="13" t="s">
        <v>267</v>
      </c>
      <c r="E86" s="13" t="s">
        <v>130</v>
      </c>
      <c r="F86" s="37">
        <v>89600</v>
      </c>
      <c r="G86" s="29" t="s">
        <v>25</v>
      </c>
      <c r="H86" s="14">
        <v>43616</v>
      </c>
      <c r="I86" s="4" t="s">
        <v>576</v>
      </c>
      <c r="J86" s="71"/>
      <c r="O86" s="35"/>
      <c r="P86" s="35"/>
      <c r="Q86" s="35"/>
      <c r="R86" s="35"/>
      <c r="S86" s="35"/>
    </row>
    <row r="87" spans="1:19" s="62" customFormat="1" ht="13.95" customHeight="1" x14ac:dyDescent="0.25">
      <c r="A87" s="13" t="s">
        <v>92</v>
      </c>
      <c r="B87" s="14"/>
      <c r="C87" s="13"/>
      <c r="D87" s="13" t="s">
        <v>267</v>
      </c>
      <c r="E87" s="13" t="s">
        <v>130</v>
      </c>
      <c r="F87" s="37">
        <v>86400</v>
      </c>
      <c r="G87" s="29" t="s">
        <v>320</v>
      </c>
      <c r="H87" s="14">
        <v>43616</v>
      </c>
      <c r="I87" s="4" t="s">
        <v>576</v>
      </c>
      <c r="J87" s="71"/>
      <c r="O87" s="35"/>
      <c r="P87" s="35"/>
      <c r="Q87" s="35"/>
      <c r="R87" s="35"/>
      <c r="S87" s="35"/>
    </row>
    <row r="88" spans="1:19" s="62" customFormat="1" ht="13.95" customHeight="1" x14ac:dyDescent="0.25">
      <c r="A88" s="13" t="s">
        <v>310</v>
      </c>
      <c r="B88" s="14"/>
      <c r="C88" s="13"/>
      <c r="D88" s="13" t="s">
        <v>267</v>
      </c>
      <c r="E88" s="13" t="s">
        <v>130</v>
      </c>
      <c r="F88" s="37">
        <v>37100</v>
      </c>
      <c r="G88" s="29" t="s">
        <v>730</v>
      </c>
      <c r="H88" s="14">
        <v>43616</v>
      </c>
      <c r="I88" s="4" t="s">
        <v>576</v>
      </c>
      <c r="J88" s="71"/>
      <c r="O88" s="35"/>
      <c r="P88" s="35"/>
      <c r="Q88" s="35"/>
      <c r="R88" s="35"/>
      <c r="S88" s="35"/>
    </row>
    <row r="89" spans="1:19" s="62" customFormat="1" ht="13.95" customHeight="1" x14ac:dyDescent="0.25">
      <c r="A89" s="13" t="s">
        <v>311</v>
      </c>
      <c r="B89" s="14"/>
      <c r="C89" s="13"/>
      <c r="D89" s="13" t="s">
        <v>267</v>
      </c>
      <c r="E89" s="13" t="s">
        <v>130</v>
      </c>
      <c r="F89" s="37">
        <v>85400</v>
      </c>
      <c r="G89" s="29" t="s">
        <v>1313</v>
      </c>
      <c r="H89" s="14">
        <v>43616</v>
      </c>
      <c r="I89" s="4" t="s">
        <v>576</v>
      </c>
      <c r="J89" s="71"/>
      <c r="O89" s="35"/>
      <c r="P89" s="35"/>
      <c r="Q89" s="35"/>
      <c r="R89" s="35"/>
      <c r="S89" s="35"/>
    </row>
    <row r="90" spans="1:19" s="62" customFormat="1" ht="13.95" customHeight="1" x14ac:dyDescent="0.25">
      <c r="A90" s="13" t="s">
        <v>455</v>
      </c>
      <c r="B90" s="14"/>
      <c r="C90" s="13"/>
      <c r="D90" s="13" t="s">
        <v>267</v>
      </c>
      <c r="E90" s="13" t="s">
        <v>130</v>
      </c>
      <c r="F90" s="37">
        <v>33600</v>
      </c>
      <c r="G90" s="29" t="s">
        <v>2911</v>
      </c>
      <c r="H90" s="14">
        <v>43616</v>
      </c>
      <c r="I90" s="4" t="s">
        <v>576</v>
      </c>
      <c r="J90" s="71"/>
      <c r="O90" s="35"/>
      <c r="P90" s="35"/>
      <c r="Q90" s="35"/>
      <c r="R90" s="35"/>
      <c r="S90" s="35"/>
    </row>
    <row r="91" spans="1:19" s="62" customFormat="1" ht="13.95" customHeight="1" x14ac:dyDescent="0.25">
      <c r="A91" s="13" t="s">
        <v>442</v>
      </c>
      <c r="B91" s="14"/>
      <c r="C91" s="13"/>
      <c r="D91" s="13" t="s">
        <v>267</v>
      </c>
      <c r="E91" s="13" t="s">
        <v>130</v>
      </c>
      <c r="F91" s="37">
        <v>102200</v>
      </c>
      <c r="G91" s="29" t="s">
        <v>141</v>
      </c>
      <c r="H91" s="14">
        <v>43616</v>
      </c>
      <c r="I91" s="4" t="s">
        <v>576</v>
      </c>
      <c r="J91" s="71"/>
      <c r="O91" s="35"/>
      <c r="P91" s="35"/>
      <c r="Q91" s="35"/>
      <c r="R91" s="35"/>
      <c r="S91" s="35"/>
    </row>
    <row r="92" spans="1:19" s="62" customFormat="1" ht="13.95" customHeight="1" x14ac:dyDescent="0.25">
      <c r="A92" s="13" t="s">
        <v>358</v>
      </c>
      <c r="B92" s="14"/>
      <c r="C92" s="13"/>
      <c r="D92" s="13" t="s">
        <v>267</v>
      </c>
      <c r="E92" s="13" t="s">
        <v>130</v>
      </c>
      <c r="F92" s="37">
        <v>37100</v>
      </c>
      <c r="G92" s="29" t="s">
        <v>2910</v>
      </c>
      <c r="H92" s="14">
        <v>43616</v>
      </c>
      <c r="I92" s="4" t="s">
        <v>576</v>
      </c>
      <c r="J92" s="71"/>
      <c r="O92" s="35"/>
      <c r="P92" s="35"/>
      <c r="Q92" s="35"/>
      <c r="R92" s="35"/>
      <c r="S92" s="35"/>
    </row>
    <row r="93" spans="1:19" s="62" customFormat="1" ht="13.95" customHeight="1" x14ac:dyDescent="0.25">
      <c r="A93" s="13" t="s">
        <v>637</v>
      </c>
      <c r="B93" s="14"/>
      <c r="C93" s="13"/>
      <c r="D93" s="13" t="s">
        <v>267</v>
      </c>
      <c r="E93" s="13" t="s">
        <v>130</v>
      </c>
      <c r="F93" s="37">
        <v>15400</v>
      </c>
      <c r="G93" s="29" t="s">
        <v>1146</v>
      </c>
      <c r="H93" s="14">
        <v>43616</v>
      </c>
      <c r="I93" s="4" t="s">
        <v>576</v>
      </c>
      <c r="J93" s="71"/>
      <c r="O93" s="35"/>
      <c r="P93" s="35"/>
      <c r="Q93" s="35"/>
      <c r="R93" s="35"/>
      <c r="S93" s="35"/>
    </row>
    <row r="94" spans="1:19" s="62" customFormat="1" ht="13.95" customHeight="1" x14ac:dyDescent="0.25">
      <c r="A94" s="13" t="s">
        <v>639</v>
      </c>
      <c r="B94" s="14"/>
      <c r="C94" s="13"/>
      <c r="D94" s="13" t="s">
        <v>267</v>
      </c>
      <c r="E94" s="13" t="s">
        <v>130</v>
      </c>
      <c r="F94" s="37">
        <v>52500</v>
      </c>
      <c r="G94" s="29" t="s">
        <v>173</v>
      </c>
      <c r="H94" s="14">
        <v>43616</v>
      </c>
      <c r="I94" s="4" t="s">
        <v>576</v>
      </c>
      <c r="J94" s="71"/>
      <c r="O94" s="35"/>
      <c r="P94" s="35"/>
      <c r="Q94" s="35"/>
      <c r="R94" s="35"/>
      <c r="S94" s="35"/>
    </row>
    <row r="95" spans="1:19" ht="8.25" customHeight="1" x14ac:dyDescent="0.25">
      <c r="A95" s="17">
        <v>0</v>
      </c>
      <c r="B95" s="39"/>
      <c r="C95" s="40"/>
      <c r="D95" s="17"/>
      <c r="E95" s="17"/>
      <c r="F95" s="37"/>
      <c r="G95" s="38"/>
      <c r="H95" s="39"/>
      <c r="I95" s="17"/>
      <c r="J95" s="2"/>
    </row>
    <row r="96" spans="1:19" s="97" customFormat="1" ht="15.6" x14ac:dyDescent="0.25">
      <c r="A96" s="141" t="s">
        <v>4965</v>
      </c>
      <c r="B96" s="235"/>
      <c r="C96" s="238"/>
      <c r="D96" s="143"/>
      <c r="E96" s="143"/>
      <c r="F96" s="239">
        <f>SUM(F97:F131)</f>
        <v>13050179.25</v>
      </c>
      <c r="G96" s="220"/>
      <c r="H96" s="240"/>
      <c r="I96" s="143"/>
      <c r="J96" s="133"/>
      <c r="K96" s="22"/>
      <c r="L96" s="134"/>
    </row>
    <row r="97" spans="1:12" s="97" customFormat="1" ht="7.2" customHeight="1" x14ac:dyDescent="0.25">
      <c r="A97" s="13">
        <v>0</v>
      </c>
      <c r="B97" s="14"/>
      <c r="C97" s="13"/>
      <c r="D97" s="13"/>
      <c r="E97" s="13"/>
      <c r="F97" s="4"/>
      <c r="G97" s="29"/>
      <c r="H97" s="14"/>
      <c r="I97" s="4"/>
      <c r="J97" s="133"/>
      <c r="K97" s="22"/>
      <c r="L97" s="134"/>
    </row>
    <row r="98" spans="1:12" s="228" customFormat="1" ht="13.95" customHeight="1" x14ac:dyDescent="0.25">
      <c r="A98" s="32" t="s">
        <v>212</v>
      </c>
      <c r="B98" s="14"/>
      <c r="C98" s="13"/>
      <c r="D98" s="32" t="s">
        <v>272</v>
      </c>
      <c r="E98" s="32" t="s">
        <v>212</v>
      </c>
      <c r="F98" s="4">
        <v>374628.63</v>
      </c>
      <c r="G98" s="69" t="s">
        <v>4982</v>
      </c>
      <c r="H98" s="14"/>
      <c r="I98" s="84"/>
      <c r="J98" s="22"/>
      <c r="K98" s="62"/>
    </row>
    <row r="99" spans="1:12" s="228" customFormat="1" ht="13.95" customHeight="1" x14ac:dyDescent="0.25">
      <c r="A99" s="32" t="s">
        <v>212</v>
      </c>
      <c r="B99" s="14"/>
      <c r="C99" s="13"/>
      <c r="D99" s="32" t="s">
        <v>272</v>
      </c>
      <c r="E99" s="32" t="s">
        <v>212</v>
      </c>
      <c r="F99" s="4">
        <v>1240500</v>
      </c>
      <c r="G99" s="69" t="s">
        <v>4985</v>
      </c>
      <c r="H99" s="14"/>
      <c r="I99" s="84"/>
      <c r="J99" s="22"/>
      <c r="K99" s="62"/>
    </row>
    <row r="100" spans="1:12" s="228" customFormat="1" ht="13.95" customHeight="1" x14ac:dyDescent="0.25">
      <c r="A100" s="61" t="s">
        <v>212</v>
      </c>
      <c r="B100" s="14"/>
      <c r="C100" s="13"/>
      <c r="D100" s="32" t="s">
        <v>4537</v>
      </c>
      <c r="E100" s="32" t="s">
        <v>212</v>
      </c>
      <c r="F100" s="4">
        <v>250000</v>
      </c>
      <c r="G100" s="86" t="s">
        <v>4538</v>
      </c>
      <c r="H100" s="211"/>
      <c r="I100" s="208"/>
      <c r="J100" s="21"/>
    </row>
    <row r="101" spans="1:12" s="228" customFormat="1" ht="13.95" customHeight="1" x14ac:dyDescent="0.25">
      <c r="A101" s="61" t="s">
        <v>212</v>
      </c>
      <c r="B101" s="14"/>
      <c r="C101" s="13"/>
      <c r="D101" s="32" t="s">
        <v>4537</v>
      </c>
      <c r="E101" s="32" t="s">
        <v>212</v>
      </c>
      <c r="F101" s="4">
        <v>1475000</v>
      </c>
      <c r="G101" s="86" t="s">
        <v>4539</v>
      </c>
      <c r="H101" s="211"/>
      <c r="I101" s="208"/>
      <c r="J101" s="21"/>
    </row>
    <row r="102" spans="1:12" s="228" customFormat="1" ht="13.95" customHeight="1" x14ac:dyDescent="0.25">
      <c r="A102" s="61" t="s">
        <v>212</v>
      </c>
      <c r="B102" s="14"/>
      <c r="C102" s="13"/>
      <c r="D102" s="32" t="s">
        <v>4537</v>
      </c>
      <c r="E102" s="32" t="s">
        <v>212</v>
      </c>
      <c r="F102" s="4">
        <v>140000</v>
      </c>
      <c r="G102" s="86" t="s">
        <v>4966</v>
      </c>
      <c r="H102" s="211"/>
      <c r="I102" s="208"/>
      <c r="J102" s="21"/>
    </row>
    <row r="103" spans="1:12" s="228" customFormat="1" ht="13.95" customHeight="1" x14ac:dyDescent="0.25">
      <c r="A103" s="32" t="s">
        <v>212</v>
      </c>
      <c r="B103" s="14"/>
      <c r="C103" s="13"/>
      <c r="D103" s="32" t="s">
        <v>669</v>
      </c>
      <c r="E103" s="32" t="s">
        <v>212</v>
      </c>
      <c r="F103" s="4">
        <v>970200</v>
      </c>
      <c r="G103" s="86" t="s">
        <v>4540</v>
      </c>
      <c r="H103" s="211"/>
      <c r="I103" s="208"/>
      <c r="J103" s="21"/>
    </row>
    <row r="104" spans="1:12" s="228" customFormat="1" ht="13.95" customHeight="1" x14ac:dyDescent="0.25">
      <c r="A104" s="32" t="s">
        <v>212</v>
      </c>
      <c r="B104" s="14"/>
      <c r="C104" s="13"/>
      <c r="D104" s="32" t="s">
        <v>669</v>
      </c>
      <c r="E104" s="32" t="s">
        <v>212</v>
      </c>
      <c r="F104" s="4">
        <v>409000</v>
      </c>
      <c r="G104" s="86" t="s">
        <v>4541</v>
      </c>
      <c r="H104" s="211"/>
      <c r="I104" s="208"/>
      <c r="J104" s="21"/>
    </row>
    <row r="105" spans="1:12" s="228" customFormat="1" ht="13.95" customHeight="1" x14ac:dyDescent="0.25">
      <c r="A105" s="32" t="s">
        <v>212</v>
      </c>
      <c r="B105" s="14"/>
      <c r="C105" s="13"/>
      <c r="D105" s="32" t="s">
        <v>669</v>
      </c>
      <c r="E105" s="32" t="s">
        <v>212</v>
      </c>
      <c r="F105" s="4">
        <v>785000</v>
      </c>
      <c r="G105" s="86" t="s">
        <v>4542</v>
      </c>
      <c r="H105" s="211"/>
      <c r="I105" s="208"/>
      <c r="J105" s="21"/>
    </row>
    <row r="106" spans="1:12" s="228" customFormat="1" ht="13.95" customHeight="1" x14ac:dyDescent="0.25">
      <c r="A106" s="32" t="s">
        <v>212</v>
      </c>
      <c r="B106" s="14"/>
      <c r="C106" s="13"/>
      <c r="D106" s="32" t="s">
        <v>452</v>
      </c>
      <c r="E106" s="32" t="s">
        <v>212</v>
      </c>
      <c r="F106" s="4">
        <v>141600</v>
      </c>
      <c r="G106" s="86" t="s">
        <v>4543</v>
      </c>
      <c r="H106" s="211"/>
      <c r="I106" s="208"/>
      <c r="J106" s="21"/>
    </row>
    <row r="107" spans="1:12" s="228" customFormat="1" x14ac:dyDescent="0.25">
      <c r="A107" s="13" t="s">
        <v>212</v>
      </c>
      <c r="B107" s="14"/>
      <c r="C107" s="13"/>
      <c r="D107" s="32" t="s">
        <v>228</v>
      </c>
      <c r="E107" s="32" t="s">
        <v>212</v>
      </c>
      <c r="F107" s="4">
        <f>290000+200000</f>
        <v>490000</v>
      </c>
      <c r="G107" s="86" t="s">
        <v>4967</v>
      </c>
      <c r="H107" s="14"/>
      <c r="I107" s="41"/>
      <c r="J107" s="21"/>
    </row>
    <row r="108" spans="1:12" s="228" customFormat="1" x14ac:dyDescent="0.25">
      <c r="A108" s="13" t="s">
        <v>212</v>
      </c>
      <c r="B108" s="14"/>
      <c r="C108" s="13"/>
      <c r="D108" s="32" t="s">
        <v>228</v>
      </c>
      <c r="E108" s="32" t="s">
        <v>212</v>
      </c>
      <c r="F108" s="4">
        <v>100000</v>
      </c>
      <c r="G108" s="86" t="s">
        <v>4968</v>
      </c>
      <c r="H108" s="14"/>
      <c r="I108" s="41"/>
      <c r="J108" s="21"/>
    </row>
    <row r="109" spans="1:12" s="228" customFormat="1" x14ac:dyDescent="0.25">
      <c r="A109" s="13" t="s">
        <v>212</v>
      </c>
      <c r="B109" s="14"/>
      <c r="C109" s="13"/>
      <c r="D109" s="32" t="s">
        <v>228</v>
      </c>
      <c r="E109" s="32" t="s">
        <v>212</v>
      </c>
      <c r="F109" s="4">
        <v>402781.86</v>
      </c>
      <c r="G109" s="86" t="s">
        <v>4969</v>
      </c>
      <c r="H109" s="14"/>
      <c r="I109" s="41"/>
      <c r="J109" s="21"/>
    </row>
    <row r="110" spans="1:12" s="228" customFormat="1" ht="14.1" customHeight="1" x14ac:dyDescent="0.25">
      <c r="A110" s="32" t="s">
        <v>212</v>
      </c>
      <c r="B110" s="14"/>
      <c r="C110" s="13"/>
      <c r="D110" s="32" t="s">
        <v>541</v>
      </c>
      <c r="E110" s="13" t="s">
        <v>212</v>
      </c>
      <c r="F110" s="4">
        <v>250000</v>
      </c>
      <c r="G110" s="86" t="s">
        <v>4970</v>
      </c>
      <c r="H110" s="211"/>
      <c r="I110" s="208"/>
      <c r="J110" s="21"/>
    </row>
    <row r="111" spans="1:12" s="228" customFormat="1" ht="14.1" customHeight="1" x14ac:dyDescent="0.25">
      <c r="A111" s="32" t="s">
        <v>212</v>
      </c>
      <c r="B111" s="14"/>
      <c r="C111" s="13"/>
      <c r="D111" s="32" t="s">
        <v>541</v>
      </c>
      <c r="E111" s="13" t="s">
        <v>212</v>
      </c>
      <c r="F111" s="4">
        <v>300000</v>
      </c>
      <c r="G111" s="86" t="s">
        <v>4972</v>
      </c>
      <c r="H111" s="211"/>
      <c r="I111" s="208"/>
      <c r="J111" s="21"/>
    </row>
    <row r="112" spans="1:12" s="228" customFormat="1" ht="14.1" customHeight="1" x14ac:dyDescent="0.25">
      <c r="A112" s="32" t="s">
        <v>212</v>
      </c>
      <c r="B112" s="14"/>
      <c r="C112" s="13"/>
      <c r="D112" s="32" t="s">
        <v>541</v>
      </c>
      <c r="E112" s="13" t="s">
        <v>212</v>
      </c>
      <c r="F112" s="4">
        <v>480000</v>
      </c>
      <c r="G112" s="86" t="s">
        <v>4971</v>
      </c>
      <c r="H112" s="211"/>
      <c r="I112" s="208"/>
      <c r="J112" s="21"/>
    </row>
    <row r="113" spans="1:12" s="228" customFormat="1" ht="14.1" customHeight="1" x14ac:dyDescent="0.25">
      <c r="A113" s="32" t="s">
        <v>212</v>
      </c>
      <c r="B113" s="14"/>
      <c r="C113" s="13"/>
      <c r="D113" s="32" t="s">
        <v>739</v>
      </c>
      <c r="E113" s="13" t="s">
        <v>212</v>
      </c>
      <c r="F113" s="4">
        <v>111000</v>
      </c>
      <c r="G113" s="86" t="s">
        <v>4986</v>
      </c>
      <c r="H113" s="211"/>
      <c r="I113" s="208" t="s">
        <v>310</v>
      </c>
      <c r="J113" s="21"/>
    </row>
    <row r="114" spans="1:12" s="228" customFormat="1" ht="14.1" customHeight="1" x14ac:dyDescent="0.25">
      <c r="A114" s="32" t="s">
        <v>212</v>
      </c>
      <c r="B114" s="14"/>
      <c r="C114" s="13"/>
      <c r="D114" s="32" t="s">
        <v>4544</v>
      </c>
      <c r="E114" s="13" t="s">
        <v>212</v>
      </c>
      <c r="F114" s="4">
        <v>320000</v>
      </c>
      <c r="G114" s="86" t="s">
        <v>4978</v>
      </c>
      <c r="H114" s="211"/>
      <c r="I114" s="208"/>
      <c r="J114" s="21"/>
    </row>
    <row r="115" spans="1:12" s="228" customFormat="1" ht="14.1" customHeight="1" x14ac:dyDescent="0.25">
      <c r="A115" s="32" t="s">
        <v>212</v>
      </c>
      <c r="B115" s="14"/>
      <c r="C115" s="13"/>
      <c r="D115" s="32" t="s">
        <v>4544</v>
      </c>
      <c r="E115" s="13" t="s">
        <v>212</v>
      </c>
      <c r="F115" s="4">
        <v>260000</v>
      </c>
      <c r="G115" s="86" t="s">
        <v>4973</v>
      </c>
      <c r="H115" s="211"/>
      <c r="I115" s="208"/>
      <c r="J115" s="21"/>
    </row>
    <row r="116" spans="1:12" s="228" customFormat="1" ht="14.1" customHeight="1" x14ac:dyDescent="0.25">
      <c r="A116" s="32" t="s">
        <v>212</v>
      </c>
      <c r="B116" s="14"/>
      <c r="C116" s="13"/>
      <c r="D116" s="32" t="s">
        <v>4544</v>
      </c>
      <c r="E116" s="13" t="s">
        <v>212</v>
      </c>
      <c r="F116" s="4">
        <v>1080000</v>
      </c>
      <c r="G116" s="86" t="s">
        <v>4974</v>
      </c>
      <c r="H116" s="211"/>
      <c r="I116" s="208"/>
      <c r="J116" s="21"/>
    </row>
    <row r="117" spans="1:12" s="228" customFormat="1" ht="14.1" customHeight="1" x14ac:dyDescent="0.25">
      <c r="A117" s="32" t="s">
        <v>212</v>
      </c>
      <c r="B117" s="14"/>
      <c r="C117" s="13"/>
      <c r="D117" s="32" t="s">
        <v>4544</v>
      </c>
      <c r="E117" s="13" t="s">
        <v>212</v>
      </c>
      <c r="F117" s="4">
        <v>960000</v>
      </c>
      <c r="G117" s="86" t="s">
        <v>4975</v>
      </c>
      <c r="H117" s="211"/>
      <c r="I117" s="208"/>
      <c r="J117" s="21"/>
    </row>
    <row r="118" spans="1:12" s="228" customFormat="1" ht="14.1" customHeight="1" x14ac:dyDescent="0.25">
      <c r="A118" s="32" t="s">
        <v>212</v>
      </c>
      <c r="B118" s="14"/>
      <c r="C118" s="13"/>
      <c r="D118" s="32" t="s">
        <v>4544</v>
      </c>
      <c r="E118" s="13" t="s">
        <v>212</v>
      </c>
      <c r="F118" s="4">
        <v>700000</v>
      </c>
      <c r="G118" s="86" t="s">
        <v>4977</v>
      </c>
      <c r="H118" s="211"/>
      <c r="I118" s="208"/>
      <c r="J118" s="21"/>
    </row>
    <row r="119" spans="1:12" s="228" customFormat="1" ht="14.1" customHeight="1" x14ac:dyDescent="0.25">
      <c r="A119" s="32" t="s">
        <v>212</v>
      </c>
      <c r="B119" s="14"/>
      <c r="C119" s="13"/>
      <c r="D119" s="32" t="s">
        <v>4544</v>
      </c>
      <c r="E119" s="13" t="s">
        <v>212</v>
      </c>
      <c r="F119" s="4">
        <v>100000</v>
      </c>
      <c r="G119" s="86" t="s">
        <v>4976</v>
      </c>
      <c r="H119" s="211"/>
      <c r="I119" s="208"/>
      <c r="J119" s="21"/>
    </row>
    <row r="120" spans="1:12" s="228" customFormat="1" ht="14.1" customHeight="1" x14ac:dyDescent="0.25">
      <c r="A120" s="32" t="s">
        <v>212</v>
      </c>
      <c r="B120" s="14"/>
      <c r="C120" s="13"/>
      <c r="D120" s="32" t="s">
        <v>4544</v>
      </c>
      <c r="E120" s="13" t="s">
        <v>212</v>
      </c>
      <c r="F120" s="4">
        <v>600000</v>
      </c>
      <c r="G120" s="86" t="s">
        <v>4979</v>
      </c>
      <c r="H120" s="211"/>
      <c r="I120" s="208"/>
      <c r="J120" s="21"/>
    </row>
    <row r="121" spans="1:12" s="228" customFormat="1" ht="14.1" customHeight="1" x14ac:dyDescent="0.25">
      <c r="A121" s="32" t="s">
        <v>212</v>
      </c>
      <c r="B121" s="14"/>
      <c r="C121" s="13"/>
      <c r="D121" s="32" t="s">
        <v>4544</v>
      </c>
      <c r="E121" s="13" t="s">
        <v>212</v>
      </c>
      <c r="F121" s="4">
        <v>400000</v>
      </c>
      <c r="G121" s="86" t="s">
        <v>4980</v>
      </c>
      <c r="H121" s="211"/>
      <c r="I121" s="208"/>
      <c r="J121" s="21"/>
    </row>
    <row r="122" spans="1:12" s="228" customFormat="1" ht="13.95" customHeight="1" x14ac:dyDescent="0.25">
      <c r="A122" s="68" t="s">
        <v>212</v>
      </c>
      <c r="B122" s="14"/>
      <c r="C122" s="13"/>
      <c r="D122" s="13" t="s">
        <v>4470</v>
      </c>
      <c r="E122" s="32" t="s">
        <v>212</v>
      </c>
      <c r="F122" s="4">
        <v>200000</v>
      </c>
      <c r="G122" s="86" t="s">
        <v>4981</v>
      </c>
      <c r="H122" s="14"/>
      <c r="I122" s="4" t="s">
        <v>4545</v>
      </c>
      <c r="J122" s="71"/>
      <c r="K122" s="62"/>
      <c r="L122" s="62"/>
    </row>
    <row r="123" spans="1:12" s="228" customFormat="1" ht="13.95" customHeight="1" x14ac:dyDescent="0.25">
      <c r="A123" s="68" t="s">
        <v>212</v>
      </c>
      <c r="B123" s="14"/>
      <c r="C123" s="13"/>
      <c r="D123" s="13" t="s">
        <v>3313</v>
      </c>
      <c r="E123" s="32" t="s">
        <v>212</v>
      </c>
      <c r="F123" s="4">
        <v>15000</v>
      </c>
      <c r="G123" s="86" t="s">
        <v>4982</v>
      </c>
      <c r="H123" s="14"/>
      <c r="I123" s="4" t="s">
        <v>4545</v>
      </c>
      <c r="J123" s="71"/>
      <c r="K123" s="62"/>
      <c r="L123" s="62"/>
    </row>
    <row r="124" spans="1:12" s="228" customFormat="1" ht="13.95" customHeight="1" x14ac:dyDescent="0.25">
      <c r="A124" s="68" t="s">
        <v>212</v>
      </c>
      <c r="B124" s="14"/>
      <c r="C124" s="13"/>
      <c r="D124" s="13" t="s">
        <v>510</v>
      </c>
      <c r="E124" s="32" t="s">
        <v>212</v>
      </c>
      <c r="F124" s="4">
        <v>66823.28</v>
      </c>
      <c r="G124" s="86" t="s">
        <v>4983</v>
      </c>
      <c r="H124" s="14"/>
      <c r="I124" s="4" t="s">
        <v>92</v>
      </c>
      <c r="J124" s="71"/>
      <c r="K124" s="62"/>
      <c r="L124" s="62"/>
    </row>
    <row r="125" spans="1:12" s="228" customFormat="1" ht="14.1" customHeight="1" x14ac:dyDescent="0.25">
      <c r="A125" s="32" t="s">
        <v>212</v>
      </c>
      <c r="B125" s="14"/>
      <c r="C125" s="13"/>
      <c r="D125" s="32" t="s">
        <v>626</v>
      </c>
      <c r="E125" s="32" t="s">
        <v>212</v>
      </c>
      <c r="F125" s="4">
        <v>150000</v>
      </c>
      <c r="G125" s="86" t="s">
        <v>4974</v>
      </c>
      <c r="H125" s="211"/>
      <c r="I125" s="208" t="s">
        <v>91</v>
      </c>
      <c r="J125" s="21"/>
    </row>
    <row r="126" spans="1:12" s="228" customFormat="1" ht="14.1" customHeight="1" x14ac:dyDescent="0.25">
      <c r="A126" s="32" t="s">
        <v>212</v>
      </c>
      <c r="B126" s="14"/>
      <c r="C126" s="13"/>
      <c r="D126" s="32" t="s">
        <v>39</v>
      </c>
      <c r="E126" s="32" t="s">
        <v>212</v>
      </c>
      <c r="F126" s="4">
        <v>278645.48</v>
      </c>
      <c r="G126" s="69" t="s">
        <v>4984</v>
      </c>
      <c r="H126" s="14"/>
      <c r="I126" s="4" t="s">
        <v>4546</v>
      </c>
      <c r="J126" s="21"/>
    </row>
  </sheetData>
  <autoFilter ref="A2:I126"/>
  <mergeCells count="1">
    <mergeCell ref="G1:H1"/>
  </mergeCells>
  <pageMargins left="0.19685039370078741" right="0.19685039370078741" top="0.39370078740157483" bottom="0.39370078740157483" header="0.51181102362204722" footer="0.51181102362204722"/>
  <pageSetup paperSize="9" scale="55" fitToHeight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570"/>
  <sheetViews>
    <sheetView zoomScaleNormal="100" workbookViewId="0">
      <pane ySplit="3" topLeftCell="A68" activePane="bottomLeft" state="frozen"/>
      <selection activeCell="F152" sqref="F152"/>
      <selection pane="bottomLeft" activeCell="D75" sqref="D75"/>
    </sheetView>
  </sheetViews>
  <sheetFormatPr defaultColWidth="9.44140625" defaultRowHeight="13.8" x14ac:dyDescent="0.25"/>
  <cols>
    <col min="1" max="1" width="14.44140625" style="2" customWidth="1"/>
    <col min="2" max="2" width="13.88671875" style="33" customWidth="1"/>
    <col min="3" max="3" width="10" style="49" customWidth="1"/>
    <col min="4" max="4" width="24.6640625" style="2" customWidth="1"/>
    <col min="5" max="5" width="11.88671875" style="2" customWidth="1"/>
    <col min="6" max="6" width="18.44140625" style="31" customWidth="1"/>
    <col min="7" max="7" width="19.109375" style="26" customWidth="1"/>
    <col min="8" max="8" width="10.109375" style="2" customWidth="1"/>
    <col min="9" max="9" width="32" style="2" customWidth="1"/>
    <col min="10" max="10" width="13.5546875" style="341" customWidth="1"/>
    <col min="11" max="11" width="15.5546875" style="31" customWidth="1"/>
    <col min="12" max="12" width="16.5546875" style="31" customWidth="1"/>
    <col min="13" max="16384" width="9.44140625" style="2"/>
  </cols>
  <sheetData>
    <row r="1" spans="1:19" ht="13.95" customHeight="1" thickBot="1" x14ac:dyDescent="0.3">
      <c r="A1" s="234"/>
      <c r="B1" s="104"/>
      <c r="C1" s="104"/>
      <c r="G1" s="568"/>
      <c r="H1" s="569"/>
      <c r="I1" s="105"/>
    </row>
    <row r="2" spans="1:19" s="1" customFormat="1" ht="28.5" customHeight="1" thickTop="1" thickBot="1" x14ac:dyDescent="0.3">
      <c r="A2" s="89"/>
      <c r="B2" s="137" t="s">
        <v>489</v>
      </c>
      <c r="C2" s="163">
        <f>C10+C39+C153+C188+C459+C470+C479+C497</f>
        <v>714.96999999999991</v>
      </c>
      <c r="E2" s="48" t="s">
        <v>119</v>
      </c>
      <c r="F2" s="47">
        <f>F7+F39+F10+F153+F188+F459+F470+F479+F497+F508+F4</f>
        <v>819211333.67029595</v>
      </c>
      <c r="G2" s="75"/>
      <c r="J2" s="341"/>
      <c r="K2" s="31"/>
      <c r="L2" s="31"/>
    </row>
    <row r="3" spans="1:19" s="8" customFormat="1" ht="40.35" customHeight="1" thickTop="1" x14ac:dyDescent="0.25">
      <c r="A3" s="6" t="s">
        <v>192</v>
      </c>
      <c r="B3" s="14" t="s">
        <v>37</v>
      </c>
      <c r="C3" s="42" t="s">
        <v>51</v>
      </c>
      <c r="D3" s="6" t="s">
        <v>109</v>
      </c>
      <c r="E3" s="6" t="s">
        <v>121</v>
      </c>
      <c r="F3" s="46" t="s">
        <v>56</v>
      </c>
      <c r="G3" s="27" t="s">
        <v>58</v>
      </c>
      <c r="H3" s="6" t="s">
        <v>57</v>
      </c>
      <c r="I3" s="7" t="s">
        <v>10</v>
      </c>
      <c r="J3" s="342"/>
      <c r="K3" s="23"/>
      <c r="L3" s="23"/>
    </row>
    <row r="4" spans="1:19" s="31" customFormat="1" ht="14.85" customHeight="1" x14ac:dyDescent="0.25">
      <c r="A4" s="11" t="s">
        <v>701</v>
      </c>
      <c r="B4" s="66"/>
      <c r="C4" s="213">
        <f>SUM(C5:C6)</f>
        <v>0</v>
      </c>
      <c r="D4" s="9"/>
      <c r="E4" s="65"/>
      <c r="F4" s="390">
        <f>SUM(F5:F6)</f>
        <v>0</v>
      </c>
      <c r="G4" s="24"/>
      <c r="H4" s="9"/>
      <c r="I4" s="10"/>
      <c r="J4" s="341"/>
    </row>
    <row r="5" spans="1:19" s="228" customFormat="1" ht="6.9" customHeight="1" x14ac:dyDescent="0.25">
      <c r="A5" s="110">
        <v>0</v>
      </c>
      <c r="B5" s="111"/>
      <c r="C5" s="112"/>
      <c r="D5" s="110"/>
      <c r="E5" s="110"/>
      <c r="F5" s="113"/>
      <c r="G5" s="114"/>
      <c r="H5" s="111"/>
      <c r="I5" s="110"/>
      <c r="J5" s="169"/>
    </row>
    <row r="6" spans="1:19" ht="5.4" customHeight="1" x14ac:dyDescent="0.25">
      <c r="A6" s="32"/>
      <c r="B6" s="14"/>
      <c r="C6" s="13"/>
      <c r="D6" s="32"/>
      <c r="E6" s="32"/>
      <c r="F6" s="4"/>
      <c r="G6" s="28"/>
      <c r="H6" s="14"/>
      <c r="I6" s="32"/>
    </row>
    <row r="7" spans="1:19" s="8" customFormat="1" ht="18.75" customHeight="1" x14ac:dyDescent="0.25">
      <c r="A7" s="11" t="s">
        <v>652</v>
      </c>
      <c r="B7" s="66"/>
      <c r="C7" s="213">
        <f>SUM(C8:C9)</f>
        <v>0</v>
      </c>
      <c r="D7" s="9"/>
      <c r="E7" s="9"/>
      <c r="F7" s="390">
        <f>SUM(F8:F9)</f>
        <v>0</v>
      </c>
      <c r="G7" s="24"/>
      <c r="H7" s="9"/>
      <c r="I7" s="10"/>
      <c r="J7" s="341"/>
      <c r="K7" s="34"/>
      <c r="L7" s="34"/>
      <c r="M7" s="23"/>
      <c r="N7" s="23"/>
      <c r="O7" s="23"/>
      <c r="P7" s="23"/>
      <c r="Q7" s="23"/>
      <c r="R7" s="23"/>
      <c r="S7" s="23"/>
    </row>
    <row r="8" spans="1:19" ht="8.25" customHeight="1" x14ac:dyDescent="0.25">
      <c r="A8" s="17">
        <v>0</v>
      </c>
      <c r="B8" s="39"/>
      <c r="C8" s="40"/>
      <c r="D8" s="17"/>
      <c r="E8" s="17"/>
      <c r="F8" s="36"/>
      <c r="G8" s="38"/>
      <c r="H8" s="39"/>
      <c r="I8" s="17"/>
      <c r="J8" s="5"/>
    </row>
    <row r="9" spans="1:19" ht="8.25" customHeight="1" x14ac:dyDescent="0.25">
      <c r="A9" s="17">
        <v>0</v>
      </c>
      <c r="B9" s="39"/>
      <c r="C9" s="40"/>
      <c r="D9" s="17"/>
      <c r="E9" s="17"/>
      <c r="F9" s="36"/>
      <c r="G9" s="38"/>
      <c r="H9" s="39"/>
      <c r="I9" s="17"/>
      <c r="J9" s="5"/>
    </row>
    <row r="10" spans="1:19" s="8" customFormat="1" ht="19.350000000000001" customHeight="1" x14ac:dyDescent="0.25">
      <c r="A10" s="11" t="s">
        <v>3</v>
      </c>
      <c r="B10" s="66"/>
      <c r="C10" s="213">
        <f>SUM(C11:C38)</f>
        <v>162.80000000000001</v>
      </c>
      <c r="D10" s="9"/>
      <c r="E10" s="9"/>
      <c r="F10" s="390">
        <f>SUM(F11:F38)</f>
        <v>163775873.06748277</v>
      </c>
      <c r="G10" s="24"/>
      <c r="H10" s="9"/>
      <c r="I10" s="10"/>
      <c r="J10" s="342"/>
      <c r="K10" s="23"/>
      <c r="L10" s="23"/>
    </row>
    <row r="11" spans="1:19" ht="8.25" customHeight="1" x14ac:dyDescent="0.25">
      <c r="A11" s="17">
        <v>0</v>
      </c>
      <c r="B11" s="39"/>
      <c r="C11" s="40"/>
      <c r="D11" s="17"/>
      <c r="E11" s="17"/>
      <c r="F11" s="36"/>
      <c r="G11" s="38"/>
      <c r="H11" s="39"/>
      <c r="I11" s="17"/>
      <c r="J11" s="5"/>
    </row>
    <row r="12" spans="1:19" s="374" customFormat="1" ht="13.95" customHeight="1" x14ac:dyDescent="0.25">
      <c r="A12" s="368" t="s">
        <v>91</v>
      </c>
      <c r="B12" s="366"/>
      <c r="C12" s="367">
        <v>0</v>
      </c>
      <c r="D12" s="368" t="s">
        <v>999</v>
      </c>
      <c r="E12" s="368" t="s">
        <v>62</v>
      </c>
      <c r="F12" s="369">
        <v>0</v>
      </c>
      <c r="G12" s="540" t="s">
        <v>2317</v>
      </c>
      <c r="H12" s="366"/>
      <c r="I12" s="543" t="s">
        <v>882</v>
      </c>
      <c r="J12" s="539"/>
    </row>
    <row r="13" spans="1:19" s="228" customFormat="1" ht="13.95" customHeight="1" x14ac:dyDescent="0.25">
      <c r="A13" s="32" t="s">
        <v>55</v>
      </c>
      <c r="B13" s="14"/>
      <c r="C13" s="13">
        <v>0</v>
      </c>
      <c r="D13" s="32" t="s">
        <v>999</v>
      </c>
      <c r="E13" s="32" t="s">
        <v>62</v>
      </c>
      <c r="F13" s="4">
        <v>0</v>
      </c>
      <c r="G13" s="69" t="s">
        <v>1000</v>
      </c>
      <c r="H13" s="14"/>
      <c r="I13" s="84" t="s">
        <v>882</v>
      </c>
      <c r="J13" s="21"/>
    </row>
    <row r="14" spans="1:19" s="228" customFormat="1" ht="13.95" customHeight="1" x14ac:dyDescent="0.25">
      <c r="A14" s="32" t="s">
        <v>55</v>
      </c>
      <c r="B14" s="14"/>
      <c r="C14" s="13">
        <v>0</v>
      </c>
      <c r="D14" s="32" t="s">
        <v>999</v>
      </c>
      <c r="E14" s="32" t="s">
        <v>130</v>
      </c>
      <c r="F14" s="4">
        <v>0</v>
      </c>
      <c r="G14" s="69" t="s">
        <v>2092</v>
      </c>
      <c r="H14" s="14"/>
      <c r="I14" s="84" t="s">
        <v>2097</v>
      </c>
      <c r="J14" s="21"/>
    </row>
    <row r="15" spans="1:19" s="228" customFormat="1" ht="13.95" customHeight="1" x14ac:dyDescent="0.25">
      <c r="A15" s="32" t="s">
        <v>55</v>
      </c>
      <c r="B15" s="14"/>
      <c r="C15" s="13">
        <v>0</v>
      </c>
      <c r="D15" s="32" t="s">
        <v>999</v>
      </c>
      <c r="E15" s="32" t="s">
        <v>130</v>
      </c>
      <c r="F15" s="4">
        <v>0</v>
      </c>
      <c r="G15" s="69" t="s">
        <v>2315</v>
      </c>
      <c r="H15" s="14"/>
      <c r="I15" s="84" t="s">
        <v>2316</v>
      </c>
      <c r="J15" s="21"/>
    </row>
    <row r="16" spans="1:19" s="228" customFormat="1" x14ac:dyDescent="0.25">
      <c r="A16" s="68" t="s">
        <v>188</v>
      </c>
      <c r="B16" s="14"/>
      <c r="C16" s="13">
        <v>0.6</v>
      </c>
      <c r="D16" s="32" t="s">
        <v>4071</v>
      </c>
      <c r="E16" s="32" t="s">
        <v>60</v>
      </c>
      <c r="F16" s="4">
        <v>610797.69999999995</v>
      </c>
      <c r="G16" s="86" t="s">
        <v>4072</v>
      </c>
      <c r="H16" s="211">
        <v>42464</v>
      </c>
      <c r="I16" s="208" t="s">
        <v>21</v>
      </c>
      <c r="J16" s="21"/>
    </row>
    <row r="17" spans="1:11" s="374" customFormat="1" ht="16.2" customHeight="1" x14ac:dyDescent="0.25">
      <c r="A17" s="537" t="s">
        <v>1654</v>
      </c>
      <c r="B17" s="366" t="s">
        <v>284</v>
      </c>
      <c r="C17" s="367">
        <v>4.5999999999999996</v>
      </c>
      <c r="D17" s="368" t="s">
        <v>1655</v>
      </c>
      <c r="E17" s="368" t="s">
        <v>62</v>
      </c>
      <c r="F17" s="369">
        <v>4552709.0199999996</v>
      </c>
      <c r="G17" s="540" t="s">
        <v>1656</v>
      </c>
      <c r="H17" s="366"/>
      <c r="I17" s="543" t="s">
        <v>273</v>
      </c>
      <c r="J17" s="372"/>
      <c r="K17" s="373"/>
    </row>
    <row r="18" spans="1:11" s="228" customFormat="1" ht="14.85" customHeight="1" x14ac:dyDescent="0.25">
      <c r="A18" s="68" t="s">
        <v>213</v>
      </c>
      <c r="B18" s="14" t="s">
        <v>754</v>
      </c>
      <c r="C18" s="13">
        <v>0.2</v>
      </c>
      <c r="D18" s="32" t="s">
        <v>1938</v>
      </c>
      <c r="E18" s="32" t="s">
        <v>808</v>
      </c>
      <c r="F18" s="4">
        <v>235345.82</v>
      </c>
      <c r="G18" s="69" t="s">
        <v>1456</v>
      </c>
      <c r="H18" s="14"/>
      <c r="I18" s="41" t="s">
        <v>21</v>
      </c>
      <c r="J18" s="22"/>
      <c r="K18" s="62"/>
    </row>
    <row r="19" spans="1:11" s="374" customFormat="1" ht="14.85" customHeight="1" x14ac:dyDescent="0.25">
      <c r="A19" s="537" t="s">
        <v>550</v>
      </c>
      <c r="B19" s="366"/>
      <c r="C19" s="367">
        <v>0</v>
      </c>
      <c r="D19" s="368" t="s">
        <v>1938</v>
      </c>
      <c r="E19" s="368" t="s">
        <v>62</v>
      </c>
      <c r="F19" s="369"/>
      <c r="G19" s="540" t="s">
        <v>551</v>
      </c>
      <c r="H19" s="366"/>
      <c r="I19" s="538" t="s">
        <v>21</v>
      </c>
      <c r="J19" s="372"/>
      <c r="K19" s="373"/>
    </row>
    <row r="20" spans="1:11" s="374" customFormat="1" ht="13.95" customHeight="1" x14ac:dyDescent="0.25">
      <c r="A20" s="537" t="s">
        <v>668</v>
      </c>
      <c r="B20" s="366"/>
      <c r="C20" s="367">
        <v>1.1000000000000001</v>
      </c>
      <c r="D20" s="368" t="s">
        <v>2759</v>
      </c>
      <c r="E20" s="368" t="s">
        <v>62</v>
      </c>
      <c r="F20" s="369">
        <v>1110565.1200000001</v>
      </c>
      <c r="G20" s="370" t="s">
        <v>2607</v>
      </c>
      <c r="H20" s="371"/>
      <c r="I20" s="543" t="s">
        <v>23</v>
      </c>
      <c r="J20" s="539"/>
    </row>
    <row r="21" spans="1:11" s="374" customFormat="1" ht="13.95" customHeight="1" x14ac:dyDescent="0.25">
      <c r="A21" s="537" t="s">
        <v>1165</v>
      </c>
      <c r="B21" s="366" t="s">
        <v>9468</v>
      </c>
      <c r="C21" s="367">
        <v>14.8</v>
      </c>
      <c r="D21" s="368" t="s">
        <v>2759</v>
      </c>
      <c r="E21" s="368" t="s">
        <v>62</v>
      </c>
      <c r="F21" s="369">
        <v>14854551.699999999</v>
      </c>
      <c r="G21" s="370" t="s">
        <v>2608</v>
      </c>
      <c r="H21" s="371"/>
      <c r="I21" s="543" t="s">
        <v>23</v>
      </c>
      <c r="J21" s="539"/>
    </row>
    <row r="22" spans="1:11" s="374" customFormat="1" ht="13.95" customHeight="1" x14ac:dyDescent="0.25">
      <c r="A22" s="537" t="s">
        <v>310</v>
      </c>
      <c r="B22" s="366"/>
      <c r="C22" s="367">
        <v>4.9000000000000004</v>
      </c>
      <c r="D22" s="368" t="s">
        <v>4487</v>
      </c>
      <c r="E22" s="368" t="s">
        <v>958</v>
      </c>
      <c r="F22" s="369">
        <v>4924842.2974827588</v>
      </c>
      <c r="G22" s="370" t="s">
        <v>4486</v>
      </c>
      <c r="H22" s="371"/>
      <c r="I22" s="543" t="s">
        <v>273</v>
      </c>
      <c r="J22" s="539"/>
    </row>
    <row r="23" spans="1:11" s="228" customFormat="1" ht="13.95" customHeight="1" x14ac:dyDescent="0.25">
      <c r="A23" s="68" t="s">
        <v>151</v>
      </c>
      <c r="B23" s="14"/>
      <c r="C23" s="13">
        <v>0.2</v>
      </c>
      <c r="D23" s="32" t="s">
        <v>272</v>
      </c>
      <c r="E23" s="32" t="s">
        <v>195</v>
      </c>
      <c r="F23" s="4">
        <v>200000</v>
      </c>
      <c r="G23" s="86" t="s">
        <v>5521</v>
      </c>
      <c r="H23" s="211"/>
      <c r="I23" s="84" t="s">
        <v>5522</v>
      </c>
      <c r="J23" s="21" t="s">
        <v>5523</v>
      </c>
    </row>
    <row r="24" spans="1:11" s="374" customFormat="1" ht="13.8" customHeight="1" x14ac:dyDescent="0.25">
      <c r="A24" s="368" t="s">
        <v>1148</v>
      </c>
      <c r="B24" s="366"/>
      <c r="C24" s="367">
        <v>0.3</v>
      </c>
      <c r="D24" s="368" t="s">
        <v>272</v>
      </c>
      <c r="E24" s="368" t="s">
        <v>808</v>
      </c>
      <c r="F24" s="369">
        <v>289312.44</v>
      </c>
      <c r="G24" s="540" t="s">
        <v>3370</v>
      </c>
      <c r="H24" s="366"/>
      <c r="I24" s="543" t="s">
        <v>9336</v>
      </c>
      <c r="J24" s="372"/>
      <c r="K24" s="373"/>
    </row>
    <row r="25" spans="1:11" s="374" customFormat="1" ht="13.95" customHeight="1" x14ac:dyDescent="0.25">
      <c r="A25" s="537" t="s">
        <v>311</v>
      </c>
      <c r="B25" s="366"/>
      <c r="C25" s="367">
        <v>0</v>
      </c>
      <c r="D25" s="368" t="s">
        <v>272</v>
      </c>
      <c r="E25" s="368" t="s">
        <v>958</v>
      </c>
      <c r="F25" s="369">
        <v>0</v>
      </c>
      <c r="G25" s="370" t="s">
        <v>4485</v>
      </c>
      <c r="H25" s="371"/>
      <c r="I25" s="543" t="s">
        <v>273</v>
      </c>
      <c r="J25" s="539"/>
    </row>
    <row r="26" spans="1:11" s="374" customFormat="1" ht="13.95" customHeight="1" x14ac:dyDescent="0.25">
      <c r="A26" s="537" t="s">
        <v>311</v>
      </c>
      <c r="B26" s="366"/>
      <c r="C26" s="367">
        <v>0</v>
      </c>
      <c r="D26" s="368" t="s">
        <v>272</v>
      </c>
      <c r="E26" s="368" t="s">
        <v>958</v>
      </c>
      <c r="F26" s="369">
        <v>0</v>
      </c>
      <c r="G26" s="370" t="s">
        <v>7259</v>
      </c>
      <c r="H26" s="371"/>
      <c r="I26" s="543" t="s">
        <v>7260</v>
      </c>
      <c r="J26" s="539"/>
    </row>
    <row r="27" spans="1:11" s="374" customFormat="1" ht="13.95" customHeight="1" x14ac:dyDescent="0.25">
      <c r="A27" s="537" t="s">
        <v>9280</v>
      </c>
      <c r="B27" s="366"/>
      <c r="C27" s="367">
        <v>33.6</v>
      </c>
      <c r="D27" s="368" t="s">
        <v>272</v>
      </c>
      <c r="E27" s="368" t="s">
        <v>62</v>
      </c>
      <c r="F27" s="369">
        <f>33600000</f>
        <v>33600000</v>
      </c>
      <c r="G27" s="370" t="s">
        <v>9281</v>
      </c>
      <c r="H27" s="371"/>
      <c r="I27" s="543" t="s">
        <v>273</v>
      </c>
      <c r="J27" s="539"/>
    </row>
    <row r="28" spans="1:11" s="374" customFormat="1" ht="13.95" customHeight="1" x14ac:dyDescent="0.25">
      <c r="A28" s="537" t="s">
        <v>550</v>
      </c>
      <c r="B28" s="366"/>
      <c r="C28" s="367">
        <v>4.3</v>
      </c>
      <c r="D28" s="368" t="s">
        <v>272</v>
      </c>
      <c r="E28" s="368" t="s">
        <v>62</v>
      </c>
      <c r="F28" s="369">
        <v>4327118</v>
      </c>
      <c r="G28" s="370" t="s">
        <v>5725</v>
      </c>
      <c r="H28" s="371"/>
      <c r="I28" s="543" t="s">
        <v>273</v>
      </c>
      <c r="J28" s="539"/>
    </row>
    <row r="29" spans="1:11" s="374" customFormat="1" ht="13.95" customHeight="1" x14ac:dyDescent="0.25">
      <c r="A29" s="537" t="s">
        <v>534</v>
      </c>
      <c r="B29" s="366"/>
      <c r="C29" s="367">
        <v>-0.8</v>
      </c>
      <c r="D29" s="368" t="s">
        <v>272</v>
      </c>
      <c r="E29" s="368" t="s">
        <v>62</v>
      </c>
      <c r="F29" s="369">
        <v>0</v>
      </c>
      <c r="G29" s="370" t="s">
        <v>535</v>
      </c>
      <c r="H29" s="371"/>
      <c r="I29" s="543" t="s">
        <v>273</v>
      </c>
      <c r="J29" s="539"/>
    </row>
    <row r="30" spans="1:11" s="374" customFormat="1" ht="13.95" customHeight="1" x14ac:dyDescent="0.25">
      <c r="A30" s="537" t="s">
        <v>536</v>
      </c>
      <c r="B30" s="366"/>
      <c r="C30" s="367">
        <v>0.2</v>
      </c>
      <c r="D30" s="368" t="s">
        <v>272</v>
      </c>
      <c r="E30" s="368" t="s">
        <v>62</v>
      </c>
      <c r="F30" s="369">
        <v>205809.54</v>
      </c>
      <c r="G30" s="370" t="s">
        <v>537</v>
      </c>
      <c r="H30" s="371"/>
      <c r="I30" s="543" t="s">
        <v>273</v>
      </c>
      <c r="J30" s="539"/>
    </row>
    <row r="31" spans="1:11" s="374" customFormat="1" ht="16.2" customHeight="1" x14ac:dyDescent="0.25">
      <c r="A31" s="368" t="s">
        <v>92</v>
      </c>
      <c r="B31" s="366" t="s">
        <v>284</v>
      </c>
      <c r="C31" s="367">
        <v>21.1</v>
      </c>
      <c r="D31" s="368" t="s">
        <v>272</v>
      </c>
      <c r="E31" s="368" t="s">
        <v>38</v>
      </c>
      <c r="F31" s="369">
        <v>21086845.969999999</v>
      </c>
      <c r="G31" s="540" t="s">
        <v>617</v>
      </c>
      <c r="H31" s="366"/>
      <c r="I31" s="543" t="s">
        <v>273</v>
      </c>
      <c r="J31" s="372"/>
      <c r="K31" s="373"/>
    </row>
    <row r="32" spans="1:11" s="228" customFormat="1" ht="13.95" customHeight="1" x14ac:dyDescent="0.25">
      <c r="A32" s="32" t="s">
        <v>1286</v>
      </c>
      <c r="B32" s="14"/>
      <c r="C32" s="13">
        <v>0.9</v>
      </c>
      <c r="D32" s="32" t="s">
        <v>272</v>
      </c>
      <c r="E32" s="32" t="s">
        <v>62</v>
      </c>
      <c r="F32" s="4">
        <v>903858.03</v>
      </c>
      <c r="G32" s="69" t="s">
        <v>1195</v>
      </c>
      <c r="H32" s="14"/>
      <c r="I32" s="84" t="s">
        <v>1196</v>
      </c>
      <c r="J32" s="22"/>
      <c r="K32" s="62"/>
    </row>
    <row r="33" spans="1:16" s="374" customFormat="1" ht="15.6" customHeight="1" x14ac:dyDescent="0.25">
      <c r="A33" s="537" t="s">
        <v>1637</v>
      </c>
      <c r="B33" s="366" t="s">
        <v>9473</v>
      </c>
      <c r="C33" s="367">
        <v>36.700000000000003</v>
      </c>
      <c r="D33" s="368" t="s">
        <v>1644</v>
      </c>
      <c r="E33" s="368" t="s">
        <v>62</v>
      </c>
      <c r="F33" s="369">
        <v>36726355.380000003</v>
      </c>
      <c r="G33" s="370" t="s">
        <v>4252</v>
      </c>
      <c r="H33" s="371"/>
      <c r="I33" s="543" t="s">
        <v>23</v>
      </c>
      <c r="J33" s="539"/>
    </row>
    <row r="34" spans="1:16" s="374" customFormat="1" ht="13.95" customHeight="1" x14ac:dyDescent="0.25">
      <c r="A34" s="537" t="s">
        <v>1640</v>
      </c>
      <c r="B34" s="366" t="s">
        <v>9472</v>
      </c>
      <c r="C34" s="367">
        <v>12.2</v>
      </c>
      <c r="D34" s="368" t="s">
        <v>1644</v>
      </c>
      <c r="E34" s="368" t="s">
        <v>62</v>
      </c>
      <c r="F34" s="369">
        <v>12261153.75</v>
      </c>
      <c r="G34" s="370" t="s">
        <v>1645</v>
      </c>
      <c r="H34" s="371"/>
      <c r="I34" s="543" t="s">
        <v>23</v>
      </c>
      <c r="J34" s="539"/>
    </row>
    <row r="35" spans="1:16" s="374" customFormat="1" x14ac:dyDescent="0.25">
      <c r="A35" s="368" t="s">
        <v>527</v>
      </c>
      <c r="B35" s="366"/>
      <c r="C35" s="367">
        <v>0</v>
      </c>
      <c r="D35" s="368" t="s">
        <v>528</v>
      </c>
      <c r="E35" s="368" t="s">
        <v>62</v>
      </c>
      <c r="F35" s="369">
        <v>0</v>
      </c>
      <c r="G35" s="540" t="s">
        <v>529</v>
      </c>
      <c r="H35" s="366"/>
      <c r="I35" s="538" t="s">
        <v>273</v>
      </c>
      <c r="J35" s="539"/>
    </row>
    <row r="36" spans="1:16" s="228" customFormat="1" x14ac:dyDescent="0.25">
      <c r="A36" s="32" t="s">
        <v>1285</v>
      </c>
      <c r="B36" s="14" t="s">
        <v>2194</v>
      </c>
      <c r="C36" s="13">
        <v>6.7</v>
      </c>
      <c r="D36" s="32" t="s">
        <v>528</v>
      </c>
      <c r="E36" s="32" t="s">
        <v>62</v>
      </c>
      <c r="F36" s="4">
        <v>6690375</v>
      </c>
      <c r="G36" s="69" t="s">
        <v>1287</v>
      </c>
      <c r="H36" s="14"/>
      <c r="I36" s="41" t="s">
        <v>273</v>
      </c>
      <c r="J36" s="21"/>
    </row>
    <row r="37" spans="1:16" s="374" customFormat="1" x14ac:dyDescent="0.25">
      <c r="A37" s="367" t="s">
        <v>637</v>
      </c>
      <c r="B37" s="545"/>
      <c r="C37" s="367">
        <v>21.2</v>
      </c>
      <c r="D37" s="367" t="s">
        <v>528</v>
      </c>
      <c r="E37" s="367" t="s">
        <v>691</v>
      </c>
      <c r="F37" s="369">
        <v>21196233.300000001</v>
      </c>
      <c r="G37" s="540" t="s">
        <v>1649</v>
      </c>
      <c r="H37" s="366"/>
      <c r="I37" s="369" t="s">
        <v>1650</v>
      </c>
      <c r="J37" s="373"/>
      <c r="K37" s="373"/>
      <c r="L37" s="542"/>
      <c r="M37" s="542"/>
      <c r="N37" s="542"/>
      <c r="O37" s="542"/>
      <c r="P37" s="542"/>
    </row>
    <row r="38" spans="1:16" ht="6" customHeight="1" x14ac:dyDescent="0.25">
      <c r="A38" s="3">
        <v>0</v>
      </c>
      <c r="B38" s="212"/>
      <c r="C38" s="13"/>
      <c r="D38" s="3"/>
      <c r="E38" s="3"/>
      <c r="F38" s="209"/>
      <c r="G38" s="25"/>
      <c r="H38" s="212"/>
      <c r="I38" s="208"/>
    </row>
    <row r="39" spans="1:16" s="8" customFormat="1" ht="22.35" customHeight="1" x14ac:dyDescent="0.25">
      <c r="A39" s="11" t="s">
        <v>521</v>
      </c>
      <c r="B39" s="66"/>
      <c r="C39" s="213">
        <f>SUM(C40:C152)</f>
        <v>200.57999999999996</v>
      </c>
      <c r="D39" s="9"/>
      <c r="E39" s="9"/>
      <c r="F39" s="390">
        <f>SUM(F40:F152)</f>
        <v>277469602.52087837</v>
      </c>
      <c r="G39" s="24"/>
      <c r="H39" s="9"/>
      <c r="I39" s="10"/>
      <c r="J39" s="342"/>
      <c r="K39" s="23"/>
      <c r="L39" s="23"/>
    </row>
    <row r="40" spans="1:16" ht="6" customHeight="1" x14ac:dyDescent="0.25">
      <c r="A40" s="17">
        <v>0</v>
      </c>
      <c r="B40" s="39"/>
      <c r="C40" s="40"/>
      <c r="D40" s="17"/>
      <c r="E40" s="17"/>
      <c r="F40" s="36"/>
      <c r="G40" s="38"/>
      <c r="H40" s="39"/>
      <c r="I40" s="17"/>
      <c r="J40" s="5"/>
    </row>
    <row r="41" spans="1:16" s="62" customFormat="1" ht="13.95" customHeight="1" x14ac:dyDescent="0.25">
      <c r="A41" s="61" t="s">
        <v>209</v>
      </c>
      <c r="B41" s="14" t="s">
        <v>416</v>
      </c>
      <c r="C41" s="13">
        <v>0.1</v>
      </c>
      <c r="D41" s="13" t="s">
        <v>556</v>
      </c>
      <c r="E41" s="13" t="s">
        <v>134</v>
      </c>
      <c r="F41" s="4">
        <v>107413.4</v>
      </c>
      <c r="G41" s="29" t="s">
        <v>775</v>
      </c>
      <c r="H41" s="14"/>
      <c r="I41" s="4" t="s">
        <v>316</v>
      </c>
      <c r="J41" s="71"/>
    </row>
    <row r="42" spans="1:16" s="374" customFormat="1" ht="13.95" customHeight="1" x14ac:dyDescent="0.25">
      <c r="A42" s="367" t="s">
        <v>311</v>
      </c>
      <c r="B42" s="366" t="s">
        <v>284</v>
      </c>
      <c r="C42" s="367">
        <v>0</v>
      </c>
      <c r="D42" s="368" t="s">
        <v>667</v>
      </c>
      <c r="E42" s="368" t="s">
        <v>958</v>
      </c>
      <c r="F42" s="369">
        <v>0</v>
      </c>
      <c r="G42" s="540" t="s">
        <v>4484</v>
      </c>
      <c r="H42" s="366"/>
      <c r="I42" s="538" t="s">
        <v>4483</v>
      </c>
      <c r="J42" s="372"/>
      <c r="K42" s="373"/>
    </row>
    <row r="43" spans="1:16" s="374" customFormat="1" ht="13.95" customHeight="1" x14ac:dyDescent="0.25">
      <c r="A43" s="367" t="s">
        <v>311</v>
      </c>
      <c r="B43" s="366" t="s">
        <v>284</v>
      </c>
      <c r="C43" s="367">
        <v>3.5</v>
      </c>
      <c r="D43" s="368" t="s">
        <v>667</v>
      </c>
      <c r="E43" s="368" t="s">
        <v>958</v>
      </c>
      <c r="F43" s="369">
        <v>3500000</v>
      </c>
      <c r="G43" s="540" t="s">
        <v>8683</v>
      </c>
      <c r="H43" s="366"/>
      <c r="I43" s="538" t="s">
        <v>978</v>
      </c>
      <c r="J43" s="372"/>
      <c r="K43" s="373"/>
    </row>
    <row r="44" spans="1:16" s="374" customFormat="1" ht="13.95" customHeight="1" x14ac:dyDescent="0.25">
      <c r="A44" s="367" t="s">
        <v>310</v>
      </c>
      <c r="B44" s="366" t="s">
        <v>284</v>
      </c>
      <c r="C44" s="367">
        <v>1.35</v>
      </c>
      <c r="D44" s="368" t="s">
        <v>667</v>
      </c>
      <c r="E44" s="368" t="s">
        <v>958</v>
      </c>
      <c r="F44" s="369">
        <v>1350000</v>
      </c>
      <c r="G44" s="540" t="s">
        <v>9033</v>
      </c>
      <c r="H44" s="366"/>
      <c r="I44" s="538" t="s">
        <v>978</v>
      </c>
      <c r="J44" s="372"/>
      <c r="K44" s="373"/>
    </row>
    <row r="45" spans="1:16" s="228" customFormat="1" ht="13.95" customHeight="1" x14ac:dyDescent="0.25">
      <c r="A45" s="13" t="s">
        <v>1596</v>
      </c>
      <c r="B45" s="14" t="s">
        <v>284</v>
      </c>
      <c r="C45" s="13">
        <v>0.25</v>
      </c>
      <c r="D45" s="32" t="s">
        <v>667</v>
      </c>
      <c r="E45" s="32" t="s">
        <v>130</v>
      </c>
      <c r="F45" s="4">
        <v>248000</v>
      </c>
      <c r="G45" s="69" t="s">
        <v>1646</v>
      </c>
      <c r="H45" s="14"/>
      <c r="I45" s="41" t="s">
        <v>1647</v>
      </c>
      <c r="J45" s="22"/>
      <c r="K45" s="62"/>
    </row>
    <row r="46" spans="1:16" s="374" customFormat="1" ht="13.95" customHeight="1" x14ac:dyDescent="0.25">
      <c r="A46" s="537" t="s">
        <v>1147</v>
      </c>
      <c r="B46" s="366"/>
      <c r="C46" s="367">
        <v>0.3</v>
      </c>
      <c r="D46" s="368" t="s">
        <v>667</v>
      </c>
      <c r="E46" s="368" t="s">
        <v>808</v>
      </c>
      <c r="F46" s="369">
        <v>296395</v>
      </c>
      <c r="G46" s="370" t="s">
        <v>2606</v>
      </c>
      <c r="H46" s="371"/>
      <c r="I46" s="538" t="s">
        <v>4804</v>
      </c>
      <c r="J46" s="539"/>
    </row>
    <row r="47" spans="1:16" s="228" customFormat="1" ht="13.95" customHeight="1" x14ac:dyDescent="0.25">
      <c r="A47" s="68" t="s">
        <v>8</v>
      </c>
      <c r="B47" s="14"/>
      <c r="C47" s="13">
        <v>0</v>
      </c>
      <c r="D47" s="32" t="s">
        <v>667</v>
      </c>
      <c r="E47" s="32" t="s">
        <v>808</v>
      </c>
      <c r="F47" s="4">
        <v>0</v>
      </c>
      <c r="G47" s="86" t="s">
        <v>1290</v>
      </c>
      <c r="H47" s="211"/>
      <c r="I47" s="41" t="s">
        <v>1289</v>
      </c>
      <c r="J47" s="21"/>
    </row>
    <row r="48" spans="1:16" s="228" customFormat="1" ht="13.95" customHeight="1" x14ac:dyDescent="0.25">
      <c r="A48" s="13" t="s">
        <v>358</v>
      </c>
      <c r="B48" s="14" t="s">
        <v>284</v>
      </c>
      <c r="C48" s="13">
        <v>0</v>
      </c>
      <c r="D48" s="32" t="s">
        <v>667</v>
      </c>
      <c r="E48" s="32" t="s">
        <v>62</v>
      </c>
      <c r="F48" s="4">
        <v>0</v>
      </c>
      <c r="G48" s="69" t="s">
        <v>8703</v>
      </c>
      <c r="H48" s="14"/>
      <c r="I48" s="41" t="s">
        <v>978</v>
      </c>
      <c r="J48" s="22"/>
      <c r="K48" s="62"/>
    </row>
    <row r="49" spans="1:16" s="374" customFormat="1" ht="13.95" customHeight="1" x14ac:dyDescent="0.25">
      <c r="A49" s="365" t="s">
        <v>92</v>
      </c>
      <c r="B49" s="366"/>
      <c r="C49" s="367">
        <v>0.8</v>
      </c>
      <c r="D49" s="368" t="s">
        <v>667</v>
      </c>
      <c r="E49" s="368" t="s">
        <v>62</v>
      </c>
      <c r="F49" s="369">
        <f>1488213-681915.5</f>
        <v>806297.5</v>
      </c>
      <c r="G49" s="370" t="s">
        <v>2202</v>
      </c>
      <c r="H49" s="371"/>
      <c r="I49" s="536" t="s">
        <v>3650</v>
      </c>
      <c r="J49" s="539"/>
    </row>
    <row r="50" spans="1:16" s="374" customFormat="1" ht="13.95" customHeight="1" x14ac:dyDescent="0.25">
      <c r="A50" s="365" t="s">
        <v>92</v>
      </c>
      <c r="B50" s="366" t="s">
        <v>284</v>
      </c>
      <c r="C50" s="367">
        <v>16.5</v>
      </c>
      <c r="D50" s="368" t="s">
        <v>667</v>
      </c>
      <c r="E50" s="368" t="s">
        <v>62</v>
      </c>
      <c r="F50" s="369">
        <v>16545118.289999999</v>
      </c>
      <c r="G50" s="370" t="s">
        <v>5425</v>
      </c>
      <c r="H50" s="371"/>
      <c r="I50" s="536" t="s">
        <v>5426</v>
      </c>
      <c r="J50" s="539"/>
    </row>
    <row r="51" spans="1:16" s="374" customFormat="1" ht="13.95" customHeight="1" x14ac:dyDescent="0.25">
      <c r="A51" s="368" t="s">
        <v>550</v>
      </c>
      <c r="B51" s="366" t="s">
        <v>8796</v>
      </c>
      <c r="C51" s="367">
        <v>-9</v>
      </c>
      <c r="D51" s="368" t="s">
        <v>452</v>
      </c>
      <c r="E51" s="368" t="s">
        <v>62</v>
      </c>
      <c r="F51" s="369">
        <v>0</v>
      </c>
      <c r="G51" s="370" t="s">
        <v>453</v>
      </c>
      <c r="H51" s="371"/>
      <c r="I51" s="536" t="s">
        <v>671</v>
      </c>
      <c r="J51" s="539"/>
    </row>
    <row r="52" spans="1:16" s="228" customFormat="1" ht="15" customHeight="1" x14ac:dyDescent="0.25">
      <c r="A52" s="68" t="s">
        <v>8</v>
      </c>
      <c r="B52" s="14"/>
      <c r="C52" s="13">
        <v>0</v>
      </c>
      <c r="D52" s="13" t="s">
        <v>969</v>
      </c>
      <c r="E52" s="32" t="s">
        <v>808</v>
      </c>
      <c r="F52" s="4">
        <v>0</v>
      </c>
      <c r="G52" s="86" t="s">
        <v>1710</v>
      </c>
      <c r="H52" s="14"/>
      <c r="I52" s="4" t="s">
        <v>229</v>
      </c>
      <c r="J52" s="71"/>
      <c r="K52" s="62"/>
      <c r="L52" s="62"/>
    </row>
    <row r="53" spans="1:16" s="228" customFormat="1" ht="15" customHeight="1" x14ac:dyDescent="0.25">
      <c r="A53" s="68" t="s">
        <v>213</v>
      </c>
      <c r="B53" s="14"/>
      <c r="C53" s="13">
        <v>0.2</v>
      </c>
      <c r="D53" s="13" t="s">
        <v>969</v>
      </c>
      <c r="E53" s="32" t="s">
        <v>808</v>
      </c>
      <c r="F53" s="4">
        <v>200000</v>
      </c>
      <c r="G53" s="86" t="s">
        <v>1004</v>
      </c>
      <c r="H53" s="14"/>
      <c r="I53" s="4" t="s">
        <v>229</v>
      </c>
      <c r="J53" s="71"/>
      <c r="K53" s="62"/>
      <c r="L53" s="62"/>
    </row>
    <row r="54" spans="1:16" s="228" customFormat="1" ht="15" customHeight="1" x14ac:dyDescent="0.25">
      <c r="A54" s="68" t="s">
        <v>358</v>
      </c>
      <c r="B54" s="14" t="s">
        <v>8969</v>
      </c>
      <c r="C54" s="13">
        <v>1.9</v>
      </c>
      <c r="D54" s="13" t="s">
        <v>969</v>
      </c>
      <c r="E54" s="32" t="s">
        <v>62</v>
      </c>
      <c r="F54" s="4">
        <v>1921796.4</v>
      </c>
      <c r="G54" s="86" t="s">
        <v>4762</v>
      </c>
      <c r="H54" s="14"/>
      <c r="I54" s="4" t="s">
        <v>4763</v>
      </c>
      <c r="J54" s="71"/>
      <c r="K54" s="62"/>
      <c r="L54" s="62"/>
    </row>
    <row r="55" spans="1:16" s="374" customFormat="1" ht="15" customHeight="1" x14ac:dyDescent="0.25">
      <c r="A55" s="537" t="s">
        <v>91</v>
      </c>
      <c r="B55" s="366"/>
      <c r="C55" s="367">
        <v>0</v>
      </c>
      <c r="D55" s="367" t="s">
        <v>969</v>
      </c>
      <c r="E55" s="368" t="s">
        <v>62</v>
      </c>
      <c r="F55" s="369">
        <v>0</v>
      </c>
      <c r="G55" s="370" t="s">
        <v>970</v>
      </c>
      <c r="H55" s="366"/>
      <c r="I55" s="369" t="s">
        <v>229</v>
      </c>
      <c r="J55" s="541"/>
      <c r="K55" s="373"/>
      <c r="L55" s="373"/>
    </row>
    <row r="56" spans="1:16" s="374" customFormat="1" ht="15" customHeight="1" x14ac:dyDescent="0.25">
      <c r="A56" s="537" t="s">
        <v>92</v>
      </c>
      <c r="B56" s="366" t="s">
        <v>284</v>
      </c>
      <c r="C56" s="367">
        <v>8.1</v>
      </c>
      <c r="D56" s="367" t="s">
        <v>969</v>
      </c>
      <c r="E56" s="368" t="s">
        <v>62</v>
      </c>
      <c r="F56" s="369">
        <v>8106027.79</v>
      </c>
      <c r="G56" s="370" t="s">
        <v>2035</v>
      </c>
      <c r="H56" s="366"/>
      <c r="I56" s="369" t="s">
        <v>229</v>
      </c>
      <c r="J56" s="541"/>
      <c r="K56" s="373"/>
      <c r="L56" s="373"/>
    </row>
    <row r="57" spans="1:16" s="374" customFormat="1" ht="13.95" customHeight="1" x14ac:dyDescent="0.25">
      <c r="A57" s="368" t="s">
        <v>534</v>
      </c>
      <c r="B57" s="366"/>
      <c r="C57" s="367">
        <v>4.0999999999999996</v>
      </c>
      <c r="D57" s="368" t="s">
        <v>470</v>
      </c>
      <c r="E57" s="368" t="s">
        <v>62</v>
      </c>
      <c r="F57" s="369">
        <v>4127417.42</v>
      </c>
      <c r="G57" s="370" t="s">
        <v>471</v>
      </c>
      <c r="H57" s="371"/>
      <c r="I57" s="536" t="s">
        <v>672</v>
      </c>
      <c r="J57" s="539"/>
    </row>
    <row r="58" spans="1:16" s="374" customFormat="1" ht="13.95" customHeight="1" x14ac:dyDescent="0.25">
      <c r="A58" s="368" t="s">
        <v>1654</v>
      </c>
      <c r="B58" s="366" t="s">
        <v>284</v>
      </c>
      <c r="C58" s="367">
        <v>6.3</v>
      </c>
      <c r="D58" s="368" t="s">
        <v>470</v>
      </c>
      <c r="E58" s="368" t="s">
        <v>62</v>
      </c>
      <c r="F58" s="369">
        <f>9060000-1200000-1560000</f>
        <v>6300000</v>
      </c>
      <c r="G58" s="370" t="s">
        <v>1867</v>
      </c>
      <c r="H58" s="371"/>
      <c r="I58" s="536" t="s">
        <v>675</v>
      </c>
      <c r="J58" s="539"/>
    </row>
    <row r="59" spans="1:16" s="374" customFormat="1" x14ac:dyDescent="0.25">
      <c r="A59" s="367" t="s">
        <v>637</v>
      </c>
      <c r="B59" s="545" t="s">
        <v>284</v>
      </c>
      <c r="C59" s="367">
        <v>9.1</v>
      </c>
      <c r="D59" s="367" t="s">
        <v>470</v>
      </c>
      <c r="E59" s="367" t="s">
        <v>691</v>
      </c>
      <c r="F59" s="369">
        <v>9146914.8264667466</v>
      </c>
      <c r="G59" s="540" t="s">
        <v>1818</v>
      </c>
      <c r="H59" s="366"/>
      <c r="I59" s="536" t="s">
        <v>237</v>
      </c>
      <c r="J59" s="373"/>
      <c r="K59" s="373"/>
      <c r="L59" s="542"/>
      <c r="M59" s="542"/>
      <c r="N59" s="542"/>
      <c r="O59" s="542"/>
      <c r="P59" s="542"/>
    </row>
    <row r="60" spans="1:16" s="228" customFormat="1" x14ac:dyDescent="0.25">
      <c r="A60" s="13" t="s">
        <v>55</v>
      </c>
      <c r="B60" s="14" t="s">
        <v>284</v>
      </c>
      <c r="C60" s="13">
        <v>0</v>
      </c>
      <c r="D60" s="32" t="s">
        <v>228</v>
      </c>
      <c r="E60" s="32" t="s">
        <v>130</v>
      </c>
      <c r="F60" s="4">
        <v>0</v>
      </c>
      <c r="G60" s="86" t="s">
        <v>7844</v>
      </c>
      <c r="H60" s="14"/>
      <c r="I60" s="41" t="s">
        <v>229</v>
      </c>
      <c r="J60" s="21"/>
    </row>
    <row r="61" spans="1:16" s="374" customFormat="1" ht="13.95" customHeight="1" x14ac:dyDescent="0.25">
      <c r="A61" s="367" t="s">
        <v>637</v>
      </c>
      <c r="B61" s="366" t="s">
        <v>284</v>
      </c>
      <c r="C61" s="367">
        <v>0</v>
      </c>
      <c r="D61" s="368" t="s">
        <v>228</v>
      </c>
      <c r="E61" s="368" t="s">
        <v>691</v>
      </c>
      <c r="F61" s="369">
        <v>0</v>
      </c>
      <c r="G61" s="370" t="s">
        <v>7545</v>
      </c>
      <c r="H61" s="366"/>
      <c r="I61" s="538" t="s">
        <v>229</v>
      </c>
      <c r="J61" s="539"/>
    </row>
    <row r="62" spans="1:16" s="228" customFormat="1" ht="13.95" customHeight="1" x14ac:dyDescent="0.25">
      <c r="A62" s="13" t="s">
        <v>55</v>
      </c>
      <c r="B62" s="14"/>
      <c r="C62" s="13">
        <v>4.2</v>
      </c>
      <c r="D62" s="32" t="s">
        <v>228</v>
      </c>
      <c r="E62" s="32" t="s">
        <v>62</v>
      </c>
      <c r="F62" s="4">
        <v>4240000</v>
      </c>
      <c r="G62" s="86" t="s">
        <v>834</v>
      </c>
      <c r="H62" s="14"/>
      <c r="I62" s="41" t="s">
        <v>229</v>
      </c>
      <c r="J62" s="21"/>
    </row>
    <row r="63" spans="1:16" s="228" customFormat="1" ht="13.95" customHeight="1" x14ac:dyDescent="0.25">
      <c r="A63" s="13" t="s">
        <v>260</v>
      </c>
      <c r="B63" s="14"/>
      <c r="C63" s="13">
        <v>0.06</v>
      </c>
      <c r="D63" s="32" t="s">
        <v>228</v>
      </c>
      <c r="E63" s="32" t="s">
        <v>963</v>
      </c>
      <c r="F63" s="4">
        <v>59280</v>
      </c>
      <c r="G63" s="86" t="s">
        <v>1002</v>
      </c>
      <c r="H63" s="14"/>
      <c r="I63" s="41" t="s">
        <v>892</v>
      </c>
      <c r="J63" s="21"/>
    </row>
    <row r="64" spans="1:16" s="228" customFormat="1" ht="13.95" customHeight="1" x14ac:dyDescent="0.25">
      <c r="A64" s="13" t="s">
        <v>260</v>
      </c>
      <c r="B64" s="14"/>
      <c r="C64" s="13">
        <v>0.7</v>
      </c>
      <c r="D64" s="32" t="s">
        <v>228</v>
      </c>
      <c r="E64" s="32" t="s">
        <v>963</v>
      </c>
      <c r="F64" s="4">
        <v>706600</v>
      </c>
      <c r="G64" s="86" t="s">
        <v>1001</v>
      </c>
      <c r="H64" s="14"/>
      <c r="I64" s="41" t="s">
        <v>229</v>
      </c>
      <c r="J64" s="21"/>
    </row>
    <row r="65" spans="1:12" s="228" customFormat="1" ht="27.6" customHeight="1" x14ac:dyDescent="0.25">
      <c r="A65" s="13" t="s">
        <v>261</v>
      </c>
      <c r="B65" s="14"/>
      <c r="C65" s="13">
        <v>0.5</v>
      </c>
      <c r="D65" s="32" t="s">
        <v>228</v>
      </c>
      <c r="E65" s="32" t="s">
        <v>808</v>
      </c>
      <c r="F65" s="4">
        <v>534651.55641169846</v>
      </c>
      <c r="G65" s="86" t="s">
        <v>1273</v>
      </c>
      <c r="H65" s="14"/>
      <c r="I65" s="41" t="s">
        <v>229</v>
      </c>
      <c r="J65" s="21"/>
    </row>
    <row r="66" spans="1:12" s="228" customFormat="1" ht="27.6" customHeight="1" x14ac:dyDescent="0.25">
      <c r="A66" s="13" t="s">
        <v>188</v>
      </c>
      <c r="B66" s="14"/>
      <c r="C66" s="13">
        <v>2.2999999999999998</v>
      </c>
      <c r="D66" s="32" t="s">
        <v>228</v>
      </c>
      <c r="E66" s="32" t="s">
        <v>808</v>
      </c>
      <c r="F66" s="4">
        <f>5155574.63-2890000</f>
        <v>2265574.63</v>
      </c>
      <c r="G66" s="86" t="s">
        <v>4963</v>
      </c>
      <c r="H66" s="14"/>
      <c r="I66" s="41" t="s">
        <v>4964</v>
      </c>
      <c r="J66" s="21"/>
    </row>
    <row r="67" spans="1:12" s="228" customFormat="1" ht="27.6" customHeight="1" x14ac:dyDescent="0.25">
      <c r="A67" s="13" t="s">
        <v>90</v>
      </c>
      <c r="B67" s="14"/>
      <c r="C67" s="13">
        <v>0</v>
      </c>
      <c r="D67" s="32" t="s">
        <v>228</v>
      </c>
      <c r="E67" s="32" t="s">
        <v>130</v>
      </c>
      <c r="F67" s="4">
        <v>0</v>
      </c>
      <c r="G67" s="69" t="s">
        <v>396</v>
      </c>
      <c r="H67" s="14"/>
      <c r="I67" s="41" t="s">
        <v>229</v>
      </c>
      <c r="J67" s="21"/>
    </row>
    <row r="68" spans="1:12" s="374" customFormat="1" ht="13.95" customHeight="1" x14ac:dyDescent="0.25">
      <c r="A68" s="367" t="s">
        <v>311</v>
      </c>
      <c r="B68" s="544" t="s">
        <v>284</v>
      </c>
      <c r="C68" s="367">
        <v>64.900000000000006</v>
      </c>
      <c r="D68" s="367" t="s">
        <v>456</v>
      </c>
      <c r="E68" s="367" t="s">
        <v>958</v>
      </c>
      <c r="F68" s="369">
        <f>76364635.65-11679186</f>
        <v>64685449.650000006</v>
      </c>
      <c r="G68" s="370" t="s">
        <v>4482</v>
      </c>
      <c r="H68" s="366"/>
      <c r="I68" s="369" t="s">
        <v>4481</v>
      </c>
      <c r="J68" s="372"/>
    </row>
    <row r="69" spans="1:12" s="228" customFormat="1" ht="16.2" customHeight="1" x14ac:dyDescent="0.25">
      <c r="A69" s="68" t="s">
        <v>1286</v>
      </c>
      <c r="B69" s="14"/>
      <c r="C69" s="13">
        <v>-5</v>
      </c>
      <c r="D69" s="13" t="s">
        <v>456</v>
      </c>
      <c r="E69" s="32" t="s">
        <v>62</v>
      </c>
      <c r="F69" s="4">
        <v>0</v>
      </c>
      <c r="G69" s="86" t="s">
        <v>1735</v>
      </c>
      <c r="H69" s="14"/>
      <c r="I69" s="4" t="s">
        <v>237</v>
      </c>
      <c r="J69" s="71"/>
      <c r="K69" s="62"/>
      <c r="L69" s="62"/>
    </row>
    <row r="70" spans="1:12" s="228" customFormat="1" ht="16.2" customHeight="1" x14ac:dyDescent="0.25">
      <c r="A70" s="68" t="s">
        <v>668</v>
      </c>
      <c r="B70" s="14"/>
      <c r="C70" s="13">
        <v>4.8</v>
      </c>
      <c r="D70" s="13" t="s">
        <v>456</v>
      </c>
      <c r="E70" s="32" t="s">
        <v>130</v>
      </c>
      <c r="F70" s="4">
        <v>4800000</v>
      </c>
      <c r="G70" s="86" t="s">
        <v>8505</v>
      </c>
      <c r="H70" s="14"/>
      <c r="I70" s="4" t="s">
        <v>8504</v>
      </c>
      <c r="J70" s="71"/>
      <c r="K70" s="62"/>
      <c r="L70" s="62"/>
    </row>
    <row r="71" spans="1:12" s="374" customFormat="1" ht="16.2" customHeight="1" x14ac:dyDescent="0.25">
      <c r="A71" s="537" t="s">
        <v>536</v>
      </c>
      <c r="B71" s="366" t="s">
        <v>9469</v>
      </c>
      <c r="C71" s="367">
        <v>20.100000000000001</v>
      </c>
      <c r="D71" s="367" t="s">
        <v>456</v>
      </c>
      <c r="E71" s="368" t="s">
        <v>62</v>
      </c>
      <c r="F71" s="369">
        <v>20151821.219999999</v>
      </c>
      <c r="G71" s="370" t="s">
        <v>8503</v>
      </c>
      <c r="H71" s="366"/>
      <c r="I71" s="369" t="s">
        <v>361</v>
      </c>
      <c r="J71" s="541"/>
      <c r="K71" s="373"/>
      <c r="L71" s="373"/>
    </row>
    <row r="72" spans="1:12" s="62" customFormat="1" ht="13.95" customHeight="1" x14ac:dyDescent="0.25">
      <c r="A72" s="61" t="s">
        <v>209</v>
      </c>
      <c r="B72" s="14"/>
      <c r="C72" s="13">
        <v>0.2</v>
      </c>
      <c r="D72" s="13" t="s">
        <v>1192</v>
      </c>
      <c r="E72" s="13" t="s">
        <v>134</v>
      </c>
      <c r="F72" s="4">
        <v>194820.04</v>
      </c>
      <c r="G72" s="29" t="s">
        <v>1193</v>
      </c>
      <c r="H72" s="14"/>
      <c r="I72" s="4" t="s">
        <v>1194</v>
      </c>
      <c r="J72" s="71"/>
    </row>
    <row r="73" spans="1:12" s="374" customFormat="1" ht="13.95" customHeight="1" x14ac:dyDescent="0.25">
      <c r="A73" s="367" t="s">
        <v>311</v>
      </c>
      <c r="B73" s="544" t="s">
        <v>284</v>
      </c>
      <c r="C73" s="367">
        <v>4</v>
      </c>
      <c r="D73" s="367" t="s">
        <v>7288</v>
      </c>
      <c r="E73" s="367" t="s">
        <v>958</v>
      </c>
      <c r="F73" s="369">
        <f>16595094.82-12575286</f>
        <v>4019808.8200000003</v>
      </c>
      <c r="G73" s="370" t="s">
        <v>4480</v>
      </c>
      <c r="H73" s="366"/>
      <c r="I73" s="369" t="s">
        <v>4479</v>
      </c>
      <c r="J73" s="372"/>
    </row>
    <row r="74" spans="1:12" s="374" customFormat="1" ht="13.95" customHeight="1" x14ac:dyDescent="0.25">
      <c r="A74" s="367" t="s">
        <v>527</v>
      </c>
      <c r="B74" s="544"/>
      <c r="C74" s="367">
        <v>-1.5</v>
      </c>
      <c r="D74" s="367" t="s">
        <v>7288</v>
      </c>
      <c r="E74" s="367" t="s">
        <v>62</v>
      </c>
      <c r="F74" s="369">
        <v>0</v>
      </c>
      <c r="G74" s="370" t="s">
        <v>8229</v>
      </c>
      <c r="H74" s="366"/>
      <c r="I74" s="369" t="s">
        <v>361</v>
      </c>
      <c r="J74" s="372"/>
    </row>
    <row r="75" spans="1:12" s="228" customFormat="1" ht="13.95" customHeight="1" x14ac:dyDescent="0.25">
      <c r="A75" s="13" t="s">
        <v>261</v>
      </c>
      <c r="B75" s="242" t="s">
        <v>5778</v>
      </c>
      <c r="C75" s="13">
        <v>0</v>
      </c>
      <c r="D75" s="13" t="s">
        <v>7288</v>
      </c>
      <c r="E75" s="13" t="s">
        <v>808</v>
      </c>
      <c r="F75" s="4">
        <v>0</v>
      </c>
      <c r="G75" s="86" t="s">
        <v>957</v>
      </c>
      <c r="H75" s="14"/>
      <c r="I75" s="4" t="s">
        <v>361</v>
      </c>
      <c r="J75" s="22"/>
    </row>
    <row r="76" spans="1:12" s="228" customFormat="1" ht="13.95" customHeight="1" x14ac:dyDescent="0.25">
      <c r="A76" s="13" t="s">
        <v>956</v>
      </c>
      <c r="B76" s="242"/>
      <c r="C76" s="13">
        <v>0.3</v>
      </c>
      <c r="D76" s="13" t="s">
        <v>7288</v>
      </c>
      <c r="E76" s="32" t="s">
        <v>481</v>
      </c>
      <c r="F76" s="4">
        <v>332000</v>
      </c>
      <c r="G76" s="86" t="s">
        <v>1783</v>
      </c>
      <c r="H76" s="14"/>
      <c r="I76" s="4" t="s">
        <v>361</v>
      </c>
      <c r="J76" s="22"/>
    </row>
    <row r="77" spans="1:12" s="374" customFormat="1" ht="14.1" customHeight="1" x14ac:dyDescent="0.25">
      <c r="A77" s="368" t="s">
        <v>311</v>
      </c>
      <c r="B77" s="366" t="s">
        <v>284</v>
      </c>
      <c r="C77" s="367">
        <v>0</v>
      </c>
      <c r="D77" s="368" t="s">
        <v>541</v>
      </c>
      <c r="E77" s="367" t="s">
        <v>958</v>
      </c>
      <c r="F77" s="369">
        <v>0</v>
      </c>
      <c r="G77" s="370" t="s">
        <v>4472</v>
      </c>
      <c r="H77" s="371"/>
      <c r="I77" s="536" t="s">
        <v>4476</v>
      </c>
      <c r="J77" s="539"/>
    </row>
    <row r="78" spans="1:12" s="374" customFormat="1" ht="14.1" customHeight="1" x14ac:dyDescent="0.25">
      <c r="A78" s="368" t="s">
        <v>311</v>
      </c>
      <c r="B78" s="366"/>
      <c r="C78" s="367">
        <v>0</v>
      </c>
      <c r="D78" s="368" t="s">
        <v>541</v>
      </c>
      <c r="E78" s="367" t="s">
        <v>958</v>
      </c>
      <c r="F78" s="369">
        <v>0</v>
      </c>
      <c r="G78" s="370" t="s">
        <v>4478</v>
      </c>
      <c r="H78" s="371"/>
      <c r="I78" s="536" t="s">
        <v>297</v>
      </c>
      <c r="J78" s="539"/>
    </row>
    <row r="79" spans="1:12" s="374" customFormat="1" ht="14.1" customHeight="1" x14ac:dyDescent="0.25">
      <c r="A79" s="368" t="s">
        <v>310</v>
      </c>
      <c r="B79" s="366" t="s">
        <v>284</v>
      </c>
      <c r="C79" s="367">
        <v>4.5</v>
      </c>
      <c r="D79" s="368" t="s">
        <v>541</v>
      </c>
      <c r="E79" s="367" t="s">
        <v>958</v>
      </c>
      <c r="F79" s="369">
        <v>4507740.9000000004</v>
      </c>
      <c r="G79" s="370" t="s">
        <v>4477</v>
      </c>
      <c r="H79" s="371"/>
      <c r="I79" s="536" t="s">
        <v>4476</v>
      </c>
      <c r="J79" s="539"/>
    </row>
    <row r="80" spans="1:12" s="374" customFormat="1" ht="14.1" customHeight="1" x14ac:dyDescent="0.25">
      <c r="A80" s="368" t="s">
        <v>310</v>
      </c>
      <c r="B80" s="366"/>
      <c r="C80" s="367">
        <v>0</v>
      </c>
      <c r="D80" s="368" t="s">
        <v>541</v>
      </c>
      <c r="E80" s="367" t="s">
        <v>958</v>
      </c>
      <c r="F80" s="369">
        <v>0</v>
      </c>
      <c r="G80" s="370" t="s">
        <v>4475</v>
      </c>
      <c r="H80" s="371"/>
      <c r="I80" s="536" t="s">
        <v>297</v>
      </c>
      <c r="J80" s="539"/>
    </row>
    <row r="81" spans="1:16" s="374" customFormat="1" x14ac:dyDescent="0.25">
      <c r="A81" s="367" t="s">
        <v>637</v>
      </c>
      <c r="B81" s="545"/>
      <c r="C81" s="367">
        <v>0.7</v>
      </c>
      <c r="D81" s="367" t="s">
        <v>541</v>
      </c>
      <c r="E81" s="367" t="s">
        <v>691</v>
      </c>
      <c r="F81" s="369">
        <v>738124.21</v>
      </c>
      <c r="G81" s="540" t="s">
        <v>4153</v>
      </c>
      <c r="H81" s="366"/>
      <c r="I81" s="536" t="s">
        <v>4152</v>
      </c>
      <c r="J81" s="373"/>
      <c r="K81" s="373"/>
      <c r="L81" s="542"/>
      <c r="M81" s="542"/>
      <c r="N81" s="542"/>
      <c r="O81" s="542"/>
      <c r="P81" s="542"/>
    </row>
    <row r="82" spans="1:16" s="374" customFormat="1" x14ac:dyDescent="0.25">
      <c r="A82" s="367" t="s">
        <v>637</v>
      </c>
      <c r="B82" s="545"/>
      <c r="C82" s="367">
        <v>2.4</v>
      </c>
      <c r="D82" s="367" t="s">
        <v>541</v>
      </c>
      <c r="E82" s="367" t="s">
        <v>691</v>
      </c>
      <c r="F82" s="369">
        <v>2356000</v>
      </c>
      <c r="G82" s="540" t="s">
        <v>4154</v>
      </c>
      <c r="H82" s="366"/>
      <c r="I82" s="536" t="s">
        <v>4155</v>
      </c>
      <c r="J82" s="373"/>
      <c r="K82" s="373"/>
      <c r="L82" s="542"/>
      <c r="M82" s="542"/>
      <c r="N82" s="542"/>
      <c r="O82" s="542"/>
      <c r="P82" s="542"/>
    </row>
    <row r="83" spans="1:16" s="228" customFormat="1" ht="14.1" customHeight="1" x14ac:dyDescent="0.25">
      <c r="A83" s="32" t="s">
        <v>213</v>
      </c>
      <c r="B83" s="14"/>
      <c r="C83" s="13">
        <v>0</v>
      </c>
      <c r="D83" s="32" t="s">
        <v>541</v>
      </c>
      <c r="E83" s="13" t="s">
        <v>60</v>
      </c>
      <c r="F83" s="4">
        <v>0</v>
      </c>
      <c r="G83" s="86" t="s">
        <v>995</v>
      </c>
      <c r="H83" s="211"/>
      <c r="I83" s="208" t="s">
        <v>297</v>
      </c>
      <c r="J83" s="21"/>
    </row>
    <row r="84" spans="1:16" s="228" customFormat="1" ht="14.1" customHeight="1" x14ac:dyDescent="0.25">
      <c r="A84" s="32" t="s">
        <v>213</v>
      </c>
      <c r="B84" s="14"/>
      <c r="C84" s="13">
        <v>0.05</v>
      </c>
      <c r="D84" s="32" t="s">
        <v>541</v>
      </c>
      <c r="E84" s="13" t="s">
        <v>130</v>
      </c>
      <c r="F84" s="4">
        <v>50000</v>
      </c>
      <c r="G84" s="86" t="s">
        <v>9236</v>
      </c>
      <c r="H84" s="211"/>
      <c r="I84" s="208" t="s">
        <v>9237</v>
      </c>
      <c r="J84" s="21"/>
    </row>
    <row r="85" spans="1:16" s="228" customFormat="1" ht="14.1" customHeight="1" x14ac:dyDescent="0.25">
      <c r="A85" s="32" t="s">
        <v>188</v>
      </c>
      <c r="B85" s="14"/>
      <c r="C85" s="13">
        <v>0</v>
      </c>
      <c r="D85" s="32" t="s">
        <v>541</v>
      </c>
      <c r="E85" s="13" t="s">
        <v>808</v>
      </c>
      <c r="F85" s="4">
        <v>18062.8</v>
      </c>
      <c r="G85" s="86" t="s">
        <v>1419</v>
      </c>
      <c r="H85" s="211"/>
      <c r="I85" s="208" t="s">
        <v>297</v>
      </c>
      <c r="J85" s="21"/>
    </row>
    <row r="86" spans="1:16" s="228" customFormat="1" ht="14.1" customHeight="1" x14ac:dyDescent="0.25">
      <c r="A86" s="32" t="s">
        <v>260</v>
      </c>
      <c r="B86" s="14"/>
      <c r="C86" s="13">
        <v>0</v>
      </c>
      <c r="D86" s="32" t="s">
        <v>541</v>
      </c>
      <c r="E86" s="13" t="s">
        <v>963</v>
      </c>
      <c r="F86" s="4">
        <v>0</v>
      </c>
      <c r="G86" s="86" t="s">
        <v>997</v>
      </c>
      <c r="H86" s="211"/>
      <c r="I86" s="208" t="s">
        <v>297</v>
      </c>
      <c r="J86" s="21"/>
    </row>
    <row r="87" spans="1:16" s="228" customFormat="1" ht="14.1" customHeight="1" x14ac:dyDescent="0.25">
      <c r="A87" s="32" t="s">
        <v>261</v>
      </c>
      <c r="B87" s="14"/>
      <c r="C87" s="13">
        <v>0</v>
      </c>
      <c r="D87" s="32" t="s">
        <v>541</v>
      </c>
      <c r="E87" s="13" t="s">
        <v>60</v>
      </c>
      <c r="F87" s="4">
        <v>0</v>
      </c>
      <c r="G87" s="86" t="s">
        <v>996</v>
      </c>
      <c r="H87" s="211"/>
      <c r="I87" s="208" t="s">
        <v>297</v>
      </c>
      <c r="J87" s="21"/>
    </row>
    <row r="88" spans="1:16" s="374" customFormat="1" ht="14.1" customHeight="1" x14ac:dyDescent="0.25">
      <c r="A88" s="368" t="s">
        <v>91</v>
      </c>
      <c r="B88" s="366"/>
      <c r="C88" s="367">
        <v>0.2</v>
      </c>
      <c r="D88" s="368" t="s">
        <v>541</v>
      </c>
      <c r="E88" s="367" t="s">
        <v>62</v>
      </c>
      <c r="F88" s="369">
        <v>207817.4</v>
      </c>
      <c r="G88" s="370" t="s">
        <v>1288</v>
      </c>
      <c r="H88" s="371"/>
      <c r="I88" s="536" t="s">
        <v>297</v>
      </c>
      <c r="J88" s="539"/>
    </row>
    <row r="89" spans="1:16" s="228" customFormat="1" ht="14.1" customHeight="1" x14ac:dyDescent="0.25">
      <c r="A89" s="32" t="s">
        <v>358</v>
      </c>
      <c r="B89" s="14"/>
      <c r="C89" s="13">
        <v>1.5</v>
      </c>
      <c r="D89" s="32" t="s">
        <v>541</v>
      </c>
      <c r="E89" s="13" t="s">
        <v>62</v>
      </c>
      <c r="F89" s="4">
        <v>1546300</v>
      </c>
      <c r="G89" s="86" t="s">
        <v>1961</v>
      </c>
      <c r="H89" s="211"/>
      <c r="I89" s="208" t="s">
        <v>1963</v>
      </c>
      <c r="J89" s="21"/>
    </row>
    <row r="90" spans="1:16" s="228" customFormat="1" ht="14.1" customHeight="1" x14ac:dyDescent="0.25">
      <c r="A90" s="32" t="s">
        <v>358</v>
      </c>
      <c r="B90" s="14"/>
      <c r="C90" s="13">
        <v>4.2</v>
      </c>
      <c r="D90" s="32" t="s">
        <v>541</v>
      </c>
      <c r="E90" s="13" t="s">
        <v>62</v>
      </c>
      <c r="F90" s="4">
        <v>4205000</v>
      </c>
      <c r="G90" s="86" t="s">
        <v>1962</v>
      </c>
      <c r="H90" s="211"/>
      <c r="I90" s="208" t="s">
        <v>1964</v>
      </c>
      <c r="J90" s="21"/>
    </row>
    <row r="91" spans="1:16" s="374" customFormat="1" ht="14.1" customHeight="1" x14ac:dyDescent="0.25">
      <c r="A91" s="368" t="s">
        <v>1732</v>
      </c>
      <c r="B91" s="366" t="s">
        <v>284</v>
      </c>
      <c r="C91" s="367">
        <v>6.5</v>
      </c>
      <c r="D91" s="368" t="s">
        <v>541</v>
      </c>
      <c r="E91" s="367" t="s">
        <v>62</v>
      </c>
      <c r="F91" s="369">
        <f>6450000</f>
        <v>6450000</v>
      </c>
      <c r="G91" s="370" t="s">
        <v>7929</v>
      </c>
      <c r="H91" s="371"/>
      <c r="I91" s="536" t="s">
        <v>7928</v>
      </c>
      <c r="J91" s="539"/>
    </row>
    <row r="92" spans="1:16" s="374" customFormat="1" ht="14.1" customHeight="1" x14ac:dyDescent="0.25">
      <c r="A92" s="368" t="s">
        <v>1730</v>
      </c>
      <c r="B92" s="366" t="s">
        <v>284</v>
      </c>
      <c r="C92" s="367">
        <v>2.6</v>
      </c>
      <c r="D92" s="368" t="s">
        <v>541</v>
      </c>
      <c r="E92" s="367" t="s">
        <v>62</v>
      </c>
      <c r="F92" s="369">
        <f>2600000</f>
        <v>2600000</v>
      </c>
      <c r="G92" s="370" t="s">
        <v>2014</v>
      </c>
      <c r="H92" s="371"/>
      <c r="I92" s="536" t="s">
        <v>1963</v>
      </c>
      <c r="J92" s="539"/>
    </row>
    <row r="93" spans="1:16" s="374" customFormat="1" ht="14.1" customHeight="1" x14ac:dyDescent="0.25">
      <c r="A93" s="368" t="s">
        <v>2011</v>
      </c>
      <c r="B93" s="366" t="s">
        <v>284</v>
      </c>
      <c r="C93" s="367">
        <v>4.3</v>
      </c>
      <c r="D93" s="368" t="s">
        <v>541</v>
      </c>
      <c r="E93" s="367" t="s">
        <v>62</v>
      </c>
      <c r="F93" s="369">
        <v>4300000</v>
      </c>
      <c r="G93" s="370" t="s">
        <v>2012</v>
      </c>
      <c r="H93" s="371"/>
      <c r="I93" s="536" t="s">
        <v>2013</v>
      </c>
      <c r="J93" s="539"/>
    </row>
    <row r="94" spans="1:16" s="374" customFormat="1" ht="14.1" customHeight="1" x14ac:dyDescent="0.25">
      <c r="A94" s="368" t="s">
        <v>2010</v>
      </c>
      <c r="B94" s="366" t="s">
        <v>284</v>
      </c>
      <c r="C94" s="367">
        <v>2.9</v>
      </c>
      <c r="D94" s="368" t="s">
        <v>541</v>
      </c>
      <c r="E94" s="367" t="s">
        <v>62</v>
      </c>
      <c r="F94" s="369">
        <v>2900000</v>
      </c>
      <c r="G94" s="370" t="s">
        <v>2008</v>
      </c>
      <c r="H94" s="371"/>
      <c r="I94" s="536" t="s">
        <v>2009</v>
      </c>
      <c r="J94" s="539"/>
    </row>
    <row r="95" spans="1:16" s="374" customFormat="1" ht="14.1" customHeight="1" x14ac:dyDescent="0.25">
      <c r="A95" s="368" t="s">
        <v>92</v>
      </c>
      <c r="B95" s="366" t="s">
        <v>284</v>
      </c>
      <c r="C95" s="367">
        <v>0</v>
      </c>
      <c r="D95" s="368" t="s">
        <v>541</v>
      </c>
      <c r="E95" s="367" t="s">
        <v>62</v>
      </c>
      <c r="F95" s="369">
        <v>0</v>
      </c>
      <c r="G95" s="370" t="s">
        <v>2015</v>
      </c>
      <c r="H95" s="371"/>
      <c r="I95" s="536" t="s">
        <v>2016</v>
      </c>
      <c r="J95" s="539"/>
    </row>
    <row r="96" spans="1:16" s="374" customFormat="1" x14ac:dyDescent="0.25">
      <c r="A96" s="368" t="s">
        <v>639</v>
      </c>
      <c r="B96" s="545"/>
      <c r="C96" s="367">
        <v>0.7</v>
      </c>
      <c r="D96" s="368" t="s">
        <v>219</v>
      </c>
      <c r="E96" s="367" t="s">
        <v>691</v>
      </c>
      <c r="F96" s="369">
        <v>732929.52</v>
      </c>
      <c r="G96" s="540" t="s">
        <v>1878</v>
      </c>
      <c r="H96" s="371"/>
      <c r="I96" s="369" t="s">
        <v>101</v>
      </c>
    </row>
    <row r="97" spans="1:16" s="228" customFormat="1" ht="14.1" customHeight="1" x14ac:dyDescent="0.25">
      <c r="A97" s="68" t="s">
        <v>956</v>
      </c>
      <c r="B97" s="14" t="s">
        <v>284</v>
      </c>
      <c r="C97" s="13">
        <v>0.3</v>
      </c>
      <c r="D97" s="32" t="s">
        <v>219</v>
      </c>
      <c r="E97" s="13" t="s">
        <v>481</v>
      </c>
      <c r="F97" s="4">
        <v>300000</v>
      </c>
      <c r="G97" s="86" t="s">
        <v>9456</v>
      </c>
      <c r="H97" s="211"/>
      <c r="I97" s="208" t="s">
        <v>78</v>
      </c>
      <c r="J97" s="21"/>
    </row>
    <row r="98" spans="1:16" s="228" customFormat="1" ht="14.1" customHeight="1" x14ac:dyDescent="0.25">
      <c r="A98" s="68" t="s">
        <v>956</v>
      </c>
      <c r="B98" s="14"/>
      <c r="C98" s="13">
        <v>0.26</v>
      </c>
      <c r="D98" s="32" t="s">
        <v>5516</v>
      </c>
      <c r="E98" s="13" t="s">
        <v>481</v>
      </c>
      <c r="F98" s="4">
        <f>856750.14-590000</f>
        <v>266750.14</v>
      </c>
      <c r="G98" s="86" t="s">
        <v>1848</v>
      </c>
      <c r="H98" s="211"/>
      <c r="I98" s="208" t="s">
        <v>297</v>
      </c>
      <c r="J98" s="21"/>
    </row>
    <row r="99" spans="1:16" s="228" customFormat="1" ht="14.1" customHeight="1" x14ac:dyDescent="0.25">
      <c r="A99" s="68" t="s">
        <v>956</v>
      </c>
      <c r="B99" s="14"/>
      <c r="C99" s="13">
        <v>-0.05</v>
      </c>
      <c r="D99" s="32" t="s">
        <v>219</v>
      </c>
      <c r="E99" s="13" t="s">
        <v>481</v>
      </c>
      <c r="F99" s="4">
        <v>0</v>
      </c>
      <c r="G99" s="86" t="s">
        <v>2080</v>
      </c>
      <c r="H99" s="211"/>
      <c r="I99" s="208" t="s">
        <v>2081</v>
      </c>
      <c r="J99" s="21"/>
    </row>
    <row r="100" spans="1:16" s="374" customFormat="1" ht="14.1" customHeight="1" x14ac:dyDescent="0.25">
      <c r="A100" s="537" t="s">
        <v>311</v>
      </c>
      <c r="B100" s="366" t="s">
        <v>284</v>
      </c>
      <c r="C100" s="367">
        <v>0</v>
      </c>
      <c r="D100" s="368" t="s">
        <v>5516</v>
      </c>
      <c r="E100" s="367" t="s">
        <v>958</v>
      </c>
      <c r="F100" s="369">
        <v>0</v>
      </c>
      <c r="G100" s="370" t="s">
        <v>4990</v>
      </c>
      <c r="H100" s="371"/>
      <c r="I100" s="536" t="s">
        <v>229</v>
      </c>
      <c r="J100" s="539"/>
    </row>
    <row r="101" spans="1:16" s="374" customFormat="1" ht="14.1" customHeight="1" x14ac:dyDescent="0.25">
      <c r="A101" s="537" t="s">
        <v>310</v>
      </c>
      <c r="B101" s="366"/>
      <c r="C101" s="367">
        <v>2.5</v>
      </c>
      <c r="D101" s="368" t="s">
        <v>5516</v>
      </c>
      <c r="E101" s="367" t="s">
        <v>958</v>
      </c>
      <c r="F101" s="369">
        <v>2478465.71</v>
      </c>
      <c r="G101" s="370" t="s">
        <v>4991</v>
      </c>
      <c r="H101" s="371"/>
      <c r="I101" s="536" t="s">
        <v>229</v>
      </c>
      <c r="J101" s="539"/>
    </row>
    <row r="102" spans="1:16" s="374" customFormat="1" ht="13.95" customHeight="1" x14ac:dyDescent="0.25">
      <c r="A102" s="537" t="s">
        <v>311</v>
      </c>
      <c r="B102" s="366" t="s">
        <v>284</v>
      </c>
      <c r="C102" s="367">
        <v>0</v>
      </c>
      <c r="D102" s="368" t="s">
        <v>1664</v>
      </c>
      <c r="E102" s="368" t="s">
        <v>958</v>
      </c>
      <c r="F102" s="369">
        <v>0</v>
      </c>
      <c r="G102" s="370" t="s">
        <v>4472</v>
      </c>
      <c r="H102" s="371"/>
      <c r="I102" s="536" t="s">
        <v>16</v>
      </c>
      <c r="J102" s="539"/>
    </row>
    <row r="103" spans="1:16" s="374" customFormat="1" ht="13.95" customHeight="1" x14ac:dyDescent="0.25">
      <c r="A103" s="537" t="s">
        <v>310</v>
      </c>
      <c r="B103" s="366"/>
      <c r="C103" s="367">
        <v>3.7</v>
      </c>
      <c r="D103" s="368" t="s">
        <v>1664</v>
      </c>
      <c r="E103" s="368" t="s">
        <v>958</v>
      </c>
      <c r="F103" s="369">
        <v>3741713.200000003</v>
      </c>
      <c r="G103" s="370" t="s">
        <v>4471</v>
      </c>
      <c r="H103" s="371"/>
      <c r="I103" s="536" t="s">
        <v>16</v>
      </c>
      <c r="J103" s="539"/>
    </row>
    <row r="104" spans="1:16" s="374" customFormat="1" x14ac:dyDescent="0.25">
      <c r="A104" s="367" t="s">
        <v>637</v>
      </c>
      <c r="B104" s="545"/>
      <c r="C104" s="367">
        <v>5.2</v>
      </c>
      <c r="D104" s="367" t="s">
        <v>1664</v>
      </c>
      <c r="E104" s="367" t="s">
        <v>691</v>
      </c>
      <c r="F104" s="369">
        <v>5220150</v>
      </c>
      <c r="G104" s="540" t="s">
        <v>1665</v>
      </c>
      <c r="H104" s="366"/>
      <c r="I104" s="369" t="s">
        <v>16</v>
      </c>
      <c r="J104" s="373"/>
      <c r="K104" s="373"/>
      <c r="L104" s="542"/>
      <c r="M104" s="542"/>
      <c r="N104" s="542"/>
      <c r="O104" s="542"/>
      <c r="P104" s="542"/>
    </row>
    <row r="105" spans="1:16" s="228" customFormat="1" ht="13.95" customHeight="1" x14ac:dyDescent="0.25">
      <c r="A105" s="68" t="s">
        <v>188</v>
      </c>
      <c r="B105" s="14" t="s">
        <v>3770</v>
      </c>
      <c r="C105" s="13">
        <v>-16.2</v>
      </c>
      <c r="D105" s="32" t="s">
        <v>1664</v>
      </c>
      <c r="E105" s="32" t="s">
        <v>60</v>
      </c>
      <c r="F105" s="4">
        <v>0</v>
      </c>
      <c r="G105" s="86" t="s">
        <v>1059</v>
      </c>
      <c r="H105" s="211"/>
      <c r="I105" s="208" t="s">
        <v>16</v>
      </c>
      <c r="J105" s="21"/>
    </row>
    <row r="106" spans="1:16" s="228" customFormat="1" ht="13.95" customHeight="1" x14ac:dyDescent="0.25">
      <c r="A106" s="68" t="s">
        <v>261</v>
      </c>
      <c r="B106" s="14" t="s">
        <v>3770</v>
      </c>
      <c r="C106" s="13">
        <v>-1.1000000000000001</v>
      </c>
      <c r="D106" s="32" t="s">
        <v>1664</v>
      </c>
      <c r="E106" s="32" t="s">
        <v>60</v>
      </c>
      <c r="F106" s="4">
        <v>0</v>
      </c>
      <c r="G106" s="86" t="s">
        <v>1060</v>
      </c>
      <c r="H106" s="211"/>
      <c r="I106" s="208" t="s">
        <v>16</v>
      </c>
      <c r="J106" s="21"/>
    </row>
    <row r="107" spans="1:16" s="228" customFormat="1" ht="13.95" customHeight="1" x14ac:dyDescent="0.25">
      <c r="A107" s="68" t="s">
        <v>213</v>
      </c>
      <c r="B107" s="14" t="s">
        <v>3770</v>
      </c>
      <c r="C107" s="13">
        <v>-5.0999999999999996</v>
      </c>
      <c r="D107" s="32" t="s">
        <v>1664</v>
      </c>
      <c r="E107" s="32" t="s">
        <v>808</v>
      </c>
      <c r="F107" s="4">
        <v>0</v>
      </c>
      <c r="G107" s="86" t="s">
        <v>1048</v>
      </c>
      <c r="H107" s="211"/>
      <c r="I107" s="208" t="s">
        <v>16</v>
      </c>
      <c r="J107" s="21"/>
    </row>
    <row r="108" spans="1:16" s="228" customFormat="1" ht="13.95" customHeight="1" x14ac:dyDescent="0.25">
      <c r="A108" s="68" t="s">
        <v>55</v>
      </c>
      <c r="B108" s="14"/>
      <c r="C108" s="13">
        <v>-1.1000000000000001</v>
      </c>
      <c r="D108" s="32" t="s">
        <v>1664</v>
      </c>
      <c r="E108" s="32" t="s">
        <v>62</v>
      </c>
      <c r="F108" s="4">
        <v>0</v>
      </c>
      <c r="G108" s="86" t="s">
        <v>654</v>
      </c>
      <c r="H108" s="211"/>
      <c r="I108" s="208" t="s">
        <v>16</v>
      </c>
      <c r="J108" s="21"/>
    </row>
    <row r="109" spans="1:16" s="374" customFormat="1" ht="13.95" customHeight="1" x14ac:dyDescent="0.25">
      <c r="A109" s="537" t="s">
        <v>91</v>
      </c>
      <c r="B109" s="366"/>
      <c r="C109" s="367">
        <v>0.5</v>
      </c>
      <c r="D109" s="368" t="s">
        <v>1664</v>
      </c>
      <c r="E109" s="368" t="s">
        <v>62</v>
      </c>
      <c r="F109" s="369">
        <v>513000</v>
      </c>
      <c r="G109" s="370" t="s">
        <v>912</v>
      </c>
      <c r="H109" s="371"/>
      <c r="I109" s="536" t="s">
        <v>16</v>
      </c>
      <c r="J109" s="539"/>
    </row>
    <row r="110" spans="1:16" s="374" customFormat="1" ht="16.2" customHeight="1" x14ac:dyDescent="0.25">
      <c r="A110" s="537" t="s">
        <v>92</v>
      </c>
      <c r="B110" s="366" t="s">
        <v>284</v>
      </c>
      <c r="C110" s="367">
        <v>-5.5</v>
      </c>
      <c r="D110" s="368" t="s">
        <v>1664</v>
      </c>
      <c r="E110" s="368" t="s">
        <v>38</v>
      </c>
      <c r="F110" s="369">
        <v>0</v>
      </c>
      <c r="G110" s="370" t="s">
        <v>616</v>
      </c>
      <c r="H110" s="371"/>
      <c r="I110" s="536" t="s">
        <v>16</v>
      </c>
      <c r="J110" s="539"/>
    </row>
    <row r="111" spans="1:16" s="374" customFormat="1" ht="13.95" customHeight="1" x14ac:dyDescent="0.25">
      <c r="A111" s="537" t="s">
        <v>1732</v>
      </c>
      <c r="B111" s="366" t="s">
        <v>284</v>
      </c>
      <c r="C111" s="367">
        <v>22.4</v>
      </c>
      <c r="D111" s="368" t="s">
        <v>1664</v>
      </c>
      <c r="E111" s="368" t="s">
        <v>62</v>
      </c>
      <c r="F111" s="369">
        <v>22400000</v>
      </c>
      <c r="G111" s="370" t="s">
        <v>1733</v>
      </c>
      <c r="H111" s="371"/>
      <c r="I111" s="536" t="s">
        <v>16</v>
      </c>
      <c r="J111" s="539"/>
    </row>
    <row r="112" spans="1:16" s="374" customFormat="1" ht="13.95" customHeight="1" x14ac:dyDescent="0.25">
      <c r="A112" s="537" t="s">
        <v>1730</v>
      </c>
      <c r="B112" s="366" t="s">
        <v>9469</v>
      </c>
      <c r="C112" s="367">
        <v>1.4</v>
      </c>
      <c r="D112" s="368" t="s">
        <v>1664</v>
      </c>
      <c r="E112" s="368" t="s">
        <v>62</v>
      </c>
      <c r="F112" s="369">
        <v>1404900</v>
      </c>
      <c r="G112" s="370" t="s">
        <v>1731</v>
      </c>
      <c r="H112" s="371"/>
      <c r="I112" s="536" t="s">
        <v>16</v>
      </c>
      <c r="J112" s="539"/>
    </row>
    <row r="113" spans="1:12" s="228" customFormat="1" ht="13.95" customHeight="1" x14ac:dyDescent="0.25">
      <c r="A113" s="61" t="s">
        <v>358</v>
      </c>
      <c r="B113" s="14"/>
      <c r="C113" s="13">
        <v>1.75</v>
      </c>
      <c r="D113" s="32" t="s">
        <v>8257</v>
      </c>
      <c r="E113" s="32" t="s">
        <v>62</v>
      </c>
      <c r="F113" s="4">
        <v>1750864.25</v>
      </c>
      <c r="G113" s="86" t="s">
        <v>8258</v>
      </c>
      <c r="H113" s="211"/>
      <c r="I113" s="208" t="s">
        <v>5426</v>
      </c>
      <c r="J113" s="21"/>
    </row>
    <row r="114" spans="1:12" s="374" customFormat="1" ht="13.95" customHeight="1" x14ac:dyDescent="0.25">
      <c r="A114" s="537" t="s">
        <v>455</v>
      </c>
      <c r="B114" s="366"/>
      <c r="C114" s="367">
        <v>0.6</v>
      </c>
      <c r="D114" s="367" t="s">
        <v>4470</v>
      </c>
      <c r="E114" s="368" t="s">
        <v>958</v>
      </c>
      <c r="F114" s="369">
        <v>609227.1399999999</v>
      </c>
      <c r="G114" s="370" t="s">
        <v>4469</v>
      </c>
      <c r="H114" s="366"/>
      <c r="I114" s="369" t="s">
        <v>4468</v>
      </c>
      <c r="J114" s="541"/>
      <c r="K114" s="373"/>
      <c r="L114" s="373"/>
    </row>
    <row r="115" spans="1:12" s="374" customFormat="1" ht="13.95" customHeight="1" x14ac:dyDescent="0.25">
      <c r="A115" s="537" t="s">
        <v>310</v>
      </c>
      <c r="B115" s="366" t="s">
        <v>284</v>
      </c>
      <c r="C115" s="367">
        <v>-32.299999999999997</v>
      </c>
      <c r="D115" s="367" t="s">
        <v>510</v>
      </c>
      <c r="E115" s="368" t="s">
        <v>958</v>
      </c>
      <c r="F115" s="369">
        <v>0</v>
      </c>
      <c r="G115" s="370" t="s">
        <v>4467</v>
      </c>
      <c r="H115" s="366"/>
      <c r="I115" s="369" t="s">
        <v>237</v>
      </c>
      <c r="J115" s="541"/>
      <c r="K115" s="373"/>
      <c r="L115" s="373"/>
    </row>
    <row r="116" spans="1:12" s="228" customFormat="1" ht="13.95" customHeight="1" x14ac:dyDescent="0.25">
      <c r="A116" s="68" t="s">
        <v>188</v>
      </c>
      <c r="B116" s="14" t="s">
        <v>284</v>
      </c>
      <c r="C116" s="13">
        <v>0.06</v>
      </c>
      <c r="D116" s="13" t="s">
        <v>510</v>
      </c>
      <c r="E116" s="32" t="s">
        <v>483</v>
      </c>
      <c r="F116" s="4">
        <v>60000</v>
      </c>
      <c r="G116" s="86" t="s">
        <v>8344</v>
      </c>
      <c r="H116" s="14">
        <v>43577</v>
      </c>
      <c r="I116" s="4" t="s">
        <v>8345</v>
      </c>
      <c r="J116" s="71"/>
      <c r="K116" s="62"/>
      <c r="L116" s="62"/>
    </row>
    <row r="117" spans="1:12" s="228" customFormat="1" ht="13.95" customHeight="1" x14ac:dyDescent="0.25">
      <c r="A117" s="13" t="s">
        <v>55</v>
      </c>
      <c r="B117" s="14"/>
      <c r="C117" s="13">
        <v>0</v>
      </c>
      <c r="D117" s="32" t="s">
        <v>559</v>
      </c>
      <c r="E117" s="32" t="s">
        <v>62</v>
      </c>
      <c r="F117" s="4"/>
      <c r="G117" s="86" t="s">
        <v>889</v>
      </c>
      <c r="H117" s="211"/>
      <c r="I117" s="41" t="s">
        <v>579</v>
      </c>
      <c r="J117" s="21"/>
    </row>
    <row r="118" spans="1:12" s="228" customFormat="1" ht="13.95" customHeight="1" x14ac:dyDescent="0.25">
      <c r="A118" s="13" t="s">
        <v>55</v>
      </c>
      <c r="B118" s="14"/>
      <c r="C118" s="13">
        <v>0</v>
      </c>
      <c r="D118" s="32" t="s">
        <v>559</v>
      </c>
      <c r="E118" s="32" t="s">
        <v>62</v>
      </c>
      <c r="F118" s="4"/>
      <c r="G118" s="86" t="s">
        <v>890</v>
      </c>
      <c r="H118" s="211"/>
      <c r="I118" s="41" t="s">
        <v>463</v>
      </c>
      <c r="J118" s="21"/>
    </row>
    <row r="119" spans="1:12" s="374" customFormat="1" ht="13.95" customHeight="1" x14ac:dyDescent="0.25">
      <c r="A119" s="367" t="s">
        <v>91</v>
      </c>
      <c r="B119" s="366"/>
      <c r="C119" s="367">
        <v>0</v>
      </c>
      <c r="D119" s="368" t="s">
        <v>559</v>
      </c>
      <c r="E119" s="368" t="s">
        <v>62</v>
      </c>
      <c r="F119" s="369"/>
      <c r="G119" s="370" t="s">
        <v>1025</v>
      </c>
      <c r="H119" s="371"/>
      <c r="I119" s="538" t="s">
        <v>463</v>
      </c>
      <c r="J119" s="539"/>
    </row>
    <row r="120" spans="1:12" s="374" customFormat="1" ht="13.95" customHeight="1" x14ac:dyDescent="0.25">
      <c r="A120" s="367" t="s">
        <v>91</v>
      </c>
      <c r="B120" s="366"/>
      <c r="C120" s="367">
        <v>0</v>
      </c>
      <c r="D120" s="368" t="s">
        <v>559</v>
      </c>
      <c r="E120" s="368" t="s">
        <v>62</v>
      </c>
      <c r="F120" s="369"/>
      <c r="G120" s="370" t="s">
        <v>1024</v>
      </c>
      <c r="H120" s="371"/>
      <c r="I120" s="538" t="s">
        <v>579</v>
      </c>
      <c r="J120" s="539"/>
    </row>
    <row r="121" spans="1:12" s="565" customFormat="1" ht="13.95" customHeight="1" x14ac:dyDescent="0.25">
      <c r="A121" s="557" t="s">
        <v>92</v>
      </c>
      <c r="B121" s="558" t="s">
        <v>284</v>
      </c>
      <c r="C121" s="557">
        <v>0.8</v>
      </c>
      <c r="D121" s="559" t="s">
        <v>559</v>
      </c>
      <c r="E121" s="559" t="s">
        <v>62</v>
      </c>
      <c r="F121" s="560">
        <v>805452</v>
      </c>
      <c r="G121" s="561" t="s">
        <v>1023</v>
      </c>
      <c r="H121" s="562"/>
      <c r="I121" s="563" t="s">
        <v>463</v>
      </c>
      <c r="J121" s="564"/>
    </row>
    <row r="122" spans="1:12" s="565" customFormat="1" ht="13.95" customHeight="1" x14ac:dyDescent="0.25">
      <c r="A122" s="557" t="s">
        <v>92</v>
      </c>
      <c r="B122" s="558" t="s">
        <v>284</v>
      </c>
      <c r="C122" s="557">
        <v>0.5</v>
      </c>
      <c r="D122" s="559" t="s">
        <v>559</v>
      </c>
      <c r="E122" s="559" t="s">
        <v>62</v>
      </c>
      <c r="F122" s="560">
        <v>459930</v>
      </c>
      <c r="G122" s="561" t="s">
        <v>1022</v>
      </c>
      <c r="H122" s="562"/>
      <c r="I122" s="563" t="s">
        <v>579</v>
      </c>
      <c r="J122" s="564"/>
    </row>
    <row r="123" spans="1:12" s="228" customFormat="1" ht="13.95" customHeight="1" x14ac:dyDescent="0.25">
      <c r="A123" s="68" t="s">
        <v>35</v>
      </c>
      <c r="B123" s="14"/>
      <c r="C123" s="13">
        <v>0.2</v>
      </c>
      <c r="D123" s="32" t="s">
        <v>559</v>
      </c>
      <c r="E123" s="32" t="s">
        <v>963</v>
      </c>
      <c r="F123" s="4">
        <v>198325</v>
      </c>
      <c r="G123" s="86" t="s">
        <v>1057</v>
      </c>
      <c r="H123" s="211"/>
      <c r="I123" s="41" t="s">
        <v>579</v>
      </c>
      <c r="J123" s="21"/>
    </row>
    <row r="124" spans="1:12" s="228" customFormat="1" ht="13.95" customHeight="1" x14ac:dyDescent="0.25">
      <c r="A124" s="68" t="s">
        <v>188</v>
      </c>
      <c r="B124" s="14"/>
      <c r="C124" s="13">
        <v>0</v>
      </c>
      <c r="D124" s="32" t="s">
        <v>559</v>
      </c>
      <c r="E124" s="32" t="s">
        <v>60</v>
      </c>
      <c r="F124" s="4">
        <v>0</v>
      </c>
      <c r="G124" s="86" t="s">
        <v>1058</v>
      </c>
      <c r="H124" s="211"/>
      <c r="I124" s="41" t="s">
        <v>579</v>
      </c>
      <c r="J124" s="21"/>
    </row>
    <row r="125" spans="1:12" s="228" customFormat="1" ht="13.95" customHeight="1" x14ac:dyDescent="0.25">
      <c r="A125" s="68" t="s">
        <v>260</v>
      </c>
      <c r="B125" s="14"/>
      <c r="C125" s="13">
        <v>0</v>
      </c>
      <c r="D125" s="32" t="s">
        <v>559</v>
      </c>
      <c r="E125" s="32" t="s">
        <v>963</v>
      </c>
      <c r="F125" s="4">
        <v>0</v>
      </c>
      <c r="G125" s="86" t="s">
        <v>1056</v>
      </c>
      <c r="H125" s="211"/>
      <c r="I125" s="41" t="s">
        <v>463</v>
      </c>
      <c r="J125" s="21"/>
    </row>
    <row r="126" spans="1:12" s="228" customFormat="1" ht="13.95" customHeight="1" x14ac:dyDescent="0.25">
      <c r="A126" s="68" t="s">
        <v>260</v>
      </c>
      <c r="B126" s="14"/>
      <c r="C126" s="13">
        <v>0</v>
      </c>
      <c r="D126" s="32" t="s">
        <v>559</v>
      </c>
      <c r="E126" s="32" t="s">
        <v>963</v>
      </c>
      <c r="F126" s="4">
        <v>0</v>
      </c>
      <c r="G126" s="86" t="s">
        <v>1055</v>
      </c>
      <c r="H126" s="211"/>
      <c r="I126" s="41" t="s">
        <v>579</v>
      </c>
      <c r="J126" s="21"/>
    </row>
    <row r="127" spans="1:12" s="228" customFormat="1" ht="13.95" customHeight="1" x14ac:dyDescent="0.25">
      <c r="A127" s="68" t="s">
        <v>261</v>
      </c>
      <c r="B127" s="14" t="s">
        <v>284</v>
      </c>
      <c r="C127" s="13">
        <v>0.25</v>
      </c>
      <c r="D127" s="13" t="s">
        <v>559</v>
      </c>
      <c r="E127" s="32" t="s">
        <v>808</v>
      </c>
      <c r="F127" s="4">
        <v>250000</v>
      </c>
      <c r="G127" s="86" t="s">
        <v>3513</v>
      </c>
      <c r="H127" s="211"/>
      <c r="I127" s="41" t="s">
        <v>463</v>
      </c>
      <c r="J127" s="21"/>
    </row>
    <row r="128" spans="1:12" s="228" customFormat="1" ht="13.95" customHeight="1" x14ac:dyDescent="0.25">
      <c r="A128" s="32" t="s">
        <v>213</v>
      </c>
      <c r="B128" s="14" t="s">
        <v>284</v>
      </c>
      <c r="C128" s="13">
        <v>0.2</v>
      </c>
      <c r="D128" s="13" t="s">
        <v>559</v>
      </c>
      <c r="E128" s="32" t="s">
        <v>808</v>
      </c>
      <c r="F128" s="4">
        <v>210000</v>
      </c>
      <c r="G128" s="69" t="s">
        <v>1446</v>
      </c>
      <c r="H128" s="14"/>
      <c r="I128" s="4" t="s">
        <v>1445</v>
      </c>
      <c r="J128" s="21"/>
    </row>
    <row r="129" spans="1:19" s="228" customFormat="1" ht="13.95" customHeight="1" x14ac:dyDescent="0.25">
      <c r="A129" s="32" t="s">
        <v>213</v>
      </c>
      <c r="B129" s="14"/>
      <c r="C129" s="13">
        <v>0</v>
      </c>
      <c r="D129" s="13" t="s">
        <v>559</v>
      </c>
      <c r="E129" s="32" t="s">
        <v>60</v>
      </c>
      <c r="F129" s="4"/>
      <c r="G129" s="69" t="s">
        <v>1447</v>
      </c>
      <c r="H129" s="14"/>
      <c r="I129" s="4" t="s">
        <v>579</v>
      </c>
      <c r="J129" s="21"/>
    </row>
    <row r="130" spans="1:19" s="374" customFormat="1" ht="14.1" customHeight="1" x14ac:dyDescent="0.25">
      <c r="A130" s="368" t="s">
        <v>91</v>
      </c>
      <c r="B130" s="366"/>
      <c r="C130" s="367">
        <v>1</v>
      </c>
      <c r="D130" s="368" t="s">
        <v>626</v>
      </c>
      <c r="E130" s="368" t="s">
        <v>62</v>
      </c>
      <c r="F130" s="369">
        <v>1009620</v>
      </c>
      <c r="G130" s="370" t="s">
        <v>625</v>
      </c>
      <c r="H130" s="371"/>
      <c r="I130" s="536" t="s">
        <v>9278</v>
      </c>
      <c r="J130" s="539"/>
    </row>
    <row r="131" spans="1:19" s="374" customFormat="1" ht="14.1" customHeight="1" x14ac:dyDescent="0.25">
      <c r="A131" s="368" t="s">
        <v>91</v>
      </c>
      <c r="B131" s="366" t="s">
        <v>284</v>
      </c>
      <c r="C131" s="367">
        <v>1.7</v>
      </c>
      <c r="D131" s="368" t="s">
        <v>626</v>
      </c>
      <c r="E131" s="368" t="s">
        <v>62</v>
      </c>
      <c r="F131" s="369">
        <v>1700000</v>
      </c>
      <c r="G131" s="370" t="s">
        <v>625</v>
      </c>
      <c r="H131" s="371"/>
      <c r="I131" s="536" t="s">
        <v>9277</v>
      </c>
      <c r="J131" s="539"/>
    </row>
    <row r="132" spans="1:19" s="374" customFormat="1" ht="13.95" customHeight="1" x14ac:dyDescent="0.25">
      <c r="A132" s="368" t="s">
        <v>92</v>
      </c>
      <c r="B132" s="366" t="s">
        <v>284</v>
      </c>
      <c r="C132" s="367">
        <v>12.7</v>
      </c>
      <c r="D132" s="368" t="s">
        <v>39</v>
      </c>
      <c r="E132" s="368" t="s">
        <v>38</v>
      </c>
      <c r="F132" s="369">
        <v>12682642.07</v>
      </c>
      <c r="G132" s="370" t="s">
        <v>615</v>
      </c>
      <c r="H132" s="371"/>
      <c r="I132" s="538" t="s">
        <v>97</v>
      </c>
      <c r="J132" s="539"/>
    </row>
    <row r="133" spans="1:19" s="228" customFormat="1" ht="13.95" customHeight="1" x14ac:dyDescent="0.25">
      <c r="A133" s="32" t="s">
        <v>151</v>
      </c>
      <c r="B133" s="14" t="s">
        <v>284</v>
      </c>
      <c r="C133" s="13">
        <v>0.3</v>
      </c>
      <c r="D133" s="32" t="s">
        <v>1800</v>
      </c>
      <c r="E133" s="32" t="s">
        <v>195</v>
      </c>
      <c r="F133" s="4">
        <v>260000</v>
      </c>
      <c r="G133" s="86" t="s">
        <v>9457</v>
      </c>
      <c r="H133" s="211"/>
      <c r="I133" s="208" t="s">
        <v>9458</v>
      </c>
      <c r="J133" s="21"/>
    </row>
    <row r="134" spans="1:19" s="228" customFormat="1" ht="13.95" customHeight="1" x14ac:dyDescent="0.25">
      <c r="A134" s="32" t="s">
        <v>1285</v>
      </c>
      <c r="B134" s="14" t="s">
        <v>8356</v>
      </c>
      <c r="C134" s="13">
        <v>12.2</v>
      </c>
      <c r="D134" s="32" t="s">
        <v>1800</v>
      </c>
      <c r="E134" s="32" t="s">
        <v>62</v>
      </c>
      <c r="F134" s="4">
        <v>12152559.65</v>
      </c>
      <c r="G134" s="86" t="s">
        <v>816</v>
      </c>
      <c r="H134" s="211"/>
      <c r="I134" s="208" t="s">
        <v>361</v>
      </c>
      <c r="J134" s="21"/>
    </row>
    <row r="135" spans="1:19" s="374" customFormat="1" x14ac:dyDescent="0.25">
      <c r="A135" s="368" t="s">
        <v>92</v>
      </c>
      <c r="B135" s="366"/>
      <c r="C135" s="367">
        <v>0</v>
      </c>
      <c r="D135" s="368" t="s">
        <v>1800</v>
      </c>
      <c r="E135" s="368" t="s">
        <v>62</v>
      </c>
      <c r="F135" s="369">
        <v>0</v>
      </c>
      <c r="G135" s="370" t="s">
        <v>4647</v>
      </c>
      <c r="H135" s="371"/>
      <c r="I135" s="536" t="s">
        <v>4648</v>
      </c>
      <c r="J135" s="539"/>
    </row>
    <row r="136" spans="1:19" s="374" customFormat="1" x14ac:dyDescent="0.25">
      <c r="A136" s="365" t="s">
        <v>455</v>
      </c>
      <c r="B136" s="366"/>
      <c r="C136" s="367">
        <v>0</v>
      </c>
      <c r="D136" s="367" t="s">
        <v>6408</v>
      </c>
      <c r="E136" s="367" t="s">
        <v>440</v>
      </c>
      <c r="F136" s="369">
        <v>0</v>
      </c>
      <c r="G136" s="553" t="s">
        <v>6409</v>
      </c>
      <c r="H136" s="366">
        <v>43293</v>
      </c>
      <c r="I136" s="369" t="s">
        <v>6410</v>
      </c>
      <c r="J136" s="554"/>
      <c r="K136" s="539"/>
    </row>
    <row r="137" spans="1:19" s="374" customFormat="1" ht="13.95" customHeight="1" x14ac:dyDescent="0.25">
      <c r="A137" s="368" t="s">
        <v>442</v>
      </c>
      <c r="B137" s="366" t="s">
        <v>284</v>
      </c>
      <c r="C137" s="367">
        <v>18.5</v>
      </c>
      <c r="D137" s="368" t="s">
        <v>8368</v>
      </c>
      <c r="E137" s="368" t="s">
        <v>62</v>
      </c>
      <c r="F137" s="369">
        <v>18450000</v>
      </c>
      <c r="G137" s="370" t="s">
        <v>8367</v>
      </c>
      <c r="H137" s="371"/>
      <c r="I137" s="538" t="s">
        <v>8366</v>
      </c>
      <c r="J137" s="539"/>
    </row>
    <row r="138" spans="1:19" s="115" customFormat="1" ht="15" customHeight="1" x14ac:dyDescent="0.25">
      <c r="A138" s="13" t="s">
        <v>35</v>
      </c>
      <c r="B138" s="14"/>
      <c r="C138" s="13">
        <v>0</v>
      </c>
      <c r="D138" s="13" t="s">
        <v>755</v>
      </c>
      <c r="E138" s="13" t="s">
        <v>963</v>
      </c>
      <c r="F138" s="4">
        <v>0</v>
      </c>
      <c r="G138" s="265" t="s">
        <v>1016</v>
      </c>
      <c r="H138" s="126"/>
      <c r="I138" s="41" t="s">
        <v>229</v>
      </c>
      <c r="J138" s="258"/>
      <c r="K138" s="116"/>
      <c r="L138" s="116"/>
      <c r="M138" s="116"/>
      <c r="N138" s="116"/>
      <c r="O138" s="117"/>
      <c r="P138" s="117"/>
      <c r="Q138" s="117"/>
      <c r="R138" s="117"/>
      <c r="S138" s="117"/>
    </row>
    <row r="139" spans="1:19" s="115" customFormat="1" ht="15" customHeight="1" x14ac:dyDescent="0.25">
      <c r="A139" s="13" t="s">
        <v>35</v>
      </c>
      <c r="B139" s="14"/>
      <c r="C139" s="13">
        <v>0</v>
      </c>
      <c r="D139" s="13" t="s">
        <v>755</v>
      </c>
      <c r="E139" s="13" t="s">
        <v>963</v>
      </c>
      <c r="F139" s="4">
        <v>0</v>
      </c>
      <c r="G139" s="265" t="s">
        <v>1017</v>
      </c>
      <c r="H139" s="126"/>
      <c r="I139" s="41" t="s">
        <v>229</v>
      </c>
      <c r="J139" s="258"/>
      <c r="K139" s="116"/>
      <c r="L139" s="116"/>
      <c r="M139" s="116"/>
      <c r="N139" s="116"/>
      <c r="O139" s="117"/>
      <c r="P139" s="117"/>
      <c r="Q139" s="117"/>
      <c r="R139" s="117"/>
      <c r="S139" s="117"/>
    </row>
    <row r="140" spans="1:19" s="62" customFormat="1" x14ac:dyDescent="0.25">
      <c r="A140" s="13" t="s">
        <v>35</v>
      </c>
      <c r="B140" s="14" t="s">
        <v>284</v>
      </c>
      <c r="C140" s="13">
        <v>0</v>
      </c>
      <c r="D140" s="13" t="s">
        <v>1516</v>
      </c>
      <c r="E140" s="13" t="s">
        <v>130</v>
      </c>
      <c r="F140" s="4">
        <v>0</v>
      </c>
      <c r="G140" s="69" t="s">
        <v>3035</v>
      </c>
      <c r="H140" s="14"/>
      <c r="I140" s="4" t="s">
        <v>3036</v>
      </c>
      <c r="J140" s="71"/>
    </row>
    <row r="141" spans="1:19" s="62" customFormat="1" ht="27.6" x14ac:dyDescent="0.25">
      <c r="A141" s="13" t="s">
        <v>956</v>
      </c>
      <c r="B141" s="14" t="s">
        <v>1889</v>
      </c>
      <c r="C141" s="13">
        <v>0</v>
      </c>
      <c r="D141" s="13" t="s">
        <v>1516</v>
      </c>
      <c r="E141" s="13" t="s">
        <v>481</v>
      </c>
      <c r="F141" s="4">
        <v>0</v>
      </c>
      <c r="G141" s="69" t="s">
        <v>1799</v>
      </c>
      <c r="H141" s="14"/>
      <c r="I141" s="4" t="s">
        <v>16</v>
      </c>
      <c r="J141" s="71"/>
    </row>
    <row r="142" spans="1:19" s="62" customFormat="1" ht="27.6" x14ac:dyDescent="0.25">
      <c r="A142" s="13" t="s">
        <v>1286</v>
      </c>
      <c r="B142" s="14" t="s">
        <v>1889</v>
      </c>
      <c r="C142" s="13">
        <v>0</v>
      </c>
      <c r="D142" s="13" t="s">
        <v>1516</v>
      </c>
      <c r="E142" s="13" t="s">
        <v>62</v>
      </c>
      <c r="F142" s="4">
        <v>0</v>
      </c>
      <c r="G142" s="69" t="s">
        <v>1517</v>
      </c>
      <c r="H142" s="14"/>
      <c r="I142" s="4" t="s">
        <v>16</v>
      </c>
      <c r="J142" s="71"/>
    </row>
    <row r="143" spans="1:19" s="62" customFormat="1" ht="27.6" x14ac:dyDescent="0.25">
      <c r="A143" s="13" t="s">
        <v>1285</v>
      </c>
      <c r="B143" s="14" t="s">
        <v>1889</v>
      </c>
      <c r="C143" s="13">
        <v>0</v>
      </c>
      <c r="D143" s="13" t="s">
        <v>1516</v>
      </c>
      <c r="E143" s="13" t="s">
        <v>62</v>
      </c>
      <c r="F143" s="4">
        <v>0</v>
      </c>
      <c r="G143" s="69" t="s">
        <v>1518</v>
      </c>
      <c r="H143" s="14"/>
      <c r="I143" s="4" t="s">
        <v>16</v>
      </c>
      <c r="J143" s="71"/>
    </row>
    <row r="144" spans="1:19" s="228" customFormat="1" ht="27.6" customHeight="1" x14ac:dyDescent="0.25">
      <c r="A144" s="32" t="s">
        <v>166</v>
      </c>
      <c r="B144" s="14" t="s">
        <v>932</v>
      </c>
      <c r="C144" s="13">
        <v>0</v>
      </c>
      <c r="D144" s="32" t="s">
        <v>259</v>
      </c>
      <c r="E144" s="32" t="s">
        <v>379</v>
      </c>
      <c r="F144" s="4">
        <v>0</v>
      </c>
      <c r="G144" s="86" t="s">
        <v>380</v>
      </c>
      <c r="H144" s="211"/>
      <c r="I144" s="208" t="s">
        <v>135</v>
      </c>
      <c r="J144" s="21"/>
    </row>
    <row r="145" spans="1:12" s="374" customFormat="1" x14ac:dyDescent="0.25">
      <c r="A145" s="368" t="s">
        <v>1637</v>
      </c>
      <c r="B145" s="366" t="s">
        <v>1849</v>
      </c>
      <c r="C145" s="367">
        <v>0</v>
      </c>
      <c r="D145" s="368" t="s">
        <v>1179</v>
      </c>
      <c r="E145" s="368" t="s">
        <v>62</v>
      </c>
      <c r="F145" s="369">
        <v>0</v>
      </c>
      <c r="G145" s="370" t="s">
        <v>1696</v>
      </c>
      <c r="H145" s="371"/>
      <c r="I145" s="536" t="s">
        <v>237</v>
      </c>
      <c r="J145" s="539"/>
    </row>
    <row r="146" spans="1:12" s="374" customFormat="1" x14ac:dyDescent="0.25">
      <c r="A146" s="368" t="s">
        <v>1640</v>
      </c>
      <c r="B146" s="366" t="s">
        <v>1849</v>
      </c>
      <c r="C146" s="367">
        <v>1.2</v>
      </c>
      <c r="D146" s="368" t="s">
        <v>1179</v>
      </c>
      <c r="E146" s="368" t="s">
        <v>62</v>
      </c>
      <c r="F146" s="369">
        <v>1246830</v>
      </c>
      <c r="G146" s="370" t="s">
        <v>1607</v>
      </c>
      <c r="H146" s="371"/>
      <c r="I146" s="536" t="s">
        <v>237</v>
      </c>
      <c r="J146" s="539"/>
    </row>
    <row r="147" spans="1:12" s="228" customFormat="1" ht="14.1" customHeight="1" x14ac:dyDescent="0.25">
      <c r="A147" s="32" t="s">
        <v>90</v>
      </c>
      <c r="B147" s="14"/>
      <c r="C147" s="13">
        <v>0</v>
      </c>
      <c r="D147" s="32" t="s">
        <v>360</v>
      </c>
      <c r="E147" s="32" t="s">
        <v>130</v>
      </c>
      <c r="F147" s="4">
        <v>0</v>
      </c>
      <c r="G147" s="86" t="s">
        <v>542</v>
      </c>
      <c r="H147" s="211"/>
      <c r="I147" s="208" t="s">
        <v>297</v>
      </c>
      <c r="J147" s="21"/>
    </row>
    <row r="148" spans="1:12" s="228" customFormat="1" ht="27.6" customHeight="1" x14ac:dyDescent="0.25">
      <c r="A148" s="32" t="s">
        <v>2</v>
      </c>
      <c r="B148" s="14" t="s">
        <v>961</v>
      </c>
      <c r="C148" s="13">
        <v>1.1000000000000001</v>
      </c>
      <c r="D148" s="32" t="s">
        <v>435</v>
      </c>
      <c r="E148" s="32" t="s">
        <v>62</v>
      </c>
      <c r="F148" s="4">
        <v>1100701.8100000005</v>
      </c>
      <c r="G148" s="69" t="s">
        <v>436</v>
      </c>
      <c r="H148" s="14"/>
      <c r="I148" s="4" t="s">
        <v>427</v>
      </c>
      <c r="J148" s="21"/>
    </row>
    <row r="149" spans="1:12" s="374" customFormat="1" ht="13.95" customHeight="1" x14ac:dyDescent="0.25">
      <c r="A149" s="367" t="s">
        <v>311</v>
      </c>
      <c r="B149" s="366" t="s">
        <v>284</v>
      </c>
      <c r="C149" s="367">
        <v>0</v>
      </c>
      <c r="D149" s="368" t="s">
        <v>4465</v>
      </c>
      <c r="E149" s="368" t="s">
        <v>958</v>
      </c>
      <c r="F149" s="369">
        <v>0</v>
      </c>
      <c r="G149" s="540" t="s">
        <v>4464</v>
      </c>
      <c r="H149" s="366"/>
      <c r="I149" s="538" t="s">
        <v>1647</v>
      </c>
      <c r="J149" s="372"/>
      <c r="K149" s="373"/>
    </row>
    <row r="150" spans="1:12" s="62" customFormat="1" ht="15" customHeight="1" x14ac:dyDescent="0.25">
      <c r="A150" s="13" t="s">
        <v>8</v>
      </c>
      <c r="B150" s="14"/>
      <c r="C150" s="13">
        <v>1.7</v>
      </c>
      <c r="D150" s="13" t="s">
        <v>1765</v>
      </c>
      <c r="E150" s="13" t="s">
        <v>808</v>
      </c>
      <c r="F150" s="4">
        <f>1676744.2</f>
        <v>1676744.2</v>
      </c>
      <c r="G150" s="69" t="s">
        <v>1766</v>
      </c>
      <c r="H150" s="14"/>
      <c r="I150" s="4" t="s">
        <v>1204</v>
      </c>
      <c r="J150" s="71"/>
    </row>
    <row r="151" spans="1:12" s="228" customFormat="1" ht="13.95" customHeight="1" x14ac:dyDescent="0.25">
      <c r="A151" s="13" t="s">
        <v>956</v>
      </c>
      <c r="B151" s="14"/>
      <c r="C151" s="13">
        <v>1.3</v>
      </c>
      <c r="D151" s="32" t="s">
        <v>1982</v>
      </c>
      <c r="E151" s="32" t="s">
        <v>481</v>
      </c>
      <c r="F151" s="4">
        <v>1264365.9779999999</v>
      </c>
      <c r="G151" s="69" t="s">
        <v>1983</v>
      </c>
      <c r="H151" s="14"/>
      <c r="I151" s="41" t="s">
        <v>1984</v>
      </c>
      <c r="J151" s="22"/>
      <c r="K151" s="62"/>
    </row>
    <row r="152" spans="1:12" s="228" customFormat="1" ht="7.35" customHeight="1" x14ac:dyDescent="0.25">
      <c r="A152" s="3">
        <v>0</v>
      </c>
      <c r="B152" s="212"/>
      <c r="C152" s="3"/>
      <c r="D152" s="3"/>
      <c r="E152" s="3"/>
      <c r="F152" s="209"/>
      <c r="G152" s="25"/>
      <c r="H152" s="212"/>
      <c r="I152" s="209"/>
      <c r="J152" s="71"/>
      <c r="K152" s="62"/>
      <c r="L152" s="62"/>
    </row>
    <row r="153" spans="1:12" s="266" customFormat="1" ht="18.75" customHeight="1" x14ac:dyDescent="0.25">
      <c r="A153" s="267" t="s">
        <v>44</v>
      </c>
      <c r="B153" s="268"/>
      <c r="C153" s="269">
        <f>SUM(C154:C187)</f>
        <v>86.929999999999993</v>
      </c>
      <c r="D153" s="270"/>
      <c r="E153" s="270"/>
      <c r="F153" s="433">
        <f>SUM(F154:F187)</f>
        <v>87184726.090000004</v>
      </c>
      <c r="G153" s="271"/>
      <c r="H153" s="270"/>
      <c r="I153" s="272"/>
      <c r="J153" s="339"/>
      <c r="K153" s="72"/>
      <c r="L153" s="72"/>
    </row>
    <row r="154" spans="1:12" s="228" customFormat="1" ht="9" customHeight="1" x14ac:dyDescent="0.25">
      <c r="A154" s="32">
        <v>0</v>
      </c>
      <c r="B154" s="14"/>
      <c r="C154" s="13"/>
      <c r="D154" s="32"/>
      <c r="E154" s="32"/>
      <c r="F154" s="4"/>
      <c r="G154" s="28"/>
      <c r="H154" s="14"/>
      <c r="I154" s="32"/>
      <c r="J154" s="21"/>
      <c r="K154" s="62"/>
      <c r="L154" s="62"/>
    </row>
    <row r="155" spans="1:12" s="228" customFormat="1" ht="13.95" customHeight="1" x14ac:dyDescent="0.25">
      <c r="A155" s="13" t="s">
        <v>1481</v>
      </c>
      <c r="B155" s="14"/>
      <c r="C155" s="13">
        <v>1.7</v>
      </c>
      <c r="D155" s="32" t="s">
        <v>1977</v>
      </c>
      <c r="E155" s="32" t="s">
        <v>130</v>
      </c>
      <c r="F155" s="4">
        <f>1730000</f>
        <v>1730000</v>
      </c>
      <c r="G155" s="69" t="s">
        <v>1978</v>
      </c>
      <c r="H155" s="14">
        <v>43363</v>
      </c>
      <c r="I155" s="41" t="s">
        <v>1979</v>
      </c>
      <c r="J155" s="22"/>
      <c r="K155" s="62"/>
    </row>
    <row r="156" spans="1:12" s="228" customFormat="1" ht="13.95" customHeight="1" x14ac:dyDescent="0.25">
      <c r="A156" s="61" t="s">
        <v>261</v>
      </c>
      <c r="B156" s="14" t="s">
        <v>2098</v>
      </c>
      <c r="C156" s="13">
        <v>0.01</v>
      </c>
      <c r="D156" s="13" t="s">
        <v>811</v>
      </c>
      <c r="E156" s="32" t="s">
        <v>808</v>
      </c>
      <c r="F156" s="4">
        <v>14000</v>
      </c>
      <c r="G156" s="86" t="s">
        <v>1718</v>
      </c>
      <c r="H156" s="211"/>
      <c r="I156" s="4" t="s">
        <v>1717</v>
      </c>
      <c r="J156" s="21"/>
    </row>
    <row r="157" spans="1:12" s="374" customFormat="1" ht="13.95" customHeight="1" x14ac:dyDescent="0.25">
      <c r="A157" s="537" t="s">
        <v>311</v>
      </c>
      <c r="B157" s="366"/>
      <c r="C157" s="367">
        <v>2.7</v>
      </c>
      <c r="D157" s="368" t="s">
        <v>1029</v>
      </c>
      <c r="E157" s="368" t="s">
        <v>958</v>
      </c>
      <c r="F157" s="369">
        <f>4700000-2000000</f>
        <v>2700000</v>
      </c>
      <c r="G157" s="370" t="s">
        <v>8678</v>
      </c>
      <c r="H157" s="371"/>
      <c r="I157" s="536" t="s">
        <v>8679</v>
      </c>
      <c r="J157" s="539"/>
    </row>
    <row r="158" spans="1:12" s="374" customFormat="1" ht="13.95" customHeight="1" x14ac:dyDescent="0.25">
      <c r="A158" s="365" t="s">
        <v>92</v>
      </c>
      <c r="B158" s="366"/>
      <c r="C158" s="367">
        <v>0.4</v>
      </c>
      <c r="D158" s="367" t="s">
        <v>474</v>
      </c>
      <c r="E158" s="368" t="s">
        <v>62</v>
      </c>
      <c r="F158" s="369">
        <v>460000</v>
      </c>
      <c r="G158" s="370" t="s">
        <v>9240</v>
      </c>
      <c r="H158" s="371"/>
      <c r="I158" s="369" t="s">
        <v>9241</v>
      </c>
      <c r="J158" s="539"/>
    </row>
    <row r="159" spans="1:12" s="374" customFormat="1" ht="16.5" customHeight="1" x14ac:dyDescent="0.25">
      <c r="A159" s="537" t="s">
        <v>91</v>
      </c>
      <c r="B159" s="366" t="s">
        <v>9469</v>
      </c>
      <c r="C159" s="367">
        <v>0.9</v>
      </c>
      <c r="D159" s="368" t="s">
        <v>34</v>
      </c>
      <c r="E159" s="368" t="s">
        <v>62</v>
      </c>
      <c r="F159" s="369">
        <v>948653.17</v>
      </c>
      <c r="G159" s="540" t="s">
        <v>8693</v>
      </c>
      <c r="H159" s="366"/>
      <c r="I159" s="538" t="s">
        <v>6604</v>
      </c>
      <c r="J159" s="372"/>
      <c r="K159" s="373"/>
    </row>
    <row r="160" spans="1:12" s="374" customFormat="1" ht="16.5" customHeight="1" x14ac:dyDescent="0.25">
      <c r="A160" s="537" t="s">
        <v>91</v>
      </c>
      <c r="B160" s="366"/>
      <c r="C160" s="367">
        <v>0.03</v>
      </c>
      <c r="D160" s="368" t="s">
        <v>34</v>
      </c>
      <c r="E160" s="368" t="s">
        <v>62</v>
      </c>
      <c r="F160" s="369">
        <v>35000</v>
      </c>
      <c r="G160" s="540" t="s">
        <v>8694</v>
      </c>
      <c r="H160" s="366"/>
      <c r="I160" s="538" t="s">
        <v>8695</v>
      </c>
      <c r="J160" s="372"/>
      <c r="K160" s="373"/>
    </row>
    <row r="161" spans="1:11" s="228" customFormat="1" ht="13.95" customHeight="1" x14ac:dyDescent="0.25">
      <c r="A161" s="68" t="s">
        <v>166</v>
      </c>
      <c r="B161" s="14"/>
      <c r="C161" s="13">
        <v>0.2</v>
      </c>
      <c r="D161" s="32" t="s">
        <v>588</v>
      </c>
      <c r="E161" s="32" t="s">
        <v>76</v>
      </c>
      <c r="F161" s="4">
        <v>190000</v>
      </c>
      <c r="G161" s="69" t="s">
        <v>1729</v>
      </c>
      <c r="H161" s="14"/>
      <c r="I161" s="41" t="s">
        <v>82</v>
      </c>
      <c r="J161" s="22"/>
      <c r="K161" s="62"/>
    </row>
    <row r="162" spans="1:11" s="228" customFormat="1" ht="13.95" customHeight="1" x14ac:dyDescent="0.25">
      <c r="A162" s="68" t="s">
        <v>260</v>
      </c>
      <c r="B162" s="14"/>
      <c r="C162" s="13">
        <v>0.5</v>
      </c>
      <c r="D162" s="32" t="s">
        <v>588</v>
      </c>
      <c r="E162" s="32" t="s">
        <v>231</v>
      </c>
      <c r="F162" s="4">
        <v>474400</v>
      </c>
      <c r="G162" s="69" t="s">
        <v>1743</v>
      </c>
      <c r="H162" s="14"/>
      <c r="I162" s="41" t="s">
        <v>82</v>
      </c>
      <c r="J162" s="22"/>
      <c r="K162" s="62"/>
    </row>
    <row r="163" spans="1:11" s="374" customFormat="1" ht="13.95" customHeight="1" x14ac:dyDescent="0.25">
      <c r="A163" s="537" t="s">
        <v>310</v>
      </c>
      <c r="B163" s="366"/>
      <c r="C163" s="367">
        <v>6.5</v>
      </c>
      <c r="D163" s="368" t="s">
        <v>588</v>
      </c>
      <c r="E163" s="368" t="s">
        <v>958</v>
      </c>
      <c r="F163" s="369">
        <f>8100000-1568000</f>
        <v>6532000</v>
      </c>
      <c r="G163" s="540" t="s">
        <v>9279</v>
      </c>
      <c r="H163" s="366"/>
      <c r="I163" s="538" t="s">
        <v>82</v>
      </c>
      <c r="J163" s="372"/>
      <c r="K163" s="373"/>
    </row>
    <row r="164" spans="1:11" s="228" customFormat="1" ht="13.95" customHeight="1" x14ac:dyDescent="0.25">
      <c r="A164" s="61" t="s">
        <v>358</v>
      </c>
      <c r="B164" s="14"/>
      <c r="C164" s="13">
        <v>0.4</v>
      </c>
      <c r="D164" s="32" t="s">
        <v>8506</v>
      </c>
      <c r="E164" s="32" t="s">
        <v>62</v>
      </c>
      <c r="F164" s="4">
        <f>1344000-900000</f>
        <v>444000</v>
      </c>
      <c r="G164" s="86" t="s">
        <v>8507</v>
      </c>
      <c r="H164" s="211"/>
      <c r="I164" s="4" t="s">
        <v>8508</v>
      </c>
      <c r="J164" s="21"/>
    </row>
    <row r="165" spans="1:11" s="374" customFormat="1" ht="13.95" customHeight="1" x14ac:dyDescent="0.25">
      <c r="A165" s="365" t="s">
        <v>92</v>
      </c>
      <c r="B165" s="366"/>
      <c r="C165" s="367">
        <v>1.9</v>
      </c>
      <c r="D165" s="368" t="s">
        <v>8506</v>
      </c>
      <c r="E165" s="368" t="s">
        <v>62</v>
      </c>
      <c r="F165" s="369">
        <v>1924000</v>
      </c>
      <c r="G165" s="370" t="s">
        <v>9239</v>
      </c>
      <c r="H165" s="371"/>
      <c r="I165" s="369" t="s">
        <v>9238</v>
      </c>
      <c r="J165" s="539"/>
    </row>
    <row r="166" spans="1:11" s="374" customFormat="1" ht="13.95" customHeight="1" x14ac:dyDescent="0.25">
      <c r="A166" s="367" t="s">
        <v>527</v>
      </c>
      <c r="B166" s="366" t="s">
        <v>9271</v>
      </c>
      <c r="C166" s="367">
        <v>0.1</v>
      </c>
      <c r="D166" s="367" t="s">
        <v>578</v>
      </c>
      <c r="E166" s="368" t="s">
        <v>62</v>
      </c>
      <c r="F166" s="369">
        <v>110000</v>
      </c>
      <c r="G166" s="540" t="s">
        <v>1413</v>
      </c>
      <c r="H166" s="366"/>
      <c r="I166" s="369" t="s">
        <v>1224</v>
      </c>
      <c r="J166" s="539"/>
    </row>
    <row r="167" spans="1:11" s="374" customFormat="1" ht="13.95" customHeight="1" x14ac:dyDescent="0.25">
      <c r="A167" s="537" t="s">
        <v>311</v>
      </c>
      <c r="B167" s="366"/>
      <c r="C167" s="367">
        <v>4</v>
      </c>
      <c r="D167" s="368" t="s">
        <v>7231</v>
      </c>
      <c r="E167" s="368" t="s">
        <v>958</v>
      </c>
      <c r="F167" s="369">
        <f>17000000-13000000</f>
        <v>4000000</v>
      </c>
      <c r="G167" s="370" t="s">
        <v>8680</v>
      </c>
      <c r="H167" s="371"/>
      <c r="I167" s="536" t="s">
        <v>8681</v>
      </c>
      <c r="J167" s="539"/>
    </row>
    <row r="168" spans="1:11" s="228" customFormat="1" ht="13.95" customHeight="1" x14ac:dyDescent="0.25">
      <c r="A168" s="61" t="s">
        <v>442</v>
      </c>
      <c r="B168" s="14"/>
      <c r="C168" s="13">
        <v>12</v>
      </c>
      <c r="D168" s="32" t="s">
        <v>7231</v>
      </c>
      <c r="E168" s="32" t="s">
        <v>130</v>
      </c>
      <c r="F168" s="4">
        <f>12000000</f>
        <v>12000000</v>
      </c>
      <c r="G168" s="86" t="s">
        <v>8673</v>
      </c>
      <c r="H168" s="211"/>
      <c r="I168" s="4" t="s">
        <v>8674</v>
      </c>
      <c r="J168" s="21"/>
    </row>
    <row r="169" spans="1:11" s="228" customFormat="1" ht="13.95" customHeight="1" x14ac:dyDescent="0.25">
      <c r="A169" s="61" t="s">
        <v>442</v>
      </c>
      <c r="B169" s="14"/>
      <c r="C169" s="13">
        <v>7.6</v>
      </c>
      <c r="D169" s="32" t="s">
        <v>7231</v>
      </c>
      <c r="E169" s="32" t="s">
        <v>130</v>
      </c>
      <c r="F169" s="4">
        <v>7600000</v>
      </c>
      <c r="G169" s="86" t="s">
        <v>8675</v>
      </c>
      <c r="H169" s="211"/>
      <c r="I169" s="4" t="s">
        <v>8676</v>
      </c>
      <c r="J169" s="21"/>
    </row>
    <row r="170" spans="1:11" s="374" customFormat="1" ht="13.95" customHeight="1" x14ac:dyDescent="0.25">
      <c r="A170" s="365" t="s">
        <v>92</v>
      </c>
      <c r="B170" s="366"/>
      <c r="C170" s="367">
        <v>14.5</v>
      </c>
      <c r="D170" s="368" t="s">
        <v>7231</v>
      </c>
      <c r="E170" s="368" t="s">
        <v>62</v>
      </c>
      <c r="F170" s="369">
        <f>22500000-5000000-3000000</f>
        <v>14500000</v>
      </c>
      <c r="G170" s="370" t="s">
        <v>7232</v>
      </c>
      <c r="H170" s="371"/>
      <c r="I170" s="369" t="s">
        <v>190</v>
      </c>
      <c r="J170" s="539"/>
    </row>
    <row r="171" spans="1:11" s="228" customFormat="1" ht="13.95" customHeight="1" x14ac:dyDescent="0.25">
      <c r="A171" s="61" t="s">
        <v>358</v>
      </c>
      <c r="B171" s="14"/>
      <c r="C171" s="13">
        <v>0.1</v>
      </c>
      <c r="D171" s="13" t="s">
        <v>204</v>
      </c>
      <c r="E171" s="32" t="s">
        <v>62</v>
      </c>
      <c r="F171" s="4">
        <v>101165.8</v>
      </c>
      <c r="G171" s="86" t="s">
        <v>6603</v>
      </c>
      <c r="H171" s="211"/>
      <c r="I171" s="4" t="s">
        <v>6604</v>
      </c>
      <c r="J171" s="21"/>
    </row>
    <row r="172" spans="1:11" s="374" customFormat="1" ht="13.95" customHeight="1" x14ac:dyDescent="0.25">
      <c r="A172" s="365" t="s">
        <v>92</v>
      </c>
      <c r="B172" s="366"/>
      <c r="C172" s="367">
        <v>6.6</v>
      </c>
      <c r="D172" s="368" t="s">
        <v>1087</v>
      </c>
      <c r="E172" s="368" t="s">
        <v>62</v>
      </c>
      <c r="F172" s="369">
        <f>7650000-1000000</f>
        <v>6650000</v>
      </c>
      <c r="G172" s="370" t="s">
        <v>1772</v>
      </c>
      <c r="H172" s="371"/>
      <c r="I172" s="369" t="s">
        <v>20</v>
      </c>
      <c r="J172" s="539"/>
    </row>
    <row r="173" spans="1:11" s="374" customFormat="1" ht="13.95" customHeight="1" x14ac:dyDescent="0.25">
      <c r="A173" s="365" t="s">
        <v>92</v>
      </c>
      <c r="B173" s="544" t="s">
        <v>9303</v>
      </c>
      <c r="C173" s="367">
        <v>7</v>
      </c>
      <c r="D173" s="367" t="s">
        <v>30</v>
      </c>
      <c r="E173" s="368" t="s">
        <v>62</v>
      </c>
      <c r="F173" s="369">
        <f>6940000</f>
        <v>6940000</v>
      </c>
      <c r="G173" s="370" t="s">
        <v>1760</v>
      </c>
      <c r="H173" s="371"/>
      <c r="I173" s="369" t="s">
        <v>5864</v>
      </c>
      <c r="J173" s="539"/>
    </row>
    <row r="174" spans="1:11" s="228" customFormat="1" ht="13.95" customHeight="1" x14ac:dyDescent="0.25">
      <c r="A174" s="32" t="s">
        <v>91</v>
      </c>
      <c r="B174" s="14" t="s">
        <v>9343</v>
      </c>
      <c r="C174" s="13">
        <v>2.6</v>
      </c>
      <c r="D174" s="32" t="s">
        <v>1857</v>
      </c>
      <c r="E174" s="32" t="s">
        <v>130</v>
      </c>
      <c r="F174" s="4">
        <v>2576396</v>
      </c>
      <c r="G174" s="69" t="s">
        <v>8698</v>
      </c>
      <c r="H174" s="14"/>
      <c r="I174" s="41" t="s">
        <v>1859</v>
      </c>
      <c r="J174" s="22"/>
      <c r="K174" s="62"/>
    </row>
    <row r="175" spans="1:11" s="228" customFormat="1" ht="13.95" customHeight="1" x14ac:dyDescent="0.25">
      <c r="A175" s="13" t="s">
        <v>261</v>
      </c>
      <c r="B175" s="14"/>
      <c r="C175" s="13">
        <v>0.05</v>
      </c>
      <c r="D175" s="32" t="s">
        <v>3313</v>
      </c>
      <c r="E175" s="32" t="s">
        <v>808</v>
      </c>
      <c r="F175" s="4">
        <v>55500</v>
      </c>
      <c r="G175" s="86" t="s">
        <v>3315</v>
      </c>
      <c r="H175" s="14"/>
      <c r="I175" s="41" t="s">
        <v>3314</v>
      </c>
      <c r="J175" s="21"/>
    </row>
    <row r="176" spans="1:11" s="374" customFormat="1" ht="13.95" customHeight="1" x14ac:dyDescent="0.25">
      <c r="A176" s="365" t="s">
        <v>310</v>
      </c>
      <c r="B176" s="366"/>
      <c r="C176" s="367">
        <v>1.5</v>
      </c>
      <c r="D176" s="367" t="s">
        <v>8687</v>
      </c>
      <c r="E176" s="368" t="s">
        <v>958</v>
      </c>
      <c r="F176" s="369">
        <f>2500000-1000000</f>
        <v>1500000</v>
      </c>
      <c r="G176" s="370" t="s">
        <v>8688</v>
      </c>
      <c r="H176" s="371"/>
      <c r="I176" s="369" t="s">
        <v>8689</v>
      </c>
      <c r="J176" s="539"/>
    </row>
    <row r="177" spans="1:12" s="228" customFormat="1" ht="13.95" customHeight="1" x14ac:dyDescent="0.25">
      <c r="A177" s="68" t="s">
        <v>206</v>
      </c>
      <c r="B177" s="14"/>
      <c r="C177" s="13">
        <v>0.1</v>
      </c>
      <c r="D177" s="32" t="s">
        <v>1736</v>
      </c>
      <c r="E177" s="32" t="s">
        <v>130</v>
      </c>
      <c r="F177" s="4">
        <v>76023.67</v>
      </c>
      <c r="G177" s="86" t="s">
        <v>1833</v>
      </c>
      <c r="H177" s="14"/>
      <c r="I177" s="41" t="s">
        <v>1834</v>
      </c>
      <c r="J177" s="22"/>
      <c r="K177" s="62"/>
    </row>
    <row r="178" spans="1:12" s="374" customFormat="1" ht="13.95" customHeight="1" x14ac:dyDescent="0.25">
      <c r="A178" s="365" t="s">
        <v>455</v>
      </c>
      <c r="B178" s="366"/>
      <c r="C178" s="367">
        <v>1.5</v>
      </c>
      <c r="D178" s="367" t="s">
        <v>1144</v>
      </c>
      <c r="E178" s="368" t="s">
        <v>958</v>
      </c>
      <c r="F178" s="369">
        <v>1500000</v>
      </c>
      <c r="G178" s="370" t="s">
        <v>9220</v>
      </c>
      <c r="H178" s="371"/>
      <c r="I178" s="369" t="s">
        <v>6912</v>
      </c>
      <c r="J178" s="539"/>
    </row>
    <row r="179" spans="1:12" s="374" customFormat="1" ht="13.95" customHeight="1" x14ac:dyDescent="0.25">
      <c r="A179" s="537" t="s">
        <v>1316</v>
      </c>
      <c r="B179" s="366"/>
      <c r="C179" s="367">
        <v>0.3</v>
      </c>
      <c r="D179" s="368" t="s">
        <v>7925</v>
      </c>
      <c r="E179" s="368" t="s">
        <v>808</v>
      </c>
      <c r="F179" s="369">
        <v>315000</v>
      </c>
      <c r="G179" s="370" t="s">
        <v>7926</v>
      </c>
      <c r="H179" s="371"/>
      <c r="I179" s="543" t="s">
        <v>7927</v>
      </c>
      <c r="J179" s="539"/>
    </row>
    <row r="180" spans="1:12" s="374" customFormat="1" ht="13.95" customHeight="1" x14ac:dyDescent="0.25">
      <c r="A180" s="537" t="s">
        <v>311</v>
      </c>
      <c r="B180" s="366"/>
      <c r="C180" s="367">
        <v>2.6</v>
      </c>
      <c r="D180" s="368" t="s">
        <v>8162</v>
      </c>
      <c r="E180" s="368" t="s">
        <v>958</v>
      </c>
      <c r="F180" s="369">
        <f>4247134.27-1618727.9</f>
        <v>2628406.3699999996</v>
      </c>
      <c r="G180" s="370" t="s">
        <v>8164</v>
      </c>
      <c r="H180" s="371"/>
      <c r="I180" s="536" t="s">
        <v>8682</v>
      </c>
      <c r="J180" s="539"/>
    </row>
    <row r="181" spans="1:12" s="374" customFormat="1" ht="13.95" customHeight="1" x14ac:dyDescent="0.25">
      <c r="A181" s="537" t="s">
        <v>311</v>
      </c>
      <c r="B181" s="366"/>
      <c r="C181" s="367">
        <v>6.2</v>
      </c>
      <c r="D181" s="367" t="s">
        <v>3301</v>
      </c>
      <c r="E181" s="368" t="s">
        <v>958</v>
      </c>
      <c r="F181" s="369">
        <f>11242981.08-5000000</f>
        <v>6242981.0800000001</v>
      </c>
      <c r="G181" s="370" t="s">
        <v>8684</v>
      </c>
      <c r="H181" s="371"/>
      <c r="I181" s="369" t="s">
        <v>8685</v>
      </c>
      <c r="J181" s="539"/>
    </row>
    <row r="182" spans="1:12" s="228" customFormat="1" ht="13.95" customHeight="1" x14ac:dyDescent="0.25">
      <c r="A182" s="68" t="s">
        <v>260</v>
      </c>
      <c r="B182" s="14" t="s">
        <v>7586</v>
      </c>
      <c r="C182" s="13">
        <v>0.05</v>
      </c>
      <c r="D182" s="32" t="s">
        <v>454</v>
      </c>
      <c r="E182" s="32" t="s">
        <v>231</v>
      </c>
      <c r="F182" s="4">
        <v>48500</v>
      </c>
      <c r="G182" s="86" t="s">
        <v>1305</v>
      </c>
      <c r="H182" s="211"/>
      <c r="I182" s="208" t="s">
        <v>315</v>
      </c>
      <c r="J182" s="21"/>
    </row>
    <row r="183" spans="1:12" s="374" customFormat="1" ht="13.95" customHeight="1" x14ac:dyDescent="0.25">
      <c r="A183" s="365" t="s">
        <v>442</v>
      </c>
      <c r="B183" s="366"/>
      <c r="C183" s="367">
        <v>4.3</v>
      </c>
      <c r="D183" s="367" t="s">
        <v>352</v>
      </c>
      <c r="E183" s="368" t="s">
        <v>62</v>
      </c>
      <c r="F183" s="369">
        <f>4250000</f>
        <v>4250000</v>
      </c>
      <c r="G183" s="370" t="s">
        <v>9475</v>
      </c>
      <c r="H183" s="371"/>
      <c r="I183" s="369" t="s">
        <v>9474</v>
      </c>
      <c r="J183" s="539"/>
    </row>
    <row r="184" spans="1:12" s="374" customFormat="1" ht="13.95" customHeight="1" x14ac:dyDescent="0.25">
      <c r="A184" s="365" t="s">
        <v>55</v>
      </c>
      <c r="B184" s="366"/>
      <c r="C184" s="367">
        <v>0.04</v>
      </c>
      <c r="D184" s="367" t="s">
        <v>352</v>
      </c>
      <c r="E184" s="368" t="s">
        <v>62</v>
      </c>
      <c r="F184" s="369">
        <v>42700</v>
      </c>
      <c r="G184" s="370" t="s">
        <v>4288</v>
      </c>
      <c r="H184" s="371"/>
      <c r="I184" s="369" t="s">
        <v>4289</v>
      </c>
      <c r="J184" s="539"/>
    </row>
    <row r="185" spans="1:12" s="374" customFormat="1" ht="13.95" customHeight="1" x14ac:dyDescent="0.25">
      <c r="A185" s="365" t="s">
        <v>310</v>
      </c>
      <c r="B185" s="366"/>
      <c r="C185" s="367">
        <v>0.5</v>
      </c>
      <c r="D185" s="367" t="s">
        <v>289</v>
      </c>
      <c r="E185" s="368" t="s">
        <v>958</v>
      </c>
      <c r="F185" s="369">
        <f>420000+120000</f>
        <v>540000</v>
      </c>
      <c r="G185" s="370" t="s">
        <v>9038</v>
      </c>
      <c r="H185" s="371"/>
      <c r="I185" s="369" t="s">
        <v>9039</v>
      </c>
      <c r="J185" s="539"/>
    </row>
    <row r="186" spans="1:12" s="374" customFormat="1" ht="13.95" customHeight="1" x14ac:dyDescent="0.25">
      <c r="A186" s="365" t="s">
        <v>637</v>
      </c>
      <c r="B186" s="366"/>
      <c r="C186" s="367">
        <v>0.05</v>
      </c>
      <c r="D186" s="367" t="s">
        <v>289</v>
      </c>
      <c r="E186" s="368" t="s">
        <v>691</v>
      </c>
      <c r="F186" s="369">
        <v>56000</v>
      </c>
      <c r="G186" s="370" t="s">
        <v>8029</v>
      </c>
      <c r="H186" s="371"/>
      <c r="I186" s="369" t="s">
        <v>467</v>
      </c>
      <c r="J186" s="539"/>
    </row>
    <row r="187" spans="1:12" s="228" customFormat="1" ht="8.25" customHeight="1" x14ac:dyDescent="0.25">
      <c r="A187" s="13">
        <v>0</v>
      </c>
      <c r="B187" s="14"/>
      <c r="C187" s="13"/>
      <c r="D187" s="13"/>
      <c r="E187" s="13"/>
      <c r="F187" s="4"/>
      <c r="G187" s="29"/>
      <c r="H187" s="14"/>
      <c r="I187" s="4"/>
      <c r="J187" s="21"/>
      <c r="K187" s="62"/>
      <c r="L187" s="62"/>
    </row>
    <row r="188" spans="1:12" s="8" customFormat="1" ht="18.75" customHeight="1" x14ac:dyDescent="0.25">
      <c r="A188" s="11" t="s">
        <v>49</v>
      </c>
      <c r="B188" s="66"/>
      <c r="C188" s="213">
        <f>SUM(C189:C458)</f>
        <v>234.97000000000003</v>
      </c>
      <c r="D188" s="9"/>
      <c r="E188" s="9"/>
      <c r="F188" s="390">
        <f>SUM(F189:F458)</f>
        <v>258561866.1219348</v>
      </c>
      <c r="G188" s="24"/>
      <c r="H188" s="9"/>
      <c r="I188" s="10"/>
      <c r="J188" s="342"/>
      <c r="K188" s="23"/>
      <c r="L188" s="23"/>
    </row>
    <row r="189" spans="1:12" ht="8.1" customHeight="1" x14ac:dyDescent="0.25">
      <c r="A189" s="17">
        <v>0</v>
      </c>
      <c r="B189" s="39"/>
      <c r="C189" s="40"/>
      <c r="D189" s="17"/>
      <c r="E189" s="17"/>
      <c r="F189" s="36"/>
      <c r="G189" s="38"/>
      <c r="H189" s="39"/>
      <c r="I189" s="17"/>
      <c r="J189" s="342"/>
    </row>
    <row r="190" spans="1:12" s="228" customFormat="1" ht="13.95" customHeight="1" x14ac:dyDescent="0.25">
      <c r="A190" s="32" t="s">
        <v>55</v>
      </c>
      <c r="B190" s="14" t="s">
        <v>1411</v>
      </c>
      <c r="C190" s="13"/>
      <c r="D190" s="32" t="s">
        <v>1359</v>
      </c>
      <c r="E190" s="32" t="s">
        <v>144</v>
      </c>
      <c r="F190" s="4">
        <f>1360000-680000</f>
        <v>680000</v>
      </c>
      <c r="G190" s="139" t="s">
        <v>1360</v>
      </c>
      <c r="H190" s="211">
        <v>43144</v>
      </c>
      <c r="I190" s="208" t="s">
        <v>1361</v>
      </c>
      <c r="J190" s="21"/>
    </row>
    <row r="191" spans="1:12" s="228" customFormat="1" ht="13.95" customHeight="1" x14ac:dyDescent="0.25">
      <c r="A191" s="68" t="s">
        <v>407</v>
      </c>
      <c r="B191" s="14"/>
      <c r="C191" s="13">
        <v>1.5</v>
      </c>
      <c r="D191" s="32" t="s">
        <v>548</v>
      </c>
      <c r="E191" s="32" t="s">
        <v>488</v>
      </c>
      <c r="F191" s="4">
        <v>500000</v>
      </c>
      <c r="G191" s="86" t="s">
        <v>549</v>
      </c>
      <c r="H191" s="211"/>
      <c r="I191" s="208" t="s">
        <v>520</v>
      </c>
      <c r="J191" s="21"/>
    </row>
    <row r="192" spans="1:12" s="374" customFormat="1" ht="13.95" customHeight="1" x14ac:dyDescent="0.25">
      <c r="A192" s="365" t="s">
        <v>1147</v>
      </c>
      <c r="B192" s="366"/>
      <c r="C192" s="367">
        <v>4</v>
      </c>
      <c r="D192" s="367" t="s">
        <v>679</v>
      </c>
      <c r="E192" s="368" t="s">
        <v>808</v>
      </c>
      <c r="F192" s="369">
        <v>4026887</v>
      </c>
      <c r="G192" s="370" t="s">
        <v>2192</v>
      </c>
      <c r="H192" s="371"/>
      <c r="I192" s="369" t="s">
        <v>24</v>
      </c>
      <c r="J192" s="539"/>
    </row>
    <row r="193" spans="1:10" s="228" customFormat="1" ht="13.95" customHeight="1" x14ac:dyDescent="0.25">
      <c r="A193" s="61" t="s">
        <v>129</v>
      </c>
      <c r="B193" s="14"/>
      <c r="C193" s="13">
        <v>0.06</v>
      </c>
      <c r="D193" s="13" t="s">
        <v>679</v>
      </c>
      <c r="E193" s="32" t="s">
        <v>130</v>
      </c>
      <c r="F193" s="4">
        <f>270850-212000</f>
        <v>58850</v>
      </c>
      <c r="G193" s="86" t="s">
        <v>1370</v>
      </c>
      <c r="H193" s="211"/>
      <c r="I193" s="4" t="s">
        <v>270</v>
      </c>
      <c r="J193" s="21"/>
    </row>
    <row r="194" spans="1:10" s="228" customFormat="1" ht="13.95" customHeight="1" x14ac:dyDescent="0.25">
      <c r="A194" s="61" t="s">
        <v>55</v>
      </c>
      <c r="B194" s="14"/>
      <c r="C194" s="13">
        <v>0</v>
      </c>
      <c r="D194" s="13" t="s">
        <v>679</v>
      </c>
      <c r="E194" s="32" t="s">
        <v>130</v>
      </c>
      <c r="F194" s="4"/>
      <c r="G194" s="86" t="s">
        <v>1761</v>
      </c>
      <c r="H194" s="211"/>
      <c r="I194" s="4" t="s">
        <v>1762</v>
      </c>
      <c r="J194" s="21"/>
    </row>
    <row r="195" spans="1:10" s="228" customFormat="1" x14ac:dyDescent="0.25">
      <c r="A195" s="61" t="s">
        <v>55</v>
      </c>
      <c r="B195" s="14"/>
      <c r="C195" s="13">
        <v>0</v>
      </c>
      <c r="D195" s="13" t="s">
        <v>679</v>
      </c>
      <c r="E195" s="32" t="s">
        <v>130</v>
      </c>
      <c r="F195" s="4">
        <v>0</v>
      </c>
      <c r="G195" s="86" t="s">
        <v>1797</v>
      </c>
      <c r="H195" s="211"/>
      <c r="I195" s="4" t="s">
        <v>1798</v>
      </c>
      <c r="J195" s="21"/>
    </row>
    <row r="196" spans="1:10" s="228" customFormat="1" x14ac:dyDescent="0.25">
      <c r="A196" s="61" t="s">
        <v>91</v>
      </c>
      <c r="B196" s="14"/>
      <c r="C196" s="13">
        <v>2.2999999999999998</v>
      </c>
      <c r="D196" s="13" t="s">
        <v>679</v>
      </c>
      <c r="E196" s="32" t="s">
        <v>130</v>
      </c>
      <c r="F196" s="4">
        <v>2286651.2413863037</v>
      </c>
      <c r="G196" s="86" t="s">
        <v>5956</v>
      </c>
      <c r="H196" s="211"/>
      <c r="I196" s="4" t="s">
        <v>270</v>
      </c>
      <c r="J196" s="21"/>
    </row>
    <row r="197" spans="1:10" s="374" customFormat="1" ht="13.95" customHeight="1" x14ac:dyDescent="0.25">
      <c r="A197" s="365" t="s">
        <v>442</v>
      </c>
      <c r="B197" s="366"/>
      <c r="C197" s="367">
        <v>-0.2</v>
      </c>
      <c r="D197" s="367" t="s">
        <v>679</v>
      </c>
      <c r="E197" s="368" t="s">
        <v>62</v>
      </c>
      <c r="F197" s="369">
        <v>0</v>
      </c>
      <c r="G197" s="370" t="s">
        <v>885</v>
      </c>
      <c r="H197" s="371"/>
      <c r="I197" s="369" t="s">
        <v>884</v>
      </c>
      <c r="J197" s="539"/>
    </row>
    <row r="198" spans="1:10" s="374" customFormat="1" ht="15" customHeight="1" x14ac:dyDescent="0.25">
      <c r="A198" s="365" t="s">
        <v>442</v>
      </c>
      <c r="B198" s="366"/>
      <c r="C198" s="367">
        <v>2.9</v>
      </c>
      <c r="D198" s="367" t="s">
        <v>679</v>
      </c>
      <c r="E198" s="368" t="s">
        <v>62</v>
      </c>
      <c r="F198" s="369">
        <v>2881444.19</v>
      </c>
      <c r="G198" s="370" t="s">
        <v>1010</v>
      </c>
      <c r="H198" s="371"/>
      <c r="I198" s="369" t="s">
        <v>1011</v>
      </c>
      <c r="J198" s="539"/>
    </row>
    <row r="199" spans="1:10" s="374" customFormat="1" ht="13.95" customHeight="1" x14ac:dyDescent="0.25">
      <c r="A199" s="365" t="s">
        <v>442</v>
      </c>
      <c r="B199" s="366"/>
      <c r="C199" s="367">
        <v>0.1</v>
      </c>
      <c r="D199" s="367" t="s">
        <v>679</v>
      </c>
      <c r="E199" s="368" t="s">
        <v>62</v>
      </c>
      <c r="F199" s="369">
        <v>132522.57900000003</v>
      </c>
      <c r="G199" s="370" t="s">
        <v>1779</v>
      </c>
      <c r="H199" s="371"/>
      <c r="I199" s="369" t="s">
        <v>2054</v>
      </c>
      <c r="J199" s="539"/>
    </row>
    <row r="200" spans="1:10" s="374" customFormat="1" ht="13.95" customHeight="1" x14ac:dyDescent="0.25">
      <c r="A200" s="365" t="s">
        <v>442</v>
      </c>
      <c r="B200" s="366"/>
      <c r="C200" s="367">
        <v>0</v>
      </c>
      <c r="D200" s="367" t="s">
        <v>679</v>
      </c>
      <c r="E200" s="368" t="s">
        <v>62</v>
      </c>
      <c r="F200" s="369">
        <v>0</v>
      </c>
      <c r="G200" s="370" t="s">
        <v>3624</v>
      </c>
      <c r="H200" s="371"/>
      <c r="I200" s="369" t="s">
        <v>3625</v>
      </c>
      <c r="J200" s="539"/>
    </row>
    <row r="201" spans="1:10" s="374" customFormat="1" ht="13.95" customHeight="1" x14ac:dyDescent="0.25">
      <c r="A201" s="365" t="s">
        <v>442</v>
      </c>
      <c r="B201" s="366"/>
      <c r="C201" s="367">
        <v>0.3</v>
      </c>
      <c r="D201" s="367" t="s">
        <v>679</v>
      </c>
      <c r="E201" s="368" t="s">
        <v>62</v>
      </c>
      <c r="F201" s="369">
        <v>310000</v>
      </c>
      <c r="G201" s="370" t="s">
        <v>2602</v>
      </c>
      <c r="H201" s="371"/>
      <c r="I201" s="369" t="s">
        <v>2603</v>
      </c>
      <c r="J201" s="539"/>
    </row>
    <row r="202" spans="1:10" s="228" customFormat="1" ht="13.95" customHeight="1" x14ac:dyDescent="0.25">
      <c r="A202" s="61" t="s">
        <v>358</v>
      </c>
      <c r="B202" s="14"/>
      <c r="C202" s="13">
        <v>0.2</v>
      </c>
      <c r="D202" s="13" t="s">
        <v>679</v>
      </c>
      <c r="E202" s="32" t="s">
        <v>62</v>
      </c>
      <c r="F202" s="4">
        <v>270340.11000000004</v>
      </c>
      <c r="G202" s="86" t="s">
        <v>2053</v>
      </c>
      <c r="H202" s="211"/>
      <c r="I202" s="4" t="s">
        <v>2054</v>
      </c>
      <c r="J202" s="21"/>
    </row>
    <row r="203" spans="1:10" s="374" customFormat="1" ht="13.95" customHeight="1" x14ac:dyDescent="0.25">
      <c r="A203" s="365" t="s">
        <v>91</v>
      </c>
      <c r="B203" s="366"/>
      <c r="C203" s="367">
        <v>0</v>
      </c>
      <c r="D203" s="367" t="s">
        <v>679</v>
      </c>
      <c r="E203" s="368" t="s">
        <v>62</v>
      </c>
      <c r="F203" s="369">
        <v>6000</v>
      </c>
      <c r="G203" s="370" t="s">
        <v>1084</v>
      </c>
      <c r="H203" s="371"/>
      <c r="I203" s="369" t="s">
        <v>1085</v>
      </c>
      <c r="J203" s="539"/>
    </row>
    <row r="204" spans="1:10" s="374" customFormat="1" ht="13.95" customHeight="1" x14ac:dyDescent="0.25">
      <c r="A204" s="365" t="s">
        <v>92</v>
      </c>
      <c r="B204" s="366"/>
      <c r="C204" s="367">
        <v>3.1</v>
      </c>
      <c r="D204" s="367" t="s">
        <v>679</v>
      </c>
      <c r="E204" s="368" t="s">
        <v>62</v>
      </c>
      <c r="F204" s="369">
        <v>3111543.7</v>
      </c>
      <c r="G204" s="370" t="s">
        <v>2598</v>
      </c>
      <c r="H204" s="371"/>
      <c r="I204" s="369" t="s">
        <v>315</v>
      </c>
      <c r="J204" s="539"/>
    </row>
    <row r="205" spans="1:10" s="228" customFormat="1" ht="13.95" customHeight="1" x14ac:dyDescent="0.25">
      <c r="A205" s="61" t="s">
        <v>358</v>
      </c>
      <c r="B205" s="14"/>
      <c r="C205" s="13">
        <v>1.2</v>
      </c>
      <c r="D205" s="13" t="s">
        <v>1029</v>
      </c>
      <c r="E205" s="32" t="s">
        <v>62</v>
      </c>
      <c r="F205" s="4">
        <v>1216040</v>
      </c>
      <c r="G205" s="86" t="s">
        <v>2086</v>
      </c>
      <c r="H205" s="211"/>
      <c r="I205" s="4" t="s">
        <v>20</v>
      </c>
      <c r="J205" s="21"/>
    </row>
    <row r="206" spans="1:10" s="374" customFormat="1" ht="13.95" customHeight="1" x14ac:dyDescent="0.25">
      <c r="A206" s="365" t="s">
        <v>91</v>
      </c>
      <c r="B206" s="366"/>
      <c r="C206" s="367">
        <v>5.0999999999999996</v>
      </c>
      <c r="D206" s="367" t="s">
        <v>1029</v>
      </c>
      <c r="E206" s="368" t="s">
        <v>62</v>
      </c>
      <c r="F206" s="369">
        <v>5069655.6299999952</v>
      </c>
      <c r="G206" s="370" t="s">
        <v>786</v>
      </c>
      <c r="H206" s="371"/>
      <c r="I206" s="369" t="s">
        <v>20</v>
      </c>
      <c r="J206" s="539"/>
    </row>
    <row r="207" spans="1:10" s="374" customFormat="1" ht="13.95" customHeight="1" x14ac:dyDescent="0.25">
      <c r="A207" s="365" t="s">
        <v>91</v>
      </c>
      <c r="B207" s="366"/>
      <c r="C207" s="367">
        <v>0.5</v>
      </c>
      <c r="D207" s="367" t="s">
        <v>1029</v>
      </c>
      <c r="E207" s="368" t="s">
        <v>62</v>
      </c>
      <c r="F207" s="369">
        <v>538857.85</v>
      </c>
      <c r="G207" s="370" t="s">
        <v>1702</v>
      </c>
      <c r="H207" s="371"/>
      <c r="I207" s="369" t="s">
        <v>1701</v>
      </c>
      <c r="J207" s="539"/>
    </row>
    <row r="208" spans="1:10" s="228" customFormat="1" ht="13.95" customHeight="1" x14ac:dyDescent="0.25">
      <c r="A208" s="68" t="s">
        <v>55</v>
      </c>
      <c r="B208" s="14" t="s">
        <v>6733</v>
      </c>
      <c r="C208" s="13">
        <v>-0.7</v>
      </c>
      <c r="D208" s="32" t="s">
        <v>1029</v>
      </c>
      <c r="E208" s="32" t="s">
        <v>888</v>
      </c>
      <c r="F208" s="4">
        <v>0</v>
      </c>
      <c r="G208" s="69" t="s">
        <v>472</v>
      </c>
      <c r="H208" s="14"/>
      <c r="I208" s="41" t="s">
        <v>270</v>
      </c>
      <c r="J208" s="21"/>
    </row>
    <row r="209" spans="1:12" s="228" customFormat="1" ht="13.95" customHeight="1" x14ac:dyDescent="0.25">
      <c r="A209" s="68" t="s">
        <v>55</v>
      </c>
      <c r="B209" s="14" t="s">
        <v>6733</v>
      </c>
      <c r="C209" s="13">
        <v>-0.4</v>
      </c>
      <c r="D209" s="32" t="s">
        <v>1029</v>
      </c>
      <c r="E209" s="32" t="s">
        <v>888</v>
      </c>
      <c r="F209" s="4">
        <v>0</v>
      </c>
      <c r="G209" s="69" t="s">
        <v>986</v>
      </c>
      <c r="H209" s="14"/>
      <c r="I209" s="41" t="s">
        <v>270</v>
      </c>
      <c r="J209" s="21"/>
    </row>
    <row r="210" spans="1:12" s="228" customFormat="1" x14ac:dyDescent="0.25">
      <c r="A210" s="68" t="s">
        <v>188</v>
      </c>
      <c r="B210" s="14" t="s">
        <v>2792</v>
      </c>
      <c r="C210" s="13">
        <v>0</v>
      </c>
      <c r="D210" s="13" t="s">
        <v>584</v>
      </c>
      <c r="E210" s="32" t="s">
        <v>963</v>
      </c>
      <c r="F210" s="4">
        <v>0</v>
      </c>
      <c r="G210" s="86" t="s">
        <v>1006</v>
      </c>
      <c r="H210" s="211"/>
      <c r="I210" s="4" t="s">
        <v>20</v>
      </c>
      <c r="J210" s="21"/>
    </row>
    <row r="211" spans="1:12" s="228" customFormat="1" ht="13.95" customHeight="1" x14ac:dyDescent="0.25">
      <c r="A211" s="68" t="s">
        <v>188</v>
      </c>
      <c r="B211" s="14"/>
      <c r="C211" s="13">
        <v>0</v>
      </c>
      <c r="D211" s="13" t="s">
        <v>584</v>
      </c>
      <c r="E211" s="32" t="s">
        <v>808</v>
      </c>
      <c r="F211" s="4">
        <v>0</v>
      </c>
      <c r="G211" s="86" t="s">
        <v>1530</v>
      </c>
      <c r="H211" s="211"/>
      <c r="I211" s="4" t="s">
        <v>20</v>
      </c>
      <c r="J211" s="21"/>
    </row>
    <row r="212" spans="1:12" s="228" customFormat="1" ht="13.95" customHeight="1" x14ac:dyDescent="0.25">
      <c r="A212" s="13" t="s">
        <v>213</v>
      </c>
      <c r="B212" s="14"/>
      <c r="C212" s="13">
        <v>0</v>
      </c>
      <c r="D212" s="13" t="s">
        <v>584</v>
      </c>
      <c r="E212" s="32" t="s">
        <v>808</v>
      </c>
      <c r="F212" s="4">
        <v>0</v>
      </c>
      <c r="G212" s="86" t="s">
        <v>1448</v>
      </c>
      <c r="H212" s="211"/>
      <c r="I212" s="4" t="s">
        <v>1449</v>
      </c>
      <c r="J212" s="21"/>
    </row>
    <row r="213" spans="1:12" s="374" customFormat="1" ht="13.95" customHeight="1" x14ac:dyDescent="0.25">
      <c r="A213" s="537" t="s">
        <v>310</v>
      </c>
      <c r="B213" s="366"/>
      <c r="C213" s="367">
        <v>0.2</v>
      </c>
      <c r="D213" s="367" t="s">
        <v>682</v>
      </c>
      <c r="E213" s="368" t="s">
        <v>958</v>
      </c>
      <c r="F213" s="369">
        <v>212188</v>
      </c>
      <c r="G213" s="370" t="s">
        <v>4462</v>
      </c>
      <c r="H213" s="371"/>
      <c r="I213" s="536" t="s">
        <v>79</v>
      </c>
      <c r="J213" s="539"/>
    </row>
    <row r="214" spans="1:12" s="374" customFormat="1" ht="13.95" customHeight="1" x14ac:dyDescent="0.25">
      <c r="A214" s="537" t="s">
        <v>91</v>
      </c>
      <c r="B214" s="366"/>
      <c r="C214" s="367">
        <v>0</v>
      </c>
      <c r="D214" s="367" t="s">
        <v>682</v>
      </c>
      <c r="E214" s="368" t="s">
        <v>62</v>
      </c>
      <c r="F214" s="369">
        <v>0</v>
      </c>
      <c r="G214" s="370" t="s">
        <v>683</v>
      </c>
      <c r="H214" s="371"/>
      <c r="I214" s="536" t="s">
        <v>681</v>
      </c>
      <c r="J214" s="539"/>
    </row>
    <row r="215" spans="1:12" s="374" customFormat="1" ht="13.95" customHeight="1" x14ac:dyDescent="0.25">
      <c r="A215" s="365" t="s">
        <v>455</v>
      </c>
      <c r="B215" s="366"/>
      <c r="C215" s="367">
        <v>1.1000000000000001</v>
      </c>
      <c r="D215" s="368" t="s">
        <v>4461</v>
      </c>
      <c r="E215" s="368" t="s">
        <v>958</v>
      </c>
      <c r="F215" s="369">
        <v>1142172.1200000001</v>
      </c>
      <c r="G215" s="370" t="s">
        <v>4460</v>
      </c>
      <c r="H215" s="371"/>
      <c r="I215" s="369" t="s">
        <v>82</v>
      </c>
      <c r="J215" s="539"/>
    </row>
    <row r="216" spans="1:12" s="374" customFormat="1" x14ac:dyDescent="0.25">
      <c r="A216" s="368" t="s">
        <v>639</v>
      </c>
      <c r="B216" s="366"/>
      <c r="C216" s="367">
        <v>-0.15</v>
      </c>
      <c r="D216" s="368" t="s">
        <v>825</v>
      </c>
      <c r="E216" s="367" t="s">
        <v>691</v>
      </c>
      <c r="F216" s="369">
        <v>-154745.94999999972</v>
      </c>
      <c r="G216" s="540" t="s">
        <v>826</v>
      </c>
      <c r="H216" s="371"/>
      <c r="I216" s="369" t="s">
        <v>82</v>
      </c>
    </row>
    <row r="217" spans="1:12" s="374" customFormat="1" x14ac:dyDescent="0.25">
      <c r="A217" s="368" t="s">
        <v>1350</v>
      </c>
      <c r="B217" s="366"/>
      <c r="C217" s="367">
        <v>0.4</v>
      </c>
      <c r="D217" s="368" t="s">
        <v>825</v>
      </c>
      <c r="E217" s="367" t="s">
        <v>691</v>
      </c>
      <c r="F217" s="369">
        <v>441543.75</v>
      </c>
      <c r="G217" s="540" t="s">
        <v>1643</v>
      </c>
      <c r="H217" s="371"/>
      <c r="I217" s="369" t="s">
        <v>82</v>
      </c>
    </row>
    <row r="218" spans="1:12" s="228" customFormat="1" x14ac:dyDescent="0.25">
      <c r="A218" s="32" t="s">
        <v>213</v>
      </c>
      <c r="B218" s="14"/>
      <c r="C218" s="13">
        <v>0.2</v>
      </c>
      <c r="D218" s="32" t="s">
        <v>8474</v>
      </c>
      <c r="E218" s="13" t="s">
        <v>130</v>
      </c>
      <c r="F218" s="4">
        <v>220000</v>
      </c>
      <c r="G218" s="69" t="s">
        <v>8475</v>
      </c>
      <c r="H218" s="211"/>
      <c r="I218" s="4" t="s">
        <v>8476</v>
      </c>
    </row>
    <row r="219" spans="1:12" s="374" customFormat="1" ht="13.95" customHeight="1" x14ac:dyDescent="0.25">
      <c r="A219" s="537" t="s">
        <v>659</v>
      </c>
      <c r="B219" s="366"/>
      <c r="C219" s="367">
        <v>4.0999999999999996</v>
      </c>
      <c r="D219" s="368" t="s">
        <v>1767</v>
      </c>
      <c r="E219" s="368" t="s">
        <v>808</v>
      </c>
      <c r="F219" s="369">
        <v>4139454.83</v>
      </c>
      <c r="G219" s="370" t="s">
        <v>6279</v>
      </c>
      <c r="H219" s="366"/>
      <c r="I219" s="538" t="s">
        <v>101</v>
      </c>
      <c r="J219" s="372"/>
      <c r="K219" s="373"/>
    </row>
    <row r="220" spans="1:12" s="374" customFormat="1" ht="13.95" customHeight="1" x14ac:dyDescent="0.25">
      <c r="A220" s="365" t="s">
        <v>310</v>
      </c>
      <c r="B220" s="366" t="s">
        <v>284</v>
      </c>
      <c r="C220" s="367">
        <v>1.1000000000000001</v>
      </c>
      <c r="D220" s="367" t="s">
        <v>474</v>
      </c>
      <c r="E220" s="368" t="s">
        <v>958</v>
      </c>
      <c r="F220" s="369">
        <v>1093626</v>
      </c>
      <c r="G220" s="370" t="s">
        <v>5726</v>
      </c>
      <c r="H220" s="371"/>
      <c r="I220" s="369" t="s">
        <v>5727</v>
      </c>
      <c r="J220" s="539"/>
    </row>
    <row r="221" spans="1:12" s="228" customFormat="1" ht="13.95" customHeight="1" x14ac:dyDescent="0.25">
      <c r="A221" s="32" t="s">
        <v>407</v>
      </c>
      <c r="B221" s="14"/>
      <c r="C221" s="13">
        <v>0.08</v>
      </c>
      <c r="D221" s="13" t="s">
        <v>474</v>
      </c>
      <c r="E221" s="32" t="s">
        <v>488</v>
      </c>
      <c r="F221" s="4">
        <v>79380</v>
      </c>
      <c r="G221" s="86" t="s">
        <v>857</v>
      </c>
      <c r="H221" s="14"/>
      <c r="I221" s="4" t="s">
        <v>218</v>
      </c>
      <c r="J221" s="21"/>
    </row>
    <row r="222" spans="1:12" s="228" customFormat="1" ht="13.95" customHeight="1" x14ac:dyDescent="0.25">
      <c r="A222" s="13" t="s">
        <v>213</v>
      </c>
      <c r="B222" s="14"/>
      <c r="C222" s="13">
        <v>0</v>
      </c>
      <c r="D222" s="13" t="s">
        <v>634</v>
      </c>
      <c r="E222" s="32" t="s">
        <v>808</v>
      </c>
      <c r="F222" s="4">
        <v>0</v>
      </c>
      <c r="G222" s="86" t="s">
        <v>972</v>
      </c>
      <c r="H222" s="211"/>
      <c r="I222" s="4" t="s">
        <v>79</v>
      </c>
      <c r="J222" s="21"/>
    </row>
    <row r="223" spans="1:12" s="374" customFormat="1" ht="15" customHeight="1" x14ac:dyDescent="0.25">
      <c r="A223" s="537" t="s">
        <v>91</v>
      </c>
      <c r="B223" s="366"/>
      <c r="C223" s="367">
        <v>0</v>
      </c>
      <c r="D223" s="367" t="s">
        <v>969</v>
      </c>
      <c r="E223" s="368" t="s">
        <v>62</v>
      </c>
      <c r="F223" s="369">
        <v>0</v>
      </c>
      <c r="G223" s="370" t="s">
        <v>1369</v>
      </c>
      <c r="H223" s="366"/>
      <c r="I223" s="369" t="s">
        <v>190</v>
      </c>
      <c r="J223" s="541"/>
      <c r="K223" s="373"/>
      <c r="L223" s="373"/>
    </row>
    <row r="224" spans="1:12" s="228" customFormat="1" ht="13.95" customHeight="1" x14ac:dyDescent="0.25">
      <c r="A224" s="32" t="s">
        <v>129</v>
      </c>
      <c r="B224" s="14"/>
      <c r="C224" s="13">
        <v>0</v>
      </c>
      <c r="D224" s="13" t="s">
        <v>513</v>
      </c>
      <c r="E224" s="32" t="s">
        <v>62</v>
      </c>
      <c r="F224" s="4">
        <v>0</v>
      </c>
      <c r="G224" s="86" t="s">
        <v>514</v>
      </c>
      <c r="H224" s="14"/>
      <c r="I224" s="4" t="s">
        <v>20</v>
      </c>
      <c r="J224" s="21"/>
    </row>
    <row r="225" spans="1:11" s="374" customFormat="1" ht="13.95" customHeight="1" x14ac:dyDescent="0.25">
      <c r="A225" s="368" t="s">
        <v>668</v>
      </c>
      <c r="B225" s="366"/>
      <c r="C225" s="367">
        <v>0.2</v>
      </c>
      <c r="D225" s="367" t="s">
        <v>513</v>
      </c>
      <c r="E225" s="368" t="s">
        <v>62</v>
      </c>
      <c r="F225" s="369">
        <v>227022.13</v>
      </c>
      <c r="G225" s="370" t="s">
        <v>1667</v>
      </c>
      <c r="H225" s="366"/>
      <c r="I225" s="369" t="s">
        <v>252</v>
      </c>
      <c r="J225" s="539"/>
    </row>
    <row r="226" spans="1:11" s="228" customFormat="1" ht="13.95" customHeight="1" x14ac:dyDescent="0.25">
      <c r="A226" s="32" t="s">
        <v>90</v>
      </c>
      <c r="B226" s="14"/>
      <c r="C226" s="13">
        <v>0.8</v>
      </c>
      <c r="D226" s="13" t="s">
        <v>513</v>
      </c>
      <c r="E226" s="32" t="s">
        <v>130</v>
      </c>
      <c r="F226" s="4">
        <v>813690</v>
      </c>
      <c r="G226" s="86" t="s">
        <v>1946</v>
      </c>
      <c r="H226" s="14"/>
      <c r="I226" s="4" t="s">
        <v>315</v>
      </c>
      <c r="J226" s="21"/>
    </row>
    <row r="227" spans="1:11" s="228" customFormat="1" ht="13.95" customHeight="1" x14ac:dyDescent="0.25">
      <c r="A227" s="32" t="s">
        <v>90</v>
      </c>
      <c r="B227" s="14"/>
      <c r="C227" s="13">
        <v>0</v>
      </c>
      <c r="D227" s="13" t="s">
        <v>34</v>
      </c>
      <c r="E227" s="32" t="s">
        <v>130</v>
      </c>
      <c r="F227" s="4">
        <v>0</v>
      </c>
      <c r="G227" s="86" t="s">
        <v>2022</v>
      </c>
      <c r="H227" s="14"/>
      <c r="I227" s="4" t="s">
        <v>315</v>
      </c>
      <c r="J227" s="21"/>
    </row>
    <row r="228" spans="1:11" s="374" customFormat="1" ht="16.5" customHeight="1" x14ac:dyDescent="0.25">
      <c r="A228" s="537" t="s">
        <v>442</v>
      </c>
      <c r="B228" s="366"/>
      <c r="C228" s="367">
        <v>0.5</v>
      </c>
      <c r="D228" s="368" t="s">
        <v>34</v>
      </c>
      <c r="E228" s="368" t="s">
        <v>62</v>
      </c>
      <c r="F228" s="369">
        <v>517449.42</v>
      </c>
      <c r="G228" s="540" t="s">
        <v>1778</v>
      </c>
      <c r="H228" s="366"/>
      <c r="I228" s="538" t="s">
        <v>1777</v>
      </c>
      <c r="J228" s="372"/>
      <c r="K228" s="373"/>
    </row>
    <row r="229" spans="1:11" s="374" customFormat="1" ht="16.5" customHeight="1" x14ac:dyDescent="0.25">
      <c r="A229" s="537" t="s">
        <v>91</v>
      </c>
      <c r="B229" s="366"/>
      <c r="C229" s="367">
        <v>0.9</v>
      </c>
      <c r="D229" s="368" t="s">
        <v>34</v>
      </c>
      <c r="E229" s="368" t="s">
        <v>62</v>
      </c>
      <c r="F229" s="369">
        <v>875711.59</v>
      </c>
      <c r="G229" s="540" t="s">
        <v>8696</v>
      </c>
      <c r="H229" s="366"/>
      <c r="I229" s="538" t="s">
        <v>8134</v>
      </c>
      <c r="J229" s="372"/>
      <c r="K229" s="373"/>
    </row>
    <row r="230" spans="1:11" s="228" customFormat="1" ht="13.95" customHeight="1" x14ac:dyDescent="0.25">
      <c r="A230" s="68" t="s">
        <v>213</v>
      </c>
      <c r="B230" s="14"/>
      <c r="C230" s="13">
        <v>0</v>
      </c>
      <c r="D230" s="13" t="s">
        <v>34</v>
      </c>
      <c r="E230" s="32" t="s">
        <v>130</v>
      </c>
      <c r="F230" s="4">
        <v>0</v>
      </c>
      <c r="G230" s="86" t="s">
        <v>1734</v>
      </c>
      <c r="H230" s="211"/>
      <c r="I230" s="4" t="s">
        <v>46</v>
      </c>
      <c r="J230" s="21"/>
    </row>
    <row r="231" spans="1:11" s="228" customFormat="1" ht="13.95" customHeight="1" x14ac:dyDescent="0.25">
      <c r="A231" s="68" t="s">
        <v>213</v>
      </c>
      <c r="B231" s="14"/>
      <c r="C231" s="13">
        <v>-0.15</v>
      </c>
      <c r="D231" s="13" t="s">
        <v>34</v>
      </c>
      <c r="E231" s="32" t="s">
        <v>808</v>
      </c>
      <c r="F231" s="4">
        <v>0</v>
      </c>
      <c r="G231" s="86" t="s">
        <v>1043</v>
      </c>
      <c r="H231" s="211"/>
      <c r="I231" s="4" t="s">
        <v>20</v>
      </c>
      <c r="J231" s="21"/>
    </row>
    <row r="232" spans="1:11" s="228" customFormat="1" ht="13.95" customHeight="1" x14ac:dyDescent="0.25">
      <c r="A232" s="68" t="s">
        <v>213</v>
      </c>
      <c r="B232" s="14"/>
      <c r="C232" s="13">
        <v>0</v>
      </c>
      <c r="D232" s="32" t="s">
        <v>34</v>
      </c>
      <c r="E232" s="32" t="s">
        <v>808</v>
      </c>
      <c r="F232" s="4">
        <v>24126.9</v>
      </c>
      <c r="G232" s="86" t="s">
        <v>1044</v>
      </c>
      <c r="H232" s="211"/>
      <c r="I232" s="208" t="s">
        <v>1045</v>
      </c>
      <c r="J232" s="21"/>
    </row>
    <row r="233" spans="1:11" s="228" customFormat="1" ht="13.95" customHeight="1" x14ac:dyDescent="0.25">
      <c r="A233" s="68" t="s">
        <v>213</v>
      </c>
      <c r="B233" s="14"/>
      <c r="C233" s="13">
        <v>-0.33</v>
      </c>
      <c r="D233" s="13" t="s">
        <v>34</v>
      </c>
      <c r="E233" s="32" t="s">
        <v>808</v>
      </c>
      <c r="F233" s="4">
        <v>0</v>
      </c>
      <c r="G233" s="86" t="s">
        <v>1046</v>
      </c>
      <c r="H233" s="211"/>
      <c r="I233" s="4" t="s">
        <v>315</v>
      </c>
      <c r="J233" s="21"/>
    </row>
    <row r="234" spans="1:11" s="374" customFormat="1" ht="13.95" customHeight="1" x14ac:dyDescent="0.25">
      <c r="A234" s="365" t="s">
        <v>311</v>
      </c>
      <c r="B234" s="366"/>
      <c r="C234" s="367">
        <v>1.3</v>
      </c>
      <c r="D234" s="368" t="s">
        <v>4458</v>
      </c>
      <c r="E234" s="368" t="s">
        <v>958</v>
      </c>
      <c r="F234" s="369">
        <v>1268000</v>
      </c>
      <c r="G234" s="370" t="s">
        <v>4459</v>
      </c>
      <c r="H234" s="371"/>
      <c r="I234" s="369" t="s">
        <v>4781</v>
      </c>
      <c r="J234" s="539"/>
    </row>
    <row r="235" spans="1:11" s="374" customFormat="1" ht="13.95" customHeight="1" x14ac:dyDescent="0.25">
      <c r="A235" s="365" t="s">
        <v>455</v>
      </c>
      <c r="B235" s="366"/>
      <c r="C235" s="367">
        <v>0</v>
      </c>
      <c r="D235" s="368" t="s">
        <v>4458</v>
      </c>
      <c r="E235" s="368" t="s">
        <v>958</v>
      </c>
      <c r="F235" s="369"/>
      <c r="G235" s="370" t="s">
        <v>4457</v>
      </c>
      <c r="H235" s="371"/>
      <c r="I235" s="369" t="s">
        <v>2791</v>
      </c>
      <c r="J235" s="539"/>
    </row>
    <row r="236" spans="1:11" s="374" customFormat="1" x14ac:dyDescent="0.25">
      <c r="A236" s="368" t="s">
        <v>1350</v>
      </c>
      <c r="B236" s="366" t="s">
        <v>9062</v>
      </c>
      <c r="C236" s="367">
        <v>2.8</v>
      </c>
      <c r="D236" s="368" t="s">
        <v>7304</v>
      </c>
      <c r="E236" s="367" t="s">
        <v>691</v>
      </c>
      <c r="F236" s="369">
        <v>2790450.93</v>
      </c>
      <c r="G236" s="540" t="s">
        <v>7305</v>
      </c>
      <c r="H236" s="371"/>
      <c r="I236" s="369" t="s">
        <v>202</v>
      </c>
    </row>
    <row r="237" spans="1:11" s="374" customFormat="1" ht="13.95" customHeight="1" x14ac:dyDescent="0.25">
      <c r="A237" s="537" t="s">
        <v>311</v>
      </c>
      <c r="B237" s="366" t="s">
        <v>6390</v>
      </c>
      <c r="C237" s="367">
        <v>0</v>
      </c>
      <c r="D237" s="368" t="s">
        <v>1077</v>
      </c>
      <c r="E237" s="368" t="s">
        <v>958</v>
      </c>
      <c r="F237" s="369">
        <v>0</v>
      </c>
      <c r="G237" s="370" t="s">
        <v>4456</v>
      </c>
      <c r="H237" s="371"/>
      <c r="I237" s="536" t="s">
        <v>4455</v>
      </c>
      <c r="J237" s="539"/>
    </row>
    <row r="238" spans="1:11" s="374" customFormat="1" ht="27.6" x14ac:dyDescent="0.25">
      <c r="A238" s="537" t="s">
        <v>908</v>
      </c>
      <c r="B238" s="366" t="s">
        <v>3253</v>
      </c>
      <c r="C238" s="367">
        <v>-14.7</v>
      </c>
      <c r="D238" s="368" t="s">
        <v>1077</v>
      </c>
      <c r="E238" s="368" t="s">
        <v>38</v>
      </c>
      <c r="F238" s="369">
        <v>0</v>
      </c>
      <c r="G238" s="370" t="s">
        <v>591</v>
      </c>
      <c r="H238" s="371"/>
      <c r="I238" s="536" t="s">
        <v>581</v>
      </c>
      <c r="J238" s="539" t="s">
        <v>3535</v>
      </c>
    </row>
    <row r="239" spans="1:11" s="228" customFormat="1" ht="13.95" customHeight="1" x14ac:dyDescent="0.25">
      <c r="A239" s="68" t="s">
        <v>358</v>
      </c>
      <c r="B239" s="14"/>
      <c r="C239" s="13">
        <v>-6</v>
      </c>
      <c r="D239" s="32" t="s">
        <v>1077</v>
      </c>
      <c r="E239" s="32" t="s">
        <v>38</v>
      </c>
      <c r="F239" s="4">
        <v>0</v>
      </c>
      <c r="G239" s="86" t="s">
        <v>410</v>
      </c>
      <c r="H239" s="211"/>
      <c r="I239" s="208" t="s">
        <v>581</v>
      </c>
      <c r="J239" s="21"/>
    </row>
    <row r="240" spans="1:11" s="374" customFormat="1" ht="13.95" customHeight="1" x14ac:dyDescent="0.25">
      <c r="A240" s="365" t="s">
        <v>1683</v>
      </c>
      <c r="B240" s="366"/>
      <c r="C240" s="367">
        <v>0</v>
      </c>
      <c r="D240" s="367" t="s">
        <v>1035</v>
      </c>
      <c r="E240" s="368" t="s">
        <v>62</v>
      </c>
      <c r="F240" s="369">
        <v>0</v>
      </c>
      <c r="G240" s="370" t="s">
        <v>1684</v>
      </c>
      <c r="H240" s="371"/>
      <c r="I240" s="369" t="s">
        <v>879</v>
      </c>
      <c r="J240" s="539"/>
    </row>
    <row r="241" spans="1:16" s="374" customFormat="1" ht="13.95" customHeight="1" x14ac:dyDescent="0.25">
      <c r="A241" s="365" t="s">
        <v>1034</v>
      </c>
      <c r="B241" s="366"/>
      <c r="C241" s="367">
        <v>0.2</v>
      </c>
      <c r="D241" s="367" t="s">
        <v>1035</v>
      </c>
      <c r="E241" s="368" t="s">
        <v>62</v>
      </c>
      <c r="F241" s="369">
        <v>234360</v>
      </c>
      <c r="G241" s="370" t="s">
        <v>1036</v>
      </c>
      <c r="H241" s="371"/>
      <c r="I241" s="369" t="s">
        <v>879</v>
      </c>
      <c r="J241" s="539"/>
    </row>
    <row r="242" spans="1:16" s="228" customFormat="1" ht="13.95" customHeight="1" x14ac:dyDescent="0.25">
      <c r="A242" s="61" t="s">
        <v>188</v>
      </c>
      <c r="B242" s="14" t="s">
        <v>754</v>
      </c>
      <c r="C242" s="13">
        <v>0.1</v>
      </c>
      <c r="D242" s="13" t="s">
        <v>1035</v>
      </c>
      <c r="E242" s="32" t="s">
        <v>808</v>
      </c>
      <c r="F242" s="4">
        <v>136115</v>
      </c>
      <c r="G242" s="86" t="s">
        <v>2249</v>
      </c>
      <c r="H242" s="211"/>
      <c r="I242" s="4" t="s">
        <v>2250</v>
      </c>
      <c r="J242" s="21"/>
    </row>
    <row r="243" spans="1:16" s="228" customFormat="1" ht="13.95" customHeight="1" x14ac:dyDescent="0.25">
      <c r="A243" s="61" t="s">
        <v>213</v>
      </c>
      <c r="B243" s="14"/>
      <c r="C243" s="13">
        <v>0</v>
      </c>
      <c r="D243" s="13" t="s">
        <v>1035</v>
      </c>
      <c r="E243" s="32" t="s">
        <v>808</v>
      </c>
      <c r="F243" s="4">
        <v>0</v>
      </c>
      <c r="G243" s="86" t="s">
        <v>1047</v>
      </c>
      <c r="H243" s="211"/>
      <c r="I243" s="4" t="s">
        <v>218</v>
      </c>
      <c r="J243" s="21"/>
    </row>
    <row r="244" spans="1:16" s="374" customFormat="1" ht="13.95" customHeight="1" x14ac:dyDescent="0.25">
      <c r="A244" s="367" t="s">
        <v>637</v>
      </c>
      <c r="B244" s="545" t="s">
        <v>284</v>
      </c>
      <c r="C244" s="367">
        <v>1.2</v>
      </c>
      <c r="D244" s="367" t="s">
        <v>1035</v>
      </c>
      <c r="E244" s="367" t="s">
        <v>691</v>
      </c>
      <c r="F244" s="369">
        <v>1192500</v>
      </c>
      <c r="G244" s="370" t="s">
        <v>6972</v>
      </c>
      <c r="H244" s="371"/>
      <c r="I244" s="369" t="s">
        <v>218</v>
      </c>
      <c r="J244" s="539"/>
    </row>
    <row r="245" spans="1:16" s="50" customFormat="1" x14ac:dyDescent="0.25">
      <c r="A245" s="68" t="s">
        <v>660</v>
      </c>
      <c r="B245" s="14"/>
      <c r="C245" s="13">
        <v>1.8</v>
      </c>
      <c r="D245" s="218" t="s">
        <v>1726</v>
      </c>
      <c r="E245" s="218" t="s">
        <v>691</v>
      </c>
      <c r="F245" s="4">
        <v>1846459.5999999996</v>
      </c>
      <c r="G245" s="28" t="s">
        <v>1727</v>
      </c>
      <c r="H245" s="14"/>
      <c r="I245" s="127" t="s">
        <v>124</v>
      </c>
    </row>
    <row r="246" spans="1:16" s="550" customFormat="1" x14ac:dyDescent="0.25">
      <c r="A246" s="537" t="s">
        <v>659</v>
      </c>
      <c r="B246" s="366"/>
      <c r="C246" s="367">
        <v>0.2</v>
      </c>
      <c r="D246" s="548" t="s">
        <v>1726</v>
      </c>
      <c r="E246" s="548" t="s">
        <v>691</v>
      </c>
      <c r="F246" s="369">
        <v>179200</v>
      </c>
      <c r="G246" s="547" t="s">
        <v>2779</v>
      </c>
      <c r="H246" s="366"/>
      <c r="I246" s="549" t="s">
        <v>124</v>
      </c>
    </row>
    <row r="247" spans="1:16" s="374" customFormat="1" ht="15" customHeight="1" x14ac:dyDescent="0.25">
      <c r="A247" s="537" t="s">
        <v>442</v>
      </c>
      <c r="B247" s="366"/>
      <c r="C247" s="367">
        <v>-0.06</v>
      </c>
      <c r="D247" s="368" t="s">
        <v>385</v>
      </c>
      <c r="E247" s="368" t="s">
        <v>62</v>
      </c>
      <c r="F247" s="369">
        <v>0</v>
      </c>
      <c r="G247" s="370" t="s">
        <v>496</v>
      </c>
      <c r="H247" s="371"/>
      <c r="I247" s="543" t="s">
        <v>497</v>
      </c>
      <c r="J247" s="372"/>
      <c r="K247" s="373"/>
    </row>
    <row r="248" spans="1:16" s="374" customFormat="1" ht="15" customHeight="1" x14ac:dyDescent="0.25">
      <c r="A248" s="537" t="s">
        <v>442</v>
      </c>
      <c r="B248" s="366"/>
      <c r="C248" s="367">
        <v>0</v>
      </c>
      <c r="D248" s="368" t="s">
        <v>385</v>
      </c>
      <c r="E248" s="368" t="s">
        <v>62</v>
      </c>
      <c r="F248" s="369">
        <v>0</v>
      </c>
      <c r="G248" s="370" t="s">
        <v>566</v>
      </c>
      <c r="H248" s="371"/>
      <c r="I248" s="543" t="s">
        <v>567</v>
      </c>
      <c r="J248" s="372"/>
      <c r="K248" s="373"/>
    </row>
    <row r="249" spans="1:16" s="374" customFormat="1" ht="15" customHeight="1" x14ac:dyDescent="0.25">
      <c r="A249" s="537" t="s">
        <v>442</v>
      </c>
      <c r="B249" s="366"/>
      <c r="C249" s="367">
        <v>0.06</v>
      </c>
      <c r="D249" s="368" t="s">
        <v>385</v>
      </c>
      <c r="E249" s="368" t="s">
        <v>62</v>
      </c>
      <c r="F249" s="369">
        <v>59473.910000000033</v>
      </c>
      <c r="G249" s="370" t="s">
        <v>923</v>
      </c>
      <c r="H249" s="371"/>
      <c r="I249" s="543" t="s">
        <v>78</v>
      </c>
      <c r="J249" s="372"/>
      <c r="K249" s="373"/>
    </row>
    <row r="250" spans="1:16" s="50" customFormat="1" x14ac:dyDescent="0.25">
      <c r="A250" s="68" t="s">
        <v>660</v>
      </c>
      <c r="B250" s="14"/>
      <c r="C250" s="13">
        <v>7.9</v>
      </c>
      <c r="D250" s="218" t="s">
        <v>385</v>
      </c>
      <c r="E250" s="218" t="s">
        <v>691</v>
      </c>
      <c r="F250" s="4">
        <v>7944395</v>
      </c>
      <c r="G250" s="28" t="s">
        <v>1541</v>
      </c>
      <c r="H250" s="14"/>
      <c r="I250" s="127" t="s">
        <v>1542</v>
      </c>
    </row>
    <row r="251" spans="1:16" s="374" customFormat="1" ht="13.95" customHeight="1" x14ac:dyDescent="0.25">
      <c r="A251" s="365" t="s">
        <v>311</v>
      </c>
      <c r="B251" s="366"/>
      <c r="C251" s="367">
        <v>0</v>
      </c>
      <c r="D251" s="368" t="s">
        <v>588</v>
      </c>
      <c r="E251" s="368" t="s">
        <v>958</v>
      </c>
      <c r="F251" s="369">
        <v>0</v>
      </c>
      <c r="G251" s="370" t="s">
        <v>4454</v>
      </c>
      <c r="H251" s="371"/>
      <c r="I251" s="369" t="s">
        <v>4453</v>
      </c>
      <c r="J251" s="539"/>
    </row>
    <row r="252" spans="1:16" s="374" customFormat="1" ht="13.95" customHeight="1" x14ac:dyDescent="0.25">
      <c r="A252" s="365" t="s">
        <v>311</v>
      </c>
      <c r="B252" s="366"/>
      <c r="C252" s="367">
        <v>0</v>
      </c>
      <c r="D252" s="368" t="s">
        <v>588</v>
      </c>
      <c r="E252" s="368" t="s">
        <v>958</v>
      </c>
      <c r="F252" s="369">
        <v>0</v>
      </c>
      <c r="G252" s="370" t="s">
        <v>4452</v>
      </c>
      <c r="H252" s="371"/>
      <c r="I252" s="369" t="s">
        <v>4451</v>
      </c>
      <c r="J252" s="539"/>
    </row>
    <row r="253" spans="1:16" s="374" customFormat="1" ht="13.95" customHeight="1" x14ac:dyDescent="0.25">
      <c r="A253" s="365" t="s">
        <v>310</v>
      </c>
      <c r="B253" s="366"/>
      <c r="C253" s="367">
        <v>0</v>
      </c>
      <c r="D253" s="368" t="s">
        <v>588</v>
      </c>
      <c r="E253" s="368" t="s">
        <v>958</v>
      </c>
      <c r="F253" s="369">
        <v>0</v>
      </c>
      <c r="G253" s="370" t="s">
        <v>4450</v>
      </c>
      <c r="H253" s="371"/>
      <c r="I253" s="369" t="s">
        <v>82</v>
      </c>
      <c r="J253" s="539"/>
    </row>
    <row r="254" spans="1:16" s="374" customFormat="1" ht="13.95" customHeight="1" x14ac:dyDescent="0.25">
      <c r="A254" s="365" t="s">
        <v>455</v>
      </c>
      <c r="B254" s="366"/>
      <c r="C254" s="367">
        <v>0</v>
      </c>
      <c r="D254" s="368" t="s">
        <v>588</v>
      </c>
      <c r="E254" s="368" t="s">
        <v>958</v>
      </c>
      <c r="F254" s="369">
        <v>0</v>
      </c>
      <c r="G254" s="370" t="s">
        <v>4449</v>
      </c>
      <c r="H254" s="371"/>
      <c r="I254" s="369" t="s">
        <v>82</v>
      </c>
      <c r="J254" s="539"/>
    </row>
    <row r="255" spans="1:16" s="374" customFormat="1" x14ac:dyDescent="0.25">
      <c r="A255" s="367" t="s">
        <v>637</v>
      </c>
      <c r="B255" s="545"/>
      <c r="C255" s="367">
        <v>0.3</v>
      </c>
      <c r="D255" s="367" t="s">
        <v>588</v>
      </c>
      <c r="E255" s="367" t="s">
        <v>691</v>
      </c>
      <c r="F255" s="369">
        <f>3078309.1-380000-500000*2-525000-901962.8</f>
        <v>271346.30000000005</v>
      </c>
      <c r="G255" s="540" t="s">
        <v>744</v>
      </c>
      <c r="H255" s="366"/>
      <c r="I255" s="369" t="s">
        <v>82</v>
      </c>
      <c r="J255" s="373"/>
      <c r="K255" s="373"/>
      <c r="L255" s="542"/>
      <c r="M255" s="542"/>
      <c r="N255" s="542"/>
      <c r="O255" s="542"/>
      <c r="P255" s="542"/>
    </row>
    <row r="256" spans="1:16" s="228" customFormat="1" ht="13.95" customHeight="1" x14ac:dyDescent="0.25">
      <c r="A256" s="61" t="s">
        <v>188</v>
      </c>
      <c r="B256" s="14"/>
      <c r="C256" s="13">
        <v>0</v>
      </c>
      <c r="D256" s="32" t="s">
        <v>588</v>
      </c>
      <c r="E256" s="32" t="s">
        <v>808</v>
      </c>
      <c r="F256" s="4">
        <v>0</v>
      </c>
      <c r="G256" s="86" t="s">
        <v>1030</v>
      </c>
      <c r="H256" s="211"/>
      <c r="I256" s="4" t="s">
        <v>82</v>
      </c>
      <c r="J256" s="21"/>
    </row>
    <row r="257" spans="1:16" s="374" customFormat="1" ht="13.95" customHeight="1" x14ac:dyDescent="0.25">
      <c r="A257" s="365" t="s">
        <v>1148</v>
      </c>
      <c r="B257" s="366" t="s">
        <v>284</v>
      </c>
      <c r="C257" s="367">
        <v>5.4</v>
      </c>
      <c r="D257" s="368" t="s">
        <v>588</v>
      </c>
      <c r="E257" s="368" t="s">
        <v>808</v>
      </c>
      <c r="F257" s="369">
        <v>5434256.0899999999</v>
      </c>
      <c r="G257" s="370" t="s">
        <v>3714</v>
      </c>
      <c r="H257" s="371"/>
      <c r="I257" s="369" t="s">
        <v>82</v>
      </c>
      <c r="J257" s="539"/>
    </row>
    <row r="258" spans="1:16" s="374" customFormat="1" ht="13.95" customHeight="1" x14ac:dyDescent="0.25">
      <c r="A258" s="365" t="s">
        <v>1149</v>
      </c>
      <c r="B258" s="366" t="s">
        <v>9328</v>
      </c>
      <c r="C258" s="367">
        <v>0</v>
      </c>
      <c r="D258" s="368" t="s">
        <v>588</v>
      </c>
      <c r="E258" s="368" t="s">
        <v>808</v>
      </c>
      <c r="F258" s="369">
        <v>0</v>
      </c>
      <c r="G258" s="370" t="s">
        <v>2597</v>
      </c>
      <c r="H258" s="371"/>
      <c r="I258" s="369" t="s">
        <v>82</v>
      </c>
      <c r="J258" s="539"/>
    </row>
    <row r="259" spans="1:16" s="374" customFormat="1" ht="13.95" customHeight="1" x14ac:dyDescent="0.25">
      <c r="A259" s="365" t="s">
        <v>92</v>
      </c>
      <c r="B259" s="366"/>
      <c r="C259" s="367">
        <v>0</v>
      </c>
      <c r="D259" s="368" t="s">
        <v>588</v>
      </c>
      <c r="E259" s="368" t="s">
        <v>62</v>
      </c>
      <c r="F259" s="369">
        <v>0</v>
      </c>
      <c r="G259" s="370" t="s">
        <v>1168</v>
      </c>
      <c r="H259" s="371"/>
      <c r="I259" s="369" t="s">
        <v>82</v>
      </c>
      <c r="J259" s="539"/>
    </row>
    <row r="260" spans="1:16" s="228" customFormat="1" ht="13.95" customHeight="1" x14ac:dyDescent="0.25">
      <c r="A260" s="61" t="s">
        <v>358</v>
      </c>
      <c r="B260" s="14"/>
      <c r="C260" s="13">
        <v>0</v>
      </c>
      <c r="D260" s="32" t="s">
        <v>588</v>
      </c>
      <c r="E260" s="32" t="s">
        <v>62</v>
      </c>
      <c r="F260" s="4">
        <v>0</v>
      </c>
      <c r="G260" s="86" t="s">
        <v>1116</v>
      </c>
      <c r="H260" s="211"/>
      <c r="I260" s="4" t="s">
        <v>82</v>
      </c>
      <c r="J260" s="21"/>
    </row>
    <row r="261" spans="1:16" s="228" customFormat="1" ht="13.95" customHeight="1" x14ac:dyDescent="0.25">
      <c r="A261" s="68" t="s">
        <v>358</v>
      </c>
      <c r="B261" s="14"/>
      <c r="C261" s="13">
        <v>0</v>
      </c>
      <c r="D261" s="13" t="s">
        <v>588</v>
      </c>
      <c r="E261" s="32" t="s">
        <v>62</v>
      </c>
      <c r="F261" s="4">
        <v>11816.195000000298</v>
      </c>
      <c r="G261" s="139" t="s">
        <v>428</v>
      </c>
      <c r="H261" s="211"/>
      <c r="I261" s="41" t="s">
        <v>82</v>
      </c>
      <c r="J261" s="21"/>
    </row>
    <row r="262" spans="1:16" s="374" customFormat="1" ht="13.95" customHeight="1" x14ac:dyDescent="0.25">
      <c r="A262" s="365" t="s">
        <v>91</v>
      </c>
      <c r="B262" s="366" t="s">
        <v>284</v>
      </c>
      <c r="C262" s="367">
        <v>0.2</v>
      </c>
      <c r="D262" s="368" t="s">
        <v>588</v>
      </c>
      <c r="E262" s="368" t="s">
        <v>62</v>
      </c>
      <c r="F262" s="369">
        <v>219741.28</v>
      </c>
      <c r="G262" s="370" t="s">
        <v>3298</v>
      </c>
      <c r="H262" s="371"/>
      <c r="I262" s="369" t="s">
        <v>82</v>
      </c>
      <c r="J262" s="539"/>
    </row>
    <row r="263" spans="1:16" s="374" customFormat="1" ht="13.95" customHeight="1" x14ac:dyDescent="0.25">
      <c r="A263" s="365" t="s">
        <v>91</v>
      </c>
      <c r="B263" s="366"/>
      <c r="C263" s="367">
        <v>0.4</v>
      </c>
      <c r="D263" s="368" t="s">
        <v>588</v>
      </c>
      <c r="E263" s="368" t="s">
        <v>62</v>
      </c>
      <c r="F263" s="369">
        <v>419410.62</v>
      </c>
      <c r="G263" s="370" t="s">
        <v>5963</v>
      </c>
      <c r="H263" s="371"/>
      <c r="I263" s="369" t="s">
        <v>82</v>
      </c>
      <c r="J263" s="539"/>
    </row>
    <row r="264" spans="1:16" s="374" customFormat="1" ht="13.95" customHeight="1" x14ac:dyDescent="0.25">
      <c r="A264" s="537" t="s">
        <v>92</v>
      </c>
      <c r="B264" s="366"/>
      <c r="C264" s="367">
        <v>0</v>
      </c>
      <c r="D264" s="367" t="s">
        <v>588</v>
      </c>
      <c r="E264" s="368" t="s">
        <v>62</v>
      </c>
      <c r="F264" s="369">
        <v>0</v>
      </c>
      <c r="G264" s="556" t="s">
        <v>429</v>
      </c>
      <c r="H264" s="371"/>
      <c r="I264" s="538" t="s">
        <v>82</v>
      </c>
      <c r="J264" s="539"/>
    </row>
    <row r="265" spans="1:16" s="374" customFormat="1" x14ac:dyDescent="0.25">
      <c r="A265" s="537" t="s">
        <v>659</v>
      </c>
      <c r="B265" s="545"/>
      <c r="C265" s="367">
        <v>1.5</v>
      </c>
      <c r="D265" s="368" t="s">
        <v>1820</v>
      </c>
      <c r="E265" s="367" t="s">
        <v>808</v>
      </c>
      <c r="F265" s="369">
        <v>1488739.4831679929</v>
      </c>
      <c r="G265" s="547" t="s">
        <v>1821</v>
      </c>
      <c r="H265" s="366"/>
      <c r="I265" s="369" t="s">
        <v>82</v>
      </c>
      <c r="J265" s="373"/>
      <c r="K265" s="373"/>
      <c r="L265" s="542"/>
      <c r="M265" s="542"/>
      <c r="N265" s="542"/>
      <c r="O265" s="542"/>
      <c r="P265" s="542"/>
    </row>
    <row r="266" spans="1:16" s="374" customFormat="1" ht="13.95" customHeight="1" x14ac:dyDescent="0.25">
      <c r="A266" s="365" t="s">
        <v>91</v>
      </c>
      <c r="B266" s="366"/>
      <c r="C266" s="367">
        <v>0.1</v>
      </c>
      <c r="D266" s="367" t="s">
        <v>204</v>
      </c>
      <c r="E266" s="368" t="s">
        <v>62</v>
      </c>
      <c r="F266" s="369">
        <v>109943</v>
      </c>
      <c r="G266" s="370" t="s">
        <v>785</v>
      </c>
      <c r="H266" s="371"/>
      <c r="I266" s="369" t="s">
        <v>20</v>
      </c>
      <c r="J266" s="539"/>
    </row>
    <row r="267" spans="1:16" s="374" customFormat="1" ht="13.95" customHeight="1" x14ac:dyDescent="0.25">
      <c r="A267" s="365" t="s">
        <v>91</v>
      </c>
      <c r="B267" s="366"/>
      <c r="C267" s="367">
        <v>1.5</v>
      </c>
      <c r="D267" s="368" t="s">
        <v>525</v>
      </c>
      <c r="E267" s="368" t="s">
        <v>62</v>
      </c>
      <c r="F267" s="369">
        <v>1478310.6</v>
      </c>
      <c r="G267" s="370" t="s">
        <v>5519</v>
      </c>
      <c r="H267" s="371"/>
      <c r="I267" s="369" t="s">
        <v>5520</v>
      </c>
      <c r="J267" s="539"/>
    </row>
    <row r="268" spans="1:16" s="374" customFormat="1" ht="16.5" customHeight="1" x14ac:dyDescent="0.25">
      <c r="A268" s="537" t="s">
        <v>442</v>
      </c>
      <c r="B268" s="366"/>
      <c r="C268" s="367">
        <v>0.11</v>
      </c>
      <c r="D268" s="368" t="s">
        <v>821</v>
      </c>
      <c r="E268" s="368" t="s">
        <v>62</v>
      </c>
      <c r="F268" s="369">
        <v>117614</v>
      </c>
      <c r="G268" s="540" t="s">
        <v>822</v>
      </c>
      <c r="H268" s="366"/>
      <c r="I268" s="538" t="s">
        <v>823</v>
      </c>
      <c r="J268" s="372"/>
      <c r="K268" s="373"/>
    </row>
    <row r="269" spans="1:16" s="374" customFormat="1" ht="13.95" customHeight="1" x14ac:dyDescent="0.25">
      <c r="A269" s="537" t="s">
        <v>1147</v>
      </c>
      <c r="B269" s="366" t="s">
        <v>9344</v>
      </c>
      <c r="C269" s="367">
        <v>2.7</v>
      </c>
      <c r="D269" s="368" t="s">
        <v>2592</v>
      </c>
      <c r="E269" s="368" t="s">
        <v>808</v>
      </c>
      <c r="F269" s="369">
        <v>2699736.8</v>
      </c>
      <c r="G269" s="370" t="s">
        <v>2593</v>
      </c>
      <c r="H269" s="371"/>
      <c r="I269" s="369" t="s">
        <v>2594</v>
      </c>
      <c r="J269" s="539"/>
    </row>
    <row r="270" spans="1:16" s="374" customFormat="1" ht="13.95" customHeight="1" x14ac:dyDescent="0.25">
      <c r="A270" s="367" t="s">
        <v>1222</v>
      </c>
      <c r="B270" s="366"/>
      <c r="C270" s="367">
        <v>0.1</v>
      </c>
      <c r="D270" s="368" t="s">
        <v>391</v>
      </c>
      <c r="E270" s="368" t="s">
        <v>62</v>
      </c>
      <c r="F270" s="369">
        <v>134368</v>
      </c>
      <c r="G270" s="540" t="s">
        <v>1584</v>
      </c>
      <c r="H270" s="366"/>
      <c r="I270" s="538" t="s">
        <v>252</v>
      </c>
      <c r="J270" s="372"/>
      <c r="K270" s="373"/>
    </row>
    <row r="271" spans="1:16" s="374" customFormat="1" ht="13.95" customHeight="1" x14ac:dyDescent="0.25">
      <c r="A271" s="367" t="s">
        <v>1291</v>
      </c>
      <c r="B271" s="366"/>
      <c r="C271" s="367">
        <v>0.4</v>
      </c>
      <c r="D271" s="368" t="s">
        <v>391</v>
      </c>
      <c r="E271" s="368" t="s">
        <v>62</v>
      </c>
      <c r="F271" s="369">
        <v>420000</v>
      </c>
      <c r="G271" s="540" t="s">
        <v>1585</v>
      </c>
      <c r="H271" s="366"/>
      <c r="I271" s="538" t="s">
        <v>252</v>
      </c>
      <c r="J271" s="372"/>
      <c r="K271" s="373"/>
    </row>
    <row r="272" spans="1:16" s="228" customFormat="1" ht="13.95" customHeight="1" x14ac:dyDescent="0.25">
      <c r="A272" s="13" t="s">
        <v>358</v>
      </c>
      <c r="B272" s="14"/>
      <c r="C272" s="13">
        <v>0</v>
      </c>
      <c r="D272" s="32" t="s">
        <v>391</v>
      </c>
      <c r="E272" s="32" t="s">
        <v>62</v>
      </c>
      <c r="F272" s="4">
        <v>0</v>
      </c>
      <c r="G272" s="69" t="s">
        <v>1868</v>
      </c>
      <c r="H272" s="14"/>
      <c r="I272" s="41" t="s">
        <v>1869</v>
      </c>
      <c r="J272" s="22"/>
      <c r="K272" s="62"/>
    </row>
    <row r="273" spans="1:17" s="228" customFormat="1" ht="13.95" customHeight="1" x14ac:dyDescent="0.25">
      <c r="A273" s="13" t="s">
        <v>358</v>
      </c>
      <c r="B273" s="14"/>
      <c r="C273" s="13">
        <v>0.36</v>
      </c>
      <c r="D273" s="32" t="s">
        <v>391</v>
      </c>
      <c r="E273" s="32" t="s">
        <v>62</v>
      </c>
      <c r="F273" s="4">
        <v>362353.89</v>
      </c>
      <c r="G273" s="69" t="s">
        <v>4831</v>
      </c>
      <c r="H273" s="14"/>
      <c r="I273" s="41" t="s">
        <v>4832</v>
      </c>
      <c r="J273" s="22"/>
      <c r="K273" s="62"/>
    </row>
    <row r="274" spans="1:17" s="374" customFormat="1" ht="13.95" customHeight="1" x14ac:dyDescent="0.25">
      <c r="A274" s="537" t="s">
        <v>92</v>
      </c>
      <c r="B274" s="366"/>
      <c r="C274" s="367">
        <v>0.7</v>
      </c>
      <c r="D274" s="368" t="s">
        <v>391</v>
      </c>
      <c r="E274" s="368" t="s">
        <v>62</v>
      </c>
      <c r="F274" s="369">
        <v>751720.32000000007</v>
      </c>
      <c r="G274" s="370" t="s">
        <v>8255</v>
      </c>
      <c r="H274" s="371"/>
      <c r="I274" s="538" t="s">
        <v>8256</v>
      </c>
      <c r="J274" s="539"/>
    </row>
    <row r="275" spans="1:17" s="228" customFormat="1" ht="13.95" customHeight="1" x14ac:dyDescent="0.25">
      <c r="A275" s="61" t="s">
        <v>55</v>
      </c>
      <c r="B275" s="14" t="s">
        <v>2770</v>
      </c>
      <c r="C275" s="13"/>
      <c r="D275" s="13" t="s">
        <v>1936</v>
      </c>
      <c r="E275" s="32" t="s">
        <v>130</v>
      </c>
      <c r="F275" s="4">
        <v>0</v>
      </c>
      <c r="G275" s="504" t="s">
        <v>2004</v>
      </c>
      <c r="H275" s="211"/>
      <c r="I275" s="4" t="s">
        <v>2017</v>
      </c>
      <c r="J275" s="21"/>
    </row>
    <row r="276" spans="1:17" s="228" customFormat="1" ht="13.95" customHeight="1" x14ac:dyDescent="0.25">
      <c r="A276" s="61" t="s">
        <v>956</v>
      </c>
      <c r="B276" s="14"/>
      <c r="C276" s="13">
        <v>0</v>
      </c>
      <c r="D276" s="13" t="s">
        <v>1936</v>
      </c>
      <c r="E276" s="32" t="s">
        <v>481</v>
      </c>
      <c r="F276" s="4">
        <v>0</v>
      </c>
      <c r="G276" s="86" t="s">
        <v>1937</v>
      </c>
      <c r="H276" s="211"/>
      <c r="I276" s="4" t="s">
        <v>218</v>
      </c>
      <c r="J276" s="21"/>
    </row>
    <row r="277" spans="1:17" s="228" customFormat="1" ht="13.95" customHeight="1" x14ac:dyDescent="0.25">
      <c r="A277" s="32" t="s">
        <v>214</v>
      </c>
      <c r="B277" s="14"/>
      <c r="C277" s="13">
        <v>0</v>
      </c>
      <c r="D277" s="13" t="s">
        <v>4491</v>
      </c>
      <c r="E277" s="32" t="s">
        <v>62</v>
      </c>
      <c r="F277" s="4">
        <v>0</v>
      </c>
      <c r="G277" s="69" t="s">
        <v>805</v>
      </c>
      <c r="H277" s="14"/>
      <c r="I277" s="4" t="s">
        <v>806</v>
      </c>
      <c r="J277" s="21"/>
    </row>
    <row r="278" spans="1:17" s="374" customFormat="1" x14ac:dyDescent="0.25">
      <c r="A278" s="367" t="s">
        <v>637</v>
      </c>
      <c r="B278" s="545" t="s">
        <v>9355</v>
      </c>
      <c r="C278" s="367">
        <v>1.5</v>
      </c>
      <c r="D278" s="367" t="s">
        <v>4491</v>
      </c>
      <c r="E278" s="367" t="s">
        <v>691</v>
      </c>
      <c r="F278" s="369">
        <v>1545824</v>
      </c>
      <c r="G278" s="540" t="s">
        <v>4492</v>
      </c>
      <c r="H278" s="366"/>
      <c r="I278" s="536" t="s">
        <v>218</v>
      </c>
      <c r="J278" s="373"/>
      <c r="K278" s="373"/>
      <c r="L278" s="542"/>
      <c r="M278" s="542"/>
      <c r="N278" s="542"/>
      <c r="O278" s="542"/>
      <c r="P278" s="542"/>
    </row>
    <row r="279" spans="1:17" s="97" customFormat="1" ht="13.95" customHeight="1" x14ac:dyDescent="0.25">
      <c r="A279" s="68" t="s">
        <v>55</v>
      </c>
      <c r="B279" s="14"/>
      <c r="C279" s="13">
        <v>0</v>
      </c>
      <c r="D279" s="32" t="s">
        <v>256</v>
      </c>
      <c r="E279" s="32" t="s">
        <v>62</v>
      </c>
      <c r="F279" s="4">
        <v>0</v>
      </c>
      <c r="G279" s="69" t="s">
        <v>560</v>
      </c>
      <c r="H279" s="14"/>
      <c r="I279" s="41" t="s">
        <v>561</v>
      </c>
      <c r="J279" s="22"/>
    </row>
    <row r="280" spans="1:17" s="555" customFormat="1" ht="13.95" customHeight="1" x14ac:dyDescent="0.25">
      <c r="A280" s="537" t="s">
        <v>310</v>
      </c>
      <c r="B280" s="366"/>
      <c r="C280" s="367">
        <v>0</v>
      </c>
      <c r="D280" s="368" t="s">
        <v>256</v>
      </c>
      <c r="E280" s="368" t="s">
        <v>958</v>
      </c>
      <c r="F280" s="369">
        <v>0</v>
      </c>
      <c r="G280" s="540" t="s">
        <v>4448</v>
      </c>
      <c r="H280" s="366"/>
      <c r="I280" s="543" t="s">
        <v>82</v>
      </c>
      <c r="J280" s="372"/>
    </row>
    <row r="281" spans="1:17" s="228" customFormat="1" ht="15" customHeight="1" x14ac:dyDescent="0.25">
      <c r="A281" s="68" t="s">
        <v>358</v>
      </c>
      <c r="B281" s="14"/>
      <c r="C281" s="13">
        <v>0</v>
      </c>
      <c r="D281" s="32" t="s">
        <v>256</v>
      </c>
      <c r="E281" s="32" t="s">
        <v>62</v>
      </c>
      <c r="F281" s="4">
        <v>0</v>
      </c>
      <c r="G281" s="86" t="s">
        <v>468</v>
      </c>
      <c r="H281" s="211"/>
      <c r="I281" s="84" t="s">
        <v>82</v>
      </c>
      <c r="J281" s="22"/>
      <c r="K281" s="62"/>
    </row>
    <row r="282" spans="1:17" s="374" customFormat="1" ht="13.95" customHeight="1" x14ac:dyDescent="0.25">
      <c r="A282" s="537" t="s">
        <v>91</v>
      </c>
      <c r="B282" s="366" t="s">
        <v>656</v>
      </c>
      <c r="C282" s="367"/>
      <c r="D282" s="368" t="s">
        <v>256</v>
      </c>
      <c r="E282" s="368" t="s">
        <v>62</v>
      </c>
      <c r="F282" s="369"/>
      <c r="G282" s="370" t="s">
        <v>278</v>
      </c>
      <c r="H282" s="371"/>
      <c r="I282" s="543" t="s">
        <v>82</v>
      </c>
      <c r="J282" s="372"/>
      <c r="K282" s="373"/>
    </row>
    <row r="283" spans="1:17" s="374" customFormat="1" ht="13.95" customHeight="1" x14ac:dyDescent="0.25">
      <c r="A283" s="368" t="s">
        <v>92</v>
      </c>
      <c r="B283" s="366"/>
      <c r="C283" s="367">
        <v>0</v>
      </c>
      <c r="D283" s="368" t="s">
        <v>256</v>
      </c>
      <c r="E283" s="368" t="s">
        <v>62</v>
      </c>
      <c r="F283" s="369">
        <v>0</v>
      </c>
      <c r="G283" s="370" t="s">
        <v>469</v>
      </c>
      <c r="H283" s="371"/>
      <c r="I283" s="543" t="s">
        <v>82</v>
      </c>
      <c r="J283" s="372"/>
      <c r="K283" s="373"/>
    </row>
    <row r="284" spans="1:17" s="228" customFormat="1" ht="27.6" x14ac:dyDescent="0.25">
      <c r="A284" s="13" t="s">
        <v>8</v>
      </c>
      <c r="B284" s="242"/>
      <c r="C284" s="13">
        <v>0</v>
      </c>
      <c r="D284" s="13" t="s">
        <v>1879</v>
      </c>
      <c r="E284" s="13" t="s">
        <v>808</v>
      </c>
      <c r="F284" s="4">
        <v>0</v>
      </c>
      <c r="G284" s="86" t="s">
        <v>1880</v>
      </c>
      <c r="H284" s="14"/>
      <c r="I284" s="4" t="s">
        <v>1881</v>
      </c>
      <c r="J284" s="22"/>
    </row>
    <row r="285" spans="1:17" s="374" customFormat="1" ht="27.6" x14ac:dyDescent="0.25">
      <c r="A285" s="367" t="s">
        <v>311</v>
      </c>
      <c r="B285" s="366" t="s">
        <v>6391</v>
      </c>
      <c r="C285" s="367"/>
      <c r="D285" s="368" t="s">
        <v>194</v>
      </c>
      <c r="E285" s="368" t="s">
        <v>958</v>
      </c>
      <c r="F285" s="369">
        <v>0</v>
      </c>
      <c r="G285" s="540" t="s">
        <v>4447</v>
      </c>
      <c r="H285" s="366"/>
      <c r="I285" s="538" t="s">
        <v>202</v>
      </c>
      <c r="J285" s="541"/>
      <c r="K285" s="373"/>
      <c r="L285" s="373"/>
      <c r="M285" s="542"/>
      <c r="N285" s="542"/>
      <c r="O285" s="542"/>
      <c r="P285" s="542"/>
      <c r="Q285" s="542"/>
    </row>
    <row r="286" spans="1:17" s="374" customFormat="1" ht="13.95" customHeight="1" x14ac:dyDescent="0.25">
      <c r="A286" s="367" t="s">
        <v>455</v>
      </c>
      <c r="B286" s="366" t="s">
        <v>4992</v>
      </c>
      <c r="C286" s="367">
        <v>8.6</v>
      </c>
      <c r="D286" s="368" t="s">
        <v>194</v>
      </c>
      <c r="E286" s="368" t="s">
        <v>958</v>
      </c>
      <c r="F286" s="369">
        <v>8569883.870000001</v>
      </c>
      <c r="G286" s="540" t="s">
        <v>4446</v>
      </c>
      <c r="H286" s="366"/>
      <c r="I286" s="538" t="s">
        <v>4445</v>
      </c>
      <c r="J286" s="541"/>
      <c r="K286" s="373"/>
      <c r="L286" s="373"/>
      <c r="M286" s="542"/>
      <c r="N286" s="542"/>
      <c r="O286" s="542"/>
      <c r="P286" s="542"/>
      <c r="Q286" s="542"/>
    </row>
    <row r="287" spans="1:17" s="374" customFormat="1" x14ac:dyDescent="0.25">
      <c r="A287" s="367" t="s">
        <v>637</v>
      </c>
      <c r="B287" s="545"/>
      <c r="C287" s="367">
        <v>3.6</v>
      </c>
      <c r="D287" s="367" t="s">
        <v>1552</v>
      </c>
      <c r="E287" s="367" t="s">
        <v>691</v>
      </c>
      <c r="F287" s="369">
        <v>3636268.0199999996</v>
      </c>
      <c r="G287" s="540" t="s">
        <v>1553</v>
      </c>
      <c r="H287" s="366"/>
      <c r="I287" s="536" t="s">
        <v>1554</v>
      </c>
      <c r="J287" s="373"/>
      <c r="K287" s="373"/>
      <c r="L287" s="542"/>
      <c r="M287" s="542"/>
      <c r="N287" s="542"/>
      <c r="O287" s="542"/>
      <c r="P287" s="542"/>
    </row>
    <row r="288" spans="1:17" s="228" customFormat="1" ht="13.95" customHeight="1" x14ac:dyDescent="0.25">
      <c r="A288" s="13" t="s">
        <v>358</v>
      </c>
      <c r="B288" s="14" t="s">
        <v>4992</v>
      </c>
      <c r="C288" s="13">
        <v>2.1</v>
      </c>
      <c r="D288" s="32" t="s">
        <v>194</v>
      </c>
      <c r="E288" s="32" t="s">
        <v>62</v>
      </c>
      <c r="F288" s="4">
        <v>2077156.67</v>
      </c>
      <c r="G288" s="69" t="s">
        <v>643</v>
      </c>
      <c r="H288" s="14"/>
      <c r="I288" s="41" t="s">
        <v>687</v>
      </c>
      <c r="J288" s="21" t="s">
        <v>9272</v>
      </c>
    </row>
    <row r="289" spans="1:11" s="374" customFormat="1" ht="13.95" customHeight="1" x14ac:dyDescent="0.25">
      <c r="A289" s="367" t="s">
        <v>442</v>
      </c>
      <c r="B289" s="366" t="s">
        <v>4992</v>
      </c>
      <c r="C289" s="367">
        <v>2.8</v>
      </c>
      <c r="D289" s="368" t="s">
        <v>194</v>
      </c>
      <c r="E289" s="368" t="s">
        <v>62</v>
      </c>
      <c r="F289" s="369">
        <v>2751408.9199999943</v>
      </c>
      <c r="G289" s="540" t="s">
        <v>924</v>
      </c>
      <c r="H289" s="366"/>
      <c r="I289" s="538" t="s">
        <v>789</v>
      </c>
      <c r="J289" s="539"/>
    </row>
    <row r="290" spans="1:11" s="374" customFormat="1" ht="13.95" customHeight="1" x14ac:dyDescent="0.25">
      <c r="A290" s="367" t="s">
        <v>442</v>
      </c>
      <c r="B290" s="366" t="s">
        <v>4992</v>
      </c>
      <c r="C290" s="367">
        <v>0.17</v>
      </c>
      <c r="D290" s="368" t="s">
        <v>194</v>
      </c>
      <c r="E290" s="368" t="s">
        <v>62</v>
      </c>
      <c r="F290" s="369">
        <v>174155.05</v>
      </c>
      <c r="G290" s="540" t="s">
        <v>1012</v>
      </c>
      <c r="H290" s="366"/>
      <c r="I290" s="538" t="s">
        <v>687</v>
      </c>
      <c r="J290" s="539"/>
    </row>
    <row r="291" spans="1:11" s="374" customFormat="1" ht="13.95" customHeight="1" x14ac:dyDescent="0.25">
      <c r="A291" s="367" t="s">
        <v>442</v>
      </c>
      <c r="B291" s="366" t="s">
        <v>4992</v>
      </c>
      <c r="C291" s="367">
        <v>7.3</v>
      </c>
      <c r="D291" s="368" t="s">
        <v>194</v>
      </c>
      <c r="E291" s="368" t="s">
        <v>62</v>
      </c>
      <c r="F291" s="369">
        <v>7303245.540000001</v>
      </c>
      <c r="G291" s="540" t="s">
        <v>1864</v>
      </c>
      <c r="H291" s="366"/>
      <c r="I291" s="538" t="s">
        <v>1410</v>
      </c>
      <c r="J291" s="539"/>
    </row>
    <row r="292" spans="1:11" s="374" customFormat="1" ht="13.95" customHeight="1" x14ac:dyDescent="0.25">
      <c r="A292" s="367" t="s">
        <v>91</v>
      </c>
      <c r="B292" s="366" t="s">
        <v>4992</v>
      </c>
      <c r="C292" s="367">
        <v>-3.5</v>
      </c>
      <c r="D292" s="368" t="s">
        <v>194</v>
      </c>
      <c r="E292" s="368" t="s">
        <v>62</v>
      </c>
      <c r="F292" s="369">
        <v>0</v>
      </c>
      <c r="G292" s="540" t="s">
        <v>601</v>
      </c>
      <c r="H292" s="366"/>
      <c r="I292" s="538" t="s">
        <v>202</v>
      </c>
      <c r="J292" s="539"/>
    </row>
    <row r="293" spans="1:11" s="374" customFormat="1" ht="13.95" customHeight="1" x14ac:dyDescent="0.25">
      <c r="A293" s="367" t="s">
        <v>91</v>
      </c>
      <c r="B293" s="366" t="s">
        <v>4992</v>
      </c>
      <c r="C293" s="367">
        <v>0</v>
      </c>
      <c r="D293" s="368" t="s">
        <v>194</v>
      </c>
      <c r="E293" s="368" t="s">
        <v>62</v>
      </c>
      <c r="F293" s="369">
        <v>0</v>
      </c>
      <c r="G293" s="540" t="s">
        <v>602</v>
      </c>
      <c r="H293" s="366"/>
      <c r="I293" s="538" t="s">
        <v>79</v>
      </c>
      <c r="J293" s="539"/>
    </row>
    <row r="294" spans="1:11" s="374" customFormat="1" ht="13.95" customHeight="1" x14ac:dyDescent="0.25">
      <c r="A294" s="367" t="s">
        <v>92</v>
      </c>
      <c r="B294" s="366" t="s">
        <v>4992</v>
      </c>
      <c r="C294" s="367">
        <v>-3.7</v>
      </c>
      <c r="D294" s="368" t="s">
        <v>194</v>
      </c>
      <c r="E294" s="368" t="s">
        <v>62</v>
      </c>
      <c r="F294" s="369">
        <v>0</v>
      </c>
      <c r="G294" s="540" t="s">
        <v>608</v>
      </c>
      <c r="H294" s="366"/>
      <c r="I294" s="538" t="s">
        <v>788</v>
      </c>
      <c r="J294" s="539"/>
    </row>
    <row r="295" spans="1:11" s="374" customFormat="1" ht="13.95" customHeight="1" x14ac:dyDescent="0.25">
      <c r="A295" s="367" t="s">
        <v>92</v>
      </c>
      <c r="B295" s="366" t="s">
        <v>4992</v>
      </c>
      <c r="C295" s="367">
        <v>-2.7</v>
      </c>
      <c r="D295" s="368" t="s">
        <v>194</v>
      </c>
      <c r="E295" s="368" t="s">
        <v>62</v>
      </c>
      <c r="F295" s="369">
        <v>0</v>
      </c>
      <c r="G295" s="540" t="s">
        <v>684</v>
      </c>
      <c r="H295" s="366"/>
      <c r="I295" s="538" t="s">
        <v>685</v>
      </c>
      <c r="J295" s="539"/>
    </row>
    <row r="296" spans="1:11" s="374" customFormat="1" ht="13.95" customHeight="1" x14ac:dyDescent="0.25">
      <c r="A296" s="367" t="s">
        <v>92</v>
      </c>
      <c r="B296" s="366" t="s">
        <v>4992</v>
      </c>
      <c r="C296" s="367">
        <v>1.9</v>
      </c>
      <c r="D296" s="368" t="s">
        <v>194</v>
      </c>
      <c r="E296" s="368" t="s">
        <v>62</v>
      </c>
      <c r="F296" s="369">
        <v>1875312.67</v>
      </c>
      <c r="G296" s="540" t="s">
        <v>1709</v>
      </c>
      <c r="H296" s="366"/>
      <c r="I296" s="538" t="s">
        <v>1410</v>
      </c>
      <c r="J296" s="539"/>
    </row>
    <row r="297" spans="1:11" s="228" customFormat="1" ht="13.95" customHeight="1" x14ac:dyDescent="0.25">
      <c r="A297" s="61" t="s">
        <v>261</v>
      </c>
      <c r="B297" s="14"/>
      <c r="C297" s="13">
        <v>0</v>
      </c>
      <c r="D297" s="32" t="s">
        <v>418</v>
      </c>
      <c r="E297" s="32" t="s">
        <v>808</v>
      </c>
      <c r="F297" s="4">
        <v>0</v>
      </c>
      <c r="G297" s="86" t="s">
        <v>941</v>
      </c>
      <c r="H297" s="211"/>
      <c r="I297" s="4" t="s">
        <v>879</v>
      </c>
      <c r="J297" s="21"/>
    </row>
    <row r="298" spans="1:11" s="228" customFormat="1" ht="13.95" customHeight="1" x14ac:dyDescent="0.25">
      <c r="A298" s="61" t="s">
        <v>261</v>
      </c>
      <c r="B298" s="14"/>
      <c r="C298" s="13">
        <v>0.1</v>
      </c>
      <c r="D298" s="32" t="s">
        <v>418</v>
      </c>
      <c r="E298" s="32" t="s">
        <v>808</v>
      </c>
      <c r="F298" s="4">
        <v>137200</v>
      </c>
      <c r="G298" s="86" t="s">
        <v>942</v>
      </c>
      <c r="H298" s="211"/>
      <c r="I298" s="4" t="s">
        <v>943</v>
      </c>
      <c r="J298" s="21"/>
    </row>
    <row r="299" spans="1:11" s="228" customFormat="1" ht="13.95" customHeight="1" x14ac:dyDescent="0.25">
      <c r="A299" s="32" t="s">
        <v>129</v>
      </c>
      <c r="B299" s="14"/>
      <c r="C299" s="13">
        <v>0</v>
      </c>
      <c r="D299" s="13" t="s">
        <v>382</v>
      </c>
      <c r="E299" s="32" t="s">
        <v>62</v>
      </c>
      <c r="F299" s="4">
        <v>0</v>
      </c>
      <c r="G299" s="69" t="s">
        <v>611</v>
      </c>
      <c r="H299" s="14"/>
      <c r="I299" s="4" t="s">
        <v>343</v>
      </c>
      <c r="J299" s="21"/>
    </row>
    <row r="300" spans="1:11" s="228" customFormat="1" ht="13.95" customHeight="1" x14ac:dyDescent="0.25">
      <c r="A300" s="32" t="s">
        <v>215</v>
      </c>
      <c r="B300" s="14"/>
      <c r="C300" s="13">
        <v>0</v>
      </c>
      <c r="D300" s="13" t="s">
        <v>382</v>
      </c>
      <c r="E300" s="32" t="s">
        <v>62</v>
      </c>
      <c r="F300" s="4">
        <v>0</v>
      </c>
      <c r="G300" s="69" t="s">
        <v>612</v>
      </c>
      <c r="H300" s="14"/>
      <c r="I300" s="4" t="s">
        <v>343</v>
      </c>
      <c r="J300" s="21"/>
    </row>
    <row r="301" spans="1:11" s="228" customFormat="1" ht="13.95" customHeight="1" x14ac:dyDescent="0.25">
      <c r="A301" s="68" t="s">
        <v>214</v>
      </c>
      <c r="B301" s="14"/>
      <c r="C301" s="13">
        <v>0</v>
      </c>
      <c r="D301" s="13" t="s">
        <v>382</v>
      </c>
      <c r="E301" s="32" t="s">
        <v>62</v>
      </c>
      <c r="F301" s="4">
        <v>0</v>
      </c>
      <c r="G301" s="69" t="s">
        <v>614</v>
      </c>
      <c r="H301" s="14"/>
      <c r="I301" s="4" t="s">
        <v>343</v>
      </c>
      <c r="J301" s="21"/>
    </row>
    <row r="302" spans="1:11" s="228" customFormat="1" ht="13.95" customHeight="1" x14ac:dyDescent="0.25">
      <c r="A302" s="61" t="s">
        <v>261</v>
      </c>
      <c r="B302" s="14"/>
      <c r="C302" s="13">
        <v>0</v>
      </c>
      <c r="D302" s="32" t="s">
        <v>382</v>
      </c>
      <c r="E302" s="32" t="s">
        <v>808</v>
      </c>
      <c r="F302" s="4">
        <v>0</v>
      </c>
      <c r="G302" s="86" t="s">
        <v>1015</v>
      </c>
      <c r="H302" s="211"/>
      <c r="I302" s="4" t="s">
        <v>172</v>
      </c>
      <c r="J302" s="21"/>
    </row>
    <row r="303" spans="1:11" s="228" customFormat="1" x14ac:dyDescent="0.25">
      <c r="A303" s="13" t="s">
        <v>55</v>
      </c>
      <c r="B303" s="14"/>
      <c r="C303" s="13">
        <v>-0.2</v>
      </c>
      <c r="D303" s="32" t="s">
        <v>1980</v>
      </c>
      <c r="E303" s="32" t="s">
        <v>130</v>
      </c>
      <c r="F303" s="4">
        <v>0</v>
      </c>
      <c r="G303" s="69" t="s">
        <v>1981</v>
      </c>
      <c r="H303" s="14"/>
      <c r="I303" s="41" t="s">
        <v>2343</v>
      </c>
      <c r="J303" s="22"/>
      <c r="K303" s="62"/>
    </row>
    <row r="304" spans="1:11" s="228" customFormat="1" x14ac:dyDescent="0.25">
      <c r="A304" s="13" t="s">
        <v>55</v>
      </c>
      <c r="B304" s="14"/>
      <c r="C304" s="13">
        <v>0</v>
      </c>
      <c r="D304" s="32" t="s">
        <v>1980</v>
      </c>
      <c r="E304" s="32" t="s">
        <v>130</v>
      </c>
      <c r="F304" s="4">
        <v>37496.9</v>
      </c>
      <c r="G304" s="69" t="s">
        <v>4251</v>
      </c>
      <c r="H304" s="14"/>
      <c r="I304" s="41" t="s">
        <v>270</v>
      </c>
      <c r="J304" s="22"/>
      <c r="K304" s="62"/>
    </row>
    <row r="305" spans="1:11" s="228" customFormat="1" x14ac:dyDescent="0.25">
      <c r="A305" s="13" t="s">
        <v>550</v>
      </c>
      <c r="B305" s="14"/>
      <c r="C305" s="13">
        <v>2</v>
      </c>
      <c r="D305" s="32" t="s">
        <v>1980</v>
      </c>
      <c r="E305" s="32" t="s">
        <v>130</v>
      </c>
      <c r="F305" s="4">
        <v>1983225.63</v>
      </c>
      <c r="G305" s="69" t="s">
        <v>5423</v>
      </c>
      <c r="H305" s="14"/>
      <c r="I305" s="41" t="s">
        <v>5424</v>
      </c>
      <c r="J305" s="22"/>
      <c r="K305" s="62"/>
    </row>
    <row r="306" spans="1:11" s="228" customFormat="1" x14ac:dyDescent="0.25">
      <c r="A306" s="13" t="s">
        <v>536</v>
      </c>
      <c r="B306" s="14" t="s">
        <v>284</v>
      </c>
      <c r="C306" s="13">
        <v>1.7</v>
      </c>
      <c r="D306" s="32" t="s">
        <v>1980</v>
      </c>
      <c r="E306" s="32" t="s">
        <v>130</v>
      </c>
      <c r="F306" s="4">
        <v>1700000</v>
      </c>
      <c r="G306" s="69" t="s">
        <v>8701</v>
      </c>
      <c r="H306" s="14"/>
      <c r="I306" s="41" t="s">
        <v>5424</v>
      </c>
      <c r="J306" s="22"/>
      <c r="K306" s="62"/>
    </row>
    <row r="307" spans="1:11" s="228" customFormat="1" x14ac:dyDescent="0.25">
      <c r="A307" s="13" t="s">
        <v>536</v>
      </c>
      <c r="B307" s="14" t="s">
        <v>8775</v>
      </c>
      <c r="C307" s="13">
        <v>0.5</v>
      </c>
      <c r="D307" s="32" t="s">
        <v>1980</v>
      </c>
      <c r="E307" s="32" t="s">
        <v>130</v>
      </c>
      <c r="F307" s="4">
        <v>501465.01799999998</v>
      </c>
      <c r="G307" s="69" t="s">
        <v>8701</v>
      </c>
      <c r="H307" s="14"/>
      <c r="I307" s="41" t="s">
        <v>5424</v>
      </c>
      <c r="J307" s="22"/>
      <c r="K307" s="62"/>
    </row>
    <row r="308" spans="1:11" s="228" customFormat="1" ht="15.6" customHeight="1" x14ac:dyDescent="0.25">
      <c r="A308" s="13" t="s">
        <v>1596</v>
      </c>
      <c r="B308" s="14" t="s">
        <v>9311</v>
      </c>
      <c r="C308" s="13">
        <v>0</v>
      </c>
      <c r="D308" s="32" t="s">
        <v>285</v>
      </c>
      <c r="E308" s="32" t="s">
        <v>130</v>
      </c>
      <c r="F308" s="4">
        <v>0</v>
      </c>
      <c r="G308" s="69" t="s">
        <v>1597</v>
      </c>
      <c r="H308" s="14"/>
      <c r="I308" s="41" t="s">
        <v>190</v>
      </c>
      <c r="J308" s="22"/>
      <c r="K308" s="62"/>
    </row>
    <row r="309" spans="1:11" s="228" customFormat="1" ht="13.95" customHeight="1" x14ac:dyDescent="0.25">
      <c r="A309" s="13" t="s">
        <v>91</v>
      </c>
      <c r="B309" s="14"/>
      <c r="C309" s="13">
        <v>0</v>
      </c>
      <c r="D309" s="32" t="s">
        <v>285</v>
      </c>
      <c r="E309" s="32" t="s">
        <v>130</v>
      </c>
      <c r="F309" s="4">
        <v>0</v>
      </c>
      <c r="G309" s="69" t="s">
        <v>2612</v>
      </c>
      <c r="H309" s="14"/>
      <c r="I309" s="41" t="s">
        <v>2613</v>
      </c>
      <c r="J309" s="22"/>
      <c r="K309" s="62"/>
    </row>
    <row r="310" spans="1:11" s="374" customFormat="1" ht="13.95" customHeight="1" x14ac:dyDescent="0.25">
      <c r="A310" s="367" t="s">
        <v>91</v>
      </c>
      <c r="B310" s="366"/>
      <c r="C310" s="367">
        <v>0</v>
      </c>
      <c r="D310" s="368" t="s">
        <v>285</v>
      </c>
      <c r="E310" s="368" t="s">
        <v>62</v>
      </c>
      <c r="F310" s="369">
        <v>0</v>
      </c>
      <c r="G310" s="540" t="s">
        <v>5969</v>
      </c>
      <c r="H310" s="366"/>
      <c r="I310" s="538" t="s">
        <v>5971</v>
      </c>
      <c r="J310" s="372"/>
      <c r="K310" s="373"/>
    </row>
    <row r="311" spans="1:11" s="374" customFormat="1" ht="13.95" customHeight="1" x14ac:dyDescent="0.25">
      <c r="A311" s="367" t="s">
        <v>91</v>
      </c>
      <c r="B311" s="366"/>
      <c r="C311" s="367">
        <v>0</v>
      </c>
      <c r="D311" s="368" t="s">
        <v>285</v>
      </c>
      <c r="E311" s="368" t="s">
        <v>62</v>
      </c>
      <c r="F311" s="369">
        <v>0</v>
      </c>
      <c r="G311" s="540" t="s">
        <v>5970</v>
      </c>
      <c r="H311" s="366"/>
      <c r="I311" s="538" t="s">
        <v>5972</v>
      </c>
      <c r="J311" s="372"/>
      <c r="K311" s="373"/>
    </row>
    <row r="312" spans="1:11" s="228" customFormat="1" ht="13.95" customHeight="1" x14ac:dyDescent="0.25">
      <c r="A312" s="13" t="s">
        <v>55</v>
      </c>
      <c r="B312" s="14" t="s">
        <v>8176</v>
      </c>
      <c r="C312" s="13">
        <v>0</v>
      </c>
      <c r="D312" s="32" t="s">
        <v>285</v>
      </c>
      <c r="E312" s="32" t="s">
        <v>888</v>
      </c>
      <c r="F312" s="4">
        <v>0</v>
      </c>
      <c r="G312" s="69" t="s">
        <v>954</v>
      </c>
      <c r="H312" s="14"/>
      <c r="I312" s="41" t="s">
        <v>955</v>
      </c>
      <c r="J312" s="22"/>
      <c r="K312" s="62"/>
    </row>
    <row r="313" spans="1:11" s="228" customFormat="1" ht="13.95" customHeight="1" x14ac:dyDescent="0.25">
      <c r="A313" s="13" t="s">
        <v>55</v>
      </c>
      <c r="B313" s="14"/>
      <c r="C313" s="13">
        <v>0</v>
      </c>
      <c r="D313" s="32" t="s">
        <v>285</v>
      </c>
      <c r="E313" s="32" t="s">
        <v>888</v>
      </c>
      <c r="F313" s="4">
        <v>0</v>
      </c>
      <c r="G313" s="69" t="s">
        <v>1557</v>
      </c>
      <c r="H313" s="14"/>
      <c r="I313" s="41" t="s">
        <v>1558</v>
      </c>
      <c r="J313" s="22"/>
      <c r="K313" s="62"/>
    </row>
    <row r="314" spans="1:11" s="228" customFormat="1" ht="15.6" customHeight="1" x14ac:dyDescent="0.25">
      <c r="A314" s="13" t="s">
        <v>956</v>
      </c>
      <c r="B314" s="14"/>
      <c r="C314" s="13">
        <v>10.8</v>
      </c>
      <c r="D314" s="32" t="s">
        <v>285</v>
      </c>
      <c r="E314" s="32" t="s">
        <v>481</v>
      </c>
      <c r="F314" s="4">
        <f>10759629.62</f>
        <v>10759629.619999999</v>
      </c>
      <c r="G314" s="86" t="s">
        <v>5964</v>
      </c>
      <c r="H314" s="14"/>
      <c r="I314" s="41" t="s">
        <v>190</v>
      </c>
      <c r="J314" s="22"/>
      <c r="K314" s="62"/>
    </row>
    <row r="315" spans="1:11" s="228" customFormat="1" ht="27.6" customHeight="1" x14ac:dyDescent="0.25">
      <c r="A315" s="13" t="s">
        <v>407</v>
      </c>
      <c r="B315" s="14"/>
      <c r="C315" s="13">
        <v>0.9</v>
      </c>
      <c r="D315" s="32" t="s">
        <v>285</v>
      </c>
      <c r="E315" s="32" t="s">
        <v>488</v>
      </c>
      <c r="F315" s="4">
        <v>906041.76</v>
      </c>
      <c r="G315" s="69" t="s">
        <v>929</v>
      </c>
      <c r="H315" s="14"/>
      <c r="I315" s="41" t="s">
        <v>190</v>
      </c>
      <c r="J315" s="22"/>
      <c r="K315" s="62"/>
    </row>
    <row r="316" spans="1:11" s="228" customFormat="1" ht="13.95" customHeight="1" x14ac:dyDescent="0.25">
      <c r="A316" s="68" t="s">
        <v>188</v>
      </c>
      <c r="B316" s="14"/>
      <c r="C316" s="13">
        <v>0</v>
      </c>
      <c r="D316" s="32" t="s">
        <v>438</v>
      </c>
      <c r="E316" s="32" t="s">
        <v>130</v>
      </c>
      <c r="F316" s="4">
        <v>0</v>
      </c>
      <c r="G316" s="86" t="s">
        <v>1839</v>
      </c>
      <c r="H316" s="211"/>
      <c r="I316" s="84" t="s">
        <v>1834</v>
      </c>
      <c r="J316" s="21"/>
    </row>
    <row r="317" spans="1:11" s="374" customFormat="1" ht="13.95" customHeight="1" x14ac:dyDescent="0.25">
      <c r="A317" s="537" t="s">
        <v>442</v>
      </c>
      <c r="B317" s="366"/>
      <c r="C317" s="367">
        <v>0.5</v>
      </c>
      <c r="D317" s="368" t="s">
        <v>438</v>
      </c>
      <c r="E317" s="368" t="s">
        <v>62</v>
      </c>
      <c r="F317" s="369">
        <v>520217.5</v>
      </c>
      <c r="G317" s="370" t="s">
        <v>2037</v>
      </c>
      <c r="H317" s="371"/>
      <c r="I317" s="543" t="s">
        <v>1792</v>
      </c>
      <c r="J317" s="539"/>
    </row>
    <row r="318" spans="1:11" s="374" customFormat="1" ht="13.95" customHeight="1" x14ac:dyDescent="0.25">
      <c r="A318" s="537" t="s">
        <v>92</v>
      </c>
      <c r="B318" s="366"/>
      <c r="C318" s="367">
        <v>0.1</v>
      </c>
      <c r="D318" s="368" t="s">
        <v>438</v>
      </c>
      <c r="E318" s="368" t="s">
        <v>62</v>
      </c>
      <c r="F318" s="369">
        <f>451333.75-339765.66</f>
        <v>111568.09000000003</v>
      </c>
      <c r="G318" s="370" t="s">
        <v>1409</v>
      </c>
      <c r="H318" s="371"/>
      <c r="I318" s="543" t="s">
        <v>1410</v>
      </c>
      <c r="J318" s="539"/>
    </row>
    <row r="319" spans="1:11" s="228" customFormat="1" ht="13.95" customHeight="1" x14ac:dyDescent="0.25">
      <c r="A319" s="61" t="s">
        <v>107</v>
      </c>
      <c r="B319" s="14"/>
      <c r="C319" s="13">
        <v>0</v>
      </c>
      <c r="D319" s="13" t="s">
        <v>438</v>
      </c>
      <c r="E319" s="32" t="s">
        <v>60</v>
      </c>
      <c r="F319" s="4">
        <v>0</v>
      </c>
      <c r="G319" s="86" t="s">
        <v>9283</v>
      </c>
      <c r="H319" s="211"/>
      <c r="I319" s="4" t="s">
        <v>252</v>
      </c>
      <c r="J319" s="21"/>
    </row>
    <row r="320" spans="1:11" s="374" customFormat="1" ht="13.95" customHeight="1" x14ac:dyDescent="0.25">
      <c r="A320" s="537" t="s">
        <v>310</v>
      </c>
      <c r="B320" s="366"/>
      <c r="C320" s="367">
        <v>1.2</v>
      </c>
      <c r="D320" s="368" t="s">
        <v>438</v>
      </c>
      <c r="E320" s="368" t="s">
        <v>958</v>
      </c>
      <c r="F320" s="369">
        <v>1222438.29</v>
      </c>
      <c r="G320" s="370" t="s">
        <v>7297</v>
      </c>
      <c r="H320" s="371"/>
      <c r="I320" s="536" t="s">
        <v>252</v>
      </c>
      <c r="J320" s="539"/>
    </row>
    <row r="321" spans="1:16" s="374" customFormat="1" ht="13.95" customHeight="1" x14ac:dyDescent="0.25">
      <c r="A321" s="537" t="s">
        <v>310</v>
      </c>
      <c r="B321" s="366"/>
      <c r="C321" s="367">
        <v>1.2</v>
      </c>
      <c r="D321" s="368" t="s">
        <v>438</v>
      </c>
      <c r="E321" s="368" t="s">
        <v>958</v>
      </c>
      <c r="F321" s="369">
        <v>1207026.3330000001</v>
      </c>
      <c r="G321" s="370" t="s">
        <v>9447</v>
      </c>
      <c r="H321" s="371"/>
      <c r="I321" s="536" t="s">
        <v>252</v>
      </c>
      <c r="J321" s="539"/>
    </row>
    <row r="322" spans="1:16" s="374" customFormat="1" ht="12" customHeight="1" x14ac:dyDescent="0.25">
      <c r="A322" s="537" t="s">
        <v>1316</v>
      </c>
      <c r="B322" s="366"/>
      <c r="C322" s="367">
        <v>4.0999999999999996</v>
      </c>
      <c r="D322" s="368" t="s">
        <v>438</v>
      </c>
      <c r="E322" s="368" t="s">
        <v>808</v>
      </c>
      <c r="F322" s="369">
        <v>4127654.5299999993</v>
      </c>
      <c r="G322" s="370" t="s">
        <v>7306</v>
      </c>
      <c r="H322" s="371"/>
      <c r="I322" s="543" t="s">
        <v>202</v>
      </c>
      <c r="J322" s="539"/>
    </row>
    <row r="323" spans="1:16" s="228" customFormat="1" x14ac:dyDescent="0.25">
      <c r="A323" s="13" t="s">
        <v>956</v>
      </c>
      <c r="B323" s="242" t="s">
        <v>9303</v>
      </c>
      <c r="C323" s="13">
        <v>-0.15</v>
      </c>
      <c r="D323" s="13" t="s">
        <v>30</v>
      </c>
      <c r="E323" s="13" t="s">
        <v>481</v>
      </c>
      <c r="F323" s="4"/>
      <c r="G323" s="86" t="s">
        <v>2039</v>
      </c>
      <c r="H323" s="211"/>
      <c r="I323" s="4" t="s">
        <v>20</v>
      </c>
      <c r="J323" s="21"/>
    </row>
    <row r="324" spans="1:16" s="228" customFormat="1" x14ac:dyDescent="0.25">
      <c r="A324" s="13" t="s">
        <v>956</v>
      </c>
      <c r="B324" s="242" t="s">
        <v>9303</v>
      </c>
      <c r="C324" s="13">
        <v>-0.09</v>
      </c>
      <c r="D324" s="13" t="s">
        <v>30</v>
      </c>
      <c r="E324" s="13" t="s">
        <v>481</v>
      </c>
      <c r="F324" s="4"/>
      <c r="G324" s="86" t="s">
        <v>1975</v>
      </c>
      <c r="H324" s="211"/>
      <c r="I324" s="4" t="s">
        <v>79</v>
      </c>
      <c r="J324" s="21"/>
    </row>
    <row r="325" spans="1:16" s="228" customFormat="1" x14ac:dyDescent="0.25">
      <c r="A325" s="13" t="s">
        <v>107</v>
      </c>
      <c r="B325" s="242" t="s">
        <v>9303</v>
      </c>
      <c r="C325" s="13">
        <v>1.2</v>
      </c>
      <c r="D325" s="13" t="s">
        <v>30</v>
      </c>
      <c r="E325" s="13" t="s">
        <v>130</v>
      </c>
      <c r="F325" s="4">
        <f>2207047.7-1022000</f>
        <v>1185047.7000000002</v>
      </c>
      <c r="G325" s="86" t="s">
        <v>2084</v>
      </c>
      <c r="H325" s="211"/>
      <c r="I325" s="4" t="s">
        <v>2085</v>
      </c>
      <c r="J325" s="21"/>
    </row>
    <row r="326" spans="1:16" s="374" customFormat="1" ht="13.95" customHeight="1" x14ac:dyDescent="0.25">
      <c r="A326" s="537" t="s">
        <v>310</v>
      </c>
      <c r="B326" s="544" t="s">
        <v>9303</v>
      </c>
      <c r="C326" s="367">
        <v>0.2</v>
      </c>
      <c r="D326" s="367" t="s">
        <v>30</v>
      </c>
      <c r="E326" s="368" t="s">
        <v>958</v>
      </c>
      <c r="F326" s="369">
        <v>228296.98800000036</v>
      </c>
      <c r="G326" s="370" t="s">
        <v>4462</v>
      </c>
      <c r="H326" s="371"/>
      <c r="I326" s="536" t="s">
        <v>79</v>
      </c>
      <c r="J326" s="539"/>
    </row>
    <row r="327" spans="1:16" s="374" customFormat="1" ht="13.95" customHeight="1" x14ac:dyDescent="0.25">
      <c r="A327" s="365" t="s">
        <v>310</v>
      </c>
      <c r="B327" s="544" t="s">
        <v>9446</v>
      </c>
      <c r="C327" s="367">
        <v>5.7</v>
      </c>
      <c r="D327" s="367" t="s">
        <v>30</v>
      </c>
      <c r="E327" s="368" t="s">
        <v>958</v>
      </c>
      <c r="F327" s="369">
        <v>5694032.2783805877</v>
      </c>
      <c r="G327" s="370" t="s">
        <v>4463</v>
      </c>
      <c r="H327" s="371"/>
      <c r="I327" s="369" t="s">
        <v>20</v>
      </c>
      <c r="J327" s="539"/>
    </row>
    <row r="328" spans="1:16" s="374" customFormat="1" x14ac:dyDescent="0.25">
      <c r="A328" s="367" t="s">
        <v>637</v>
      </c>
      <c r="B328" s="544" t="s">
        <v>9303</v>
      </c>
      <c r="C328" s="367">
        <v>1.1000000000000001</v>
      </c>
      <c r="D328" s="367" t="s">
        <v>30</v>
      </c>
      <c r="E328" s="367" t="s">
        <v>691</v>
      </c>
      <c r="F328" s="369">
        <v>1122045.5759999999</v>
      </c>
      <c r="G328" s="540" t="s">
        <v>2188</v>
      </c>
      <c r="H328" s="366"/>
      <c r="I328" s="536" t="s">
        <v>79</v>
      </c>
      <c r="J328" s="373"/>
      <c r="K328" s="373"/>
      <c r="L328" s="542"/>
      <c r="M328" s="542"/>
      <c r="N328" s="542"/>
      <c r="O328" s="542"/>
      <c r="P328" s="542"/>
    </row>
    <row r="329" spans="1:16" s="374" customFormat="1" x14ac:dyDescent="0.25">
      <c r="A329" s="367" t="s">
        <v>637</v>
      </c>
      <c r="B329" s="544" t="s">
        <v>9303</v>
      </c>
      <c r="C329" s="367">
        <v>6.9</v>
      </c>
      <c r="D329" s="367" t="s">
        <v>30</v>
      </c>
      <c r="E329" s="367" t="s">
        <v>691</v>
      </c>
      <c r="F329" s="369">
        <v>6863312.2800000003</v>
      </c>
      <c r="G329" s="540" t="s">
        <v>4038</v>
      </c>
      <c r="H329" s="366"/>
      <c r="I329" s="536" t="s">
        <v>20</v>
      </c>
      <c r="J329" s="373"/>
      <c r="K329" s="373"/>
      <c r="L329" s="542"/>
      <c r="M329" s="542"/>
      <c r="N329" s="542"/>
      <c r="O329" s="542"/>
      <c r="P329" s="542"/>
    </row>
    <row r="330" spans="1:16" s="228" customFormat="1" ht="13.95" customHeight="1" x14ac:dyDescent="0.25">
      <c r="A330" s="61" t="s">
        <v>261</v>
      </c>
      <c r="B330" s="242" t="s">
        <v>9303</v>
      </c>
      <c r="C330" s="13">
        <v>0.05</v>
      </c>
      <c r="D330" s="13" t="s">
        <v>30</v>
      </c>
      <c r="E330" s="32" t="s">
        <v>808</v>
      </c>
      <c r="F330" s="4">
        <v>57321.16</v>
      </c>
      <c r="G330" s="86" t="s">
        <v>1089</v>
      </c>
      <c r="H330" s="211"/>
      <c r="I330" s="4" t="s">
        <v>79</v>
      </c>
      <c r="J330" s="21"/>
    </row>
    <row r="331" spans="1:16" s="228" customFormat="1" ht="13.95" customHeight="1" x14ac:dyDescent="0.25">
      <c r="A331" s="61" t="s">
        <v>261</v>
      </c>
      <c r="B331" s="242" t="s">
        <v>9303</v>
      </c>
      <c r="C331" s="13">
        <v>0.7</v>
      </c>
      <c r="D331" s="13" t="s">
        <v>30</v>
      </c>
      <c r="E331" s="32" t="s">
        <v>808</v>
      </c>
      <c r="F331" s="4">
        <v>721353</v>
      </c>
      <c r="G331" s="86" t="s">
        <v>1038</v>
      </c>
      <c r="H331" s="211"/>
      <c r="I331" s="4" t="s">
        <v>20</v>
      </c>
      <c r="J331" s="21"/>
    </row>
    <row r="332" spans="1:16" s="228" customFormat="1" ht="13.95" customHeight="1" x14ac:dyDescent="0.25">
      <c r="A332" s="68" t="s">
        <v>213</v>
      </c>
      <c r="B332" s="242" t="s">
        <v>9303</v>
      </c>
      <c r="C332" s="13">
        <v>0.5</v>
      </c>
      <c r="D332" s="13" t="s">
        <v>292</v>
      </c>
      <c r="E332" s="32" t="s">
        <v>808</v>
      </c>
      <c r="F332" s="4">
        <v>501093.6</v>
      </c>
      <c r="G332" s="86" t="s">
        <v>1042</v>
      </c>
      <c r="H332" s="211"/>
      <c r="I332" s="4" t="s">
        <v>79</v>
      </c>
      <c r="J332" s="21"/>
    </row>
    <row r="333" spans="1:16" s="228" customFormat="1" ht="13.95" customHeight="1" x14ac:dyDescent="0.25">
      <c r="A333" s="61" t="s">
        <v>55</v>
      </c>
      <c r="B333" s="242" t="s">
        <v>9303</v>
      </c>
      <c r="C333" s="13">
        <v>0</v>
      </c>
      <c r="D333" s="13" t="s">
        <v>30</v>
      </c>
      <c r="E333" s="32" t="s">
        <v>62</v>
      </c>
      <c r="F333" s="4">
        <v>0</v>
      </c>
      <c r="G333" s="86" t="s">
        <v>947</v>
      </c>
      <c r="H333" s="211"/>
      <c r="I333" s="4" t="s">
        <v>948</v>
      </c>
      <c r="J333" s="21"/>
    </row>
    <row r="334" spans="1:16" s="228" customFormat="1" ht="13.95" customHeight="1" x14ac:dyDescent="0.25">
      <c r="A334" s="61" t="s">
        <v>358</v>
      </c>
      <c r="B334" s="242" t="s">
        <v>9303</v>
      </c>
      <c r="C334" s="13">
        <v>0</v>
      </c>
      <c r="D334" s="13" t="s">
        <v>30</v>
      </c>
      <c r="E334" s="32" t="s">
        <v>62</v>
      </c>
      <c r="F334" s="4">
        <v>0</v>
      </c>
      <c r="G334" s="86" t="s">
        <v>1080</v>
      </c>
      <c r="H334" s="211"/>
      <c r="I334" s="4" t="s">
        <v>538</v>
      </c>
      <c r="J334" s="21"/>
    </row>
    <row r="335" spans="1:16" s="228" customFormat="1" ht="13.95" customHeight="1" x14ac:dyDescent="0.25">
      <c r="A335" s="61" t="s">
        <v>358</v>
      </c>
      <c r="B335" s="242" t="s">
        <v>9303</v>
      </c>
      <c r="C335" s="13">
        <v>0</v>
      </c>
      <c r="D335" s="13" t="s">
        <v>30</v>
      </c>
      <c r="E335" s="32" t="s">
        <v>62</v>
      </c>
      <c r="F335" s="4">
        <v>0</v>
      </c>
      <c r="G335" s="86" t="s">
        <v>1773</v>
      </c>
      <c r="H335" s="211"/>
      <c r="I335" s="4" t="s">
        <v>681</v>
      </c>
      <c r="J335" s="21"/>
    </row>
    <row r="336" spans="1:16" s="374" customFormat="1" ht="13.95" customHeight="1" x14ac:dyDescent="0.25">
      <c r="A336" s="365" t="s">
        <v>1637</v>
      </c>
      <c r="B336" s="544" t="s">
        <v>9303</v>
      </c>
      <c r="C336" s="367">
        <v>0.3</v>
      </c>
      <c r="D336" s="367" t="s">
        <v>30</v>
      </c>
      <c r="E336" s="368" t="s">
        <v>62</v>
      </c>
      <c r="F336" s="369">
        <v>297645.83</v>
      </c>
      <c r="G336" s="370" t="s">
        <v>1638</v>
      </c>
      <c r="H336" s="371"/>
      <c r="I336" s="369" t="s">
        <v>1639</v>
      </c>
      <c r="J336" s="539"/>
    </row>
    <row r="337" spans="1:16" s="374" customFormat="1" ht="13.95" customHeight="1" x14ac:dyDescent="0.25">
      <c r="A337" s="365" t="s">
        <v>1640</v>
      </c>
      <c r="B337" s="544" t="s">
        <v>9303</v>
      </c>
      <c r="C337" s="367">
        <v>0.1</v>
      </c>
      <c r="D337" s="367" t="s">
        <v>30</v>
      </c>
      <c r="E337" s="368" t="s">
        <v>62</v>
      </c>
      <c r="F337" s="369">
        <v>106277.21999999997</v>
      </c>
      <c r="G337" s="370" t="s">
        <v>1641</v>
      </c>
      <c r="H337" s="371"/>
      <c r="I337" s="369" t="s">
        <v>538</v>
      </c>
      <c r="J337" s="539"/>
    </row>
    <row r="338" spans="1:16" s="374" customFormat="1" ht="13.95" customHeight="1" x14ac:dyDescent="0.25">
      <c r="A338" s="537" t="s">
        <v>310</v>
      </c>
      <c r="B338" s="366" t="s">
        <v>4444</v>
      </c>
      <c r="C338" s="367">
        <v>0</v>
      </c>
      <c r="D338" s="368" t="s">
        <v>2144</v>
      </c>
      <c r="E338" s="368" t="s">
        <v>958</v>
      </c>
      <c r="F338" s="369">
        <v>0</v>
      </c>
      <c r="G338" s="370" t="s">
        <v>4443</v>
      </c>
      <c r="H338" s="371"/>
      <c r="I338" s="538" t="s">
        <v>4442</v>
      </c>
      <c r="J338" s="539"/>
    </row>
    <row r="339" spans="1:16" s="374" customFormat="1" ht="13.95" customHeight="1" x14ac:dyDescent="0.25">
      <c r="A339" s="537" t="s">
        <v>455</v>
      </c>
      <c r="B339" s="366"/>
      <c r="C339" s="367">
        <v>2.7</v>
      </c>
      <c r="D339" s="368" t="s">
        <v>2144</v>
      </c>
      <c r="E339" s="368" t="s">
        <v>958</v>
      </c>
      <c r="F339" s="369">
        <v>2753983.88</v>
      </c>
      <c r="G339" s="370" t="s">
        <v>7299</v>
      </c>
      <c r="H339" s="371"/>
      <c r="I339" s="538" t="s">
        <v>7298</v>
      </c>
      <c r="J339" s="539"/>
    </row>
    <row r="340" spans="1:16" s="374" customFormat="1" ht="13.95" customHeight="1" x14ac:dyDescent="0.25">
      <c r="A340" s="537" t="s">
        <v>455</v>
      </c>
      <c r="B340" s="366"/>
      <c r="C340" s="367">
        <v>2.2000000000000002</v>
      </c>
      <c r="D340" s="368" t="s">
        <v>2144</v>
      </c>
      <c r="E340" s="368" t="s">
        <v>958</v>
      </c>
      <c r="F340" s="369">
        <v>2177514</v>
      </c>
      <c r="G340" s="370" t="s">
        <v>7300</v>
      </c>
      <c r="H340" s="371"/>
      <c r="I340" s="538" t="s">
        <v>8046</v>
      </c>
      <c r="J340" s="539"/>
    </row>
    <row r="341" spans="1:16" s="374" customFormat="1" x14ac:dyDescent="0.25">
      <c r="A341" s="365" t="s">
        <v>659</v>
      </c>
      <c r="B341" s="366"/>
      <c r="C341" s="367">
        <v>0.4</v>
      </c>
      <c r="D341" s="368" t="s">
        <v>2144</v>
      </c>
      <c r="E341" s="367" t="s">
        <v>808</v>
      </c>
      <c r="F341" s="369">
        <v>390419.19999999995</v>
      </c>
      <c r="G341" s="546" t="s">
        <v>5967</v>
      </c>
      <c r="H341" s="366"/>
      <c r="I341" s="369" t="s">
        <v>24</v>
      </c>
      <c r="J341" s="372"/>
      <c r="K341" s="539"/>
    </row>
    <row r="342" spans="1:16" s="374" customFormat="1" x14ac:dyDescent="0.25">
      <c r="A342" s="365" t="s">
        <v>1147</v>
      </c>
      <c r="B342" s="366"/>
      <c r="C342" s="367">
        <v>4.0999999999999996</v>
      </c>
      <c r="D342" s="368" t="s">
        <v>2144</v>
      </c>
      <c r="E342" s="367" t="s">
        <v>808</v>
      </c>
      <c r="F342" s="369">
        <v>4122270</v>
      </c>
      <c r="G342" s="546" t="s">
        <v>8154</v>
      </c>
      <c r="H342" s="366"/>
      <c r="I342" s="369" t="s">
        <v>8153</v>
      </c>
      <c r="J342" s="372"/>
      <c r="K342" s="539"/>
    </row>
    <row r="343" spans="1:16" s="374" customFormat="1" ht="13.95" customHeight="1" x14ac:dyDescent="0.25">
      <c r="A343" s="537" t="s">
        <v>310</v>
      </c>
      <c r="B343" s="366" t="s">
        <v>9017</v>
      </c>
      <c r="C343" s="367">
        <v>0</v>
      </c>
      <c r="D343" s="368" t="s">
        <v>269</v>
      </c>
      <c r="E343" s="368" t="s">
        <v>958</v>
      </c>
      <c r="F343" s="369">
        <v>0</v>
      </c>
      <c r="G343" s="370" t="s">
        <v>4441</v>
      </c>
      <c r="H343" s="371"/>
      <c r="I343" s="538" t="s">
        <v>24</v>
      </c>
      <c r="J343" s="539"/>
    </row>
    <row r="344" spans="1:16" s="374" customFormat="1" ht="13.95" customHeight="1" x14ac:dyDescent="0.25">
      <c r="A344" s="537" t="s">
        <v>310</v>
      </c>
      <c r="B344" s="366" t="s">
        <v>7296</v>
      </c>
      <c r="C344" s="367">
        <v>0.5</v>
      </c>
      <c r="D344" s="368" t="s">
        <v>269</v>
      </c>
      <c r="E344" s="368" t="s">
        <v>958</v>
      </c>
      <c r="F344" s="369">
        <v>526711.35</v>
      </c>
      <c r="G344" s="370" t="s">
        <v>4440</v>
      </c>
      <c r="H344" s="371"/>
      <c r="I344" s="538" t="s">
        <v>202</v>
      </c>
      <c r="J344" s="539"/>
    </row>
    <row r="345" spans="1:16" s="374" customFormat="1" x14ac:dyDescent="0.25">
      <c r="A345" s="367" t="s">
        <v>637</v>
      </c>
      <c r="B345" s="545"/>
      <c r="C345" s="367">
        <v>0</v>
      </c>
      <c r="D345" s="367" t="s">
        <v>1539</v>
      </c>
      <c r="E345" s="367" t="s">
        <v>691</v>
      </c>
      <c r="F345" s="369">
        <v>0</v>
      </c>
      <c r="G345" s="540" t="s">
        <v>1540</v>
      </c>
      <c r="H345" s="366"/>
      <c r="I345" s="536" t="s">
        <v>1418</v>
      </c>
      <c r="J345" s="373"/>
      <c r="K345" s="373"/>
      <c r="L345" s="542"/>
      <c r="M345" s="542"/>
      <c r="N345" s="542"/>
      <c r="O345" s="542"/>
      <c r="P345" s="542"/>
    </row>
    <row r="346" spans="1:16" s="228" customFormat="1" ht="13.95" customHeight="1" x14ac:dyDescent="0.25">
      <c r="A346" s="68" t="s">
        <v>358</v>
      </c>
      <c r="B346" s="14"/>
      <c r="C346" s="13">
        <v>0</v>
      </c>
      <c r="D346" s="32" t="s">
        <v>269</v>
      </c>
      <c r="E346" s="32" t="s">
        <v>62</v>
      </c>
      <c r="F346" s="4">
        <v>0</v>
      </c>
      <c r="G346" s="86" t="s">
        <v>644</v>
      </c>
      <c r="H346" s="211"/>
      <c r="I346" s="41" t="s">
        <v>686</v>
      </c>
      <c r="J346" s="21"/>
    </row>
    <row r="347" spans="1:16" s="228" customFormat="1" ht="13.95" customHeight="1" x14ac:dyDescent="0.25">
      <c r="A347" s="68" t="s">
        <v>358</v>
      </c>
      <c r="B347" s="14"/>
      <c r="C347" s="13">
        <v>0</v>
      </c>
      <c r="D347" s="32" t="s">
        <v>269</v>
      </c>
      <c r="E347" s="32" t="s">
        <v>62</v>
      </c>
      <c r="F347" s="4">
        <v>13356.22</v>
      </c>
      <c r="G347" s="86" t="s">
        <v>689</v>
      </c>
      <c r="H347" s="211"/>
      <c r="I347" s="41" t="s">
        <v>690</v>
      </c>
      <c r="J347" s="21"/>
    </row>
    <row r="348" spans="1:16" s="374" customFormat="1" ht="13.95" customHeight="1" x14ac:dyDescent="0.25">
      <c r="A348" s="537" t="s">
        <v>91</v>
      </c>
      <c r="B348" s="366"/>
      <c r="C348" s="367">
        <v>0</v>
      </c>
      <c r="D348" s="368" t="s">
        <v>269</v>
      </c>
      <c r="E348" s="368" t="s">
        <v>62</v>
      </c>
      <c r="F348" s="369">
        <v>0</v>
      </c>
      <c r="G348" s="370" t="s">
        <v>439</v>
      </c>
      <c r="H348" s="371"/>
      <c r="I348" s="538" t="s">
        <v>202</v>
      </c>
      <c r="J348" s="539"/>
    </row>
    <row r="349" spans="1:16" s="374" customFormat="1" ht="13.95" customHeight="1" x14ac:dyDescent="0.25">
      <c r="A349" s="537" t="s">
        <v>92</v>
      </c>
      <c r="B349" s="366"/>
      <c r="C349" s="367">
        <v>0.04</v>
      </c>
      <c r="D349" s="368" t="s">
        <v>269</v>
      </c>
      <c r="E349" s="368" t="s">
        <v>62</v>
      </c>
      <c r="F349" s="369">
        <f>831727.6-788039</f>
        <v>43688.599999999977</v>
      </c>
      <c r="G349" s="370" t="s">
        <v>633</v>
      </c>
      <c r="H349" s="371"/>
      <c r="I349" s="538" t="s">
        <v>202</v>
      </c>
      <c r="J349" s="539"/>
    </row>
    <row r="350" spans="1:16" s="374" customFormat="1" ht="13.95" customHeight="1" x14ac:dyDescent="0.25">
      <c r="A350" s="537" t="s">
        <v>92</v>
      </c>
      <c r="B350" s="366"/>
      <c r="C350" s="367">
        <v>0</v>
      </c>
      <c r="D350" s="368" t="s">
        <v>269</v>
      </c>
      <c r="E350" s="368" t="s">
        <v>62</v>
      </c>
      <c r="F350" s="369">
        <v>0</v>
      </c>
      <c r="G350" s="370" t="s">
        <v>787</v>
      </c>
      <c r="H350" s="371"/>
      <c r="I350" s="538" t="s">
        <v>789</v>
      </c>
      <c r="J350" s="539"/>
    </row>
    <row r="351" spans="1:16" s="228" customFormat="1" ht="13.95" customHeight="1" x14ac:dyDescent="0.25">
      <c r="A351" s="32" t="s">
        <v>55</v>
      </c>
      <c r="B351" s="14"/>
      <c r="C351" s="13">
        <v>0.08</v>
      </c>
      <c r="D351" s="32" t="s">
        <v>1857</v>
      </c>
      <c r="E351" s="32" t="s">
        <v>130</v>
      </c>
      <c r="F351" s="4">
        <v>0</v>
      </c>
      <c r="G351" s="69" t="s">
        <v>1858</v>
      </c>
      <c r="H351" s="14"/>
      <c r="I351" s="41" t="s">
        <v>1859</v>
      </c>
      <c r="J351" s="22"/>
      <c r="K351" s="62"/>
    </row>
    <row r="352" spans="1:16" s="374" customFormat="1" ht="13.95" customHeight="1" x14ac:dyDescent="0.25">
      <c r="A352" s="368" t="s">
        <v>442</v>
      </c>
      <c r="B352" s="366"/>
      <c r="C352" s="367">
        <v>0.4</v>
      </c>
      <c r="D352" s="367" t="s">
        <v>920</v>
      </c>
      <c r="E352" s="368" t="s">
        <v>62</v>
      </c>
      <c r="F352" s="369">
        <v>418183</v>
      </c>
      <c r="G352" s="540" t="s">
        <v>1013</v>
      </c>
      <c r="H352" s="366"/>
      <c r="I352" s="369" t="s">
        <v>1011</v>
      </c>
      <c r="J352" s="539"/>
    </row>
    <row r="353" spans="1:17" s="374" customFormat="1" ht="13.95" customHeight="1" x14ac:dyDescent="0.25">
      <c r="A353" s="368" t="s">
        <v>91</v>
      </c>
      <c r="B353" s="366"/>
      <c r="C353" s="367">
        <v>0.04</v>
      </c>
      <c r="D353" s="367" t="s">
        <v>920</v>
      </c>
      <c r="E353" s="368" t="s">
        <v>62</v>
      </c>
      <c r="F353" s="369">
        <v>38561.01</v>
      </c>
      <c r="G353" s="540" t="s">
        <v>1111</v>
      </c>
      <c r="H353" s="366"/>
      <c r="I353" s="369" t="s">
        <v>61</v>
      </c>
      <c r="J353" s="539"/>
    </row>
    <row r="354" spans="1:17" s="374" customFormat="1" ht="13.95" customHeight="1" x14ac:dyDescent="0.25">
      <c r="A354" s="368" t="s">
        <v>92</v>
      </c>
      <c r="B354" s="366"/>
      <c r="C354" s="367">
        <v>0.06</v>
      </c>
      <c r="D354" s="367" t="s">
        <v>920</v>
      </c>
      <c r="E354" s="368" t="s">
        <v>62</v>
      </c>
      <c r="F354" s="369">
        <v>61315.44</v>
      </c>
      <c r="G354" s="540" t="s">
        <v>1355</v>
      </c>
      <c r="H354" s="366"/>
      <c r="I354" s="369" t="s">
        <v>61</v>
      </c>
      <c r="J354" s="539" t="s">
        <v>921</v>
      </c>
    </row>
    <row r="355" spans="1:17" s="374" customFormat="1" ht="27.6" x14ac:dyDescent="0.25">
      <c r="A355" s="537" t="s">
        <v>639</v>
      </c>
      <c r="B355" s="366" t="s">
        <v>7275</v>
      </c>
      <c r="C355" s="367">
        <v>25.2</v>
      </c>
      <c r="D355" s="368" t="s">
        <v>905</v>
      </c>
      <c r="E355" s="368" t="s">
        <v>60</v>
      </c>
      <c r="F355" s="369">
        <v>10000000</v>
      </c>
      <c r="G355" s="370" t="s">
        <v>1120</v>
      </c>
      <c r="H355" s="371"/>
      <c r="I355" s="536" t="s">
        <v>1119</v>
      </c>
      <c r="J355" s="539"/>
    </row>
    <row r="356" spans="1:17" s="374" customFormat="1" ht="27.6" x14ac:dyDescent="0.25">
      <c r="A356" s="537" t="s">
        <v>904</v>
      </c>
      <c r="B356" s="366" t="s">
        <v>7275</v>
      </c>
      <c r="C356" s="367">
        <v>0.4</v>
      </c>
      <c r="D356" s="368" t="s">
        <v>905</v>
      </c>
      <c r="E356" s="368" t="s">
        <v>38</v>
      </c>
      <c r="F356" s="369">
        <v>386735.29</v>
      </c>
      <c r="G356" s="370" t="s">
        <v>906</v>
      </c>
      <c r="H356" s="371"/>
      <c r="I356" s="536" t="s">
        <v>581</v>
      </c>
      <c r="J356" s="539"/>
    </row>
    <row r="357" spans="1:17" s="228" customFormat="1" ht="13.95" customHeight="1" x14ac:dyDescent="0.25">
      <c r="A357" s="68" t="s">
        <v>55</v>
      </c>
      <c r="B357" s="14"/>
      <c r="C357" s="13">
        <v>0.05</v>
      </c>
      <c r="D357" s="13" t="s">
        <v>275</v>
      </c>
      <c r="E357" s="32" t="s">
        <v>130</v>
      </c>
      <c r="F357" s="4">
        <v>51725.68</v>
      </c>
      <c r="G357" s="69" t="s">
        <v>987</v>
      </c>
      <c r="H357" s="14"/>
      <c r="I357" s="41" t="s">
        <v>270</v>
      </c>
      <c r="J357" s="21"/>
    </row>
    <row r="358" spans="1:17" s="228" customFormat="1" ht="13.95" customHeight="1" x14ac:dyDescent="0.25">
      <c r="A358" s="13" t="s">
        <v>91</v>
      </c>
      <c r="B358" s="14" t="s">
        <v>284</v>
      </c>
      <c r="C358" s="13">
        <v>16.8</v>
      </c>
      <c r="D358" s="32" t="s">
        <v>1907</v>
      </c>
      <c r="E358" s="32" t="s">
        <v>130</v>
      </c>
      <c r="F358" s="4">
        <v>16811157</v>
      </c>
      <c r="G358" s="86" t="s">
        <v>2797</v>
      </c>
      <c r="H358" s="14"/>
      <c r="I358" s="41" t="s">
        <v>1834</v>
      </c>
      <c r="J358" s="21"/>
    </row>
    <row r="359" spans="1:17" s="228" customFormat="1" ht="13.95" customHeight="1" x14ac:dyDescent="0.25">
      <c r="A359" s="13" t="s">
        <v>90</v>
      </c>
      <c r="B359" s="14"/>
      <c r="C359" s="13">
        <v>-0.5</v>
      </c>
      <c r="D359" s="32" t="s">
        <v>1907</v>
      </c>
      <c r="E359" s="32" t="s">
        <v>130</v>
      </c>
      <c r="F359" s="4">
        <v>0</v>
      </c>
      <c r="G359" s="86" t="s">
        <v>1932</v>
      </c>
      <c r="H359" s="14"/>
      <c r="I359" s="41" t="s">
        <v>270</v>
      </c>
      <c r="J359" s="21"/>
    </row>
    <row r="360" spans="1:17" s="374" customFormat="1" ht="13.95" customHeight="1" x14ac:dyDescent="0.25">
      <c r="A360" s="537" t="s">
        <v>311</v>
      </c>
      <c r="B360" s="366" t="s">
        <v>6390</v>
      </c>
      <c r="C360" s="367">
        <v>0</v>
      </c>
      <c r="D360" s="368" t="s">
        <v>1736</v>
      </c>
      <c r="E360" s="368" t="s">
        <v>958</v>
      </c>
      <c r="F360" s="369">
        <v>0</v>
      </c>
      <c r="G360" s="370" t="s">
        <v>4439</v>
      </c>
      <c r="H360" s="371"/>
      <c r="I360" s="538" t="s">
        <v>24</v>
      </c>
      <c r="J360" s="539"/>
    </row>
    <row r="361" spans="1:17" s="374" customFormat="1" ht="13.95" customHeight="1" x14ac:dyDescent="0.25">
      <c r="A361" s="537" t="s">
        <v>92</v>
      </c>
      <c r="B361" s="366"/>
      <c r="C361" s="367">
        <v>0</v>
      </c>
      <c r="D361" s="368" t="s">
        <v>1736</v>
      </c>
      <c r="E361" s="368" t="s">
        <v>62</v>
      </c>
      <c r="F361" s="369">
        <v>0</v>
      </c>
      <c r="G361" s="370" t="s">
        <v>1737</v>
      </c>
      <c r="H361" s="371"/>
      <c r="I361" s="538" t="s">
        <v>1738</v>
      </c>
      <c r="J361" s="539"/>
    </row>
    <row r="362" spans="1:17" s="374" customFormat="1" ht="13.95" customHeight="1" x14ac:dyDescent="0.25">
      <c r="A362" s="537" t="s">
        <v>1148</v>
      </c>
      <c r="B362" s="366"/>
      <c r="C362" s="367">
        <v>9.5</v>
      </c>
      <c r="D362" s="368" t="s">
        <v>1736</v>
      </c>
      <c r="E362" s="368" t="s">
        <v>808</v>
      </c>
      <c r="F362" s="369">
        <v>9460357.5</v>
      </c>
      <c r="G362" s="370" t="s">
        <v>2596</v>
      </c>
      <c r="H362" s="371"/>
      <c r="I362" s="538" t="s">
        <v>24</v>
      </c>
      <c r="J362" s="539"/>
    </row>
    <row r="363" spans="1:17" s="228" customFormat="1" ht="13.95" customHeight="1" x14ac:dyDescent="0.25">
      <c r="A363" s="32" t="s">
        <v>215</v>
      </c>
      <c r="B363" s="14"/>
      <c r="C363" s="13">
        <v>0.06</v>
      </c>
      <c r="D363" s="13" t="s">
        <v>553</v>
      </c>
      <c r="E363" s="32" t="s">
        <v>62</v>
      </c>
      <c r="F363" s="4">
        <v>55161.14</v>
      </c>
      <c r="G363" s="86" t="s">
        <v>554</v>
      </c>
      <c r="H363" s="14"/>
      <c r="I363" s="4" t="s">
        <v>286</v>
      </c>
      <c r="J363" s="21"/>
    </row>
    <row r="364" spans="1:17" s="228" customFormat="1" ht="13.95" customHeight="1" x14ac:dyDescent="0.25">
      <c r="A364" s="68" t="s">
        <v>442</v>
      </c>
      <c r="B364" s="14"/>
      <c r="C364" s="13">
        <v>0</v>
      </c>
      <c r="D364" s="32" t="s">
        <v>1592</v>
      </c>
      <c r="E364" s="32" t="s">
        <v>62</v>
      </c>
      <c r="F364" s="4">
        <v>0</v>
      </c>
      <c r="G364" s="86" t="s">
        <v>4962</v>
      </c>
      <c r="H364" s="211"/>
      <c r="I364" s="41" t="s">
        <v>976</v>
      </c>
      <c r="J364" s="21"/>
    </row>
    <row r="365" spans="1:17" s="374" customFormat="1" ht="13.95" customHeight="1" x14ac:dyDescent="0.25">
      <c r="A365" s="365" t="s">
        <v>311</v>
      </c>
      <c r="B365" s="366"/>
      <c r="C365" s="367">
        <v>0</v>
      </c>
      <c r="D365" s="367" t="s">
        <v>1144</v>
      </c>
      <c r="E365" s="368" t="s">
        <v>958</v>
      </c>
      <c r="F365" s="369">
        <v>0</v>
      </c>
      <c r="G365" s="370" t="s">
        <v>6911</v>
      </c>
      <c r="H365" s="371"/>
      <c r="I365" s="369" t="s">
        <v>6912</v>
      </c>
      <c r="J365" s="539"/>
    </row>
    <row r="366" spans="1:17" s="374" customFormat="1" x14ac:dyDescent="0.25">
      <c r="A366" s="367" t="s">
        <v>637</v>
      </c>
      <c r="B366" s="545"/>
      <c r="C366" s="367">
        <v>-0.2</v>
      </c>
      <c r="D366" s="367" t="s">
        <v>1144</v>
      </c>
      <c r="E366" s="367" t="s">
        <v>691</v>
      </c>
      <c r="F366" s="369">
        <v>0</v>
      </c>
      <c r="G366" s="540" t="s">
        <v>1680</v>
      </c>
      <c r="H366" s="366"/>
      <c r="I366" s="369" t="s">
        <v>220</v>
      </c>
      <c r="J366" s="373"/>
      <c r="K366" s="373"/>
      <c r="L366" s="542"/>
      <c r="M366" s="542"/>
      <c r="N366" s="542"/>
      <c r="O366" s="542"/>
      <c r="P366" s="542"/>
    </row>
    <row r="367" spans="1:17" s="374" customFormat="1" ht="13.95" customHeight="1" x14ac:dyDescent="0.25">
      <c r="A367" s="537" t="s">
        <v>92</v>
      </c>
      <c r="B367" s="366"/>
      <c r="C367" s="367">
        <v>-4.3</v>
      </c>
      <c r="D367" s="368" t="s">
        <v>1144</v>
      </c>
      <c r="E367" s="368" t="s">
        <v>62</v>
      </c>
      <c r="F367" s="369">
        <v>0</v>
      </c>
      <c r="G367" s="370" t="s">
        <v>1145</v>
      </c>
      <c r="H367" s="371"/>
      <c r="I367" s="538" t="s">
        <v>220</v>
      </c>
      <c r="J367" s="539"/>
    </row>
    <row r="368" spans="1:17" s="374" customFormat="1" ht="13.95" customHeight="1" x14ac:dyDescent="0.25">
      <c r="A368" s="367" t="s">
        <v>455</v>
      </c>
      <c r="B368" s="545"/>
      <c r="C368" s="367">
        <v>4.8</v>
      </c>
      <c r="D368" s="367" t="s">
        <v>4438</v>
      </c>
      <c r="E368" s="368" t="s">
        <v>958</v>
      </c>
      <c r="F368" s="369">
        <v>4831436.9699999969</v>
      </c>
      <c r="G368" s="540" t="s">
        <v>4437</v>
      </c>
      <c r="H368" s="366"/>
      <c r="I368" s="369" t="s">
        <v>24</v>
      </c>
      <c r="J368" s="541"/>
      <c r="K368" s="373"/>
      <c r="L368" s="373"/>
      <c r="M368" s="542"/>
      <c r="N368" s="542"/>
      <c r="O368" s="542"/>
      <c r="P368" s="542"/>
      <c r="Q368" s="542"/>
    </row>
    <row r="369" spans="1:19" s="374" customFormat="1" ht="13.95" customHeight="1" x14ac:dyDescent="0.25">
      <c r="A369" s="368" t="s">
        <v>442</v>
      </c>
      <c r="B369" s="566"/>
      <c r="C369" s="367">
        <v>0.5</v>
      </c>
      <c r="D369" s="368" t="s">
        <v>1840</v>
      </c>
      <c r="E369" s="368" t="s">
        <v>62</v>
      </c>
      <c r="F369" s="369">
        <v>491254.02</v>
      </c>
      <c r="G369" s="540" t="s">
        <v>5597</v>
      </c>
      <c r="H369" s="366"/>
      <c r="I369" s="538" t="s">
        <v>1918</v>
      </c>
      <c r="J369" s="539"/>
    </row>
    <row r="370" spans="1:19" s="228" customFormat="1" ht="13.95" customHeight="1" x14ac:dyDescent="0.25">
      <c r="A370" s="13" t="s">
        <v>55</v>
      </c>
      <c r="B370" s="126" t="s">
        <v>8313</v>
      </c>
      <c r="C370" s="13">
        <v>0.2</v>
      </c>
      <c r="D370" s="13" t="s">
        <v>1822</v>
      </c>
      <c r="E370" s="32" t="s">
        <v>130</v>
      </c>
      <c r="F370" s="4">
        <f>677034.96-500000</f>
        <v>177034.95999999996</v>
      </c>
      <c r="G370" s="69" t="s">
        <v>1136</v>
      </c>
      <c r="H370" s="14"/>
      <c r="I370" s="4" t="s">
        <v>270</v>
      </c>
      <c r="J370" s="71"/>
      <c r="K370" s="62"/>
      <c r="L370" s="62"/>
      <c r="M370" s="35"/>
      <c r="N370" s="35"/>
      <c r="O370" s="35"/>
      <c r="P370" s="35"/>
      <c r="Q370" s="35"/>
    </row>
    <row r="371" spans="1:19" s="228" customFormat="1" ht="13.95" customHeight="1" x14ac:dyDescent="0.25">
      <c r="A371" s="13" t="s">
        <v>55</v>
      </c>
      <c r="B371" s="126" t="s">
        <v>2365</v>
      </c>
      <c r="C371" s="13">
        <v>0.25</v>
      </c>
      <c r="D371" s="13" t="s">
        <v>1308</v>
      </c>
      <c r="E371" s="32" t="s">
        <v>130</v>
      </c>
      <c r="F371" s="4">
        <v>254620.12</v>
      </c>
      <c r="G371" s="69" t="s">
        <v>1309</v>
      </c>
      <c r="H371" s="14"/>
      <c r="I371" s="4" t="s">
        <v>270</v>
      </c>
      <c r="J371" s="71"/>
      <c r="K371" s="62"/>
      <c r="L371" s="62"/>
      <c r="M371" s="35"/>
      <c r="N371" s="35"/>
      <c r="O371" s="35"/>
      <c r="P371" s="35"/>
      <c r="Q371" s="35"/>
    </row>
    <row r="372" spans="1:19" s="228" customFormat="1" ht="27.6" x14ac:dyDescent="0.25">
      <c r="A372" s="32" t="s">
        <v>55</v>
      </c>
      <c r="B372" s="14"/>
      <c r="C372" s="13">
        <v>0.12</v>
      </c>
      <c r="D372" s="32" t="s">
        <v>6937</v>
      </c>
      <c r="E372" s="32" t="s">
        <v>62</v>
      </c>
      <c r="F372" s="4">
        <v>125263.8599999994</v>
      </c>
      <c r="G372" s="69" t="s">
        <v>6938</v>
      </c>
      <c r="H372" s="14"/>
      <c r="I372" s="41" t="s">
        <v>82</v>
      </c>
      <c r="J372" s="21"/>
    </row>
    <row r="373" spans="1:19" s="374" customFormat="1" ht="27.6" x14ac:dyDescent="0.25">
      <c r="A373" s="537" t="s">
        <v>442</v>
      </c>
      <c r="B373" s="366"/>
      <c r="C373" s="367">
        <v>1.4</v>
      </c>
      <c r="D373" s="368" t="s">
        <v>6937</v>
      </c>
      <c r="E373" s="368" t="s">
        <v>62</v>
      </c>
      <c r="F373" s="369">
        <v>1432740.16</v>
      </c>
      <c r="G373" s="540" t="s">
        <v>6939</v>
      </c>
      <c r="H373" s="366"/>
      <c r="I373" s="538" t="s">
        <v>82</v>
      </c>
      <c r="J373" s="372"/>
      <c r="K373" s="373"/>
    </row>
    <row r="374" spans="1:19" s="374" customFormat="1" ht="27.6" x14ac:dyDescent="0.25">
      <c r="A374" s="537" t="s">
        <v>92</v>
      </c>
      <c r="B374" s="366"/>
      <c r="C374" s="367">
        <v>7.0000000000000007E-2</v>
      </c>
      <c r="D374" s="368" t="s">
        <v>6937</v>
      </c>
      <c r="E374" s="368" t="s">
        <v>62</v>
      </c>
      <c r="F374" s="369">
        <v>74549.919999999998</v>
      </c>
      <c r="G374" s="540" t="s">
        <v>6940</v>
      </c>
      <c r="H374" s="366"/>
      <c r="I374" s="538" t="s">
        <v>82</v>
      </c>
      <c r="J374" s="372"/>
      <c r="K374" s="373"/>
    </row>
    <row r="375" spans="1:19" s="374" customFormat="1" ht="13.95" customHeight="1" x14ac:dyDescent="0.25">
      <c r="A375" s="368" t="s">
        <v>92</v>
      </c>
      <c r="B375" s="566"/>
      <c r="C375" s="367">
        <v>0</v>
      </c>
      <c r="D375" s="368" t="s">
        <v>1563</v>
      </c>
      <c r="E375" s="368" t="s">
        <v>62</v>
      </c>
      <c r="F375" s="369">
        <v>0</v>
      </c>
      <c r="G375" s="540" t="s">
        <v>3524</v>
      </c>
      <c r="H375" s="366"/>
      <c r="I375" s="538" t="s">
        <v>82</v>
      </c>
      <c r="J375" s="539"/>
    </row>
    <row r="376" spans="1:19" s="374" customFormat="1" ht="13.95" customHeight="1" x14ac:dyDescent="0.25">
      <c r="A376" s="367" t="s">
        <v>455</v>
      </c>
      <c r="B376" s="545"/>
      <c r="C376" s="367">
        <v>0</v>
      </c>
      <c r="D376" s="367" t="s">
        <v>4434</v>
      </c>
      <c r="E376" s="368" t="s">
        <v>958</v>
      </c>
      <c r="F376" s="369">
        <v>0</v>
      </c>
      <c r="G376" s="540" t="s">
        <v>4436</v>
      </c>
      <c r="H376" s="366"/>
      <c r="I376" s="369" t="s">
        <v>4435</v>
      </c>
      <c r="J376" s="541"/>
      <c r="K376" s="373"/>
      <c r="L376" s="373"/>
      <c r="M376" s="542"/>
      <c r="N376" s="542"/>
      <c r="O376" s="542"/>
      <c r="P376" s="542"/>
      <c r="Q376" s="542"/>
    </row>
    <row r="377" spans="1:19" s="374" customFormat="1" ht="13.95" customHeight="1" x14ac:dyDescent="0.25">
      <c r="A377" s="367" t="s">
        <v>455</v>
      </c>
      <c r="B377" s="545"/>
      <c r="C377" s="367">
        <v>0</v>
      </c>
      <c r="D377" s="367" t="s">
        <v>4434</v>
      </c>
      <c r="E377" s="368" t="s">
        <v>958</v>
      </c>
      <c r="F377" s="369">
        <v>0</v>
      </c>
      <c r="G377" s="540" t="s">
        <v>4433</v>
      </c>
      <c r="H377" s="366"/>
      <c r="I377" s="369" t="s">
        <v>4421</v>
      </c>
      <c r="J377" s="541"/>
      <c r="K377" s="373"/>
      <c r="L377" s="373"/>
      <c r="M377" s="542"/>
      <c r="N377" s="542"/>
      <c r="O377" s="542"/>
      <c r="P377" s="542"/>
      <c r="Q377" s="542"/>
    </row>
    <row r="378" spans="1:19" s="228" customFormat="1" ht="13.95" customHeight="1" x14ac:dyDescent="0.25">
      <c r="A378" s="61" t="s">
        <v>1291</v>
      </c>
      <c r="B378" s="14"/>
      <c r="C378" s="13">
        <v>0</v>
      </c>
      <c r="D378" s="13" t="s">
        <v>7263</v>
      </c>
      <c r="E378" s="32" t="s">
        <v>130</v>
      </c>
      <c r="F378" s="4">
        <v>0</v>
      </c>
      <c r="G378" s="86" t="s">
        <v>7264</v>
      </c>
      <c r="H378" s="211"/>
      <c r="I378" s="4" t="s">
        <v>1834</v>
      </c>
      <c r="J378" s="21"/>
    </row>
    <row r="379" spans="1:19" s="228" customFormat="1" ht="15.6" customHeight="1" x14ac:dyDescent="0.25">
      <c r="A379" s="68" t="s">
        <v>8</v>
      </c>
      <c r="B379" s="14"/>
      <c r="C379" s="13">
        <v>0.6</v>
      </c>
      <c r="D379" s="32" t="s">
        <v>6062</v>
      </c>
      <c r="E379" s="32" t="s">
        <v>808</v>
      </c>
      <c r="F379" s="4">
        <f>1113197.76-500000</f>
        <v>613197.76</v>
      </c>
      <c r="G379" s="86" t="s">
        <v>6063</v>
      </c>
      <c r="H379" s="211"/>
      <c r="I379" s="84" t="s">
        <v>220</v>
      </c>
      <c r="J379" s="21"/>
    </row>
    <row r="380" spans="1:19" s="76" customFormat="1" x14ac:dyDescent="0.25">
      <c r="A380" s="32" t="s">
        <v>495</v>
      </c>
      <c r="B380" s="14"/>
      <c r="C380" s="13"/>
      <c r="D380" s="32" t="s">
        <v>411</v>
      </c>
      <c r="E380" s="32" t="s">
        <v>62</v>
      </c>
      <c r="F380" s="4"/>
      <c r="G380" s="28"/>
      <c r="H380" s="14"/>
      <c r="I380" s="32" t="s">
        <v>4803</v>
      </c>
      <c r="J380" s="407"/>
      <c r="K380" s="260"/>
      <c r="L380" s="50"/>
      <c r="M380" s="50"/>
      <c r="N380" s="50"/>
      <c r="O380" s="50"/>
      <c r="P380" s="50"/>
      <c r="Q380" s="50"/>
      <c r="R380" s="50"/>
      <c r="S380" s="50"/>
    </row>
    <row r="381" spans="1:19" s="374" customFormat="1" ht="15.6" customHeight="1" x14ac:dyDescent="0.25">
      <c r="A381" s="537" t="s">
        <v>91</v>
      </c>
      <c r="B381" s="366"/>
      <c r="C381" s="367">
        <v>0</v>
      </c>
      <c r="D381" s="368" t="s">
        <v>856</v>
      </c>
      <c r="E381" s="368" t="s">
        <v>62</v>
      </c>
      <c r="F381" s="369">
        <v>0</v>
      </c>
      <c r="G381" s="370" t="s">
        <v>1862</v>
      </c>
      <c r="H381" s="371"/>
      <c r="I381" s="543" t="s">
        <v>383</v>
      </c>
      <c r="J381" s="539"/>
    </row>
    <row r="382" spans="1:19" s="374" customFormat="1" ht="15.6" customHeight="1" x14ac:dyDescent="0.25">
      <c r="A382" s="537" t="s">
        <v>310</v>
      </c>
      <c r="B382" s="366"/>
      <c r="C382" s="367">
        <v>1.7</v>
      </c>
      <c r="D382" s="368" t="s">
        <v>506</v>
      </c>
      <c r="E382" s="368" t="s">
        <v>958</v>
      </c>
      <c r="F382" s="369">
        <v>1739834.46</v>
      </c>
      <c r="G382" s="370" t="s">
        <v>4432</v>
      </c>
      <c r="H382" s="371"/>
      <c r="I382" s="543" t="s">
        <v>220</v>
      </c>
      <c r="J382" s="539"/>
    </row>
    <row r="383" spans="1:19" s="228" customFormat="1" ht="15.6" customHeight="1" x14ac:dyDescent="0.25">
      <c r="A383" s="68" t="s">
        <v>213</v>
      </c>
      <c r="B383" s="14"/>
      <c r="C383" s="13">
        <v>7.0000000000000007E-2</v>
      </c>
      <c r="D383" s="32" t="s">
        <v>506</v>
      </c>
      <c r="E383" s="32" t="s">
        <v>60</v>
      </c>
      <c r="F383" s="4">
        <v>75022.460000000006</v>
      </c>
      <c r="G383" s="86" t="s">
        <v>1090</v>
      </c>
      <c r="H383" s="211"/>
      <c r="I383" s="84" t="s">
        <v>220</v>
      </c>
      <c r="J383" s="21"/>
    </row>
    <row r="384" spans="1:19" s="228" customFormat="1" ht="15.6" customHeight="1" x14ac:dyDescent="0.25">
      <c r="A384" s="68" t="s">
        <v>261</v>
      </c>
      <c r="B384" s="14"/>
      <c r="C384" s="13">
        <v>0</v>
      </c>
      <c r="D384" s="32" t="s">
        <v>506</v>
      </c>
      <c r="E384" s="32" t="s">
        <v>808</v>
      </c>
      <c r="F384" s="4">
        <v>0</v>
      </c>
      <c r="G384" s="86" t="s">
        <v>1545</v>
      </c>
      <c r="H384" s="211"/>
      <c r="I384" s="84" t="s">
        <v>220</v>
      </c>
      <c r="J384" s="21"/>
    </row>
    <row r="385" spans="1:11" s="228" customFormat="1" ht="13.95" customHeight="1" x14ac:dyDescent="0.25">
      <c r="A385" s="32" t="s">
        <v>55</v>
      </c>
      <c r="B385" s="151"/>
      <c r="C385" s="13">
        <v>0</v>
      </c>
      <c r="D385" s="32" t="s">
        <v>506</v>
      </c>
      <c r="E385" s="32" t="s">
        <v>62</v>
      </c>
      <c r="F385" s="4">
        <v>0</v>
      </c>
      <c r="G385" s="86" t="s">
        <v>586</v>
      </c>
      <c r="H385" s="211"/>
      <c r="I385" s="84" t="s">
        <v>220</v>
      </c>
      <c r="J385" s="21"/>
    </row>
    <row r="386" spans="1:11" s="374" customFormat="1" ht="13.95" customHeight="1" x14ac:dyDescent="0.25">
      <c r="A386" s="368" t="s">
        <v>91</v>
      </c>
      <c r="B386" s="366"/>
      <c r="C386" s="367">
        <v>0</v>
      </c>
      <c r="D386" s="367" t="s">
        <v>506</v>
      </c>
      <c r="E386" s="368" t="s">
        <v>62</v>
      </c>
      <c r="F386" s="369">
        <v>0</v>
      </c>
      <c r="G386" s="540" t="s">
        <v>820</v>
      </c>
      <c r="H386" s="366"/>
      <c r="I386" s="369" t="s">
        <v>240</v>
      </c>
      <c r="J386" s="539"/>
    </row>
    <row r="387" spans="1:11" s="374" customFormat="1" ht="13.95" customHeight="1" x14ac:dyDescent="0.25">
      <c r="A387" s="368" t="s">
        <v>442</v>
      </c>
      <c r="B387" s="366"/>
      <c r="C387" s="367">
        <v>0.3</v>
      </c>
      <c r="D387" s="367" t="s">
        <v>506</v>
      </c>
      <c r="E387" s="368" t="s">
        <v>62</v>
      </c>
      <c r="F387" s="369">
        <v>342479.99</v>
      </c>
      <c r="G387" s="540" t="s">
        <v>1523</v>
      </c>
      <c r="H387" s="366"/>
      <c r="I387" s="369" t="s">
        <v>240</v>
      </c>
      <c r="J387" s="539"/>
    </row>
    <row r="388" spans="1:11" s="228" customFormat="1" ht="13.95" customHeight="1" x14ac:dyDescent="0.25">
      <c r="A388" s="32" t="s">
        <v>358</v>
      </c>
      <c r="B388" s="14"/>
      <c r="C388" s="13">
        <v>0</v>
      </c>
      <c r="D388" s="13" t="s">
        <v>506</v>
      </c>
      <c r="E388" s="32" t="s">
        <v>62</v>
      </c>
      <c r="F388" s="4">
        <v>0</v>
      </c>
      <c r="G388" s="69" t="s">
        <v>2251</v>
      </c>
      <c r="H388" s="14"/>
      <c r="I388" s="4" t="s">
        <v>1851</v>
      </c>
      <c r="J388" s="21"/>
    </row>
    <row r="389" spans="1:11" s="374" customFormat="1" ht="13.95" customHeight="1" x14ac:dyDescent="0.25">
      <c r="A389" s="365" t="s">
        <v>311</v>
      </c>
      <c r="B389" s="366"/>
      <c r="C389" s="367">
        <v>0</v>
      </c>
      <c r="D389" s="367" t="s">
        <v>632</v>
      </c>
      <c r="E389" s="368" t="s">
        <v>958</v>
      </c>
      <c r="F389" s="369">
        <v>0</v>
      </c>
      <c r="G389" s="370" t="s">
        <v>6753</v>
      </c>
      <c r="H389" s="371"/>
      <c r="I389" s="369" t="s">
        <v>879</v>
      </c>
      <c r="J389" s="539"/>
    </row>
    <row r="390" spans="1:11" s="374" customFormat="1" ht="13.95" customHeight="1" x14ac:dyDescent="0.25">
      <c r="A390" s="365" t="s">
        <v>310</v>
      </c>
      <c r="B390" s="366"/>
      <c r="C390" s="367">
        <v>0</v>
      </c>
      <c r="D390" s="367" t="s">
        <v>632</v>
      </c>
      <c r="E390" s="368" t="s">
        <v>958</v>
      </c>
      <c r="F390" s="369">
        <v>0</v>
      </c>
      <c r="G390" s="370" t="s">
        <v>7311</v>
      </c>
      <c r="H390" s="371"/>
      <c r="I390" s="369" t="s">
        <v>218</v>
      </c>
      <c r="J390" s="539"/>
    </row>
    <row r="391" spans="1:11" s="228" customFormat="1" ht="13.95" customHeight="1" x14ac:dyDescent="0.25">
      <c r="A391" s="32" t="s">
        <v>358</v>
      </c>
      <c r="B391" s="14"/>
      <c r="C391" s="13">
        <v>0</v>
      </c>
      <c r="D391" s="13" t="s">
        <v>632</v>
      </c>
      <c r="E391" s="32" t="s">
        <v>62</v>
      </c>
      <c r="F391" s="4">
        <v>0</v>
      </c>
      <c r="G391" s="86" t="s">
        <v>6605</v>
      </c>
      <c r="H391" s="211"/>
      <c r="I391" s="4" t="s">
        <v>1918</v>
      </c>
      <c r="J391" s="21"/>
    </row>
    <row r="392" spans="1:11" s="374" customFormat="1" ht="13.95" customHeight="1" x14ac:dyDescent="0.25">
      <c r="A392" s="365" t="s">
        <v>1363</v>
      </c>
      <c r="B392" s="366"/>
      <c r="C392" s="367">
        <v>0</v>
      </c>
      <c r="D392" s="367" t="s">
        <v>632</v>
      </c>
      <c r="E392" s="368" t="s">
        <v>62</v>
      </c>
      <c r="F392" s="369">
        <v>0</v>
      </c>
      <c r="G392" s="370" t="s">
        <v>1364</v>
      </c>
      <c r="H392" s="371"/>
      <c r="I392" s="369" t="s">
        <v>879</v>
      </c>
      <c r="J392" s="539"/>
    </row>
    <row r="393" spans="1:11" s="374" customFormat="1" ht="13.95" customHeight="1" x14ac:dyDescent="0.25">
      <c r="A393" s="368" t="s">
        <v>442</v>
      </c>
      <c r="B393" s="545"/>
      <c r="C393" s="367">
        <v>1.2</v>
      </c>
      <c r="D393" s="368" t="s">
        <v>1919</v>
      </c>
      <c r="E393" s="368" t="s">
        <v>62</v>
      </c>
      <c r="F393" s="369">
        <v>1188854.6200000001</v>
      </c>
      <c r="G393" s="540" t="s">
        <v>1920</v>
      </c>
      <c r="H393" s="366"/>
      <c r="I393" s="538" t="s">
        <v>1921</v>
      </c>
      <c r="J393" s="539"/>
    </row>
    <row r="394" spans="1:11" s="228" customFormat="1" ht="41.4" x14ac:dyDescent="0.25">
      <c r="A394" s="68" t="s">
        <v>358</v>
      </c>
      <c r="B394" s="14" t="s">
        <v>2237</v>
      </c>
      <c r="C394" s="13">
        <v>-0.02</v>
      </c>
      <c r="D394" s="32" t="s">
        <v>420</v>
      </c>
      <c r="E394" s="32" t="s">
        <v>62</v>
      </c>
      <c r="F394" s="4">
        <v>0</v>
      </c>
      <c r="G394" s="86" t="s">
        <v>1774</v>
      </c>
      <c r="H394" s="211"/>
      <c r="I394" s="208" t="s">
        <v>1775</v>
      </c>
      <c r="J394" s="21"/>
    </row>
    <row r="395" spans="1:11" s="374" customFormat="1" ht="13.95" customHeight="1" x14ac:dyDescent="0.25">
      <c r="A395" s="367" t="s">
        <v>1222</v>
      </c>
      <c r="B395" s="366"/>
      <c r="C395" s="367">
        <v>0</v>
      </c>
      <c r="D395" s="368" t="s">
        <v>420</v>
      </c>
      <c r="E395" s="368" t="s">
        <v>62</v>
      </c>
      <c r="F395" s="369">
        <v>0</v>
      </c>
      <c r="G395" s="540" t="s">
        <v>1586</v>
      </c>
      <c r="H395" s="366"/>
      <c r="I395" s="538" t="s">
        <v>252</v>
      </c>
      <c r="J395" s="372"/>
      <c r="K395" s="373"/>
    </row>
    <row r="396" spans="1:11" s="228" customFormat="1" ht="13.2" customHeight="1" x14ac:dyDescent="0.25">
      <c r="A396" s="68" t="s">
        <v>213</v>
      </c>
      <c r="B396" s="14"/>
      <c r="C396" s="13">
        <v>0</v>
      </c>
      <c r="D396" s="32" t="s">
        <v>420</v>
      </c>
      <c r="E396" s="32" t="s">
        <v>963</v>
      </c>
      <c r="F396" s="4">
        <v>0</v>
      </c>
      <c r="G396" s="86" t="s">
        <v>991</v>
      </c>
      <c r="H396" s="211"/>
      <c r="I396" s="208" t="s">
        <v>252</v>
      </c>
      <c r="J396" s="21"/>
    </row>
    <row r="397" spans="1:11" s="129" customFormat="1" ht="13.95" customHeight="1" x14ac:dyDescent="0.25">
      <c r="A397" s="348" t="s">
        <v>213</v>
      </c>
      <c r="B397" s="102" t="s">
        <v>4626</v>
      </c>
      <c r="C397" s="328">
        <v>0.3</v>
      </c>
      <c r="D397" s="340" t="s">
        <v>420</v>
      </c>
      <c r="E397" s="340" t="s">
        <v>808</v>
      </c>
      <c r="F397" s="327">
        <v>290036.63</v>
      </c>
      <c r="G397" s="349" t="s">
        <v>1218</v>
      </c>
      <c r="H397" s="350"/>
      <c r="I397" s="376" t="s">
        <v>252</v>
      </c>
      <c r="J397" s="136"/>
    </row>
    <row r="398" spans="1:11" s="129" customFormat="1" ht="13.95" customHeight="1" x14ac:dyDescent="0.25">
      <c r="A398" s="348" t="s">
        <v>188</v>
      </c>
      <c r="B398" s="102"/>
      <c r="C398" s="328">
        <v>0</v>
      </c>
      <c r="D398" s="340" t="s">
        <v>420</v>
      </c>
      <c r="E398" s="340" t="s">
        <v>808</v>
      </c>
      <c r="F398" s="327">
        <v>0</v>
      </c>
      <c r="G398" s="349" t="s">
        <v>1595</v>
      </c>
      <c r="H398" s="350"/>
      <c r="I398" s="376" t="s">
        <v>252</v>
      </c>
      <c r="J398" s="136"/>
    </row>
    <row r="399" spans="1:11" s="228" customFormat="1" x14ac:dyDescent="0.25">
      <c r="A399" s="61" t="s">
        <v>2</v>
      </c>
      <c r="B399" s="14"/>
      <c r="C399" s="13">
        <v>0.1</v>
      </c>
      <c r="D399" s="13" t="s">
        <v>451</v>
      </c>
      <c r="E399" s="32" t="s">
        <v>62</v>
      </c>
      <c r="F399" s="4">
        <v>125620.32</v>
      </c>
      <c r="G399" s="86" t="s">
        <v>680</v>
      </c>
      <c r="H399" s="211"/>
      <c r="I399" s="4" t="s">
        <v>270</v>
      </c>
      <c r="J399" s="21"/>
    </row>
    <row r="400" spans="1:11" s="228" customFormat="1" ht="13.95" customHeight="1" x14ac:dyDescent="0.25">
      <c r="A400" s="68" t="s">
        <v>55</v>
      </c>
      <c r="B400" s="14"/>
      <c r="C400" s="13">
        <v>0</v>
      </c>
      <c r="D400" s="32" t="s">
        <v>451</v>
      </c>
      <c r="E400" s="32" t="s">
        <v>888</v>
      </c>
      <c r="F400" s="4">
        <v>0</v>
      </c>
      <c r="G400" s="69" t="s">
        <v>610</v>
      </c>
      <c r="H400" s="14"/>
      <c r="I400" s="41" t="s">
        <v>270</v>
      </c>
      <c r="J400" s="22"/>
      <c r="K400" s="62"/>
    </row>
    <row r="401" spans="1:16" s="228" customFormat="1" ht="13.95" customHeight="1" x14ac:dyDescent="0.25">
      <c r="A401" s="68" t="s">
        <v>206</v>
      </c>
      <c r="B401" s="14"/>
      <c r="C401" s="13">
        <v>0.03</v>
      </c>
      <c r="D401" s="32" t="s">
        <v>451</v>
      </c>
      <c r="E401" s="32" t="s">
        <v>178</v>
      </c>
      <c r="F401" s="4">
        <v>30000</v>
      </c>
      <c r="G401" s="86" t="s">
        <v>1298</v>
      </c>
      <c r="H401" s="211"/>
      <c r="I401" s="208" t="s">
        <v>270</v>
      </c>
      <c r="J401" s="21"/>
    </row>
    <row r="402" spans="1:16" s="228" customFormat="1" ht="13.95" customHeight="1" x14ac:dyDescent="0.25">
      <c r="A402" s="68" t="s">
        <v>107</v>
      </c>
      <c r="B402" s="14"/>
      <c r="C402" s="13">
        <v>1.4</v>
      </c>
      <c r="D402" s="32" t="s">
        <v>451</v>
      </c>
      <c r="E402" s="32" t="s">
        <v>130</v>
      </c>
      <c r="F402" s="4">
        <v>1438664.73</v>
      </c>
      <c r="G402" s="86" t="s">
        <v>1850</v>
      </c>
      <c r="H402" s="211"/>
      <c r="I402" s="208" t="s">
        <v>1834</v>
      </c>
      <c r="J402" s="21"/>
    </row>
    <row r="403" spans="1:16" s="228" customFormat="1" ht="13.95" customHeight="1" x14ac:dyDescent="0.25">
      <c r="A403" s="13" t="s">
        <v>91</v>
      </c>
      <c r="B403" s="14"/>
      <c r="C403" s="13">
        <v>0</v>
      </c>
      <c r="D403" s="32" t="s">
        <v>4521</v>
      </c>
      <c r="E403" s="32" t="s">
        <v>130</v>
      </c>
      <c r="F403" s="4">
        <v>0</v>
      </c>
      <c r="G403" s="86" t="s">
        <v>4522</v>
      </c>
      <c r="H403" s="211"/>
      <c r="I403" s="208" t="s">
        <v>4523</v>
      </c>
      <c r="J403" s="21"/>
    </row>
    <row r="404" spans="1:16" s="374" customFormat="1" x14ac:dyDescent="0.25">
      <c r="A404" s="365" t="s">
        <v>659</v>
      </c>
      <c r="B404" s="366"/>
      <c r="C404" s="367">
        <v>6.9</v>
      </c>
      <c r="D404" s="367" t="s">
        <v>5888</v>
      </c>
      <c r="E404" s="367" t="s">
        <v>808</v>
      </c>
      <c r="F404" s="369">
        <v>6909182.6999999993</v>
      </c>
      <c r="G404" s="546" t="s">
        <v>5762</v>
      </c>
      <c r="H404" s="366"/>
      <c r="I404" s="369" t="s">
        <v>24</v>
      </c>
      <c r="J404" s="372"/>
      <c r="K404" s="539"/>
    </row>
    <row r="405" spans="1:16" s="374" customFormat="1" ht="13.95" customHeight="1" x14ac:dyDescent="0.25">
      <c r="A405" s="365" t="s">
        <v>536</v>
      </c>
      <c r="B405" s="366"/>
      <c r="C405" s="367">
        <v>0</v>
      </c>
      <c r="D405" s="367" t="s">
        <v>578</v>
      </c>
      <c r="E405" s="368" t="s">
        <v>62</v>
      </c>
      <c r="F405" s="369">
        <v>0</v>
      </c>
      <c r="G405" s="370" t="s">
        <v>1365</v>
      </c>
      <c r="H405" s="371"/>
      <c r="I405" s="369" t="s">
        <v>1224</v>
      </c>
      <c r="J405" s="539"/>
    </row>
    <row r="406" spans="1:16" s="374" customFormat="1" ht="13.95" customHeight="1" x14ac:dyDescent="0.25">
      <c r="A406" s="367" t="s">
        <v>527</v>
      </c>
      <c r="B406" s="366"/>
      <c r="C406" s="367">
        <v>0</v>
      </c>
      <c r="D406" s="367" t="s">
        <v>578</v>
      </c>
      <c r="E406" s="368" t="s">
        <v>62</v>
      </c>
      <c r="F406" s="369"/>
      <c r="G406" s="540" t="s">
        <v>1413</v>
      </c>
      <c r="H406" s="366"/>
      <c r="I406" s="369" t="s">
        <v>1224</v>
      </c>
      <c r="J406" s="539"/>
    </row>
    <row r="407" spans="1:16" s="374" customFormat="1" ht="13.95" customHeight="1" x14ac:dyDescent="0.25">
      <c r="A407" s="537" t="s">
        <v>455</v>
      </c>
      <c r="B407" s="366"/>
      <c r="C407" s="367">
        <v>7.0000000000000007E-2</v>
      </c>
      <c r="D407" s="368" t="s">
        <v>4428</v>
      </c>
      <c r="E407" s="368" t="s">
        <v>958</v>
      </c>
      <c r="F407" s="369">
        <v>67683.78</v>
      </c>
      <c r="G407" s="370" t="s">
        <v>4427</v>
      </c>
      <c r="H407" s="371"/>
      <c r="I407" s="369" t="s">
        <v>4426</v>
      </c>
      <c r="J407" s="539"/>
    </row>
    <row r="408" spans="1:16" s="228" customFormat="1" ht="13.95" customHeight="1" x14ac:dyDescent="0.25">
      <c r="A408" s="61" t="s">
        <v>213</v>
      </c>
      <c r="B408" s="14" t="s">
        <v>754</v>
      </c>
      <c r="C408" s="13">
        <v>0.16</v>
      </c>
      <c r="D408" s="13" t="s">
        <v>880</v>
      </c>
      <c r="E408" s="32" t="s">
        <v>808</v>
      </c>
      <c r="F408" s="4">
        <v>162000</v>
      </c>
      <c r="G408" s="86" t="s">
        <v>1321</v>
      </c>
      <c r="H408" s="211"/>
      <c r="I408" s="4" t="s">
        <v>1322</v>
      </c>
      <c r="J408" s="21"/>
    </row>
    <row r="409" spans="1:16" s="228" customFormat="1" ht="13.95" customHeight="1" x14ac:dyDescent="0.25">
      <c r="A409" s="61" t="s">
        <v>213</v>
      </c>
      <c r="B409" s="14" t="s">
        <v>754</v>
      </c>
      <c r="C409" s="13">
        <v>0.2</v>
      </c>
      <c r="D409" s="13" t="s">
        <v>880</v>
      </c>
      <c r="E409" s="32" t="s">
        <v>808</v>
      </c>
      <c r="F409" s="4">
        <v>219080</v>
      </c>
      <c r="G409" s="86" t="s">
        <v>1354</v>
      </c>
      <c r="H409" s="211"/>
      <c r="I409" s="4" t="s">
        <v>1224</v>
      </c>
      <c r="J409" s="21"/>
    </row>
    <row r="410" spans="1:16" s="228" customFormat="1" ht="13.95" customHeight="1" x14ac:dyDescent="0.25">
      <c r="A410" s="61" t="s">
        <v>188</v>
      </c>
      <c r="B410" s="14"/>
      <c r="C410" s="13">
        <v>0</v>
      </c>
      <c r="D410" s="13" t="s">
        <v>880</v>
      </c>
      <c r="E410" s="32" t="s">
        <v>808</v>
      </c>
      <c r="F410" s="4">
        <v>0</v>
      </c>
      <c r="G410" s="86" t="s">
        <v>1230</v>
      </c>
      <c r="H410" s="211"/>
      <c r="I410" s="4" t="s">
        <v>218</v>
      </c>
      <c r="J410" s="21"/>
    </row>
    <row r="411" spans="1:16" s="374" customFormat="1" x14ac:dyDescent="0.25">
      <c r="A411" s="367" t="s">
        <v>637</v>
      </c>
      <c r="B411" s="545"/>
      <c r="C411" s="367">
        <v>0</v>
      </c>
      <c r="D411" s="367" t="s">
        <v>604</v>
      </c>
      <c r="E411" s="367" t="s">
        <v>691</v>
      </c>
      <c r="F411" s="369">
        <v>0</v>
      </c>
      <c r="G411" s="540" t="s">
        <v>952</v>
      </c>
      <c r="H411" s="366"/>
      <c r="I411" s="369" t="s">
        <v>24</v>
      </c>
      <c r="J411" s="373"/>
      <c r="K411" s="373"/>
      <c r="L411" s="542"/>
      <c r="M411" s="542"/>
      <c r="N411" s="542"/>
      <c r="O411" s="542"/>
      <c r="P411" s="542"/>
    </row>
    <row r="412" spans="1:16" s="374" customFormat="1" x14ac:dyDescent="0.25">
      <c r="A412" s="367" t="s">
        <v>639</v>
      </c>
      <c r="B412" s="551" t="s">
        <v>7303</v>
      </c>
      <c r="C412" s="367">
        <v>0.2</v>
      </c>
      <c r="D412" s="367" t="s">
        <v>604</v>
      </c>
      <c r="E412" s="367" t="s">
        <v>691</v>
      </c>
      <c r="F412" s="369">
        <f>950370-750000</f>
        <v>200370</v>
      </c>
      <c r="G412" s="540" t="s">
        <v>854</v>
      </c>
      <c r="H412" s="366"/>
      <c r="I412" s="369" t="s">
        <v>855</v>
      </c>
      <c r="J412" s="373"/>
      <c r="K412" s="373"/>
      <c r="L412" s="542"/>
      <c r="M412" s="542"/>
      <c r="N412" s="542"/>
      <c r="O412" s="542"/>
      <c r="P412" s="542"/>
    </row>
    <row r="413" spans="1:16" s="374" customFormat="1" ht="13.95" customHeight="1" x14ac:dyDescent="0.25">
      <c r="A413" s="368" t="s">
        <v>1316</v>
      </c>
      <c r="B413" s="366"/>
      <c r="C413" s="367">
        <v>0.05</v>
      </c>
      <c r="D413" s="368" t="s">
        <v>5965</v>
      </c>
      <c r="E413" s="368" t="s">
        <v>808</v>
      </c>
      <c r="F413" s="369">
        <f>3555356-500000-1000000-500000*4</f>
        <v>55356</v>
      </c>
      <c r="G413" s="540" t="s">
        <v>1532</v>
      </c>
      <c r="H413" s="366"/>
      <c r="I413" s="369" t="s">
        <v>24</v>
      </c>
      <c r="J413" s="539"/>
    </row>
    <row r="414" spans="1:16" s="374" customFormat="1" x14ac:dyDescent="0.25">
      <c r="A414" s="365" t="s">
        <v>659</v>
      </c>
      <c r="B414" s="366"/>
      <c r="C414" s="367">
        <v>3</v>
      </c>
      <c r="D414" s="368" t="s">
        <v>5965</v>
      </c>
      <c r="E414" s="367" t="s">
        <v>808</v>
      </c>
      <c r="F414" s="369">
        <v>2959209.2</v>
      </c>
      <c r="G414" s="546" t="s">
        <v>5966</v>
      </c>
      <c r="H414" s="366"/>
      <c r="I414" s="369" t="s">
        <v>24</v>
      </c>
      <c r="J414" s="372"/>
      <c r="K414" s="539"/>
    </row>
    <row r="415" spans="1:16" s="374" customFormat="1" ht="13.95" customHeight="1" x14ac:dyDescent="0.25">
      <c r="A415" s="365" t="s">
        <v>91</v>
      </c>
      <c r="B415" s="366"/>
      <c r="C415" s="367">
        <v>0.3</v>
      </c>
      <c r="D415" s="367" t="s">
        <v>3301</v>
      </c>
      <c r="E415" s="368" t="s">
        <v>62</v>
      </c>
      <c r="F415" s="369">
        <v>334976.33999999985</v>
      </c>
      <c r="G415" s="370" t="s">
        <v>3302</v>
      </c>
      <c r="H415" s="371"/>
      <c r="I415" s="369" t="s">
        <v>3303</v>
      </c>
      <c r="J415" s="539"/>
    </row>
    <row r="416" spans="1:16" s="374" customFormat="1" ht="13.95" customHeight="1" x14ac:dyDescent="0.25">
      <c r="A416" s="537" t="s">
        <v>310</v>
      </c>
      <c r="B416" s="366"/>
      <c r="C416" s="367">
        <v>2</v>
      </c>
      <c r="D416" s="368" t="s">
        <v>8162</v>
      </c>
      <c r="E416" s="368" t="s">
        <v>958</v>
      </c>
      <c r="F416" s="369">
        <v>2000000</v>
      </c>
      <c r="G416" s="370" t="s">
        <v>9448</v>
      </c>
      <c r="H416" s="371"/>
      <c r="I416" s="536" t="s">
        <v>252</v>
      </c>
      <c r="J416" s="539"/>
    </row>
    <row r="417" spans="1:16" s="374" customFormat="1" ht="13.95" customHeight="1" x14ac:dyDescent="0.25">
      <c r="A417" s="537" t="s">
        <v>637</v>
      </c>
      <c r="B417" s="366"/>
      <c r="C417" s="367">
        <v>0</v>
      </c>
      <c r="D417" s="368" t="s">
        <v>8162</v>
      </c>
      <c r="E417" s="368" t="s">
        <v>691</v>
      </c>
      <c r="F417" s="369">
        <v>0</v>
      </c>
      <c r="G417" s="370" t="s">
        <v>8163</v>
      </c>
      <c r="H417" s="371"/>
      <c r="I417" s="536" t="s">
        <v>252</v>
      </c>
      <c r="J417" s="539"/>
    </row>
    <row r="418" spans="1:16" s="374" customFormat="1" ht="13.95" customHeight="1" x14ac:dyDescent="0.25">
      <c r="A418" s="537" t="s">
        <v>455</v>
      </c>
      <c r="B418" s="366" t="s">
        <v>7586</v>
      </c>
      <c r="C418" s="367">
        <v>4.7</v>
      </c>
      <c r="D418" s="368" t="s">
        <v>454</v>
      </c>
      <c r="E418" s="368" t="s">
        <v>958</v>
      </c>
      <c r="F418" s="369">
        <v>4724752.6999999993</v>
      </c>
      <c r="G418" s="370" t="s">
        <v>4425</v>
      </c>
      <c r="H418" s="371"/>
      <c r="I418" s="369" t="s">
        <v>24</v>
      </c>
      <c r="J418" s="539"/>
    </row>
    <row r="419" spans="1:16" s="374" customFormat="1" ht="13.95" customHeight="1" x14ac:dyDescent="0.25">
      <c r="A419" s="537" t="s">
        <v>455</v>
      </c>
      <c r="B419" s="366" t="s">
        <v>7586</v>
      </c>
      <c r="C419" s="367">
        <v>0</v>
      </c>
      <c r="D419" s="368" t="s">
        <v>454</v>
      </c>
      <c r="E419" s="368" t="s">
        <v>958</v>
      </c>
      <c r="F419" s="369">
        <v>0</v>
      </c>
      <c r="G419" s="370" t="s">
        <v>4424</v>
      </c>
      <c r="H419" s="371"/>
      <c r="I419" s="369" t="s">
        <v>24</v>
      </c>
      <c r="J419" s="539"/>
    </row>
    <row r="420" spans="1:16" s="374" customFormat="1" x14ac:dyDescent="0.25">
      <c r="A420" s="367" t="s">
        <v>637</v>
      </c>
      <c r="B420" s="366" t="s">
        <v>7586</v>
      </c>
      <c r="C420" s="367">
        <v>0.1</v>
      </c>
      <c r="D420" s="367" t="s">
        <v>1947</v>
      </c>
      <c r="E420" s="367" t="s">
        <v>691</v>
      </c>
      <c r="F420" s="369">
        <v>85000</v>
      </c>
      <c r="G420" s="540" t="s">
        <v>1948</v>
      </c>
      <c r="H420" s="366"/>
      <c r="I420" s="369" t="s">
        <v>315</v>
      </c>
      <c r="J420" s="373"/>
      <c r="K420" s="373"/>
      <c r="L420" s="542"/>
      <c r="M420" s="542"/>
      <c r="N420" s="542"/>
      <c r="O420" s="542"/>
      <c r="P420" s="542"/>
    </row>
    <row r="421" spans="1:16" s="228" customFormat="1" ht="13.95" customHeight="1" x14ac:dyDescent="0.25">
      <c r="A421" s="68" t="s">
        <v>261</v>
      </c>
      <c r="B421" s="14" t="s">
        <v>7586</v>
      </c>
      <c r="C421" s="13">
        <v>0.9</v>
      </c>
      <c r="D421" s="32" t="s">
        <v>454</v>
      </c>
      <c r="E421" s="32" t="s">
        <v>808</v>
      </c>
      <c r="F421" s="4">
        <f>5153500-1245000-3000000</f>
        <v>908500</v>
      </c>
      <c r="G421" s="86" t="s">
        <v>1040</v>
      </c>
      <c r="H421" s="211"/>
      <c r="I421" s="208" t="s">
        <v>315</v>
      </c>
      <c r="J421" s="21"/>
    </row>
    <row r="422" spans="1:16" s="374" customFormat="1" ht="13.95" customHeight="1" x14ac:dyDescent="0.25">
      <c r="A422" s="537" t="s">
        <v>1147</v>
      </c>
      <c r="B422" s="366" t="s">
        <v>7586</v>
      </c>
      <c r="C422" s="367">
        <v>13</v>
      </c>
      <c r="D422" s="368" t="s">
        <v>454</v>
      </c>
      <c r="E422" s="368" t="s">
        <v>808</v>
      </c>
      <c r="F422" s="369">
        <v>12944945</v>
      </c>
      <c r="G422" s="370" t="s">
        <v>7287</v>
      </c>
      <c r="H422" s="371"/>
      <c r="I422" s="369" t="s">
        <v>7286</v>
      </c>
      <c r="J422" s="539"/>
    </row>
    <row r="423" spans="1:16" s="374" customFormat="1" ht="13.95" customHeight="1" x14ac:dyDescent="0.25">
      <c r="A423" s="537" t="s">
        <v>1148</v>
      </c>
      <c r="B423" s="366" t="s">
        <v>7586</v>
      </c>
      <c r="C423" s="367">
        <v>10.9</v>
      </c>
      <c r="D423" s="368" t="s">
        <v>454</v>
      </c>
      <c r="E423" s="368" t="s">
        <v>808</v>
      </c>
      <c r="F423" s="369">
        <v>10893931</v>
      </c>
      <c r="G423" s="370" t="s">
        <v>4792</v>
      </c>
      <c r="H423" s="371"/>
      <c r="I423" s="369" t="s">
        <v>24</v>
      </c>
      <c r="J423" s="539"/>
    </row>
    <row r="424" spans="1:16" s="374" customFormat="1" ht="15" customHeight="1" x14ac:dyDescent="0.25">
      <c r="A424" s="368" t="s">
        <v>1222</v>
      </c>
      <c r="B424" s="366" t="s">
        <v>7586</v>
      </c>
      <c r="C424" s="367">
        <v>0</v>
      </c>
      <c r="D424" s="368" t="s">
        <v>454</v>
      </c>
      <c r="E424" s="368" t="s">
        <v>62</v>
      </c>
      <c r="F424" s="369">
        <v>0</v>
      </c>
      <c r="G424" s="540" t="s">
        <v>1703</v>
      </c>
      <c r="H424" s="366"/>
      <c r="I424" s="369" t="s">
        <v>252</v>
      </c>
      <c r="J424" s="539"/>
    </row>
    <row r="425" spans="1:16" s="374" customFormat="1" ht="15" customHeight="1" x14ac:dyDescent="0.25">
      <c r="A425" s="368" t="s">
        <v>1363</v>
      </c>
      <c r="B425" s="366" t="s">
        <v>7586</v>
      </c>
      <c r="C425" s="367">
        <v>0</v>
      </c>
      <c r="D425" s="368" t="s">
        <v>454</v>
      </c>
      <c r="E425" s="368" t="s">
        <v>62</v>
      </c>
      <c r="F425" s="369">
        <v>0</v>
      </c>
      <c r="G425" s="540" t="s">
        <v>1704</v>
      </c>
      <c r="H425" s="366"/>
      <c r="I425" s="369" t="s">
        <v>252</v>
      </c>
      <c r="J425" s="539"/>
    </row>
    <row r="426" spans="1:16" s="374" customFormat="1" ht="15" customHeight="1" x14ac:dyDescent="0.25">
      <c r="A426" s="368" t="s">
        <v>92</v>
      </c>
      <c r="B426" s="366" t="s">
        <v>7586</v>
      </c>
      <c r="C426" s="367">
        <v>0</v>
      </c>
      <c r="D426" s="368" t="s">
        <v>454</v>
      </c>
      <c r="E426" s="368" t="s">
        <v>62</v>
      </c>
      <c r="F426" s="369">
        <v>0</v>
      </c>
      <c r="G426" s="540" t="s">
        <v>446</v>
      </c>
      <c r="H426" s="366"/>
      <c r="I426" s="369" t="s">
        <v>24</v>
      </c>
      <c r="J426" s="539"/>
    </row>
    <row r="427" spans="1:16" s="374" customFormat="1" ht="13.95" customHeight="1" x14ac:dyDescent="0.25">
      <c r="A427" s="365" t="s">
        <v>442</v>
      </c>
      <c r="B427" s="366"/>
      <c r="C427" s="367">
        <v>0</v>
      </c>
      <c r="D427" s="367" t="s">
        <v>893</v>
      </c>
      <c r="E427" s="368" t="s">
        <v>62</v>
      </c>
      <c r="F427" s="369">
        <v>0</v>
      </c>
      <c r="G427" s="370" t="s">
        <v>894</v>
      </c>
      <c r="H427" s="371"/>
      <c r="I427" s="369" t="s">
        <v>895</v>
      </c>
      <c r="J427" s="539"/>
    </row>
    <row r="428" spans="1:16" s="374" customFormat="1" ht="13.95" customHeight="1" x14ac:dyDescent="0.25">
      <c r="A428" s="365" t="s">
        <v>442</v>
      </c>
      <c r="B428" s="366"/>
      <c r="C428" s="367">
        <v>0.5</v>
      </c>
      <c r="D428" s="367" t="s">
        <v>893</v>
      </c>
      <c r="E428" s="368" t="s">
        <v>62</v>
      </c>
      <c r="F428" s="369">
        <v>474243.7</v>
      </c>
      <c r="G428" s="370" t="s">
        <v>1909</v>
      </c>
      <c r="H428" s="371"/>
      <c r="I428" s="369" t="s">
        <v>1910</v>
      </c>
      <c r="J428" s="539"/>
    </row>
    <row r="429" spans="1:16" s="228" customFormat="1" ht="13.95" customHeight="1" x14ac:dyDescent="0.25">
      <c r="A429" s="13" t="s">
        <v>358</v>
      </c>
      <c r="B429" s="14"/>
      <c r="C429" s="13">
        <v>0</v>
      </c>
      <c r="D429" s="13" t="s">
        <v>893</v>
      </c>
      <c r="E429" s="32" t="s">
        <v>62</v>
      </c>
      <c r="F429" s="4">
        <v>0</v>
      </c>
      <c r="G429" s="69" t="s">
        <v>1466</v>
      </c>
      <c r="H429" s="14"/>
      <c r="I429" s="4" t="s">
        <v>82</v>
      </c>
      <c r="J429" s="21"/>
    </row>
    <row r="430" spans="1:16" s="228" customFormat="1" ht="13.95" customHeight="1" x14ac:dyDescent="0.25">
      <c r="A430" s="32" t="s">
        <v>1350</v>
      </c>
      <c r="B430" s="14" t="s">
        <v>9333</v>
      </c>
      <c r="C430" s="13">
        <v>0</v>
      </c>
      <c r="D430" s="32" t="s">
        <v>732</v>
      </c>
      <c r="E430" s="32" t="s">
        <v>691</v>
      </c>
      <c r="F430" s="4">
        <v>0</v>
      </c>
      <c r="G430" s="174" t="s">
        <v>9334</v>
      </c>
      <c r="H430" s="14">
        <v>43556</v>
      </c>
      <c r="I430" s="41" t="s">
        <v>24</v>
      </c>
      <c r="J430" s="22"/>
      <c r="K430" s="62"/>
    </row>
    <row r="431" spans="1:16" s="374" customFormat="1" ht="13.95" customHeight="1" x14ac:dyDescent="0.25">
      <c r="A431" s="365" t="s">
        <v>442</v>
      </c>
      <c r="B431" s="366" t="s">
        <v>1940</v>
      </c>
      <c r="C431" s="367">
        <v>8.6999999999999993</v>
      </c>
      <c r="D431" s="367" t="s">
        <v>432</v>
      </c>
      <c r="E431" s="368" t="s">
        <v>62</v>
      </c>
      <c r="F431" s="369">
        <v>8730469.7200000007</v>
      </c>
      <c r="G431" s="370" t="s">
        <v>1939</v>
      </c>
      <c r="H431" s="371"/>
      <c r="I431" s="369" t="s">
        <v>788</v>
      </c>
      <c r="J431" s="539"/>
    </row>
    <row r="432" spans="1:16" s="374" customFormat="1" ht="13.95" customHeight="1" x14ac:dyDescent="0.25">
      <c r="A432" s="365" t="s">
        <v>1316</v>
      </c>
      <c r="B432" s="366" t="s">
        <v>1940</v>
      </c>
      <c r="C432" s="367">
        <v>4.0999999999999996</v>
      </c>
      <c r="D432" s="367" t="s">
        <v>432</v>
      </c>
      <c r="E432" s="368" t="s">
        <v>808</v>
      </c>
      <c r="F432" s="369">
        <v>4119312</v>
      </c>
      <c r="G432" s="370" t="s">
        <v>4008</v>
      </c>
      <c r="H432" s="371"/>
      <c r="I432" s="369" t="s">
        <v>24</v>
      </c>
      <c r="J432" s="539"/>
    </row>
    <row r="433" spans="1:17" s="374" customFormat="1" x14ac:dyDescent="0.25">
      <c r="A433" s="368" t="s">
        <v>1149</v>
      </c>
      <c r="B433" s="366" t="s">
        <v>1849</v>
      </c>
      <c r="C433" s="367">
        <v>7.8</v>
      </c>
      <c r="D433" s="368" t="s">
        <v>1179</v>
      </c>
      <c r="E433" s="368" t="s">
        <v>808</v>
      </c>
      <c r="F433" s="369">
        <v>7826490</v>
      </c>
      <c r="G433" s="540" t="s">
        <v>2190</v>
      </c>
      <c r="H433" s="366"/>
      <c r="I433" s="369" t="s">
        <v>24</v>
      </c>
      <c r="J433" s="539"/>
    </row>
    <row r="434" spans="1:17" s="228" customFormat="1" x14ac:dyDescent="0.25">
      <c r="A434" s="32" t="s">
        <v>214</v>
      </c>
      <c r="B434" s="14" t="s">
        <v>7014</v>
      </c>
      <c r="C434" s="13">
        <v>3.2</v>
      </c>
      <c r="D434" s="32" t="s">
        <v>1143</v>
      </c>
      <c r="E434" s="32" t="s">
        <v>130</v>
      </c>
      <c r="F434" s="4">
        <v>3202372.91</v>
      </c>
      <c r="G434" s="69" t="s">
        <v>1306</v>
      </c>
      <c r="H434" s="14"/>
      <c r="I434" s="4" t="s">
        <v>1307</v>
      </c>
      <c r="J434" s="21"/>
    </row>
    <row r="435" spans="1:17" s="374" customFormat="1" ht="13.95" customHeight="1" x14ac:dyDescent="0.25">
      <c r="A435" s="368" t="s">
        <v>91</v>
      </c>
      <c r="B435" s="366" t="s">
        <v>7014</v>
      </c>
      <c r="C435" s="367">
        <v>0</v>
      </c>
      <c r="D435" s="368" t="s">
        <v>1143</v>
      </c>
      <c r="E435" s="368" t="s">
        <v>62</v>
      </c>
      <c r="F435" s="369">
        <v>0</v>
      </c>
      <c r="G435" s="540" t="s">
        <v>1793</v>
      </c>
      <c r="H435" s="366"/>
      <c r="I435" s="369" t="s">
        <v>1792</v>
      </c>
      <c r="J435" s="539"/>
    </row>
    <row r="436" spans="1:17" s="228" customFormat="1" ht="13.95" customHeight="1" x14ac:dyDescent="0.25">
      <c r="A436" s="61" t="s">
        <v>55</v>
      </c>
      <c r="B436" s="14"/>
      <c r="C436" s="13">
        <v>0.1</v>
      </c>
      <c r="D436" s="13" t="s">
        <v>352</v>
      </c>
      <c r="E436" s="32" t="s">
        <v>62</v>
      </c>
      <c r="F436" s="4">
        <v>142230</v>
      </c>
      <c r="G436" s="86" t="s">
        <v>4288</v>
      </c>
      <c r="H436" s="211"/>
      <c r="I436" s="4" t="s">
        <v>8233</v>
      </c>
      <c r="J436" s="21"/>
    </row>
    <row r="437" spans="1:17" s="374" customFormat="1" ht="13.95" customHeight="1" x14ac:dyDescent="0.25">
      <c r="A437" s="365" t="s">
        <v>1225</v>
      </c>
      <c r="B437" s="366"/>
      <c r="C437" s="367">
        <v>0</v>
      </c>
      <c r="D437" s="367" t="s">
        <v>352</v>
      </c>
      <c r="E437" s="368" t="s">
        <v>62</v>
      </c>
      <c r="F437" s="369">
        <v>0</v>
      </c>
      <c r="G437" s="370" t="s">
        <v>1200</v>
      </c>
      <c r="H437" s="371"/>
      <c r="I437" s="369" t="s">
        <v>1224</v>
      </c>
      <c r="J437" s="539"/>
    </row>
    <row r="438" spans="1:17" s="374" customFormat="1" ht="13.95" customHeight="1" x14ac:dyDescent="0.25">
      <c r="A438" s="365" t="s">
        <v>550</v>
      </c>
      <c r="B438" s="366"/>
      <c r="C438" s="367">
        <v>-0.2</v>
      </c>
      <c r="D438" s="367" t="s">
        <v>352</v>
      </c>
      <c r="E438" s="368" t="s">
        <v>62</v>
      </c>
      <c r="F438" s="369">
        <v>0</v>
      </c>
      <c r="G438" s="370" t="s">
        <v>1362</v>
      </c>
      <c r="H438" s="371"/>
      <c r="I438" s="369" t="s">
        <v>218</v>
      </c>
      <c r="J438" s="539"/>
    </row>
    <row r="439" spans="1:17" s="374" customFormat="1" ht="13.95" customHeight="1" x14ac:dyDescent="0.25">
      <c r="A439" s="365" t="s">
        <v>550</v>
      </c>
      <c r="B439" s="366"/>
      <c r="C439" s="367">
        <v>0.3</v>
      </c>
      <c r="D439" s="367" t="s">
        <v>352</v>
      </c>
      <c r="E439" s="368" t="s">
        <v>62</v>
      </c>
      <c r="F439" s="369">
        <v>318513</v>
      </c>
      <c r="G439" s="370" t="s">
        <v>1223</v>
      </c>
      <c r="H439" s="371"/>
      <c r="I439" s="369" t="s">
        <v>218</v>
      </c>
      <c r="J439" s="539"/>
    </row>
    <row r="440" spans="1:17" s="228" customFormat="1" ht="13.95" customHeight="1" x14ac:dyDescent="0.25">
      <c r="A440" s="61" t="s">
        <v>1286</v>
      </c>
      <c r="B440" s="14"/>
      <c r="C440" s="13">
        <v>0.2</v>
      </c>
      <c r="D440" s="13" t="s">
        <v>352</v>
      </c>
      <c r="E440" s="32" t="s">
        <v>62</v>
      </c>
      <c r="F440" s="4">
        <v>231484.32</v>
      </c>
      <c r="G440" s="86" t="s">
        <v>1519</v>
      </c>
      <c r="H440" s="211"/>
      <c r="I440" s="4" t="s">
        <v>218</v>
      </c>
      <c r="J440" s="21"/>
    </row>
    <row r="441" spans="1:17" s="228" customFormat="1" ht="13.95" customHeight="1" x14ac:dyDescent="0.25">
      <c r="A441" s="61" t="s">
        <v>1285</v>
      </c>
      <c r="B441" s="14" t="s">
        <v>5228</v>
      </c>
      <c r="C441" s="13">
        <v>0.4</v>
      </c>
      <c r="D441" s="13" t="s">
        <v>352</v>
      </c>
      <c r="E441" s="32" t="s">
        <v>62</v>
      </c>
      <c r="F441" s="4">
        <f>755238.6-330605</f>
        <v>424633.59999999998</v>
      </c>
      <c r="G441" s="86" t="s">
        <v>1520</v>
      </c>
      <c r="H441" s="211"/>
      <c r="I441" s="4" t="s">
        <v>218</v>
      </c>
      <c r="J441" s="21"/>
    </row>
    <row r="442" spans="1:17" s="228" customFormat="1" ht="41.4" x14ac:dyDescent="0.25">
      <c r="A442" s="61" t="s">
        <v>188</v>
      </c>
      <c r="B442" s="14" t="s">
        <v>4628</v>
      </c>
      <c r="C442" s="13">
        <v>0.1</v>
      </c>
      <c r="D442" s="13" t="s">
        <v>352</v>
      </c>
      <c r="E442" s="32" t="s">
        <v>808</v>
      </c>
      <c r="F442" s="4">
        <v>129535.01</v>
      </c>
      <c r="G442" s="86" t="s">
        <v>2034</v>
      </c>
      <c r="H442" s="211"/>
      <c r="I442" s="4" t="s">
        <v>218</v>
      </c>
      <c r="J442" s="21"/>
    </row>
    <row r="443" spans="1:17" s="228" customFormat="1" ht="41.4" x14ac:dyDescent="0.25">
      <c r="A443" s="61" t="s">
        <v>261</v>
      </c>
      <c r="B443" s="14" t="s">
        <v>4628</v>
      </c>
      <c r="C443" s="13">
        <v>0.3</v>
      </c>
      <c r="D443" s="13" t="s">
        <v>352</v>
      </c>
      <c r="E443" s="32" t="s">
        <v>808</v>
      </c>
      <c r="F443" s="4">
        <v>305253.86</v>
      </c>
      <c r="G443" s="86" t="s">
        <v>1967</v>
      </c>
      <c r="H443" s="211"/>
      <c r="I443" s="4" t="s">
        <v>218</v>
      </c>
      <c r="J443" s="21"/>
    </row>
    <row r="444" spans="1:17" s="228" customFormat="1" ht="13.95" customHeight="1" x14ac:dyDescent="0.25">
      <c r="A444" s="68" t="s">
        <v>35</v>
      </c>
      <c r="B444" s="102" t="s">
        <v>287</v>
      </c>
      <c r="C444" s="13">
        <v>0.4</v>
      </c>
      <c r="D444" s="32" t="s">
        <v>799</v>
      </c>
      <c r="E444" s="32" t="s">
        <v>963</v>
      </c>
      <c r="F444" s="4">
        <v>365950</v>
      </c>
      <c r="G444" s="86" t="s">
        <v>1068</v>
      </c>
      <c r="H444" s="211"/>
      <c r="I444" s="208" t="s">
        <v>220</v>
      </c>
      <c r="J444" s="21"/>
    </row>
    <row r="445" spans="1:17" s="228" customFormat="1" ht="13.95" customHeight="1" x14ac:dyDescent="0.25">
      <c r="A445" s="13" t="s">
        <v>55</v>
      </c>
      <c r="B445" s="230"/>
      <c r="C445" s="13">
        <v>0</v>
      </c>
      <c r="D445" s="13" t="s">
        <v>1202</v>
      </c>
      <c r="E445" s="13" t="s">
        <v>888</v>
      </c>
      <c r="F445" s="4">
        <v>0</v>
      </c>
      <c r="G445" s="69" t="s">
        <v>1203</v>
      </c>
      <c r="H445" s="14"/>
      <c r="I445" s="4" t="s">
        <v>270</v>
      </c>
      <c r="J445" s="71"/>
      <c r="K445" s="62"/>
      <c r="L445" s="62"/>
      <c r="M445" s="35"/>
      <c r="N445" s="35"/>
      <c r="O445" s="35"/>
      <c r="P445" s="35"/>
      <c r="Q445" s="35"/>
    </row>
    <row r="446" spans="1:17" s="97" customFormat="1" ht="13.95" customHeight="1" x14ac:dyDescent="0.25">
      <c r="A446" s="68" t="s">
        <v>55</v>
      </c>
      <c r="B446" s="14"/>
      <c r="C446" s="13">
        <v>0</v>
      </c>
      <c r="D446" s="32" t="s">
        <v>405</v>
      </c>
      <c r="E446" s="32" t="s">
        <v>62</v>
      </c>
      <c r="F446" s="4">
        <v>0</v>
      </c>
      <c r="G446" s="69" t="s">
        <v>406</v>
      </c>
      <c r="H446" s="14"/>
      <c r="I446" s="41" t="s">
        <v>101</v>
      </c>
      <c r="J446" s="22"/>
    </row>
    <row r="447" spans="1:17" s="374" customFormat="1" ht="13.95" customHeight="1" x14ac:dyDescent="0.25">
      <c r="A447" s="365" t="s">
        <v>1148</v>
      </c>
      <c r="B447" s="366"/>
      <c r="C447" s="367">
        <v>0.03</v>
      </c>
      <c r="D447" s="367" t="s">
        <v>289</v>
      </c>
      <c r="E447" s="368" t="s">
        <v>808</v>
      </c>
      <c r="F447" s="369">
        <v>34400</v>
      </c>
      <c r="G447" s="370" t="s">
        <v>8907</v>
      </c>
      <c r="H447" s="371"/>
      <c r="I447" s="369" t="s">
        <v>9335</v>
      </c>
      <c r="J447" s="539"/>
    </row>
    <row r="448" spans="1:17" s="374" customFormat="1" ht="13.95" customHeight="1" x14ac:dyDescent="0.25">
      <c r="A448" s="365" t="s">
        <v>91</v>
      </c>
      <c r="B448" s="366"/>
      <c r="C448" s="367">
        <v>0.05</v>
      </c>
      <c r="D448" s="367" t="s">
        <v>289</v>
      </c>
      <c r="E448" s="368" t="s">
        <v>62</v>
      </c>
      <c r="F448" s="369">
        <v>55451.399999999994</v>
      </c>
      <c r="G448" s="370" t="s">
        <v>2033</v>
      </c>
      <c r="H448" s="371"/>
      <c r="I448" s="369" t="s">
        <v>467</v>
      </c>
      <c r="J448" s="539"/>
    </row>
    <row r="449" spans="1:17" s="374" customFormat="1" x14ac:dyDescent="0.25">
      <c r="A449" s="367" t="s">
        <v>637</v>
      </c>
      <c r="B449" s="545"/>
      <c r="C449" s="367">
        <v>0</v>
      </c>
      <c r="D449" s="367" t="s">
        <v>1789</v>
      </c>
      <c r="E449" s="367" t="s">
        <v>691</v>
      </c>
      <c r="F449" s="369">
        <v>25707.07</v>
      </c>
      <c r="G449" s="540" t="s">
        <v>1791</v>
      </c>
      <c r="H449" s="366"/>
      <c r="I449" s="369" t="s">
        <v>1790</v>
      </c>
      <c r="J449" s="373"/>
      <c r="K449" s="373"/>
      <c r="L449" s="542"/>
      <c r="M449" s="542"/>
      <c r="N449" s="542"/>
      <c r="O449" s="542"/>
      <c r="P449" s="542"/>
    </row>
    <row r="450" spans="1:17" s="374" customFormat="1" ht="13.95" customHeight="1" x14ac:dyDescent="0.25">
      <c r="A450" s="367" t="s">
        <v>311</v>
      </c>
      <c r="B450" s="545"/>
      <c r="C450" s="367">
        <v>0</v>
      </c>
      <c r="D450" s="367" t="s">
        <v>4423</v>
      </c>
      <c r="E450" s="368" t="s">
        <v>958</v>
      </c>
      <c r="F450" s="369">
        <v>0</v>
      </c>
      <c r="G450" s="540" t="s">
        <v>4422</v>
      </c>
      <c r="H450" s="366"/>
      <c r="I450" s="369" t="s">
        <v>4421</v>
      </c>
      <c r="J450" s="541"/>
      <c r="K450" s="373"/>
      <c r="L450" s="373"/>
      <c r="M450" s="542"/>
      <c r="N450" s="542"/>
      <c r="O450" s="542"/>
      <c r="P450" s="542"/>
      <c r="Q450" s="542"/>
    </row>
    <row r="451" spans="1:17" s="374" customFormat="1" ht="13.95" customHeight="1" x14ac:dyDescent="0.25">
      <c r="A451" s="368" t="s">
        <v>91</v>
      </c>
      <c r="B451" s="366"/>
      <c r="C451" s="367">
        <v>0</v>
      </c>
      <c r="D451" s="367" t="s">
        <v>147</v>
      </c>
      <c r="E451" s="368" t="s">
        <v>62</v>
      </c>
      <c r="F451" s="369">
        <v>0</v>
      </c>
      <c r="G451" s="540" t="s">
        <v>603</v>
      </c>
      <c r="H451" s="366"/>
      <c r="I451" s="369" t="s">
        <v>79</v>
      </c>
      <c r="J451" s="539"/>
    </row>
    <row r="452" spans="1:17" s="374" customFormat="1" ht="13.95" customHeight="1" x14ac:dyDescent="0.25">
      <c r="A452" s="367" t="s">
        <v>442</v>
      </c>
      <c r="B452" s="366"/>
      <c r="C452" s="367">
        <v>0</v>
      </c>
      <c r="D452" s="367" t="s">
        <v>147</v>
      </c>
      <c r="E452" s="368" t="s">
        <v>62</v>
      </c>
      <c r="F452" s="369">
        <v>0</v>
      </c>
      <c r="G452" s="540" t="s">
        <v>945</v>
      </c>
      <c r="H452" s="366"/>
      <c r="I452" s="369" t="s">
        <v>946</v>
      </c>
      <c r="J452" s="539"/>
    </row>
    <row r="453" spans="1:17" s="374" customFormat="1" ht="13.95" customHeight="1" x14ac:dyDescent="0.25">
      <c r="A453" s="537" t="s">
        <v>455</v>
      </c>
      <c r="B453" s="366"/>
      <c r="C453" s="367">
        <v>0.9</v>
      </c>
      <c r="D453" s="368" t="s">
        <v>7301</v>
      </c>
      <c r="E453" s="368" t="s">
        <v>958</v>
      </c>
      <c r="F453" s="369">
        <v>858598.69</v>
      </c>
      <c r="G453" s="370" t="s">
        <v>7302</v>
      </c>
      <c r="H453" s="371"/>
      <c r="I453" s="369" t="s">
        <v>4426</v>
      </c>
      <c r="J453" s="539"/>
    </row>
    <row r="454" spans="1:17" s="228" customFormat="1" ht="13.95" customHeight="1" x14ac:dyDescent="0.25">
      <c r="A454" s="32" t="s">
        <v>129</v>
      </c>
      <c r="B454" s="14"/>
      <c r="C454" s="13">
        <v>0</v>
      </c>
      <c r="D454" s="32" t="s">
        <v>288</v>
      </c>
      <c r="E454" s="32" t="s">
        <v>62</v>
      </c>
      <c r="F454" s="4">
        <v>0</v>
      </c>
      <c r="G454" s="69" t="s">
        <v>342</v>
      </c>
      <c r="H454" s="14"/>
      <c r="I454" s="41" t="s">
        <v>79</v>
      </c>
      <c r="J454" s="21"/>
    </row>
    <row r="455" spans="1:17" s="62" customFormat="1" ht="15" customHeight="1" x14ac:dyDescent="0.25">
      <c r="A455" s="61" t="s">
        <v>8</v>
      </c>
      <c r="B455" s="14"/>
      <c r="C455" s="13">
        <v>0.1</v>
      </c>
      <c r="D455" s="13" t="s">
        <v>501</v>
      </c>
      <c r="E455" s="13" t="s">
        <v>60</v>
      </c>
      <c r="F455" s="4">
        <v>96117.68</v>
      </c>
      <c r="G455" s="29" t="s">
        <v>930</v>
      </c>
      <c r="H455" s="14"/>
      <c r="I455" s="4" t="s">
        <v>931</v>
      </c>
      <c r="J455" s="71"/>
    </row>
    <row r="456" spans="1:17" s="228" customFormat="1" ht="13.95" customHeight="1" x14ac:dyDescent="0.25">
      <c r="A456" s="61" t="s">
        <v>209</v>
      </c>
      <c r="B456" s="14"/>
      <c r="C456" s="13">
        <v>0</v>
      </c>
      <c r="D456" s="13" t="s">
        <v>800</v>
      </c>
      <c r="E456" s="13" t="s">
        <v>134</v>
      </c>
      <c r="F456" s="4">
        <v>0</v>
      </c>
      <c r="G456" s="69" t="s">
        <v>801</v>
      </c>
      <c r="H456" s="14">
        <v>42597</v>
      </c>
      <c r="I456" s="4" t="s">
        <v>1723</v>
      </c>
      <c r="J456" s="22"/>
    </row>
    <row r="457" spans="1:17" s="228" customFormat="1" ht="14.85" customHeight="1" x14ac:dyDescent="0.25">
      <c r="A457" s="32" t="s">
        <v>209</v>
      </c>
      <c r="B457" s="14"/>
      <c r="C457" s="13">
        <v>0</v>
      </c>
      <c r="D457" s="32" t="s">
        <v>138</v>
      </c>
      <c r="E457" s="32" t="s">
        <v>134</v>
      </c>
      <c r="F457" s="4">
        <v>0</v>
      </c>
      <c r="G457" s="69" t="s">
        <v>403</v>
      </c>
      <c r="H457" s="14"/>
      <c r="I457" s="41" t="s">
        <v>404</v>
      </c>
      <c r="J457" s="22"/>
      <c r="K457" s="62"/>
    </row>
    <row r="458" spans="1:17" s="228" customFormat="1" ht="6" customHeight="1" x14ac:dyDescent="0.25">
      <c r="A458" s="13">
        <v>0</v>
      </c>
      <c r="B458" s="14"/>
      <c r="C458" s="13"/>
      <c r="D458" s="13"/>
      <c r="E458" s="13"/>
      <c r="F458" s="4"/>
      <c r="G458" s="29"/>
      <c r="H458" s="14"/>
      <c r="I458" s="4"/>
      <c r="J458" s="21"/>
      <c r="K458" s="62"/>
      <c r="L458" s="62"/>
    </row>
    <row r="459" spans="1:17" s="8" customFormat="1" ht="18.75" customHeight="1" x14ac:dyDescent="0.25">
      <c r="A459" s="11" t="s">
        <v>703</v>
      </c>
      <c r="B459" s="66"/>
      <c r="C459" s="213">
        <f>SUM(C460:C469)</f>
        <v>19.490000000000002</v>
      </c>
      <c r="D459" s="9"/>
      <c r="E459" s="9"/>
      <c r="F459" s="390">
        <f>SUM(F460:F469)</f>
        <v>12725000</v>
      </c>
      <c r="G459" s="24"/>
      <c r="H459" s="9"/>
      <c r="I459" s="10"/>
      <c r="J459" s="342"/>
    </row>
    <row r="460" spans="1:17" s="228" customFormat="1" ht="7.35" customHeight="1" x14ac:dyDescent="0.25">
      <c r="A460" s="13">
        <v>0</v>
      </c>
      <c r="B460" s="14"/>
      <c r="C460" s="13"/>
      <c r="D460" s="13"/>
      <c r="E460" s="13"/>
      <c r="F460" s="4"/>
      <c r="G460" s="29"/>
      <c r="H460" s="14"/>
      <c r="I460" s="4"/>
      <c r="J460" s="21"/>
    </row>
    <row r="461" spans="1:17" s="228" customFormat="1" ht="13.95" customHeight="1" x14ac:dyDescent="0.25">
      <c r="A461" s="13" t="s">
        <v>349</v>
      </c>
      <c r="B461" s="14"/>
      <c r="C461" s="13">
        <v>0</v>
      </c>
      <c r="D461" s="13" t="s">
        <v>935</v>
      </c>
      <c r="E461" s="13" t="s">
        <v>62</v>
      </c>
      <c r="F461" s="4">
        <v>0</v>
      </c>
      <c r="G461" s="29" t="s">
        <v>936</v>
      </c>
      <c r="H461" s="14">
        <v>42464</v>
      </c>
      <c r="I461" s="4" t="s">
        <v>937</v>
      </c>
      <c r="J461" s="22"/>
      <c r="K461" s="21"/>
    </row>
    <row r="462" spans="1:17" s="97" customFormat="1" ht="13.95" customHeight="1" x14ac:dyDescent="0.25">
      <c r="A462" s="17" t="s">
        <v>160</v>
      </c>
      <c r="B462" s="14"/>
      <c r="C462" s="13">
        <v>-0.55000000000000004</v>
      </c>
      <c r="D462" s="13" t="s">
        <v>222</v>
      </c>
      <c r="E462" s="13" t="s">
        <v>62</v>
      </c>
      <c r="F462" s="4">
        <v>0</v>
      </c>
      <c r="G462" s="255" t="s">
        <v>1115</v>
      </c>
      <c r="H462" s="211">
        <v>42979</v>
      </c>
      <c r="I462" s="41" t="s">
        <v>216</v>
      </c>
      <c r="J462" s="22"/>
    </row>
    <row r="463" spans="1:17" s="97" customFormat="1" ht="13.95" customHeight="1" x14ac:dyDescent="0.25">
      <c r="A463" s="17" t="s">
        <v>160</v>
      </c>
      <c r="B463" s="14"/>
      <c r="C463" s="13">
        <v>-0.26</v>
      </c>
      <c r="D463" s="13" t="s">
        <v>1049</v>
      </c>
      <c r="E463" s="13" t="s">
        <v>365</v>
      </c>
      <c r="F463" s="4">
        <v>0</v>
      </c>
      <c r="G463" s="28" t="s">
        <v>1070</v>
      </c>
      <c r="H463" s="14">
        <v>42979</v>
      </c>
      <c r="I463" s="41" t="s">
        <v>216</v>
      </c>
      <c r="J463" s="22"/>
    </row>
    <row r="464" spans="1:17" s="228" customFormat="1" ht="13.95" customHeight="1" x14ac:dyDescent="0.25">
      <c r="A464" s="13" t="s">
        <v>160</v>
      </c>
      <c r="B464" s="102" t="s">
        <v>287</v>
      </c>
      <c r="C464" s="13">
        <v>20.3</v>
      </c>
      <c r="D464" s="13" t="s">
        <v>15</v>
      </c>
      <c r="E464" s="13" t="s">
        <v>365</v>
      </c>
      <c r="F464" s="208"/>
      <c r="G464" s="29" t="s">
        <v>193</v>
      </c>
      <c r="H464" s="14"/>
      <c r="I464" s="4" t="s">
        <v>159</v>
      </c>
      <c r="J464" s="71"/>
    </row>
    <row r="465" spans="1:16" s="93" customFormat="1" ht="27.6" customHeight="1" x14ac:dyDescent="0.25">
      <c r="A465" s="13" t="s">
        <v>160</v>
      </c>
      <c r="B465" s="39"/>
      <c r="C465" s="13"/>
      <c r="D465" s="17" t="s">
        <v>386</v>
      </c>
      <c r="E465" s="13" t="s">
        <v>365</v>
      </c>
      <c r="F465" s="4"/>
      <c r="G465" s="38" t="s">
        <v>193</v>
      </c>
      <c r="H465" s="39"/>
      <c r="I465" s="17" t="s">
        <v>397</v>
      </c>
      <c r="J465" s="16"/>
    </row>
    <row r="466" spans="1:16" s="97" customFormat="1" ht="13.95" customHeight="1" x14ac:dyDescent="0.25">
      <c r="A466" s="32" t="s">
        <v>160</v>
      </c>
      <c r="B466" s="14"/>
      <c r="C466" s="13"/>
      <c r="D466" s="13" t="s">
        <v>499</v>
      </c>
      <c r="E466" s="13"/>
      <c r="F466" s="4"/>
      <c r="G466" s="28" t="s">
        <v>193</v>
      </c>
      <c r="H466" s="14"/>
      <c r="I466" s="41" t="s">
        <v>305</v>
      </c>
      <c r="J466" s="22"/>
    </row>
    <row r="467" spans="1:16" s="228" customFormat="1" x14ac:dyDescent="0.25">
      <c r="A467" s="68" t="s">
        <v>160</v>
      </c>
      <c r="B467" s="14"/>
      <c r="C467" s="13"/>
      <c r="D467" s="13" t="s">
        <v>1933</v>
      </c>
      <c r="E467" s="13" t="s">
        <v>691</v>
      </c>
      <c r="F467" s="4">
        <v>245000</v>
      </c>
      <c r="G467" s="29"/>
      <c r="H467" s="14"/>
      <c r="I467" s="4"/>
      <c r="J467" s="62"/>
      <c r="K467" s="62"/>
      <c r="L467" s="35"/>
      <c r="M467" s="35"/>
      <c r="N467" s="35"/>
      <c r="O467" s="35"/>
      <c r="P467" s="35"/>
    </row>
    <row r="468" spans="1:16" s="228" customFormat="1" x14ac:dyDescent="0.25">
      <c r="A468" s="68" t="s">
        <v>160</v>
      </c>
      <c r="B468" s="14"/>
      <c r="C468" s="13"/>
      <c r="D468" s="13" t="s">
        <v>6950</v>
      </c>
      <c r="E468" s="13" t="s">
        <v>691</v>
      </c>
      <c r="F468" s="4">
        <v>12480000</v>
      </c>
      <c r="G468" s="29"/>
      <c r="H468" s="14"/>
      <c r="I468" s="4"/>
      <c r="J468" s="62"/>
      <c r="K468" s="62"/>
      <c r="L468" s="35"/>
      <c r="M468" s="35"/>
      <c r="N468" s="35"/>
      <c r="O468" s="35"/>
      <c r="P468" s="35"/>
    </row>
    <row r="469" spans="1:16" s="228" customFormat="1" ht="6" customHeight="1" x14ac:dyDescent="0.25">
      <c r="A469" s="32">
        <v>0</v>
      </c>
      <c r="B469" s="102"/>
      <c r="C469" s="13"/>
      <c r="D469" s="32"/>
      <c r="E469" s="32"/>
      <c r="F469" s="4"/>
      <c r="G469" s="28"/>
      <c r="H469" s="14"/>
      <c r="I469" s="32"/>
      <c r="J469" s="21"/>
      <c r="K469" s="62"/>
      <c r="L469" s="62"/>
    </row>
    <row r="470" spans="1:16" s="8" customFormat="1" ht="18.75" customHeight="1" x14ac:dyDescent="0.25">
      <c r="A470" s="11" t="s">
        <v>137</v>
      </c>
      <c r="B470" s="66"/>
      <c r="C470" s="213">
        <f>SUM(C471:C478)</f>
        <v>0</v>
      </c>
      <c r="D470" s="9"/>
      <c r="E470" s="9"/>
      <c r="F470" s="390">
        <f>SUM(F471:F478)</f>
        <v>0</v>
      </c>
      <c r="G470" s="24"/>
      <c r="H470" s="9"/>
      <c r="I470" s="10"/>
      <c r="J470" s="342"/>
      <c r="K470" s="23"/>
      <c r="L470" s="23"/>
    </row>
    <row r="471" spans="1:16" s="228" customFormat="1" ht="7.35" customHeight="1" x14ac:dyDescent="0.25">
      <c r="A471" s="13">
        <v>0</v>
      </c>
      <c r="B471" s="83"/>
      <c r="C471" s="13"/>
      <c r="D471" s="13"/>
      <c r="E471" s="13"/>
      <c r="F471" s="4"/>
      <c r="G471" s="29"/>
      <c r="H471" s="14"/>
      <c r="I471" s="4"/>
      <c r="J471" s="21"/>
      <c r="K471" s="62"/>
      <c r="L471" s="62"/>
    </row>
    <row r="472" spans="1:16" s="93" customFormat="1" ht="13.95" customHeight="1" x14ac:dyDescent="0.25">
      <c r="A472" s="61" t="s">
        <v>160</v>
      </c>
      <c r="B472" s="39"/>
      <c r="C472" s="40"/>
      <c r="D472" s="13" t="s">
        <v>364</v>
      </c>
      <c r="E472" s="17" t="s">
        <v>365</v>
      </c>
      <c r="F472" s="4"/>
      <c r="G472" s="38" t="s">
        <v>623</v>
      </c>
      <c r="H472" s="39"/>
      <c r="I472" s="17" t="s">
        <v>264</v>
      </c>
      <c r="J472" s="16"/>
    </row>
    <row r="473" spans="1:16" s="97" customFormat="1" ht="13.95" customHeight="1" x14ac:dyDescent="0.25">
      <c r="A473" s="17" t="s">
        <v>160</v>
      </c>
      <c r="B473" s="14"/>
      <c r="C473" s="13"/>
      <c r="D473" s="17" t="s">
        <v>243</v>
      </c>
      <c r="E473" s="17" t="s">
        <v>365</v>
      </c>
      <c r="F473" s="4"/>
      <c r="G473" s="29" t="s">
        <v>623</v>
      </c>
      <c r="H473" s="14"/>
      <c r="I473" s="17" t="s">
        <v>264</v>
      </c>
      <c r="J473" s="22"/>
    </row>
    <row r="474" spans="1:16" s="97" customFormat="1" ht="13.95" customHeight="1" x14ac:dyDescent="0.25">
      <c r="A474" s="13" t="s">
        <v>160</v>
      </c>
      <c r="B474" s="39"/>
      <c r="C474" s="40"/>
      <c r="D474" s="17" t="s">
        <v>249</v>
      </c>
      <c r="E474" s="17" t="s">
        <v>365</v>
      </c>
      <c r="F474" s="4"/>
      <c r="G474" s="38" t="s">
        <v>526</v>
      </c>
      <c r="H474" s="39"/>
      <c r="I474" s="17" t="s">
        <v>264</v>
      </c>
      <c r="J474" s="22"/>
    </row>
    <row r="475" spans="1:16" s="97" customFormat="1" ht="13.95" customHeight="1" x14ac:dyDescent="0.25">
      <c r="A475" s="13" t="s">
        <v>160</v>
      </c>
      <c r="B475" s="39"/>
      <c r="C475" s="40"/>
      <c r="D475" s="13" t="s">
        <v>783</v>
      </c>
      <c r="E475" s="17" t="s">
        <v>365</v>
      </c>
      <c r="F475" s="4"/>
      <c r="G475" s="38" t="s">
        <v>623</v>
      </c>
      <c r="H475" s="39"/>
      <c r="I475" s="17" t="s">
        <v>264</v>
      </c>
      <c r="J475" s="22"/>
    </row>
    <row r="476" spans="1:16" s="93" customFormat="1" ht="13.95" customHeight="1" x14ac:dyDescent="0.25">
      <c r="A476" s="61" t="s">
        <v>160</v>
      </c>
      <c r="B476" s="39"/>
      <c r="C476" s="40"/>
      <c r="D476" s="13" t="s">
        <v>257</v>
      </c>
      <c r="E476" s="17" t="s">
        <v>365</v>
      </c>
      <c r="F476" s="4"/>
      <c r="G476" s="38" t="s">
        <v>400</v>
      </c>
      <c r="H476" s="39"/>
      <c r="I476" s="17" t="s">
        <v>264</v>
      </c>
      <c r="J476" s="16"/>
    </row>
    <row r="477" spans="1:16" s="93" customFormat="1" ht="13.95" customHeight="1" x14ac:dyDescent="0.25">
      <c r="A477" s="204" t="s">
        <v>160</v>
      </c>
      <c r="B477" s="14"/>
      <c r="C477" s="13"/>
      <c r="D477" s="13" t="s">
        <v>577</v>
      </c>
      <c r="E477" s="17" t="s">
        <v>365</v>
      </c>
      <c r="F477" s="4"/>
      <c r="G477" s="29"/>
      <c r="H477" s="14"/>
      <c r="I477" s="17" t="s">
        <v>264</v>
      </c>
      <c r="J477" s="16"/>
    </row>
    <row r="478" spans="1:16" s="228" customFormat="1" ht="8.1" customHeight="1" x14ac:dyDescent="0.25">
      <c r="A478" s="32">
        <v>0</v>
      </c>
      <c r="B478" s="14"/>
      <c r="C478" s="13"/>
      <c r="D478" s="32"/>
      <c r="E478" s="32"/>
      <c r="F478" s="4"/>
      <c r="G478" s="28"/>
      <c r="H478" s="14"/>
      <c r="I478" s="32"/>
      <c r="J478" s="21"/>
      <c r="K478" s="62"/>
      <c r="L478" s="62"/>
    </row>
    <row r="479" spans="1:16" s="8" customFormat="1" ht="18.75" customHeight="1" x14ac:dyDescent="0.25">
      <c r="A479" s="11" t="s">
        <v>180</v>
      </c>
      <c r="B479" s="66"/>
      <c r="C479" s="213">
        <f>SUM(C480:C496)</f>
        <v>8.4</v>
      </c>
      <c r="D479" s="9"/>
      <c r="E479" s="9"/>
      <c r="F479" s="390">
        <f>SUM(F480:F496)</f>
        <v>7278666</v>
      </c>
      <c r="G479" s="85"/>
      <c r="H479" s="9"/>
      <c r="I479" s="10"/>
      <c r="J479" s="342"/>
      <c r="K479" s="23"/>
      <c r="L479" s="23"/>
    </row>
    <row r="480" spans="1:16" s="228" customFormat="1" ht="9.75" customHeight="1" x14ac:dyDescent="0.25">
      <c r="A480" s="13">
        <v>0</v>
      </c>
      <c r="B480" s="83"/>
      <c r="C480" s="13"/>
      <c r="D480" s="13"/>
      <c r="E480" s="13"/>
      <c r="F480" s="4"/>
      <c r="G480" s="29"/>
      <c r="H480" s="14"/>
      <c r="I480" s="4"/>
      <c r="J480" s="21"/>
      <c r="K480" s="62"/>
      <c r="L480" s="62"/>
    </row>
    <row r="481" spans="1:19" s="228" customFormat="1" ht="13.8" customHeight="1" x14ac:dyDescent="0.25">
      <c r="A481" s="32" t="s">
        <v>442</v>
      </c>
      <c r="B481" s="14"/>
      <c r="C481" s="13"/>
      <c r="D481" s="32" t="s">
        <v>1814</v>
      </c>
      <c r="E481" s="32" t="s">
        <v>62</v>
      </c>
      <c r="F481" s="4">
        <v>34020</v>
      </c>
      <c r="G481" s="29" t="s">
        <v>7</v>
      </c>
      <c r="H481" s="14">
        <v>43629</v>
      </c>
      <c r="I481" s="4" t="s">
        <v>9471</v>
      </c>
      <c r="J481" s="21"/>
    </row>
    <row r="482" spans="1:19" s="228" customFormat="1" ht="13.8" customHeight="1" x14ac:dyDescent="0.25">
      <c r="A482" s="32" t="s">
        <v>455</v>
      </c>
      <c r="B482" s="14"/>
      <c r="C482" s="13"/>
      <c r="D482" s="32" t="s">
        <v>1814</v>
      </c>
      <c r="E482" s="32" t="s">
        <v>958</v>
      </c>
      <c r="F482" s="4">
        <v>24000</v>
      </c>
      <c r="G482" s="29" t="s">
        <v>27</v>
      </c>
      <c r="H482" s="14">
        <v>43629</v>
      </c>
      <c r="I482" s="4" t="s">
        <v>9442</v>
      </c>
      <c r="J482" s="21"/>
    </row>
    <row r="483" spans="1:19" s="228" customFormat="1" ht="13.8" customHeight="1" x14ac:dyDescent="0.25">
      <c r="A483" s="32" t="s">
        <v>1147</v>
      </c>
      <c r="B483" s="14"/>
      <c r="C483" s="13"/>
      <c r="D483" s="32" t="s">
        <v>1814</v>
      </c>
      <c r="E483" s="32" t="s">
        <v>808</v>
      </c>
      <c r="F483" s="4">
        <v>72000</v>
      </c>
      <c r="G483" s="29" t="s">
        <v>145</v>
      </c>
      <c r="H483" s="14">
        <v>43629</v>
      </c>
      <c r="I483" s="4" t="s">
        <v>9345</v>
      </c>
      <c r="J483" s="21"/>
    </row>
    <row r="484" spans="1:19" s="228" customFormat="1" ht="13.8" customHeight="1" x14ac:dyDescent="0.25">
      <c r="A484" s="32" t="s">
        <v>1149</v>
      </c>
      <c r="B484" s="14"/>
      <c r="C484" s="13"/>
      <c r="D484" s="32" t="s">
        <v>181</v>
      </c>
      <c r="E484" s="32" t="s">
        <v>808</v>
      </c>
      <c r="F484" s="4">
        <v>88440</v>
      </c>
      <c r="G484" s="29" t="s">
        <v>8909</v>
      </c>
      <c r="H484" s="14">
        <v>43633</v>
      </c>
      <c r="I484" s="4" t="s">
        <v>102</v>
      </c>
      <c r="J484" s="21"/>
    </row>
    <row r="485" spans="1:19" s="228" customFormat="1" ht="13.8" customHeight="1" x14ac:dyDescent="0.25">
      <c r="A485" s="32" t="s">
        <v>442</v>
      </c>
      <c r="B485" s="14"/>
      <c r="C485" s="13"/>
      <c r="D485" s="32" t="s">
        <v>181</v>
      </c>
      <c r="E485" s="32" t="s">
        <v>62</v>
      </c>
      <c r="F485" s="4">
        <v>161040</v>
      </c>
      <c r="G485" s="29" t="s">
        <v>9219</v>
      </c>
      <c r="H485" s="14">
        <v>43634</v>
      </c>
      <c r="I485" s="4" t="s">
        <v>102</v>
      </c>
      <c r="J485" s="21"/>
    </row>
    <row r="486" spans="1:19" s="228" customFormat="1" ht="13.8" customHeight="1" x14ac:dyDescent="0.25">
      <c r="A486" s="32" t="s">
        <v>1316</v>
      </c>
      <c r="B486" s="14"/>
      <c r="C486" s="13"/>
      <c r="D486" s="32" t="s">
        <v>1891</v>
      </c>
      <c r="E486" s="32" t="s">
        <v>808</v>
      </c>
      <c r="F486" s="4">
        <v>52620</v>
      </c>
      <c r="G486" s="29" t="s">
        <v>3362</v>
      </c>
      <c r="H486" s="14">
        <v>43612</v>
      </c>
      <c r="I486" s="4" t="s">
        <v>8532</v>
      </c>
      <c r="J486" s="21"/>
    </row>
    <row r="487" spans="1:19" s="228" customFormat="1" ht="27.6" x14ac:dyDescent="0.25">
      <c r="A487" s="32" t="s">
        <v>8192</v>
      </c>
      <c r="B487" s="14" t="s">
        <v>8238</v>
      </c>
      <c r="C487" s="67"/>
      <c r="D487" s="32" t="s">
        <v>3551</v>
      </c>
      <c r="E487" s="13" t="s">
        <v>62</v>
      </c>
      <c r="F487" s="4">
        <f>2097130</f>
        <v>2097130</v>
      </c>
      <c r="G487" s="67" t="s">
        <v>8193</v>
      </c>
      <c r="H487" s="14">
        <v>43607</v>
      </c>
      <c r="I487" s="4" t="s">
        <v>8194</v>
      </c>
      <c r="J487" s="21"/>
    </row>
    <row r="488" spans="1:19" s="228" customFormat="1" ht="27.6" x14ac:dyDescent="0.25">
      <c r="A488" s="32" t="s">
        <v>455</v>
      </c>
      <c r="B488" s="14" t="s">
        <v>7222</v>
      </c>
      <c r="C488" s="67"/>
      <c r="D488" s="32" t="s">
        <v>4653</v>
      </c>
      <c r="E488" s="13" t="s">
        <v>958</v>
      </c>
      <c r="F488" s="4">
        <f>4014360-1605744</f>
        <v>2408616</v>
      </c>
      <c r="G488" s="67">
        <v>314</v>
      </c>
      <c r="H488" s="14">
        <v>43580</v>
      </c>
      <c r="I488" s="4" t="s">
        <v>7223</v>
      </c>
      <c r="J488" s="21"/>
    </row>
    <row r="489" spans="1:19" s="228" customFormat="1" ht="27.6" x14ac:dyDescent="0.25">
      <c r="A489" s="32" t="s">
        <v>659</v>
      </c>
      <c r="B489" s="14" t="s">
        <v>9232</v>
      </c>
      <c r="C489" s="67"/>
      <c r="D489" s="32" t="s">
        <v>4653</v>
      </c>
      <c r="E489" s="13" t="s">
        <v>808</v>
      </c>
      <c r="F489" s="4">
        <v>170800</v>
      </c>
      <c r="G489" s="67">
        <v>431</v>
      </c>
      <c r="H489" s="14">
        <v>43629</v>
      </c>
      <c r="I489" s="4" t="s">
        <v>9233</v>
      </c>
      <c r="J489" s="21"/>
    </row>
    <row r="490" spans="1:19" s="317" customFormat="1" ht="15" customHeight="1" x14ac:dyDescent="0.25">
      <c r="A490" s="312" t="s">
        <v>455</v>
      </c>
      <c r="B490" s="301" t="s">
        <v>774</v>
      </c>
      <c r="C490" s="313" t="s">
        <v>5460</v>
      </c>
      <c r="D490" s="312" t="s">
        <v>1555</v>
      </c>
      <c r="E490" s="314" t="s">
        <v>958</v>
      </c>
      <c r="F490" s="316"/>
      <c r="G490" s="315" t="s">
        <v>8947</v>
      </c>
      <c r="H490" s="301">
        <v>43616</v>
      </c>
      <c r="I490" s="316" t="s">
        <v>118</v>
      </c>
      <c r="J490" s="320" t="s">
        <v>526</v>
      </c>
      <c r="O490" s="318"/>
      <c r="P490" s="318"/>
      <c r="Q490" s="318"/>
      <c r="R490" s="318"/>
      <c r="S490" s="318"/>
    </row>
    <row r="491" spans="1:19" s="317" customFormat="1" ht="15" customHeight="1" x14ac:dyDescent="0.25">
      <c r="A491" s="312" t="s">
        <v>358</v>
      </c>
      <c r="B491" s="301" t="s">
        <v>774</v>
      </c>
      <c r="C491" s="313" t="s">
        <v>5461</v>
      </c>
      <c r="D491" s="312" t="s">
        <v>1555</v>
      </c>
      <c r="E491" s="314" t="s">
        <v>62</v>
      </c>
      <c r="F491" s="316"/>
      <c r="G491" s="315" t="s">
        <v>8671</v>
      </c>
      <c r="H491" s="301">
        <v>43616</v>
      </c>
      <c r="I491" s="316" t="s">
        <v>118</v>
      </c>
      <c r="J491" s="320" t="s">
        <v>526</v>
      </c>
      <c r="O491" s="318"/>
      <c r="P491" s="318"/>
      <c r="Q491" s="318"/>
      <c r="R491" s="318"/>
      <c r="S491" s="318"/>
    </row>
    <row r="492" spans="1:19" s="317" customFormat="1" ht="15" customHeight="1" x14ac:dyDescent="0.25">
      <c r="A492" s="312" t="s">
        <v>1316</v>
      </c>
      <c r="B492" s="301" t="s">
        <v>774</v>
      </c>
      <c r="C492" s="313" t="s">
        <v>5462</v>
      </c>
      <c r="D492" s="312" t="s">
        <v>1555</v>
      </c>
      <c r="E492" s="314" t="s">
        <v>808</v>
      </c>
      <c r="F492" s="316"/>
      <c r="G492" s="315" t="s">
        <v>8672</v>
      </c>
      <c r="H492" s="301">
        <v>43616</v>
      </c>
      <c r="I492" s="316" t="s">
        <v>118</v>
      </c>
      <c r="J492" s="320" t="s">
        <v>526</v>
      </c>
      <c r="O492" s="318"/>
      <c r="P492" s="318"/>
      <c r="Q492" s="318"/>
      <c r="R492" s="318"/>
      <c r="S492" s="318"/>
    </row>
    <row r="493" spans="1:19" s="321" customFormat="1" ht="27.6" x14ac:dyDescent="0.25">
      <c r="A493" s="451" t="s">
        <v>659</v>
      </c>
      <c r="B493" s="301" t="s">
        <v>774</v>
      </c>
      <c r="C493" s="452">
        <v>8.4</v>
      </c>
      <c r="D493" s="314" t="s">
        <v>1555</v>
      </c>
      <c r="E493" s="314" t="s">
        <v>691</v>
      </c>
      <c r="F493" s="316"/>
      <c r="G493" s="315" t="s">
        <v>8189</v>
      </c>
      <c r="H493" s="301">
        <v>43585</v>
      </c>
      <c r="I493" s="316" t="s">
        <v>118</v>
      </c>
      <c r="J493" s="453" t="s">
        <v>1386</v>
      </c>
      <c r="K493" s="321" t="s">
        <v>6566</v>
      </c>
    </row>
    <row r="494" spans="1:19" s="228" customFormat="1" x14ac:dyDescent="0.25">
      <c r="A494" s="68" t="s">
        <v>160</v>
      </c>
      <c r="B494" s="14"/>
      <c r="C494" s="13"/>
      <c r="D494" s="13" t="s">
        <v>830</v>
      </c>
      <c r="E494" s="13" t="s">
        <v>691</v>
      </c>
      <c r="F494" s="4">
        <v>2170000</v>
      </c>
      <c r="G494" s="29"/>
      <c r="H494" s="14"/>
      <c r="I494" s="4"/>
      <c r="J494" s="62"/>
      <c r="K494" s="62"/>
      <c r="L494" s="35"/>
      <c r="M494" s="35"/>
      <c r="N494" s="35"/>
      <c r="O494" s="35"/>
      <c r="P494" s="35"/>
    </row>
    <row r="495" spans="1:19" s="228" customFormat="1" x14ac:dyDescent="0.25">
      <c r="A495" s="13" t="s">
        <v>1350</v>
      </c>
      <c r="B495" s="242"/>
      <c r="C495" s="13"/>
      <c r="D495" s="32" t="s">
        <v>3662</v>
      </c>
      <c r="E495" s="13" t="s">
        <v>691</v>
      </c>
      <c r="F495" s="4"/>
      <c r="G495" s="29" t="s">
        <v>9259</v>
      </c>
      <c r="H495" s="14">
        <v>43635</v>
      </c>
      <c r="I495" s="4" t="s">
        <v>3664</v>
      </c>
      <c r="J495" s="62"/>
      <c r="K495" s="62"/>
      <c r="L495" s="35"/>
      <c r="M495" s="35"/>
      <c r="N495" s="35"/>
      <c r="O495" s="35"/>
      <c r="P495" s="35"/>
    </row>
    <row r="496" spans="1:19" s="228" customFormat="1" ht="9.75" customHeight="1" x14ac:dyDescent="0.25">
      <c r="A496" s="32">
        <v>0</v>
      </c>
      <c r="B496" s="14"/>
      <c r="C496" s="67"/>
      <c r="D496" s="32"/>
      <c r="E496" s="32"/>
      <c r="F496" s="4"/>
      <c r="G496" s="28"/>
      <c r="H496" s="14"/>
      <c r="I496" s="32"/>
      <c r="J496" s="21"/>
      <c r="K496" s="62"/>
      <c r="L496" s="62"/>
    </row>
    <row r="497" spans="1:16" s="8" customFormat="1" ht="18.75" customHeight="1" x14ac:dyDescent="0.25">
      <c r="A497" s="11" t="s">
        <v>274</v>
      </c>
      <c r="B497" s="66"/>
      <c r="C497" s="213">
        <f>SUM(C498:C507)</f>
        <v>1.8</v>
      </c>
      <c r="D497" s="9"/>
      <c r="E497" s="9"/>
      <c r="F497" s="390">
        <f>SUM(F498:F507)</f>
        <v>4319468.41</v>
      </c>
      <c r="G497" s="85"/>
      <c r="H497" s="9"/>
      <c r="I497" s="10"/>
      <c r="J497" s="342"/>
      <c r="K497" s="23"/>
      <c r="L497" s="23"/>
    </row>
    <row r="498" spans="1:16" s="429" customFormat="1" ht="6" customHeight="1" x14ac:dyDescent="0.25">
      <c r="A498" s="32">
        <v>0</v>
      </c>
      <c r="B498" s="432"/>
      <c r="C498" s="432"/>
      <c r="D498" s="432"/>
      <c r="E498" s="432"/>
      <c r="F498" s="512"/>
      <c r="G498" s="432"/>
      <c r="H498" s="432"/>
      <c r="I498" s="432"/>
      <c r="J498" s="431"/>
      <c r="K498" s="430"/>
      <c r="L498" s="430"/>
    </row>
    <row r="499" spans="1:16" s="228" customFormat="1" x14ac:dyDescent="0.25">
      <c r="A499" s="61" t="s">
        <v>659</v>
      </c>
      <c r="B499" s="14"/>
      <c r="C499" s="13"/>
      <c r="D499" s="13" t="s">
        <v>8787</v>
      </c>
      <c r="E499" s="13" t="s">
        <v>808</v>
      </c>
      <c r="F499" s="37"/>
      <c r="G499" s="28" t="s">
        <v>8788</v>
      </c>
      <c r="H499" s="14">
        <v>43528</v>
      </c>
      <c r="I499" s="4" t="s">
        <v>8789</v>
      </c>
      <c r="J499" s="22"/>
      <c r="K499" s="21"/>
    </row>
    <row r="500" spans="1:16" s="82" customFormat="1" ht="13.95" customHeight="1" x14ac:dyDescent="0.25">
      <c r="A500" s="13" t="s">
        <v>160</v>
      </c>
      <c r="B500" s="14"/>
      <c r="C500" s="13"/>
      <c r="D500" s="13" t="s">
        <v>624</v>
      </c>
      <c r="E500" s="17" t="s">
        <v>365</v>
      </c>
      <c r="F500" s="4"/>
      <c r="G500" s="29"/>
      <c r="H500" s="14"/>
      <c r="I500" s="13" t="s">
        <v>69</v>
      </c>
      <c r="J500" s="22"/>
      <c r="K500" s="228"/>
      <c r="L500" s="228"/>
    </row>
    <row r="501" spans="1:16" s="228" customFormat="1" x14ac:dyDescent="0.25">
      <c r="A501" s="13" t="s">
        <v>2320</v>
      </c>
      <c r="B501" s="14"/>
      <c r="C501" s="13">
        <v>1.7</v>
      </c>
      <c r="D501" s="13" t="s">
        <v>1935</v>
      </c>
      <c r="E501" s="13" t="s">
        <v>808</v>
      </c>
      <c r="F501" s="4">
        <f>1683000</f>
        <v>1683000</v>
      </c>
      <c r="G501" s="69" t="s">
        <v>2321</v>
      </c>
      <c r="H501" s="14"/>
      <c r="I501" s="4" t="s">
        <v>2318</v>
      </c>
      <c r="J501" s="169"/>
      <c r="K501" s="21"/>
    </row>
    <row r="502" spans="1:16" s="82" customFormat="1" ht="14.25" customHeight="1" x14ac:dyDescent="0.25">
      <c r="A502" s="13" t="s">
        <v>160</v>
      </c>
      <c r="B502" s="14"/>
      <c r="C502" s="13"/>
      <c r="D502" s="13" t="s">
        <v>127</v>
      </c>
      <c r="E502" s="17" t="s">
        <v>365</v>
      </c>
      <c r="F502" s="4"/>
      <c r="G502" s="29"/>
      <c r="H502" s="14"/>
      <c r="I502" s="13" t="s">
        <v>336</v>
      </c>
      <c r="J502" s="22"/>
      <c r="K502" s="228"/>
      <c r="L502" s="228"/>
    </row>
    <row r="503" spans="1:16" s="228" customFormat="1" x14ac:dyDescent="0.25">
      <c r="A503" s="68" t="s">
        <v>637</v>
      </c>
      <c r="B503" s="242"/>
      <c r="C503" s="13">
        <v>0.1</v>
      </c>
      <c r="D503" s="32" t="s">
        <v>837</v>
      </c>
      <c r="E503" s="32" t="s">
        <v>691</v>
      </c>
      <c r="F503" s="4">
        <v>72138.41</v>
      </c>
      <c r="G503" s="210" t="s">
        <v>207</v>
      </c>
      <c r="H503" s="211"/>
      <c r="I503" s="208" t="s">
        <v>838</v>
      </c>
    </row>
    <row r="504" spans="1:16" s="228" customFormat="1" x14ac:dyDescent="0.25">
      <c r="A504" s="68" t="s">
        <v>160</v>
      </c>
      <c r="B504" s="14"/>
      <c r="C504" s="13"/>
      <c r="D504" s="13" t="s">
        <v>831</v>
      </c>
      <c r="E504" s="13" t="s">
        <v>691</v>
      </c>
      <c r="F504" s="4">
        <v>2145000</v>
      </c>
      <c r="G504" s="29"/>
      <c r="H504" s="14"/>
      <c r="I504" s="261"/>
      <c r="J504" s="62"/>
      <c r="K504" s="62"/>
      <c r="L504" s="35"/>
      <c r="M504" s="35"/>
      <c r="N504" s="35"/>
      <c r="O504" s="35"/>
      <c r="P504" s="35"/>
    </row>
    <row r="505" spans="1:16" s="228" customFormat="1" x14ac:dyDescent="0.25">
      <c r="A505" s="68" t="s">
        <v>160</v>
      </c>
      <c r="B505" s="14"/>
      <c r="C505" s="13"/>
      <c r="D505" s="13" t="s">
        <v>182</v>
      </c>
      <c r="E505" s="13" t="s">
        <v>691</v>
      </c>
      <c r="F505" s="4">
        <v>126630</v>
      </c>
      <c r="G505" s="29"/>
      <c r="H505" s="14"/>
      <c r="I505" s="261"/>
      <c r="J505" s="62"/>
      <c r="K505" s="62"/>
      <c r="L505" s="35"/>
      <c r="M505" s="35"/>
      <c r="N505" s="35"/>
      <c r="O505" s="35"/>
      <c r="P505" s="35"/>
    </row>
    <row r="506" spans="1:16" s="228" customFormat="1" x14ac:dyDescent="0.25">
      <c r="A506" s="68" t="s">
        <v>160</v>
      </c>
      <c r="B506" s="14"/>
      <c r="C506" s="13"/>
      <c r="D506" s="13" t="s">
        <v>832</v>
      </c>
      <c r="E506" s="13" t="s">
        <v>691</v>
      </c>
      <c r="F506" s="4">
        <v>292700</v>
      </c>
      <c r="G506" s="29"/>
      <c r="H506" s="14"/>
      <c r="I506" s="4"/>
      <c r="J506" s="62"/>
      <c r="K506" s="62"/>
      <c r="L506" s="35"/>
      <c r="M506" s="35"/>
      <c r="N506" s="35"/>
      <c r="O506" s="35"/>
      <c r="P506" s="35"/>
    </row>
    <row r="507" spans="1:16" s="228" customFormat="1" ht="8.1" customHeight="1" x14ac:dyDescent="0.25">
      <c r="A507" s="32">
        <v>0</v>
      </c>
      <c r="B507" s="14"/>
      <c r="C507" s="13"/>
      <c r="D507" s="32"/>
      <c r="E507" s="32"/>
      <c r="F507" s="4"/>
      <c r="G507" s="28"/>
      <c r="H507" s="14"/>
      <c r="I507" s="32"/>
      <c r="J507" s="21"/>
      <c r="K507" s="62"/>
      <c r="L507" s="62"/>
    </row>
    <row r="508" spans="1:16" s="8" customFormat="1" ht="18.75" customHeight="1" x14ac:dyDescent="0.25">
      <c r="A508" s="11" t="s">
        <v>702</v>
      </c>
      <c r="B508" s="66"/>
      <c r="C508" s="213">
        <f>SUM(C532:C532)</f>
        <v>0</v>
      </c>
      <c r="D508" s="24"/>
      <c r="E508" s="65"/>
      <c r="F508" s="390">
        <f>SUM(F509:F562)</f>
        <v>7896131.46</v>
      </c>
      <c r="G508" s="24"/>
      <c r="H508" s="9"/>
      <c r="I508" s="10"/>
      <c r="J508" s="342"/>
      <c r="K508" s="23"/>
      <c r="L508" s="23"/>
    </row>
    <row r="509" spans="1:16" s="228" customFormat="1" ht="8.25" customHeight="1" x14ac:dyDescent="0.25">
      <c r="A509" s="32">
        <v>0</v>
      </c>
      <c r="B509" s="14"/>
      <c r="C509" s="67"/>
      <c r="D509" s="32"/>
      <c r="E509" s="32"/>
      <c r="F509" s="4"/>
      <c r="G509" s="28"/>
      <c r="H509" s="14"/>
      <c r="I509" s="32"/>
      <c r="J509" s="21"/>
      <c r="K509" s="62"/>
      <c r="L509" s="62"/>
    </row>
    <row r="510" spans="1:16" s="228" customFormat="1" x14ac:dyDescent="0.25">
      <c r="A510" s="13" t="s">
        <v>151</v>
      </c>
      <c r="B510" s="14" t="s">
        <v>6947</v>
      </c>
      <c r="C510" s="13"/>
      <c r="D510" s="13" t="s">
        <v>6944</v>
      </c>
      <c r="E510" s="32" t="s">
        <v>1121</v>
      </c>
      <c r="F510" s="4">
        <v>88500</v>
      </c>
      <c r="G510" s="29" t="s">
        <v>2910</v>
      </c>
      <c r="H510" s="14">
        <v>43556</v>
      </c>
      <c r="I510" s="4" t="s">
        <v>6945</v>
      </c>
      <c r="J510" s="21" t="s">
        <v>6948</v>
      </c>
      <c r="K510" s="21"/>
      <c r="L510" s="21"/>
      <c r="M510" s="21"/>
    </row>
    <row r="511" spans="1:16" s="129" customFormat="1" ht="41.4" x14ac:dyDescent="0.25">
      <c r="A511" s="13" t="s">
        <v>151</v>
      </c>
      <c r="B511" s="14"/>
      <c r="C511" s="28"/>
      <c r="D511" s="13" t="s">
        <v>711</v>
      </c>
      <c r="E511" s="32" t="s">
        <v>1121</v>
      </c>
      <c r="F511" s="4">
        <f>1300+4500+1100+2000+850+1100+1250</f>
        <v>12100</v>
      </c>
      <c r="G511" s="552" t="s">
        <v>9450</v>
      </c>
      <c r="H511" s="28" t="s">
        <v>9441</v>
      </c>
      <c r="I511" s="4" t="s">
        <v>712</v>
      </c>
      <c r="J511" s="170"/>
      <c r="K511" s="136"/>
    </row>
    <row r="512" spans="1:16" s="129" customFormat="1" x14ac:dyDescent="0.25">
      <c r="A512" s="328" t="s">
        <v>151</v>
      </c>
      <c r="B512" s="102"/>
      <c r="C512" s="355"/>
      <c r="D512" s="328" t="s">
        <v>401</v>
      </c>
      <c r="E512" s="340" t="s">
        <v>958</v>
      </c>
      <c r="F512" s="327">
        <f>-23400+4320</f>
        <v>-19080</v>
      </c>
      <c r="G512" s="355" t="s">
        <v>7625</v>
      </c>
      <c r="H512" s="102"/>
      <c r="I512" s="327" t="s">
        <v>7626</v>
      </c>
      <c r="J512" s="144"/>
      <c r="K512" s="474"/>
    </row>
    <row r="513" spans="1:19" s="115" customFormat="1" ht="15.6" x14ac:dyDescent="0.25">
      <c r="A513" s="13" t="s">
        <v>1148</v>
      </c>
      <c r="B513" s="14"/>
      <c r="C513" s="13"/>
      <c r="D513" s="13" t="s">
        <v>873</v>
      </c>
      <c r="E513" s="13" t="s">
        <v>136</v>
      </c>
      <c r="F513" s="4">
        <v>1207541.9099999999</v>
      </c>
      <c r="G513" s="13" t="s">
        <v>874</v>
      </c>
      <c r="H513" s="126">
        <v>43593</v>
      </c>
      <c r="I513" s="29" t="s">
        <v>875</v>
      </c>
      <c r="K513" s="116"/>
      <c r="L513" s="116"/>
      <c r="M513" s="116"/>
      <c r="N513" s="116"/>
      <c r="O513" s="117"/>
      <c r="P513" s="117"/>
      <c r="Q513" s="117"/>
      <c r="R513" s="117"/>
      <c r="S513" s="117"/>
    </row>
    <row r="514" spans="1:19" s="115" customFormat="1" ht="27.6" x14ac:dyDescent="0.25">
      <c r="A514" s="13" t="s">
        <v>1147</v>
      </c>
      <c r="B514" s="14"/>
      <c r="C514" s="13"/>
      <c r="D514" s="13" t="s">
        <v>873</v>
      </c>
      <c r="E514" s="13" t="s">
        <v>136</v>
      </c>
      <c r="F514" s="4">
        <v>325691.2</v>
      </c>
      <c r="G514" s="13" t="s">
        <v>8530</v>
      </c>
      <c r="H514" s="126">
        <v>43593</v>
      </c>
      <c r="I514" s="29" t="s">
        <v>875</v>
      </c>
      <c r="K514" s="116"/>
      <c r="L514" s="116"/>
      <c r="M514" s="116"/>
      <c r="N514" s="116"/>
      <c r="O514" s="117"/>
      <c r="P514" s="117"/>
      <c r="Q514" s="117"/>
      <c r="R514" s="117"/>
      <c r="S514" s="117"/>
    </row>
    <row r="515" spans="1:19" s="115" customFormat="1" ht="15.6" x14ac:dyDescent="0.25">
      <c r="A515" s="13" t="s">
        <v>639</v>
      </c>
      <c r="B515" s="14"/>
      <c r="C515" s="13"/>
      <c r="D515" s="13" t="s">
        <v>873</v>
      </c>
      <c r="E515" s="13" t="s">
        <v>547</v>
      </c>
      <c r="F515" s="4">
        <v>612400.35</v>
      </c>
      <c r="G515" s="13" t="s">
        <v>874</v>
      </c>
      <c r="H515" s="126">
        <v>43593</v>
      </c>
      <c r="I515" s="29" t="s">
        <v>875</v>
      </c>
      <c r="K515" s="116"/>
      <c r="L515" s="116"/>
      <c r="M515" s="116"/>
      <c r="N515" s="116"/>
      <c r="O515" s="117"/>
      <c r="P515" s="117"/>
      <c r="Q515" s="117"/>
      <c r="R515" s="117"/>
      <c r="S515" s="117"/>
    </row>
    <row r="516" spans="1:19" s="115" customFormat="1" ht="15.6" x14ac:dyDescent="0.25">
      <c r="A516" s="13" t="s">
        <v>638</v>
      </c>
      <c r="B516" s="14"/>
      <c r="C516" s="13"/>
      <c r="D516" s="13" t="s">
        <v>873</v>
      </c>
      <c r="E516" s="13" t="s">
        <v>547</v>
      </c>
      <c r="F516" s="4">
        <v>1464272.97</v>
      </c>
      <c r="G516" s="13" t="s">
        <v>874</v>
      </c>
      <c r="H516" s="126">
        <v>43621</v>
      </c>
      <c r="I516" s="29" t="s">
        <v>875</v>
      </c>
      <c r="K516" s="116"/>
      <c r="L516" s="116"/>
      <c r="M516" s="116"/>
      <c r="N516" s="116"/>
      <c r="O516" s="117"/>
      <c r="P516" s="117"/>
      <c r="Q516" s="117"/>
      <c r="R516" s="117"/>
      <c r="S516" s="117"/>
    </row>
    <row r="517" spans="1:19" s="115" customFormat="1" ht="15.6" customHeight="1" x14ac:dyDescent="0.25">
      <c r="A517" s="61" t="s">
        <v>442</v>
      </c>
      <c r="B517" s="14"/>
      <c r="C517" s="13"/>
      <c r="D517" s="13" t="s">
        <v>873</v>
      </c>
      <c r="E517" s="13" t="s">
        <v>494</v>
      </c>
      <c r="F517" s="4">
        <v>1593807.88</v>
      </c>
      <c r="G517" s="13" t="s">
        <v>874</v>
      </c>
      <c r="H517" s="126">
        <v>43621</v>
      </c>
      <c r="I517" s="29" t="s">
        <v>875</v>
      </c>
      <c r="J517" s="258"/>
      <c r="K517" s="116"/>
      <c r="L517" s="116"/>
      <c r="M517" s="116"/>
      <c r="N517" s="116"/>
      <c r="O517" s="117"/>
      <c r="P517" s="117"/>
      <c r="Q517" s="117"/>
      <c r="R517" s="117"/>
      <c r="S517" s="117"/>
    </row>
    <row r="518" spans="1:19" s="115" customFormat="1" ht="15.6" customHeight="1" x14ac:dyDescent="0.25">
      <c r="A518" s="61" t="s">
        <v>455</v>
      </c>
      <c r="B518" s="14"/>
      <c r="C518" s="13"/>
      <c r="D518" s="13" t="s">
        <v>873</v>
      </c>
      <c r="E518" s="13" t="s">
        <v>440</v>
      </c>
      <c r="F518" s="4">
        <v>499406.88</v>
      </c>
      <c r="G518" s="13" t="s">
        <v>874</v>
      </c>
      <c r="H518" s="126">
        <v>43621</v>
      </c>
      <c r="I518" s="29" t="s">
        <v>875</v>
      </c>
      <c r="J518" s="258"/>
      <c r="K518" s="116"/>
      <c r="L518" s="116"/>
      <c r="M518" s="116"/>
      <c r="N518" s="116"/>
      <c r="O518" s="117"/>
      <c r="P518" s="117"/>
      <c r="Q518" s="117"/>
      <c r="R518" s="117"/>
      <c r="S518" s="117"/>
    </row>
    <row r="519" spans="1:19" s="115" customFormat="1" ht="15.6" x14ac:dyDescent="0.25">
      <c r="A519" s="13" t="s">
        <v>1148</v>
      </c>
      <c r="B519" s="14"/>
      <c r="C519" s="13"/>
      <c r="D519" s="13" t="s">
        <v>873</v>
      </c>
      <c r="E519" s="13" t="s">
        <v>136</v>
      </c>
      <c r="F519" s="4">
        <v>504229.41</v>
      </c>
      <c r="G519" s="13" t="s">
        <v>874</v>
      </c>
      <c r="H519" s="126">
        <v>43621</v>
      </c>
      <c r="I519" s="29" t="s">
        <v>875</v>
      </c>
      <c r="K519" s="116"/>
      <c r="L519" s="116"/>
      <c r="M519" s="116"/>
      <c r="N519" s="116"/>
      <c r="O519" s="117"/>
      <c r="P519" s="117"/>
      <c r="Q519" s="117"/>
      <c r="R519" s="117"/>
      <c r="S519" s="117"/>
    </row>
    <row r="520" spans="1:19" s="115" customFormat="1" ht="15.6" x14ac:dyDescent="0.25">
      <c r="A520" s="13" t="s">
        <v>1147</v>
      </c>
      <c r="B520" s="14"/>
      <c r="C520" s="13"/>
      <c r="D520" s="13" t="s">
        <v>873</v>
      </c>
      <c r="E520" s="13" t="s">
        <v>136</v>
      </c>
      <c r="F520" s="4">
        <v>617195.56999999995</v>
      </c>
      <c r="G520" s="13" t="s">
        <v>874</v>
      </c>
      <c r="H520" s="126">
        <v>43621</v>
      </c>
      <c r="I520" s="29" t="s">
        <v>875</v>
      </c>
      <c r="K520" s="116"/>
      <c r="L520" s="116"/>
      <c r="M520" s="116"/>
      <c r="N520" s="116"/>
      <c r="O520" s="117"/>
      <c r="P520" s="117"/>
      <c r="Q520" s="117"/>
      <c r="R520" s="117"/>
      <c r="S520" s="117"/>
    </row>
    <row r="521" spans="1:19" s="115" customFormat="1" ht="15.6" x14ac:dyDescent="0.25">
      <c r="A521" s="13" t="s">
        <v>311</v>
      </c>
      <c r="B521" s="14"/>
      <c r="C521" s="13"/>
      <c r="D521" s="13" t="s">
        <v>873</v>
      </c>
      <c r="E521" s="13" t="s">
        <v>408</v>
      </c>
      <c r="F521" s="4">
        <v>600972</v>
      </c>
      <c r="G521" s="13" t="s">
        <v>9004</v>
      </c>
      <c r="H521" s="126">
        <v>43621</v>
      </c>
      <c r="I521" s="29" t="s">
        <v>875</v>
      </c>
      <c r="J521" s="385"/>
      <c r="K521" s="116"/>
      <c r="L521" s="116"/>
      <c r="M521" s="116"/>
      <c r="N521" s="116"/>
      <c r="O521" s="117"/>
      <c r="P521" s="117"/>
      <c r="Q521" s="117"/>
      <c r="R521" s="117"/>
      <c r="S521" s="117"/>
    </row>
    <row r="522" spans="1:19" s="321" customFormat="1" ht="12.6" customHeight="1" x14ac:dyDescent="0.25">
      <c r="A522" s="312" t="s">
        <v>151</v>
      </c>
      <c r="B522" s="301" t="s">
        <v>6892</v>
      </c>
      <c r="C522" s="312">
        <v>2.92</v>
      </c>
      <c r="D522" s="314" t="s">
        <v>910</v>
      </c>
      <c r="E522" s="314" t="s">
        <v>62</v>
      </c>
      <c r="F522" s="316"/>
      <c r="G522" s="315" t="s">
        <v>8483</v>
      </c>
      <c r="H522" s="301">
        <v>43585</v>
      </c>
      <c r="I522" s="485" t="s">
        <v>6890</v>
      </c>
      <c r="J522" s="453" t="s">
        <v>771</v>
      </c>
    </row>
    <row r="523" spans="1:19" s="317" customFormat="1" ht="15" customHeight="1" x14ac:dyDescent="0.25">
      <c r="A523" s="312" t="s">
        <v>151</v>
      </c>
      <c r="B523" s="301" t="s">
        <v>774</v>
      </c>
      <c r="C523" s="322"/>
      <c r="D523" s="312" t="s">
        <v>43</v>
      </c>
      <c r="E523" s="314" t="s">
        <v>1121</v>
      </c>
      <c r="F523" s="316"/>
      <c r="G523" s="315" t="s">
        <v>8697</v>
      </c>
      <c r="H523" s="301">
        <v>43616</v>
      </c>
      <c r="I523" s="316" t="s">
        <v>3277</v>
      </c>
      <c r="J523" s="320" t="s">
        <v>1386</v>
      </c>
      <c r="O523" s="318"/>
      <c r="P523" s="318"/>
      <c r="Q523" s="318"/>
      <c r="R523" s="318"/>
      <c r="S523" s="318"/>
    </row>
    <row r="524" spans="1:19" s="317" customFormat="1" ht="15" customHeight="1" x14ac:dyDescent="0.25">
      <c r="A524" s="312" t="s">
        <v>151</v>
      </c>
      <c r="B524" s="301" t="s">
        <v>1817</v>
      </c>
      <c r="C524" s="312"/>
      <c r="D524" s="312" t="s">
        <v>1277</v>
      </c>
      <c r="E524" s="312" t="s">
        <v>1121</v>
      </c>
      <c r="F524" s="316"/>
      <c r="G524" s="315" t="s">
        <v>8914</v>
      </c>
      <c r="H524" s="301">
        <v>43616</v>
      </c>
      <c r="I524" s="316" t="s">
        <v>3278</v>
      </c>
      <c r="J524" s="320" t="s">
        <v>1386</v>
      </c>
      <c r="O524" s="318"/>
      <c r="P524" s="318"/>
      <c r="Q524" s="318"/>
      <c r="R524" s="318"/>
      <c r="S524" s="318"/>
    </row>
    <row r="525" spans="1:19" s="317" customFormat="1" ht="15" customHeight="1" x14ac:dyDescent="0.25">
      <c r="A525" s="312" t="s">
        <v>151</v>
      </c>
      <c r="B525" s="301" t="s">
        <v>774</v>
      </c>
      <c r="C525" s="313"/>
      <c r="D525" s="312" t="s">
        <v>1555</v>
      </c>
      <c r="E525" s="314" t="s">
        <v>1121</v>
      </c>
      <c r="F525" s="316"/>
      <c r="G525" s="315" t="s">
        <v>8670</v>
      </c>
      <c r="H525" s="301">
        <v>43616</v>
      </c>
      <c r="I525" s="316" t="s">
        <v>3277</v>
      </c>
      <c r="J525" s="320" t="s">
        <v>526</v>
      </c>
      <c r="O525" s="318"/>
      <c r="P525" s="318"/>
      <c r="Q525" s="318"/>
      <c r="R525" s="318"/>
      <c r="S525" s="318"/>
    </row>
    <row r="526" spans="1:19" s="321" customFormat="1" ht="13.95" customHeight="1" x14ac:dyDescent="0.25">
      <c r="A526" s="314" t="s">
        <v>151</v>
      </c>
      <c r="B526" s="301" t="s">
        <v>994</v>
      </c>
      <c r="C526" s="322"/>
      <c r="D526" s="314" t="s">
        <v>116</v>
      </c>
      <c r="E526" s="314" t="s">
        <v>1121</v>
      </c>
      <c r="F526" s="316"/>
      <c r="G526" s="313" t="s">
        <v>341</v>
      </c>
      <c r="H526" s="301">
        <v>43616</v>
      </c>
      <c r="I526" s="316" t="s">
        <v>118</v>
      </c>
      <c r="J526" s="323"/>
      <c r="K526" s="324"/>
      <c r="L526" s="318"/>
    </row>
    <row r="527" spans="1:19" s="352" customFormat="1" x14ac:dyDescent="0.25">
      <c r="A527" s="312" t="s">
        <v>151</v>
      </c>
      <c r="B527" s="301" t="s">
        <v>1677</v>
      </c>
      <c r="C527" s="312" t="s">
        <v>1838</v>
      </c>
      <c r="D527" s="312" t="s">
        <v>7381</v>
      </c>
      <c r="E527" s="314" t="s">
        <v>1121</v>
      </c>
      <c r="F527" s="514">
        <v>3800</v>
      </c>
      <c r="G527" s="313" t="s">
        <v>7382</v>
      </c>
      <c r="H527" s="301">
        <v>43643</v>
      </c>
      <c r="I527" s="316" t="s">
        <v>7383</v>
      </c>
      <c r="J527" s="323" t="s">
        <v>400</v>
      </c>
      <c r="K527" s="351"/>
    </row>
    <row r="528" spans="1:19" s="317" customFormat="1" ht="13.95" customHeight="1" x14ac:dyDescent="0.25">
      <c r="A528" s="319" t="s">
        <v>151</v>
      </c>
      <c r="B528" s="301" t="s">
        <v>1677</v>
      </c>
      <c r="C528" s="312" t="s">
        <v>1838</v>
      </c>
      <c r="D528" s="312" t="s">
        <v>592</v>
      </c>
      <c r="E528" s="312" t="s">
        <v>1121</v>
      </c>
      <c r="F528" s="316">
        <v>4366</v>
      </c>
      <c r="G528" s="315" t="s">
        <v>4249</v>
      </c>
      <c r="H528" s="301">
        <v>42005</v>
      </c>
      <c r="I528" s="316" t="s">
        <v>565</v>
      </c>
      <c r="J528" s="323" t="s">
        <v>400</v>
      </c>
      <c r="O528" s="318"/>
      <c r="P528" s="318"/>
      <c r="Q528" s="318"/>
      <c r="R528" s="318"/>
      <c r="S528" s="318"/>
    </row>
    <row r="529" spans="1:19" s="317" customFormat="1" ht="13.95" customHeight="1" x14ac:dyDescent="0.25">
      <c r="A529" s="312" t="s">
        <v>151</v>
      </c>
      <c r="B529" s="301" t="s">
        <v>1677</v>
      </c>
      <c r="C529" s="312" t="s">
        <v>1838</v>
      </c>
      <c r="D529" s="312" t="s">
        <v>593</v>
      </c>
      <c r="E529" s="312" t="s">
        <v>1121</v>
      </c>
      <c r="F529" s="316">
        <v>1735</v>
      </c>
      <c r="G529" s="315" t="s">
        <v>4250</v>
      </c>
      <c r="H529" s="301">
        <v>42024</v>
      </c>
      <c r="I529" s="316" t="s">
        <v>594</v>
      </c>
      <c r="J529" s="386" t="s">
        <v>400</v>
      </c>
      <c r="O529" s="318"/>
      <c r="P529" s="318"/>
      <c r="Q529" s="318"/>
      <c r="R529" s="318"/>
      <c r="S529" s="318"/>
    </row>
    <row r="530" spans="1:19" s="317" customFormat="1" ht="13.95" customHeight="1" x14ac:dyDescent="0.25">
      <c r="A530" s="319" t="s">
        <v>151</v>
      </c>
      <c r="B530" s="301" t="s">
        <v>1677</v>
      </c>
      <c r="C530" s="312" t="s">
        <v>1838</v>
      </c>
      <c r="D530" s="312" t="s">
        <v>593</v>
      </c>
      <c r="E530" s="312" t="s">
        <v>1121</v>
      </c>
      <c r="F530" s="316">
        <v>1070</v>
      </c>
      <c r="G530" s="315" t="s">
        <v>2614</v>
      </c>
      <c r="H530" s="301">
        <v>43466</v>
      </c>
      <c r="I530" s="316" t="s">
        <v>1796</v>
      </c>
      <c r="J530" s="386" t="s">
        <v>400</v>
      </c>
      <c r="O530" s="318"/>
      <c r="P530" s="318"/>
      <c r="Q530" s="318"/>
      <c r="R530" s="318"/>
      <c r="S530" s="318"/>
    </row>
    <row r="531" spans="1:19" s="321" customFormat="1" x14ac:dyDescent="0.25">
      <c r="A531" s="314" t="s">
        <v>151</v>
      </c>
      <c r="B531" s="301"/>
      <c r="C531" s="322" t="s">
        <v>1838</v>
      </c>
      <c r="D531" s="314" t="s">
        <v>3520</v>
      </c>
      <c r="E531" s="314" t="s">
        <v>38</v>
      </c>
      <c r="F531" s="316">
        <v>8000</v>
      </c>
      <c r="G531" s="313"/>
      <c r="H531" s="301"/>
      <c r="I531" s="316" t="s">
        <v>1324</v>
      </c>
      <c r="J531" s="386" t="s">
        <v>526</v>
      </c>
      <c r="K531" s="324"/>
      <c r="L531" s="318"/>
    </row>
    <row r="532" spans="1:19" s="321" customFormat="1" ht="27.6" x14ac:dyDescent="0.25">
      <c r="A532" s="312" t="s">
        <v>151</v>
      </c>
      <c r="B532" s="301" t="s">
        <v>1293</v>
      </c>
      <c r="C532" s="312" t="s">
        <v>1838</v>
      </c>
      <c r="D532" s="312" t="s">
        <v>1075</v>
      </c>
      <c r="E532" s="312" t="s">
        <v>1121</v>
      </c>
      <c r="F532" s="316">
        <v>10900</v>
      </c>
      <c r="G532" s="315" t="s">
        <v>886</v>
      </c>
      <c r="H532" s="301">
        <v>43059</v>
      </c>
      <c r="I532" s="316" t="s">
        <v>1076</v>
      </c>
      <c r="J532" s="386" t="s">
        <v>400</v>
      </c>
      <c r="K532" s="317"/>
    </row>
    <row r="533" spans="1:19" s="352" customFormat="1" x14ac:dyDescent="0.25">
      <c r="A533" s="312" t="s">
        <v>151</v>
      </c>
      <c r="B533" s="301" t="s">
        <v>1293</v>
      </c>
      <c r="C533" s="313" t="s">
        <v>1838</v>
      </c>
      <c r="D533" s="312" t="s">
        <v>1945</v>
      </c>
      <c r="E533" s="314" t="s">
        <v>888</v>
      </c>
      <c r="F533" s="316">
        <v>14196</v>
      </c>
      <c r="G533" s="313" t="s">
        <v>2186</v>
      </c>
      <c r="H533" s="301">
        <v>43370</v>
      </c>
      <c r="I533" s="316" t="s">
        <v>1835</v>
      </c>
      <c r="J533" s="386" t="s">
        <v>400</v>
      </c>
      <c r="K533" s="351"/>
    </row>
    <row r="534" spans="1:19" s="352" customFormat="1" x14ac:dyDescent="0.25">
      <c r="A534" s="312" t="s">
        <v>151</v>
      </c>
      <c r="B534" s="301" t="s">
        <v>1293</v>
      </c>
      <c r="C534" s="313" t="s">
        <v>1838</v>
      </c>
      <c r="D534" s="312" t="s">
        <v>1945</v>
      </c>
      <c r="E534" s="314" t="s">
        <v>891</v>
      </c>
      <c r="F534" s="316">
        <v>15912</v>
      </c>
      <c r="G534" s="313" t="s">
        <v>2187</v>
      </c>
      <c r="H534" s="301">
        <v>43370</v>
      </c>
      <c r="I534" s="316" t="s">
        <v>1835</v>
      </c>
      <c r="J534" s="386" t="s">
        <v>400</v>
      </c>
      <c r="K534" s="351"/>
    </row>
    <row r="535" spans="1:19" s="352" customFormat="1" x14ac:dyDescent="0.25">
      <c r="A535" s="312" t="s">
        <v>151</v>
      </c>
      <c r="B535" s="301" t="s">
        <v>1837</v>
      </c>
      <c r="C535" s="313" t="s">
        <v>1838</v>
      </c>
      <c r="D535" s="312" t="s">
        <v>1836</v>
      </c>
      <c r="E535" s="314" t="s">
        <v>175</v>
      </c>
      <c r="F535" s="316">
        <v>29640</v>
      </c>
      <c r="G535" s="313" t="s">
        <v>1700</v>
      </c>
      <c r="H535" s="301"/>
      <c r="I535" s="316" t="s">
        <v>1835</v>
      </c>
      <c r="J535" s="386" t="s">
        <v>526</v>
      </c>
      <c r="K535" s="351"/>
    </row>
    <row r="536" spans="1:19" s="425" customFormat="1" x14ac:dyDescent="0.25">
      <c r="A536" s="301" t="s">
        <v>151</v>
      </c>
      <c r="B536" s="301"/>
      <c r="C536" s="312"/>
      <c r="D536" s="312" t="s">
        <v>1751</v>
      </c>
      <c r="E536" s="312" t="s">
        <v>60</v>
      </c>
      <c r="F536" s="316">
        <v>95474.29</v>
      </c>
      <c r="G536" s="315" t="s">
        <v>8897</v>
      </c>
      <c r="H536" s="301">
        <v>43615</v>
      </c>
      <c r="I536" s="316" t="s">
        <v>1383</v>
      </c>
      <c r="J536" s="386" t="s">
        <v>526</v>
      </c>
      <c r="K536" s="386"/>
      <c r="L536" s="424"/>
    </row>
    <row r="537" spans="1:19" s="425" customFormat="1" x14ac:dyDescent="0.25">
      <c r="A537" s="301" t="s">
        <v>151</v>
      </c>
      <c r="B537" s="301"/>
      <c r="C537" s="312"/>
      <c r="D537" s="312" t="s">
        <v>1751</v>
      </c>
      <c r="E537" s="312" t="s">
        <v>130</v>
      </c>
      <c r="F537" s="316"/>
      <c r="G537" s="315" t="s">
        <v>8898</v>
      </c>
      <c r="H537" s="301">
        <v>43615</v>
      </c>
      <c r="I537" s="316" t="s">
        <v>1383</v>
      </c>
      <c r="J537" s="386" t="s">
        <v>526</v>
      </c>
      <c r="K537" s="386"/>
      <c r="L537" s="424"/>
    </row>
    <row r="538" spans="1:19" s="425" customFormat="1" x14ac:dyDescent="0.25">
      <c r="A538" s="301" t="s">
        <v>151</v>
      </c>
      <c r="B538" s="301"/>
      <c r="C538" s="312"/>
      <c r="D538" s="312" t="s">
        <v>6148</v>
      </c>
      <c r="E538" s="312" t="s">
        <v>958</v>
      </c>
      <c r="F538" s="316"/>
      <c r="G538" s="315" t="s">
        <v>8899</v>
      </c>
      <c r="H538" s="301">
        <v>43615</v>
      </c>
      <c r="I538" s="316" t="s">
        <v>1383</v>
      </c>
      <c r="J538" s="386" t="s">
        <v>526</v>
      </c>
      <c r="K538" s="386"/>
      <c r="L538" s="424"/>
    </row>
    <row r="539" spans="1:19" s="228" customFormat="1" ht="27.6" x14ac:dyDescent="0.25">
      <c r="A539" s="32" t="s">
        <v>151</v>
      </c>
      <c r="B539" s="14"/>
      <c r="C539" s="67">
        <v>96</v>
      </c>
      <c r="D539" s="32" t="s">
        <v>412</v>
      </c>
      <c r="E539" s="13" t="s">
        <v>1121</v>
      </c>
      <c r="F539" s="4"/>
      <c r="G539" s="13">
        <v>38</v>
      </c>
      <c r="H539" s="14">
        <v>43619</v>
      </c>
      <c r="I539" s="4" t="s">
        <v>2078</v>
      </c>
      <c r="J539" s="22" t="s">
        <v>526</v>
      </c>
      <c r="K539" s="245"/>
    </row>
    <row r="540" spans="1:19" s="228" customFormat="1" ht="27.6" x14ac:dyDescent="0.25">
      <c r="A540" s="32" t="s">
        <v>151</v>
      </c>
      <c r="B540" s="14"/>
      <c r="C540" s="67">
        <v>90</v>
      </c>
      <c r="D540" s="32" t="s">
        <v>412</v>
      </c>
      <c r="E540" s="13" t="s">
        <v>1121</v>
      </c>
      <c r="F540" s="4">
        <v>90000</v>
      </c>
      <c r="G540" s="13">
        <v>39</v>
      </c>
      <c r="H540" s="14">
        <v>43619</v>
      </c>
      <c r="I540" s="4" t="s">
        <v>2079</v>
      </c>
      <c r="J540" s="22" t="s">
        <v>526</v>
      </c>
      <c r="K540" s="245"/>
    </row>
    <row r="541" spans="1:19" s="228" customFormat="1" ht="13.95" customHeight="1" x14ac:dyDescent="0.25">
      <c r="A541" s="32" t="s">
        <v>151</v>
      </c>
      <c r="B541" s="14"/>
      <c r="C541" s="67">
        <v>20</v>
      </c>
      <c r="D541" s="32" t="s">
        <v>412</v>
      </c>
      <c r="E541" s="13" t="s">
        <v>1121</v>
      </c>
      <c r="F541" s="4"/>
      <c r="G541" s="13">
        <v>37</v>
      </c>
      <c r="H541" s="14">
        <v>43619</v>
      </c>
      <c r="I541" s="4" t="s">
        <v>1908</v>
      </c>
      <c r="J541" s="22" t="s">
        <v>526</v>
      </c>
      <c r="K541" s="245"/>
    </row>
    <row r="542" spans="1:19" s="228" customFormat="1" ht="27.6" customHeight="1" x14ac:dyDescent="0.25">
      <c r="A542" s="32" t="s">
        <v>151</v>
      </c>
      <c r="B542" s="14"/>
      <c r="C542" s="13">
        <v>90</v>
      </c>
      <c r="D542" s="32" t="s">
        <v>412</v>
      </c>
      <c r="E542" s="32" t="s">
        <v>144</v>
      </c>
      <c r="F542" s="4">
        <v>90000</v>
      </c>
      <c r="G542" s="13">
        <v>40</v>
      </c>
      <c r="H542" s="14">
        <v>43619</v>
      </c>
      <c r="I542" s="4" t="s">
        <v>3969</v>
      </c>
      <c r="J542" s="22" t="s">
        <v>526</v>
      </c>
      <c r="K542" s="245"/>
    </row>
    <row r="543" spans="1:19" s="228" customFormat="1" x14ac:dyDescent="0.25">
      <c r="A543" s="32" t="s">
        <v>151</v>
      </c>
      <c r="B543" s="14"/>
      <c r="C543" s="13">
        <v>12</v>
      </c>
      <c r="D543" s="32" t="s">
        <v>412</v>
      </c>
      <c r="E543" s="32" t="s">
        <v>144</v>
      </c>
      <c r="F543" s="4">
        <v>24000</v>
      </c>
      <c r="G543" s="13">
        <v>35</v>
      </c>
      <c r="H543" s="14">
        <v>43619</v>
      </c>
      <c r="I543" s="4" t="s">
        <v>8540</v>
      </c>
      <c r="J543" s="22" t="s">
        <v>8539</v>
      </c>
      <c r="K543" s="245"/>
    </row>
    <row r="544" spans="1:19" s="228" customFormat="1" ht="15" customHeight="1" x14ac:dyDescent="0.25">
      <c r="A544" s="32" t="s">
        <v>151</v>
      </c>
      <c r="B544" s="14"/>
      <c r="C544" s="13"/>
      <c r="D544" s="13" t="s">
        <v>223</v>
      </c>
      <c r="E544" s="32" t="s">
        <v>144</v>
      </c>
      <c r="F544" s="4"/>
      <c r="G544" s="28" t="s">
        <v>3011</v>
      </c>
      <c r="H544" s="14">
        <v>43474</v>
      </c>
      <c r="I544" s="4" t="s">
        <v>722</v>
      </c>
      <c r="J544" s="22" t="s">
        <v>239</v>
      </c>
      <c r="K544" s="246"/>
    </row>
    <row r="545" spans="1:19" s="62" customFormat="1" ht="15" customHeight="1" x14ac:dyDescent="0.25">
      <c r="A545" s="13" t="s">
        <v>794</v>
      </c>
      <c r="B545" s="126"/>
      <c r="C545" s="13"/>
      <c r="D545" s="13" t="s">
        <v>756</v>
      </c>
      <c r="E545" s="13" t="s">
        <v>195</v>
      </c>
      <c r="F545" s="4"/>
      <c r="G545" s="29" t="s">
        <v>2910</v>
      </c>
      <c r="H545" s="14">
        <v>43418</v>
      </c>
      <c r="I545" s="4" t="s">
        <v>916</v>
      </c>
      <c r="J545" s="71" t="s">
        <v>2618</v>
      </c>
      <c r="O545" s="35"/>
      <c r="P545" s="35"/>
      <c r="Q545" s="35"/>
      <c r="R545" s="35"/>
      <c r="S545" s="35"/>
    </row>
    <row r="546" spans="1:19" s="62" customFormat="1" ht="15" customHeight="1" x14ac:dyDescent="0.25">
      <c r="A546" s="13" t="s">
        <v>794</v>
      </c>
      <c r="B546" s="126"/>
      <c r="C546" s="13"/>
      <c r="D546" s="13" t="s">
        <v>756</v>
      </c>
      <c r="E546" s="13" t="s">
        <v>195</v>
      </c>
      <c r="F546" s="4"/>
      <c r="G546" s="29" t="s">
        <v>2932</v>
      </c>
      <c r="H546" s="14">
        <v>43438</v>
      </c>
      <c r="I546" s="4" t="s">
        <v>546</v>
      </c>
      <c r="J546" s="71" t="s">
        <v>323</v>
      </c>
      <c r="O546" s="35"/>
      <c r="P546" s="35"/>
      <c r="Q546" s="35"/>
      <c r="R546" s="35"/>
      <c r="S546" s="35"/>
    </row>
    <row r="547" spans="1:19" s="62" customFormat="1" ht="15" customHeight="1" x14ac:dyDescent="0.25">
      <c r="A547" s="13" t="s">
        <v>794</v>
      </c>
      <c r="B547" s="126"/>
      <c r="C547" s="13"/>
      <c r="D547" s="13" t="s">
        <v>756</v>
      </c>
      <c r="E547" s="13" t="s">
        <v>195</v>
      </c>
      <c r="F547" s="4"/>
      <c r="G547" s="29" t="s">
        <v>2933</v>
      </c>
      <c r="H547" s="14">
        <v>43438</v>
      </c>
      <c r="I547" s="4" t="s">
        <v>143</v>
      </c>
      <c r="J547" s="71" t="s">
        <v>323</v>
      </c>
      <c r="O547" s="35"/>
      <c r="P547" s="35"/>
      <c r="Q547" s="35"/>
      <c r="R547" s="35"/>
      <c r="S547" s="35"/>
    </row>
    <row r="548" spans="1:19" s="62" customFormat="1" ht="15" customHeight="1" x14ac:dyDescent="0.25">
      <c r="A548" s="13" t="s">
        <v>794</v>
      </c>
      <c r="B548" s="126"/>
      <c r="C548" s="13"/>
      <c r="D548" s="13" t="s">
        <v>757</v>
      </c>
      <c r="E548" s="13" t="s">
        <v>195</v>
      </c>
      <c r="F548" s="4"/>
      <c r="G548" s="29" t="s">
        <v>843</v>
      </c>
      <c r="H548" s="14">
        <v>42826</v>
      </c>
      <c r="I548" s="4" t="s">
        <v>758</v>
      </c>
      <c r="J548" s="71" t="s">
        <v>366</v>
      </c>
      <c r="O548" s="35"/>
      <c r="P548" s="35"/>
      <c r="Q548" s="35"/>
      <c r="R548" s="35"/>
      <c r="S548" s="35"/>
    </row>
    <row r="549" spans="1:19" s="228" customFormat="1" ht="13.95" customHeight="1" x14ac:dyDescent="0.25">
      <c r="A549" s="32" t="s">
        <v>198</v>
      </c>
      <c r="B549" s="14" t="s">
        <v>994</v>
      </c>
      <c r="C549" s="67"/>
      <c r="D549" s="32" t="s">
        <v>116</v>
      </c>
      <c r="E549" s="32" t="s">
        <v>195</v>
      </c>
      <c r="F549" s="4"/>
      <c r="G549" s="28" t="s">
        <v>4599</v>
      </c>
      <c r="H549" s="14">
        <v>43616</v>
      </c>
      <c r="I549" s="4" t="s">
        <v>118</v>
      </c>
      <c r="J549" s="170"/>
      <c r="K549" s="246"/>
    </row>
    <row r="550" spans="1:19" ht="13.95" customHeight="1" x14ac:dyDescent="0.25">
      <c r="A550" s="32" t="s">
        <v>198</v>
      </c>
      <c r="B550" s="14"/>
      <c r="C550" s="13"/>
      <c r="D550" s="32" t="s">
        <v>4162</v>
      </c>
      <c r="E550" s="32" t="s">
        <v>195</v>
      </c>
      <c r="F550" s="4"/>
      <c r="G550" s="28" t="s">
        <v>4548</v>
      </c>
      <c r="H550" s="14">
        <v>43521</v>
      </c>
      <c r="I550" s="4" t="s">
        <v>802</v>
      </c>
      <c r="J550" s="170"/>
      <c r="K550" s="244"/>
      <c r="L550" s="34"/>
      <c r="M550" s="34"/>
    </row>
    <row r="551" spans="1:19" s="228" customFormat="1" ht="13.95" customHeight="1" x14ac:dyDescent="0.25">
      <c r="A551" s="32" t="s">
        <v>198</v>
      </c>
      <c r="B551" s="14"/>
      <c r="C551" s="67"/>
      <c r="D551" s="32" t="s">
        <v>227</v>
      </c>
      <c r="E551" s="32" t="s">
        <v>195</v>
      </c>
      <c r="F551" s="4"/>
      <c r="G551" s="28" t="s">
        <v>3132</v>
      </c>
      <c r="H551" s="14">
        <v>43556</v>
      </c>
      <c r="I551" s="4" t="s">
        <v>367</v>
      </c>
      <c r="J551" s="71" t="s">
        <v>771</v>
      </c>
      <c r="K551" s="246"/>
    </row>
    <row r="552" spans="1:19" s="228" customFormat="1" ht="13.95" customHeight="1" x14ac:dyDescent="0.25">
      <c r="A552" s="32" t="s">
        <v>198</v>
      </c>
      <c r="B552" s="14"/>
      <c r="C552" s="67"/>
      <c r="D552" s="32" t="s">
        <v>227</v>
      </c>
      <c r="E552" s="32" t="s">
        <v>195</v>
      </c>
      <c r="F552" s="4"/>
      <c r="G552" s="28" t="s">
        <v>2072</v>
      </c>
      <c r="H552" s="14">
        <v>43560</v>
      </c>
      <c r="I552" s="4" t="s">
        <v>368</v>
      </c>
      <c r="J552" s="71" t="s">
        <v>6600</v>
      </c>
      <c r="K552" s="246"/>
    </row>
    <row r="553" spans="1:19" s="228" customFormat="1" ht="13.95" customHeight="1" x14ac:dyDescent="0.25">
      <c r="A553" s="32" t="s">
        <v>198</v>
      </c>
      <c r="B553" s="14"/>
      <c r="C553" s="13"/>
      <c r="D553" s="32" t="s">
        <v>369</v>
      </c>
      <c r="E553" s="32" t="s">
        <v>195</v>
      </c>
      <c r="F553" s="4"/>
      <c r="G553" s="13">
        <v>28</v>
      </c>
      <c r="H553" s="14">
        <v>43585</v>
      </c>
      <c r="I553" s="4" t="s">
        <v>328</v>
      </c>
      <c r="J553" s="170" t="s">
        <v>771</v>
      </c>
      <c r="K553" s="246"/>
    </row>
    <row r="554" spans="1:19" s="428" customFormat="1" x14ac:dyDescent="0.25">
      <c r="A554" s="32" t="s">
        <v>198</v>
      </c>
      <c r="B554" s="14"/>
      <c r="C554" s="13"/>
      <c r="D554" s="32" t="s">
        <v>1003</v>
      </c>
      <c r="E554" s="32" t="s">
        <v>195</v>
      </c>
      <c r="F554" s="4"/>
      <c r="G554" s="28" t="s">
        <v>5358</v>
      </c>
      <c r="H554" s="14">
        <v>43586</v>
      </c>
      <c r="I554" s="4" t="s">
        <v>326</v>
      </c>
      <c r="J554" s="170" t="s">
        <v>1386</v>
      </c>
      <c r="K554" s="248"/>
    </row>
    <row r="555" spans="1:19" s="93" customFormat="1" ht="13.95" customHeight="1" x14ac:dyDescent="0.25">
      <c r="A555" s="32" t="s">
        <v>198</v>
      </c>
      <c r="B555" s="14"/>
      <c r="C555" s="13"/>
      <c r="D555" s="32" t="s">
        <v>329</v>
      </c>
      <c r="E555" s="32" t="s">
        <v>195</v>
      </c>
      <c r="F555" s="4"/>
      <c r="G555" s="28" t="s">
        <v>859</v>
      </c>
      <c r="H555" s="14">
        <v>43585</v>
      </c>
      <c r="I555" s="4" t="s">
        <v>330</v>
      </c>
      <c r="J555" s="170" t="s">
        <v>771</v>
      </c>
      <c r="K555" s="249"/>
    </row>
    <row r="556" spans="1:19" s="93" customFormat="1" x14ac:dyDescent="0.25">
      <c r="A556" s="68" t="s">
        <v>198</v>
      </c>
      <c r="B556" s="14"/>
      <c r="C556" s="13"/>
      <c r="D556" s="32" t="s">
        <v>73</v>
      </c>
      <c r="E556" s="32" t="s">
        <v>195</v>
      </c>
      <c r="F556" s="4"/>
      <c r="G556" s="28" t="s">
        <v>6599</v>
      </c>
      <c r="H556" s="14">
        <v>43556</v>
      </c>
      <c r="I556" s="4" t="s">
        <v>1556</v>
      </c>
      <c r="J556" s="170" t="s">
        <v>6598</v>
      </c>
      <c r="K556" s="249"/>
    </row>
    <row r="557" spans="1:19" s="93" customFormat="1" ht="13.95" customHeight="1" x14ac:dyDescent="0.25">
      <c r="A557" s="68" t="s">
        <v>198</v>
      </c>
      <c r="B557" s="14"/>
      <c r="C557" s="13"/>
      <c r="D557" s="32" t="s">
        <v>73</v>
      </c>
      <c r="E557" s="32" t="s">
        <v>195</v>
      </c>
      <c r="F557" s="4"/>
      <c r="G557" s="28" t="s">
        <v>8203</v>
      </c>
      <c r="H557" s="14">
        <v>43591</v>
      </c>
      <c r="I557" s="4" t="s">
        <v>332</v>
      </c>
      <c r="J557" s="170" t="s">
        <v>1386</v>
      </c>
      <c r="K557" s="249"/>
    </row>
    <row r="558" spans="1:19" s="93" customFormat="1" ht="13.95" customHeight="1" x14ac:dyDescent="0.25">
      <c r="A558" s="68" t="s">
        <v>198</v>
      </c>
      <c r="B558" s="14"/>
      <c r="C558" s="13"/>
      <c r="D558" s="32" t="s">
        <v>73</v>
      </c>
      <c r="E558" s="32" t="s">
        <v>195</v>
      </c>
      <c r="F558" s="4"/>
      <c r="G558" s="28" t="s">
        <v>8202</v>
      </c>
      <c r="H558" s="14">
        <v>43591</v>
      </c>
      <c r="I558" s="4" t="s">
        <v>331</v>
      </c>
      <c r="J558" s="170" t="s">
        <v>1386</v>
      </c>
      <c r="K558" s="249"/>
    </row>
    <row r="559" spans="1:19" s="228" customFormat="1" ht="15" customHeight="1" x14ac:dyDescent="0.25">
      <c r="A559" s="68" t="s">
        <v>198</v>
      </c>
      <c r="B559" s="14" t="s">
        <v>6888</v>
      </c>
      <c r="C559" s="13"/>
      <c r="D559" s="32" t="s">
        <v>279</v>
      </c>
      <c r="E559" s="32" t="s">
        <v>195</v>
      </c>
      <c r="F559" s="4"/>
      <c r="G559" s="28" t="s">
        <v>2817</v>
      </c>
      <c r="H559" s="14">
        <v>43616</v>
      </c>
      <c r="I559" s="4" t="s">
        <v>335</v>
      </c>
      <c r="J559" s="170" t="s">
        <v>1386</v>
      </c>
      <c r="K559" s="246"/>
    </row>
    <row r="560" spans="1:19" s="228" customFormat="1" ht="15" customHeight="1" x14ac:dyDescent="0.25">
      <c r="A560" s="68" t="s">
        <v>198</v>
      </c>
      <c r="B560" s="14" t="s">
        <v>6888</v>
      </c>
      <c r="C560" s="13"/>
      <c r="D560" s="32" t="s">
        <v>279</v>
      </c>
      <c r="E560" s="32" t="s">
        <v>195</v>
      </c>
      <c r="F560" s="4"/>
      <c r="G560" s="28" t="s">
        <v>8205</v>
      </c>
      <c r="H560" s="14">
        <v>43585</v>
      </c>
      <c r="I560" s="4" t="s">
        <v>333</v>
      </c>
      <c r="J560" s="170" t="s">
        <v>771</v>
      </c>
      <c r="K560" s="246"/>
    </row>
    <row r="561" spans="1:13" ht="13.95" customHeight="1" x14ac:dyDescent="0.25">
      <c r="A561" s="32" t="s">
        <v>198</v>
      </c>
      <c r="B561" s="14" t="s">
        <v>6888</v>
      </c>
      <c r="C561" s="13"/>
      <c r="D561" s="32" t="s">
        <v>279</v>
      </c>
      <c r="E561" s="32" t="s">
        <v>195</v>
      </c>
      <c r="F561" s="4"/>
      <c r="G561" s="28" t="s">
        <v>318</v>
      </c>
      <c r="H561" s="14">
        <v>42094</v>
      </c>
      <c r="I561" s="4" t="s">
        <v>334</v>
      </c>
      <c r="J561" s="170" t="s">
        <v>366</v>
      </c>
      <c r="K561" s="244"/>
      <c r="L561" s="34"/>
      <c r="M561" s="34"/>
    </row>
    <row r="562" spans="1:13" ht="13.95" customHeight="1" x14ac:dyDescent="0.25">
      <c r="A562" s="32"/>
      <c r="B562" s="14"/>
      <c r="C562" s="13"/>
      <c r="D562" s="32"/>
      <c r="E562" s="32"/>
      <c r="F562" s="4"/>
      <c r="G562" s="28"/>
      <c r="H562" s="14"/>
      <c r="I562" s="32"/>
    </row>
    <row r="563" spans="1:13" x14ac:dyDescent="0.25">
      <c r="D563" s="1"/>
      <c r="F563" s="62"/>
    </row>
    <row r="564" spans="1:13" x14ac:dyDescent="0.25">
      <c r="A564" s="2" t="s">
        <v>2103</v>
      </c>
    </row>
    <row r="565" spans="1:13" s="50" customFormat="1" x14ac:dyDescent="0.25">
      <c r="A565" s="360" t="s">
        <v>1923</v>
      </c>
      <c r="B565" s="360">
        <v>43291</v>
      </c>
      <c r="C565" s="361">
        <v>555</v>
      </c>
      <c r="D565" s="362" t="s">
        <v>1924</v>
      </c>
      <c r="E565" s="362" t="s">
        <v>958</v>
      </c>
      <c r="F565" s="513">
        <v>10000000</v>
      </c>
      <c r="G565" s="363" t="s">
        <v>1925</v>
      </c>
      <c r="H565" s="360">
        <v>43210</v>
      </c>
      <c r="I565" s="364" t="s">
        <v>1926</v>
      </c>
      <c r="J565" s="21" t="s">
        <v>1927</v>
      </c>
    </row>
    <row r="566" spans="1:13" s="50" customFormat="1" x14ac:dyDescent="0.25">
      <c r="A566" s="360" t="s">
        <v>1923</v>
      </c>
      <c r="B566" s="360">
        <v>43299</v>
      </c>
      <c r="C566" s="361">
        <v>600</v>
      </c>
      <c r="D566" s="362" t="s">
        <v>1924</v>
      </c>
      <c r="E566" s="362" t="s">
        <v>958</v>
      </c>
      <c r="F566" s="513">
        <v>5000000</v>
      </c>
      <c r="G566" s="363" t="s">
        <v>1925</v>
      </c>
      <c r="H566" s="360">
        <v>43210</v>
      </c>
      <c r="I566" s="364" t="s">
        <v>1926</v>
      </c>
      <c r="J566" s="21" t="s">
        <v>1927</v>
      </c>
    </row>
    <row r="567" spans="1:13" s="50" customFormat="1" x14ac:dyDescent="0.25">
      <c r="A567" s="360" t="s">
        <v>1923</v>
      </c>
      <c r="B567" s="360">
        <v>43326</v>
      </c>
      <c r="C567" s="361">
        <v>695</v>
      </c>
      <c r="D567" s="362" t="s">
        <v>1924</v>
      </c>
      <c r="E567" s="362" t="s">
        <v>958</v>
      </c>
      <c r="F567" s="513">
        <v>16569282.5</v>
      </c>
      <c r="G567" s="363" t="s">
        <v>1925</v>
      </c>
      <c r="H567" s="360">
        <v>43210</v>
      </c>
      <c r="I567" s="364" t="s">
        <v>1926</v>
      </c>
      <c r="J567" s="21" t="s">
        <v>1927</v>
      </c>
    </row>
    <row r="568" spans="1:13" s="50" customFormat="1" x14ac:dyDescent="0.25">
      <c r="A568" s="360" t="s">
        <v>1923</v>
      </c>
      <c r="B568" s="360">
        <v>43355</v>
      </c>
      <c r="C568" s="361">
        <v>854</v>
      </c>
      <c r="D568" s="362" t="s">
        <v>1924</v>
      </c>
      <c r="E568" s="362" t="s">
        <v>958</v>
      </c>
      <c r="F568" s="513">
        <v>5000000</v>
      </c>
      <c r="G568" s="363" t="s">
        <v>1925</v>
      </c>
      <c r="H568" s="360">
        <v>43210</v>
      </c>
      <c r="I568" s="364" t="s">
        <v>1926</v>
      </c>
      <c r="J568" s="21" t="s">
        <v>1927</v>
      </c>
    </row>
    <row r="569" spans="1:13" s="50" customFormat="1" x14ac:dyDescent="0.25">
      <c r="A569" s="360" t="s">
        <v>1923</v>
      </c>
      <c r="B569" s="360">
        <v>43388</v>
      </c>
      <c r="C569" s="361">
        <v>1007</v>
      </c>
      <c r="D569" s="362" t="s">
        <v>1924</v>
      </c>
      <c r="E569" s="362" t="s">
        <v>958</v>
      </c>
      <c r="F569" s="513">
        <v>4625837.5</v>
      </c>
      <c r="G569" s="363" t="s">
        <v>1925</v>
      </c>
      <c r="H569" s="360">
        <v>43210</v>
      </c>
      <c r="I569" s="364" t="s">
        <v>1926</v>
      </c>
      <c r="J569" s="21" t="s">
        <v>1927</v>
      </c>
    </row>
    <row r="570" spans="1:13" s="50" customFormat="1" x14ac:dyDescent="0.25">
      <c r="A570" s="360" t="s">
        <v>1923</v>
      </c>
      <c r="B570" s="360">
        <v>43395</v>
      </c>
      <c r="C570" s="361">
        <v>1039</v>
      </c>
      <c r="D570" s="362" t="s">
        <v>1924</v>
      </c>
      <c r="E570" s="362" t="s">
        <v>958</v>
      </c>
      <c r="F570" s="513">
        <v>10000000</v>
      </c>
      <c r="G570" s="363" t="s">
        <v>1925</v>
      </c>
      <c r="H570" s="360">
        <v>43210</v>
      </c>
      <c r="I570" s="364" t="s">
        <v>1926</v>
      </c>
      <c r="J570" s="21" t="s">
        <v>1927</v>
      </c>
    </row>
  </sheetData>
  <autoFilter ref="A3:I562"/>
  <mergeCells count="1">
    <mergeCell ref="G1:H1"/>
  </mergeCells>
  <pageMargins left="0.19685039370078741" right="0.19685039370078741" top="0.39370078740157483" bottom="0.39370078740157483" header="0.51181102362204722" footer="0.51181102362204722"/>
  <pageSetup paperSize="9" scale="55" fitToHeight="0" orientation="landscape" horizontalDpi="300" verticalDpi="300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232"/>
  <sheetViews>
    <sheetView zoomScaleNormal="100" workbookViewId="0">
      <pane ySplit="3" topLeftCell="A190" activePane="bottomLeft" state="frozen"/>
      <selection activeCell="D153" sqref="D153"/>
      <selection pane="bottomLeft" activeCell="F196" sqref="F196"/>
    </sheetView>
  </sheetViews>
  <sheetFormatPr defaultColWidth="9.44140625" defaultRowHeight="13.8" x14ac:dyDescent="0.25"/>
  <cols>
    <col min="1" max="1" width="14.44140625" style="2" customWidth="1"/>
    <col min="2" max="2" width="13" style="33" customWidth="1"/>
    <col min="3" max="3" width="10" style="49" customWidth="1"/>
    <col min="4" max="4" width="23.6640625" style="2" customWidth="1"/>
    <col min="5" max="5" width="11.33203125" style="2" customWidth="1"/>
    <col min="6" max="6" width="18.44140625" style="31" customWidth="1"/>
    <col min="7" max="7" width="22.6640625" style="26" customWidth="1"/>
    <col min="8" max="8" width="11.6640625" style="2" customWidth="1"/>
    <col min="9" max="9" width="28.44140625" style="2" customWidth="1"/>
    <col min="10" max="10" width="13.5546875" style="34" customWidth="1"/>
    <col min="11" max="11" width="13.5546875" style="31" customWidth="1"/>
    <col min="12" max="12" width="15.5546875" style="31" customWidth="1"/>
    <col min="13" max="13" width="16.5546875" style="31" customWidth="1"/>
    <col min="14" max="14" width="9.44140625" style="31"/>
    <col min="15" max="19" width="9.44140625" style="34"/>
    <col min="20" max="16384" width="9.44140625" style="2"/>
  </cols>
  <sheetData>
    <row r="1" spans="1:19" ht="28.35" customHeight="1" thickBot="1" x14ac:dyDescent="0.3">
      <c r="A1" s="89" t="s">
        <v>1191</v>
      </c>
      <c r="B1" s="214" t="s">
        <v>710</v>
      </c>
      <c r="C1" s="215">
        <f>C4+C11+C22+C33+C59+C92+C157+C164+C185+C193+C201</f>
        <v>961.64999999999986</v>
      </c>
      <c r="G1" s="570"/>
      <c r="H1" s="570"/>
      <c r="I1" s="105"/>
    </row>
    <row r="2" spans="1:19" s="1" customFormat="1" ht="29.4" customHeight="1" thickTop="1" thickBot="1" x14ac:dyDescent="0.3">
      <c r="A2" s="253" t="s">
        <v>9284</v>
      </c>
      <c r="B2" s="214" t="s">
        <v>489</v>
      </c>
      <c r="C2" s="215">
        <f>C4+C22+C33+C59+C92+C157+C164+C185+C193</f>
        <v>851.84999999999991</v>
      </c>
      <c r="D2" s="48"/>
      <c r="E2" s="48" t="s">
        <v>119</v>
      </c>
      <c r="F2" s="47">
        <f>F11+F33+F22+F59+F92+F157+F164+F185+F193+F201+F4</f>
        <v>461783987.28761911</v>
      </c>
      <c r="G2" s="75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 s="8" customFormat="1" ht="40.35" customHeight="1" thickTop="1" x14ac:dyDescent="0.25">
      <c r="A3" s="6" t="s">
        <v>192</v>
      </c>
      <c r="B3" s="14" t="s">
        <v>37</v>
      </c>
      <c r="C3" s="42" t="s">
        <v>51</v>
      </c>
      <c r="D3" s="6" t="s">
        <v>109</v>
      </c>
      <c r="E3" s="6" t="s">
        <v>121</v>
      </c>
      <c r="F3" s="46" t="s">
        <v>56</v>
      </c>
      <c r="G3" s="27" t="s">
        <v>58</v>
      </c>
      <c r="H3" s="6" t="s">
        <v>57</v>
      </c>
      <c r="I3" s="7" t="s">
        <v>10</v>
      </c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31" customFormat="1" ht="17.850000000000001" customHeight="1" x14ac:dyDescent="0.25">
      <c r="A4" s="11" t="s">
        <v>701</v>
      </c>
      <c r="B4" s="66"/>
      <c r="C4" s="213">
        <f>SUM(C5:C10)</f>
        <v>61.4</v>
      </c>
      <c r="D4" s="9"/>
      <c r="E4" s="65"/>
      <c r="F4" s="44">
        <f>SUM(F5:F10)</f>
        <v>26500000</v>
      </c>
      <c r="G4" s="24"/>
      <c r="H4" s="9"/>
      <c r="I4" s="10"/>
      <c r="J4" s="34"/>
      <c r="O4" s="34"/>
      <c r="P4" s="34"/>
      <c r="Q4" s="34"/>
      <c r="R4" s="34"/>
      <c r="S4" s="34"/>
    </row>
    <row r="5" spans="1:19" s="31" customFormat="1" ht="7.35" customHeight="1" x14ac:dyDescent="0.25">
      <c r="A5" s="110">
        <v>0</v>
      </c>
      <c r="B5" s="111"/>
      <c r="C5" s="112"/>
      <c r="D5" s="110"/>
      <c r="E5" s="110"/>
      <c r="F5" s="113"/>
      <c r="G5" s="114"/>
      <c r="H5" s="111"/>
      <c r="I5" s="110"/>
      <c r="J5" s="34"/>
      <c r="O5" s="34"/>
      <c r="P5" s="34"/>
      <c r="Q5" s="34"/>
      <c r="R5" s="34"/>
      <c r="S5" s="34"/>
    </row>
    <row r="6" spans="1:19" s="228" customFormat="1" x14ac:dyDescent="0.25">
      <c r="A6" s="68" t="s">
        <v>699</v>
      </c>
      <c r="B6" s="14"/>
      <c r="C6" s="13">
        <v>44.4</v>
      </c>
      <c r="D6" s="32" t="s">
        <v>1170</v>
      </c>
      <c r="E6" s="32" t="s">
        <v>691</v>
      </c>
      <c r="F6" s="4">
        <v>10000000</v>
      </c>
      <c r="G6" s="86"/>
      <c r="H6" s="211"/>
      <c r="I6" s="208" t="s">
        <v>1310</v>
      </c>
      <c r="J6" s="21"/>
    </row>
    <row r="7" spans="1:19" s="97" customFormat="1" x14ac:dyDescent="0.25">
      <c r="A7" s="61" t="s">
        <v>160</v>
      </c>
      <c r="B7" s="14"/>
      <c r="C7" s="13">
        <v>10</v>
      </c>
      <c r="D7" s="32" t="s">
        <v>1228</v>
      </c>
      <c r="E7" s="13" t="s">
        <v>365</v>
      </c>
      <c r="F7" s="4">
        <v>10000000</v>
      </c>
      <c r="G7" s="69" t="s">
        <v>642</v>
      </c>
      <c r="H7" s="14"/>
      <c r="I7" s="41" t="s">
        <v>640</v>
      </c>
      <c r="J7" s="22"/>
      <c r="K7" s="22"/>
    </row>
    <row r="8" spans="1:19" s="97" customFormat="1" x14ac:dyDescent="0.25">
      <c r="A8" s="61" t="s">
        <v>160</v>
      </c>
      <c r="B8" s="14"/>
      <c r="C8" s="13">
        <v>5</v>
      </c>
      <c r="D8" s="32" t="s">
        <v>1283</v>
      </c>
      <c r="E8" s="13" t="s">
        <v>365</v>
      </c>
      <c r="F8" s="4">
        <v>5000000</v>
      </c>
      <c r="G8" s="69" t="s">
        <v>642</v>
      </c>
      <c r="H8" s="14"/>
      <c r="I8" s="41" t="s">
        <v>1284</v>
      </c>
      <c r="J8" s="22"/>
      <c r="K8" s="22"/>
    </row>
    <row r="9" spans="1:19" s="8" customFormat="1" x14ac:dyDescent="0.25">
      <c r="A9" s="13" t="s">
        <v>103</v>
      </c>
      <c r="B9" s="14"/>
      <c r="C9" s="13">
        <v>2</v>
      </c>
      <c r="D9" s="13" t="s">
        <v>508</v>
      </c>
      <c r="E9" s="13" t="s">
        <v>62</v>
      </c>
      <c r="F9" s="37">
        <v>1500000</v>
      </c>
      <c r="G9" s="29"/>
      <c r="H9" s="14"/>
      <c r="I9" s="4"/>
      <c r="J9" s="23"/>
    </row>
    <row r="10" spans="1:19" s="31" customFormat="1" ht="9" customHeight="1" x14ac:dyDescent="0.25">
      <c r="A10" s="32"/>
      <c r="B10" s="14"/>
      <c r="C10" s="13"/>
      <c r="D10" s="32"/>
      <c r="E10" s="32"/>
      <c r="F10" s="4"/>
      <c r="G10" s="28"/>
      <c r="H10" s="14"/>
      <c r="I10" s="32"/>
      <c r="J10" s="34"/>
      <c r="O10" s="34"/>
      <c r="P10" s="34"/>
      <c r="Q10" s="34"/>
      <c r="R10" s="34"/>
      <c r="S10" s="34"/>
    </row>
    <row r="11" spans="1:19" s="8" customFormat="1" ht="18.75" customHeight="1" x14ac:dyDescent="0.25">
      <c r="A11" s="11" t="s">
        <v>736</v>
      </c>
      <c r="B11" s="66"/>
      <c r="C11" s="213">
        <f>SUM(C12:C21)</f>
        <v>46.800000000000004</v>
      </c>
      <c r="D11" s="9"/>
      <c r="E11" s="9"/>
      <c r="F11" s="390">
        <f>SUM(F12:F21)</f>
        <v>10400000</v>
      </c>
      <c r="G11" s="24"/>
      <c r="H11" s="9"/>
      <c r="I11" s="10"/>
      <c r="J11" s="34"/>
      <c r="K11" s="34"/>
      <c r="L11" s="34"/>
      <c r="M11" s="23"/>
      <c r="N11" s="23"/>
      <c r="O11" s="23"/>
      <c r="P11" s="23"/>
      <c r="Q11" s="23"/>
      <c r="R11" s="23"/>
      <c r="S11" s="23"/>
    </row>
    <row r="12" spans="1:19" ht="8.25" customHeight="1" x14ac:dyDescent="0.25">
      <c r="A12" s="17">
        <v>0</v>
      </c>
      <c r="B12" s="39"/>
      <c r="C12" s="40"/>
      <c r="D12" s="17"/>
      <c r="E12" s="17"/>
      <c r="F12" s="36"/>
      <c r="G12" s="38"/>
      <c r="H12" s="39"/>
      <c r="I12" s="17"/>
      <c r="J12" s="2"/>
      <c r="M12" s="2"/>
      <c r="N12" s="2"/>
      <c r="O12" s="2"/>
      <c r="P12" s="2"/>
      <c r="Q12" s="2"/>
      <c r="R12" s="2"/>
      <c r="S12" s="2"/>
    </row>
    <row r="13" spans="1:19" s="228" customFormat="1" x14ac:dyDescent="0.25">
      <c r="A13" s="32" t="s">
        <v>1147</v>
      </c>
      <c r="B13" s="14" t="s">
        <v>4005</v>
      </c>
      <c r="C13" s="13">
        <v>6</v>
      </c>
      <c r="D13" s="32" t="s">
        <v>4006</v>
      </c>
      <c r="E13" s="32" t="s">
        <v>136</v>
      </c>
      <c r="F13" s="4">
        <v>2000000</v>
      </c>
      <c r="G13" s="174" t="s">
        <v>4007</v>
      </c>
      <c r="H13" s="14">
        <v>43486</v>
      </c>
      <c r="I13" s="41" t="s">
        <v>490</v>
      </c>
      <c r="J13" s="22"/>
      <c r="K13" s="63"/>
      <c r="L13" s="62"/>
    </row>
    <row r="14" spans="1:19" s="228" customFormat="1" x14ac:dyDescent="0.25">
      <c r="A14" s="32" t="s">
        <v>212</v>
      </c>
      <c r="B14" s="14"/>
      <c r="C14" s="13">
        <v>10</v>
      </c>
      <c r="D14" s="32" t="s">
        <v>212</v>
      </c>
      <c r="E14" s="32"/>
      <c r="F14" s="4">
        <v>3000000</v>
      </c>
      <c r="G14" s="28"/>
      <c r="H14" s="14"/>
      <c r="I14" s="41" t="s">
        <v>277</v>
      </c>
      <c r="J14" s="22"/>
      <c r="K14" s="63"/>
      <c r="L14" s="62"/>
    </row>
    <row r="15" spans="1:19" s="31" customFormat="1" x14ac:dyDescent="0.25">
      <c r="A15" s="61" t="s">
        <v>160</v>
      </c>
      <c r="B15" s="14"/>
      <c r="C15" s="13">
        <v>6.3</v>
      </c>
      <c r="D15" s="13" t="s">
        <v>351</v>
      </c>
      <c r="E15" s="13"/>
      <c r="F15" s="37">
        <v>1000000</v>
      </c>
      <c r="G15" s="29"/>
      <c r="H15" s="14"/>
      <c r="I15" s="4" t="s">
        <v>484</v>
      </c>
      <c r="J15" s="34"/>
      <c r="O15" s="34"/>
      <c r="P15" s="34"/>
      <c r="Q15" s="34"/>
      <c r="R15" s="34"/>
      <c r="S15" s="34"/>
    </row>
    <row r="16" spans="1:19" s="31" customFormat="1" x14ac:dyDescent="0.25">
      <c r="A16" s="61" t="s">
        <v>160</v>
      </c>
      <c r="B16" s="14"/>
      <c r="C16" s="13">
        <v>7.3</v>
      </c>
      <c r="D16" s="13" t="s">
        <v>704</v>
      </c>
      <c r="E16" s="13" t="s">
        <v>130</v>
      </c>
      <c r="F16" s="37">
        <v>500000</v>
      </c>
      <c r="G16" s="29"/>
      <c r="H16" s="14"/>
      <c r="I16" s="4" t="s">
        <v>605</v>
      </c>
      <c r="J16" s="34"/>
      <c r="O16" s="34"/>
      <c r="P16" s="34"/>
      <c r="Q16" s="34"/>
      <c r="R16" s="34"/>
      <c r="S16" s="34"/>
    </row>
    <row r="17" spans="1:19" s="62" customFormat="1" x14ac:dyDescent="0.25">
      <c r="A17" s="61" t="s">
        <v>160</v>
      </c>
      <c r="B17" s="14"/>
      <c r="C17" s="13">
        <v>2.4</v>
      </c>
      <c r="D17" s="13" t="s">
        <v>706</v>
      </c>
      <c r="E17" s="13" t="s">
        <v>130</v>
      </c>
      <c r="F17" s="37">
        <v>1000000</v>
      </c>
      <c r="G17" s="29"/>
      <c r="H17" s="14"/>
      <c r="I17" s="13" t="s">
        <v>707</v>
      </c>
      <c r="J17" s="35"/>
      <c r="O17" s="35"/>
      <c r="P17" s="35"/>
      <c r="Q17" s="35"/>
      <c r="R17" s="35"/>
      <c r="S17" s="35"/>
    </row>
    <row r="18" spans="1:19" s="62" customFormat="1" x14ac:dyDescent="0.25">
      <c r="A18" s="61" t="s">
        <v>160</v>
      </c>
      <c r="B18" s="14"/>
      <c r="C18" s="13">
        <v>13.2</v>
      </c>
      <c r="D18" s="13" t="s">
        <v>133</v>
      </c>
      <c r="E18" s="13" t="s">
        <v>130</v>
      </c>
      <c r="F18" s="37">
        <v>2000000</v>
      </c>
      <c r="G18" s="29"/>
      <c r="H18" s="14"/>
      <c r="I18" s="4" t="s">
        <v>705</v>
      </c>
      <c r="J18" s="71"/>
      <c r="O18" s="35"/>
      <c r="P18" s="35"/>
      <c r="Q18" s="35"/>
      <c r="R18" s="35"/>
      <c r="S18" s="35"/>
    </row>
    <row r="19" spans="1:19" s="62" customFormat="1" x14ac:dyDescent="0.25">
      <c r="A19" s="61" t="s">
        <v>160</v>
      </c>
      <c r="B19" s="14"/>
      <c r="C19" s="13">
        <v>1.2</v>
      </c>
      <c r="D19" s="13" t="s">
        <v>709</v>
      </c>
      <c r="E19" s="13" t="s">
        <v>130</v>
      </c>
      <c r="F19" s="37">
        <v>500000</v>
      </c>
      <c r="G19" s="29"/>
      <c r="H19" s="14"/>
      <c r="I19" s="4" t="s">
        <v>576</v>
      </c>
      <c r="J19" s="71"/>
      <c r="O19" s="35"/>
      <c r="P19" s="35"/>
      <c r="Q19" s="35"/>
      <c r="R19" s="35"/>
      <c r="S19" s="35"/>
    </row>
    <row r="20" spans="1:19" s="62" customFormat="1" x14ac:dyDescent="0.25">
      <c r="A20" s="61" t="s">
        <v>160</v>
      </c>
      <c r="B20" s="14"/>
      <c r="C20" s="13">
        <v>0.4</v>
      </c>
      <c r="D20" s="13" t="s">
        <v>853</v>
      </c>
      <c r="E20" s="13"/>
      <c r="F20" s="37">
        <v>400000</v>
      </c>
      <c r="G20" s="29"/>
      <c r="H20" s="14"/>
      <c r="I20" s="4" t="s">
        <v>708</v>
      </c>
      <c r="J20" s="71"/>
      <c r="O20" s="35"/>
      <c r="P20" s="35"/>
      <c r="Q20" s="35"/>
      <c r="R20" s="35"/>
      <c r="S20" s="35"/>
    </row>
    <row r="21" spans="1:19" ht="8.25" customHeight="1" x14ac:dyDescent="0.25">
      <c r="A21" s="17">
        <v>0</v>
      </c>
      <c r="B21" s="39"/>
      <c r="C21" s="40"/>
      <c r="D21" s="17"/>
      <c r="E21" s="17"/>
      <c r="F21" s="36"/>
      <c r="G21" s="38"/>
      <c r="H21" s="39"/>
      <c r="I21" s="17"/>
      <c r="J21" s="2"/>
      <c r="M21" s="2"/>
      <c r="N21" s="2"/>
      <c r="O21" s="2"/>
      <c r="P21" s="2"/>
      <c r="Q21" s="2"/>
      <c r="R21" s="2"/>
      <c r="S21" s="2"/>
    </row>
    <row r="22" spans="1:19" s="8" customFormat="1" ht="19.350000000000001" customHeight="1" x14ac:dyDescent="0.25">
      <c r="A22" s="11" t="s">
        <v>3</v>
      </c>
      <c r="B22" s="66"/>
      <c r="C22" s="213">
        <f>SUM(C23:C32)</f>
        <v>137.69999999999999</v>
      </c>
      <c r="D22" s="9"/>
      <c r="E22" s="9"/>
      <c r="F22" s="44">
        <f>SUM(F23:F32)</f>
        <v>45757975.990000002</v>
      </c>
      <c r="G22" s="24"/>
      <c r="H22" s="9"/>
      <c r="I22" s="10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ht="8.25" customHeight="1" x14ac:dyDescent="0.25">
      <c r="A23" s="17">
        <v>0</v>
      </c>
      <c r="B23" s="39"/>
      <c r="C23" s="40"/>
      <c r="D23" s="17"/>
      <c r="E23" s="17"/>
      <c r="F23" s="36"/>
      <c r="G23" s="38"/>
      <c r="H23" s="39"/>
      <c r="I23" s="17"/>
      <c r="J23" s="2"/>
    </row>
    <row r="24" spans="1:19" s="228" customFormat="1" ht="13.95" customHeight="1" x14ac:dyDescent="0.25">
      <c r="A24" s="32" t="s">
        <v>160</v>
      </c>
      <c r="B24" s="14"/>
      <c r="C24" s="13">
        <v>0.2</v>
      </c>
      <c r="D24" s="32" t="s">
        <v>999</v>
      </c>
      <c r="E24" s="32" t="s">
        <v>808</v>
      </c>
      <c r="F24" s="4">
        <v>211832.47</v>
      </c>
      <c r="G24" s="69" t="s">
        <v>207</v>
      </c>
      <c r="H24" s="14"/>
      <c r="I24" s="84" t="s">
        <v>882</v>
      </c>
      <c r="J24" s="21"/>
    </row>
    <row r="25" spans="1:19" s="228" customFormat="1" x14ac:dyDescent="0.25">
      <c r="A25" s="68" t="s">
        <v>188</v>
      </c>
      <c r="B25" s="14"/>
      <c r="C25" s="13">
        <v>0.6</v>
      </c>
      <c r="D25" s="32" t="s">
        <v>4071</v>
      </c>
      <c r="E25" s="32" t="s">
        <v>160</v>
      </c>
      <c r="F25" s="4">
        <v>610797.69999999995</v>
      </c>
      <c r="G25" s="86" t="s">
        <v>4072</v>
      </c>
      <c r="H25" s="211">
        <v>42464</v>
      </c>
      <c r="I25" s="208" t="s">
        <v>21</v>
      </c>
      <c r="J25" s="21"/>
    </row>
    <row r="26" spans="1:19" s="228" customFormat="1" ht="16.2" customHeight="1" x14ac:dyDescent="0.25">
      <c r="A26" s="68" t="s">
        <v>1654</v>
      </c>
      <c r="B26" s="14"/>
      <c r="C26" s="13">
        <v>1.7</v>
      </c>
      <c r="D26" s="32" t="s">
        <v>1655</v>
      </c>
      <c r="E26" s="32" t="s">
        <v>160</v>
      </c>
      <c r="F26" s="4">
        <v>1700000</v>
      </c>
      <c r="G26" s="69" t="s">
        <v>1656</v>
      </c>
      <c r="H26" s="14"/>
      <c r="I26" s="84" t="s">
        <v>273</v>
      </c>
      <c r="J26" s="76"/>
      <c r="K26" s="62"/>
    </row>
    <row r="27" spans="1:19" s="228" customFormat="1" ht="14.85" customHeight="1" x14ac:dyDescent="0.25">
      <c r="A27" s="68" t="s">
        <v>213</v>
      </c>
      <c r="B27" s="14" t="s">
        <v>754</v>
      </c>
      <c r="C27" s="13">
        <v>0.2</v>
      </c>
      <c r="D27" s="32" t="s">
        <v>1938</v>
      </c>
      <c r="E27" s="32" t="s">
        <v>160</v>
      </c>
      <c r="F27" s="4">
        <v>235345.82</v>
      </c>
      <c r="G27" s="69" t="s">
        <v>1456</v>
      </c>
      <c r="H27" s="14"/>
      <c r="I27" s="41" t="s">
        <v>21</v>
      </c>
      <c r="J27" s="22"/>
      <c r="K27" s="62"/>
    </row>
    <row r="28" spans="1:19" s="228" customFormat="1" x14ac:dyDescent="0.25">
      <c r="A28" s="68" t="s">
        <v>4254</v>
      </c>
      <c r="B28" s="14"/>
      <c r="C28" s="13">
        <v>15.6</v>
      </c>
      <c r="D28" s="32" t="s">
        <v>2759</v>
      </c>
      <c r="E28" s="32" t="s">
        <v>160</v>
      </c>
      <c r="F28" s="4">
        <v>7000000</v>
      </c>
      <c r="G28" s="69" t="s">
        <v>2608</v>
      </c>
      <c r="H28" s="14"/>
      <c r="I28" s="41" t="s">
        <v>23</v>
      </c>
      <c r="J28" s="21"/>
    </row>
    <row r="29" spans="1:19" s="228" customFormat="1" x14ac:dyDescent="0.25">
      <c r="A29" s="68" t="s">
        <v>160</v>
      </c>
      <c r="B29" s="14"/>
      <c r="C29" s="13">
        <v>63</v>
      </c>
      <c r="D29" s="32" t="s">
        <v>4987</v>
      </c>
      <c r="E29" s="32" t="s">
        <v>160</v>
      </c>
      <c r="F29" s="4">
        <v>20000000</v>
      </c>
      <c r="G29" s="86" t="s">
        <v>207</v>
      </c>
      <c r="H29" s="211"/>
      <c r="I29" s="84" t="s">
        <v>273</v>
      </c>
      <c r="J29" s="21"/>
    </row>
    <row r="30" spans="1:19" s="228" customFormat="1" ht="13.95" customHeight="1" x14ac:dyDescent="0.25">
      <c r="A30" s="32" t="s">
        <v>442</v>
      </c>
      <c r="B30" s="14"/>
      <c r="C30" s="13">
        <v>37.299999999999997</v>
      </c>
      <c r="D30" s="32" t="s">
        <v>1644</v>
      </c>
      <c r="E30" s="32" t="s">
        <v>160</v>
      </c>
      <c r="F30" s="4">
        <v>10000000</v>
      </c>
      <c r="G30" s="86" t="s">
        <v>207</v>
      </c>
      <c r="H30" s="14"/>
      <c r="I30" s="84" t="s">
        <v>23</v>
      </c>
      <c r="J30" s="21"/>
    </row>
    <row r="31" spans="1:19" s="228" customFormat="1" x14ac:dyDescent="0.25">
      <c r="A31" s="32" t="s">
        <v>160</v>
      </c>
      <c r="B31" s="14"/>
      <c r="C31" s="13">
        <v>19.100000000000001</v>
      </c>
      <c r="D31" s="32" t="s">
        <v>528</v>
      </c>
      <c r="E31" s="32" t="s">
        <v>160</v>
      </c>
      <c r="F31" s="4">
        <v>6000000</v>
      </c>
      <c r="G31" s="69" t="s">
        <v>207</v>
      </c>
      <c r="H31" s="14"/>
      <c r="I31" s="41" t="s">
        <v>273</v>
      </c>
      <c r="J31" s="21"/>
    </row>
    <row r="32" spans="1:19" ht="6" customHeight="1" x14ac:dyDescent="0.25">
      <c r="A32" s="3">
        <v>0</v>
      </c>
      <c r="B32" s="212"/>
      <c r="C32" s="3"/>
      <c r="D32" s="3"/>
      <c r="E32" s="3"/>
      <c r="F32" s="209"/>
      <c r="G32" s="25"/>
      <c r="H32" s="212"/>
      <c r="I32" s="208"/>
    </row>
    <row r="33" spans="1:19" s="8" customFormat="1" ht="22.35" customHeight="1" x14ac:dyDescent="0.25">
      <c r="A33" s="11" t="s">
        <v>521</v>
      </c>
      <c r="B33" s="66"/>
      <c r="C33" s="213">
        <f>SUM(C34:C58)</f>
        <v>210.54999999999995</v>
      </c>
      <c r="D33" s="9"/>
      <c r="E33" s="9"/>
      <c r="F33" s="44">
        <f>SUM(F34:F58)</f>
        <v>84807159.178000003</v>
      </c>
      <c r="G33" s="24"/>
      <c r="H33" s="9"/>
      <c r="I33" s="10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 spans="1:19" ht="6" customHeight="1" x14ac:dyDescent="0.25">
      <c r="A34" s="17">
        <v>0</v>
      </c>
      <c r="B34" s="39"/>
      <c r="C34" s="40"/>
      <c r="D34" s="17"/>
      <c r="E34" s="17"/>
      <c r="F34" s="36"/>
      <c r="G34" s="38"/>
      <c r="H34" s="39"/>
      <c r="I34" s="17"/>
      <c r="J34" s="2"/>
    </row>
    <row r="35" spans="1:19" s="228" customFormat="1" ht="13.95" customHeight="1" x14ac:dyDescent="0.25">
      <c r="A35" s="13" t="s">
        <v>160</v>
      </c>
      <c r="B35" s="14"/>
      <c r="C35" s="13">
        <v>23.6</v>
      </c>
      <c r="D35" s="32" t="s">
        <v>667</v>
      </c>
      <c r="E35" s="32" t="s">
        <v>130</v>
      </c>
      <c r="F35" s="4">
        <v>13000000</v>
      </c>
      <c r="G35" s="69" t="s">
        <v>207</v>
      </c>
      <c r="H35" s="14"/>
      <c r="I35" s="41" t="s">
        <v>5782</v>
      </c>
      <c r="J35" s="22"/>
      <c r="K35" s="62"/>
    </row>
    <row r="36" spans="1:19" s="228" customFormat="1" x14ac:dyDescent="0.25">
      <c r="A36" s="32" t="s">
        <v>550</v>
      </c>
      <c r="B36" s="14"/>
      <c r="C36" s="13">
        <v>0</v>
      </c>
      <c r="D36" s="32" t="s">
        <v>1787</v>
      </c>
      <c r="E36" s="32" t="s">
        <v>62</v>
      </c>
      <c r="F36" s="4">
        <v>0</v>
      </c>
      <c r="G36" s="86" t="s">
        <v>453</v>
      </c>
      <c r="H36" s="211"/>
      <c r="I36" s="208" t="s">
        <v>671</v>
      </c>
      <c r="J36" s="21"/>
    </row>
    <row r="37" spans="1:19" s="228" customFormat="1" ht="15" customHeight="1" x14ac:dyDescent="0.25">
      <c r="A37" s="68" t="s">
        <v>160</v>
      </c>
      <c r="B37" s="14"/>
      <c r="C37" s="13">
        <v>6</v>
      </c>
      <c r="D37" s="13" t="s">
        <v>969</v>
      </c>
      <c r="E37" s="32" t="s">
        <v>62</v>
      </c>
      <c r="F37" s="4">
        <v>3000000</v>
      </c>
      <c r="G37" s="86" t="s">
        <v>207</v>
      </c>
      <c r="H37" s="14"/>
      <c r="I37" s="4" t="s">
        <v>229</v>
      </c>
      <c r="J37" s="71"/>
      <c r="K37" s="62"/>
      <c r="L37" s="62"/>
    </row>
    <row r="38" spans="1:19" s="228" customFormat="1" ht="13.95" customHeight="1" x14ac:dyDescent="0.25">
      <c r="A38" s="32" t="s">
        <v>160</v>
      </c>
      <c r="B38" s="14"/>
      <c r="C38" s="13">
        <v>14.3</v>
      </c>
      <c r="D38" s="32" t="s">
        <v>470</v>
      </c>
      <c r="E38" s="32" t="s">
        <v>62</v>
      </c>
      <c r="F38" s="4">
        <v>3000000</v>
      </c>
      <c r="G38" s="86" t="s">
        <v>207</v>
      </c>
      <c r="H38" s="211"/>
      <c r="I38" s="208" t="s">
        <v>237</v>
      </c>
      <c r="J38" s="21"/>
    </row>
    <row r="39" spans="1:19" s="228" customFormat="1" x14ac:dyDescent="0.25">
      <c r="A39" s="61" t="s">
        <v>160</v>
      </c>
      <c r="B39" s="14"/>
      <c r="C39" s="13">
        <v>7.8</v>
      </c>
      <c r="D39" s="13" t="s">
        <v>228</v>
      </c>
      <c r="E39" s="32" t="s">
        <v>1913</v>
      </c>
      <c r="F39" s="4">
        <v>3000000</v>
      </c>
      <c r="G39" s="86" t="s">
        <v>207</v>
      </c>
      <c r="H39" s="211"/>
      <c r="I39" s="208" t="s">
        <v>229</v>
      </c>
      <c r="J39" s="21"/>
    </row>
    <row r="40" spans="1:19" s="228" customFormat="1" ht="15" customHeight="1" x14ac:dyDescent="0.25">
      <c r="A40" s="68" t="s">
        <v>160</v>
      </c>
      <c r="B40" s="14"/>
      <c r="C40" s="13">
        <v>69.8</v>
      </c>
      <c r="D40" s="13" t="s">
        <v>456</v>
      </c>
      <c r="E40" s="32" t="s">
        <v>62</v>
      </c>
      <c r="F40" s="4">
        <v>20000000</v>
      </c>
      <c r="G40" s="86" t="s">
        <v>207</v>
      </c>
      <c r="H40" s="14"/>
      <c r="I40" s="4" t="s">
        <v>237</v>
      </c>
      <c r="J40" s="35"/>
      <c r="K40" s="62"/>
      <c r="L40" s="62"/>
      <c r="M40" s="62"/>
      <c r="N40" s="62"/>
      <c r="O40" s="35"/>
      <c r="P40" s="35"/>
      <c r="Q40" s="35"/>
      <c r="R40" s="35"/>
      <c r="S40" s="35"/>
    </row>
    <row r="41" spans="1:19" s="228" customFormat="1" ht="13.95" customHeight="1" x14ac:dyDescent="0.25">
      <c r="A41" s="68" t="s">
        <v>160</v>
      </c>
      <c r="B41" s="242"/>
      <c r="C41" s="13">
        <v>0.3</v>
      </c>
      <c r="D41" s="13" t="s">
        <v>950</v>
      </c>
      <c r="E41" s="32" t="s">
        <v>7369</v>
      </c>
      <c r="F41" s="4">
        <v>332000</v>
      </c>
      <c r="G41" s="86" t="s">
        <v>207</v>
      </c>
      <c r="H41" s="14"/>
      <c r="I41" s="4" t="s">
        <v>361</v>
      </c>
      <c r="J41" s="22"/>
    </row>
    <row r="42" spans="1:19" s="228" customFormat="1" ht="14.1" customHeight="1" x14ac:dyDescent="0.25">
      <c r="A42" s="32" t="s">
        <v>160</v>
      </c>
      <c r="B42" s="14"/>
      <c r="C42" s="13">
        <v>6.3</v>
      </c>
      <c r="D42" s="32" t="s">
        <v>541</v>
      </c>
      <c r="E42" s="13" t="s">
        <v>4988</v>
      </c>
      <c r="F42" s="4">
        <v>2500000</v>
      </c>
      <c r="G42" s="86" t="s">
        <v>207</v>
      </c>
      <c r="H42" s="211"/>
      <c r="I42" s="208" t="s">
        <v>4989</v>
      </c>
      <c r="J42" s="21"/>
    </row>
    <row r="43" spans="1:19" s="228" customFormat="1" ht="14.1" customHeight="1" x14ac:dyDescent="0.25">
      <c r="A43" s="32" t="s">
        <v>4547</v>
      </c>
      <c r="B43" s="14" t="s">
        <v>627</v>
      </c>
      <c r="C43" s="13">
        <v>25.9</v>
      </c>
      <c r="D43" s="32" t="s">
        <v>541</v>
      </c>
      <c r="E43" s="13" t="s">
        <v>62</v>
      </c>
      <c r="F43" s="4">
        <v>5000000</v>
      </c>
      <c r="G43" s="86" t="s">
        <v>207</v>
      </c>
      <c r="H43" s="211"/>
      <c r="I43" s="208" t="s">
        <v>427</v>
      </c>
      <c r="J43" s="21"/>
    </row>
    <row r="44" spans="1:19" s="228" customFormat="1" ht="14.1" customHeight="1" x14ac:dyDescent="0.25">
      <c r="A44" s="68" t="s">
        <v>160</v>
      </c>
      <c r="B44" s="14"/>
      <c r="C44" s="13">
        <v>2</v>
      </c>
      <c r="D44" s="32" t="s">
        <v>219</v>
      </c>
      <c r="E44" s="32" t="s">
        <v>7369</v>
      </c>
      <c r="F44" s="4">
        <v>1000000</v>
      </c>
      <c r="G44" s="86" t="s">
        <v>207</v>
      </c>
      <c r="H44" s="211"/>
      <c r="I44" s="208" t="s">
        <v>7368</v>
      </c>
      <c r="J44" s="21"/>
    </row>
    <row r="45" spans="1:19" s="228" customFormat="1" x14ac:dyDescent="0.25">
      <c r="A45" s="68" t="s">
        <v>160</v>
      </c>
      <c r="B45" s="14"/>
      <c r="C45" s="13">
        <v>0.9</v>
      </c>
      <c r="D45" s="32" t="s">
        <v>1664</v>
      </c>
      <c r="E45" s="32" t="s">
        <v>7369</v>
      </c>
      <c r="F45" s="4">
        <v>900000</v>
      </c>
      <c r="G45" s="86" t="s">
        <v>583</v>
      </c>
      <c r="H45" s="211"/>
      <c r="I45" s="208" t="s">
        <v>16</v>
      </c>
      <c r="J45" s="21"/>
    </row>
    <row r="46" spans="1:19" s="228" customFormat="1" ht="13.95" customHeight="1" x14ac:dyDescent="0.25">
      <c r="A46" s="61" t="s">
        <v>358</v>
      </c>
      <c r="B46" s="14"/>
      <c r="C46" s="13">
        <v>1.75</v>
      </c>
      <c r="D46" s="32" t="s">
        <v>8257</v>
      </c>
      <c r="E46" s="32" t="s">
        <v>62</v>
      </c>
      <c r="F46" s="4">
        <v>1750864.25</v>
      </c>
      <c r="G46" s="86" t="s">
        <v>8258</v>
      </c>
      <c r="H46" s="211"/>
      <c r="I46" s="208" t="s">
        <v>5426</v>
      </c>
      <c r="J46" s="21"/>
    </row>
    <row r="47" spans="1:19" s="228" customFormat="1" ht="13.95" customHeight="1" x14ac:dyDescent="0.25">
      <c r="A47" s="68" t="s">
        <v>455</v>
      </c>
      <c r="B47" s="14"/>
      <c r="C47" s="13">
        <v>0.6</v>
      </c>
      <c r="D47" s="13" t="s">
        <v>4470</v>
      </c>
      <c r="E47" s="32" t="s">
        <v>958</v>
      </c>
      <c r="F47" s="4">
        <v>609227.1399999999</v>
      </c>
      <c r="G47" s="86" t="s">
        <v>4469</v>
      </c>
      <c r="H47" s="14"/>
      <c r="I47" s="4" t="s">
        <v>4468</v>
      </c>
      <c r="J47" s="71"/>
      <c r="K47" s="62"/>
      <c r="L47" s="62"/>
    </row>
    <row r="48" spans="1:19" s="228" customFormat="1" ht="13.95" customHeight="1" x14ac:dyDescent="0.25">
      <c r="A48" s="68" t="s">
        <v>310</v>
      </c>
      <c r="B48" s="14"/>
      <c r="C48" s="13">
        <v>0</v>
      </c>
      <c r="D48" s="13" t="s">
        <v>510</v>
      </c>
      <c r="E48" s="32" t="s">
        <v>7369</v>
      </c>
      <c r="F48" s="4">
        <v>0</v>
      </c>
      <c r="G48" s="86" t="s">
        <v>4467</v>
      </c>
      <c r="H48" s="14"/>
      <c r="I48" s="4" t="s">
        <v>237</v>
      </c>
      <c r="J48" s="71"/>
      <c r="K48" s="62"/>
      <c r="L48" s="62"/>
    </row>
    <row r="49" spans="1:19" s="228" customFormat="1" ht="13.95" customHeight="1" x14ac:dyDescent="0.25">
      <c r="A49" s="13" t="s">
        <v>160</v>
      </c>
      <c r="B49" s="14" t="s">
        <v>284</v>
      </c>
      <c r="C49" s="13">
        <v>0.6</v>
      </c>
      <c r="D49" s="32" t="s">
        <v>559</v>
      </c>
      <c r="E49" s="32" t="s">
        <v>62</v>
      </c>
      <c r="F49" s="4">
        <v>0</v>
      </c>
      <c r="G49" s="86" t="s">
        <v>207</v>
      </c>
      <c r="H49" s="211"/>
      <c r="I49" s="41" t="s">
        <v>1720</v>
      </c>
      <c r="J49" s="21"/>
    </row>
    <row r="50" spans="1:19" s="228" customFormat="1" x14ac:dyDescent="0.25">
      <c r="A50" s="32" t="s">
        <v>1034</v>
      </c>
      <c r="B50" s="14"/>
      <c r="C50" s="13">
        <v>2.7</v>
      </c>
      <c r="D50" s="32" t="s">
        <v>1671</v>
      </c>
      <c r="E50" s="32" t="s">
        <v>62</v>
      </c>
      <c r="F50" s="4">
        <v>1700000</v>
      </c>
      <c r="G50" s="86" t="s">
        <v>193</v>
      </c>
      <c r="H50" s="211"/>
      <c r="I50" s="208" t="s">
        <v>427</v>
      </c>
      <c r="J50" s="21"/>
    </row>
    <row r="51" spans="1:19" s="228" customFormat="1" ht="13.95" customHeight="1" x14ac:dyDescent="0.25">
      <c r="A51" s="32" t="s">
        <v>92</v>
      </c>
      <c r="B51" s="14" t="s">
        <v>284</v>
      </c>
      <c r="C51" s="13">
        <v>11.6</v>
      </c>
      <c r="D51" s="32" t="s">
        <v>39</v>
      </c>
      <c r="E51" s="32" t="s">
        <v>38</v>
      </c>
      <c r="F51" s="4">
        <v>3000000</v>
      </c>
      <c r="G51" s="86" t="s">
        <v>615</v>
      </c>
      <c r="H51" s="211"/>
      <c r="I51" s="41" t="s">
        <v>97</v>
      </c>
      <c r="J51" s="21"/>
    </row>
    <row r="52" spans="1:19" s="228" customFormat="1" ht="13.95" customHeight="1" x14ac:dyDescent="0.25">
      <c r="A52" s="32" t="s">
        <v>1285</v>
      </c>
      <c r="B52" s="14" t="s">
        <v>284</v>
      </c>
      <c r="C52" s="13">
        <v>12.2</v>
      </c>
      <c r="D52" s="32" t="s">
        <v>1800</v>
      </c>
      <c r="E52" s="32" t="s">
        <v>62</v>
      </c>
      <c r="F52" s="4">
        <v>3000000</v>
      </c>
      <c r="G52" s="86" t="s">
        <v>816</v>
      </c>
      <c r="H52" s="211"/>
      <c r="I52" s="208" t="s">
        <v>361</v>
      </c>
      <c r="J52" s="21"/>
    </row>
    <row r="53" spans="1:19" s="228" customFormat="1" ht="13.95" customHeight="1" x14ac:dyDescent="0.25">
      <c r="A53" s="32" t="s">
        <v>442</v>
      </c>
      <c r="B53" s="14" t="s">
        <v>284</v>
      </c>
      <c r="C53" s="13">
        <v>18.5</v>
      </c>
      <c r="D53" s="32" t="s">
        <v>8368</v>
      </c>
      <c r="E53" s="32" t="s">
        <v>62</v>
      </c>
      <c r="F53" s="4">
        <v>18450000</v>
      </c>
      <c r="G53" s="86" t="s">
        <v>8367</v>
      </c>
      <c r="H53" s="211"/>
      <c r="I53" s="41" t="s">
        <v>8366</v>
      </c>
      <c r="J53" s="21"/>
    </row>
    <row r="54" spans="1:19" s="228" customFormat="1" x14ac:dyDescent="0.25">
      <c r="A54" s="32" t="s">
        <v>442</v>
      </c>
      <c r="B54" s="14"/>
      <c r="C54" s="13">
        <v>1.2</v>
      </c>
      <c r="D54" s="32" t="s">
        <v>1179</v>
      </c>
      <c r="E54" s="32" t="s">
        <v>62</v>
      </c>
      <c r="F54" s="4">
        <v>1200000</v>
      </c>
      <c r="G54" s="86" t="s">
        <v>207</v>
      </c>
      <c r="H54" s="211"/>
      <c r="I54" s="208" t="s">
        <v>237</v>
      </c>
      <c r="J54" s="21"/>
    </row>
    <row r="55" spans="1:19" s="228" customFormat="1" ht="14.1" customHeight="1" x14ac:dyDescent="0.25">
      <c r="A55" s="32" t="s">
        <v>2</v>
      </c>
      <c r="B55" s="14"/>
      <c r="C55" s="13">
        <v>1.1000000000000001</v>
      </c>
      <c r="D55" s="32" t="s">
        <v>435</v>
      </c>
      <c r="E55" s="32" t="s">
        <v>62</v>
      </c>
      <c r="F55" s="4">
        <v>1100701.8100000005</v>
      </c>
      <c r="G55" s="69" t="s">
        <v>436</v>
      </c>
      <c r="H55" s="14"/>
      <c r="I55" s="4" t="s">
        <v>427</v>
      </c>
      <c r="J55" s="21"/>
    </row>
    <row r="56" spans="1:19" s="72" customFormat="1" ht="15" customHeight="1" x14ac:dyDescent="0.25">
      <c r="A56" s="42" t="s">
        <v>8</v>
      </c>
      <c r="B56" s="43"/>
      <c r="C56" s="42">
        <v>2.1</v>
      </c>
      <c r="D56" s="42" t="s">
        <v>1765</v>
      </c>
      <c r="E56" s="42" t="s">
        <v>808</v>
      </c>
      <c r="F56" s="354">
        <v>1000000</v>
      </c>
      <c r="G56" s="377" t="s">
        <v>1766</v>
      </c>
      <c r="H56" s="43"/>
      <c r="I56" s="241" t="s">
        <v>1204</v>
      </c>
      <c r="J56" s="339"/>
    </row>
    <row r="57" spans="1:19" s="228" customFormat="1" ht="13.95" customHeight="1" x14ac:dyDescent="0.25">
      <c r="A57" s="13" t="s">
        <v>956</v>
      </c>
      <c r="B57" s="14"/>
      <c r="C57" s="13">
        <v>1.3</v>
      </c>
      <c r="D57" s="32" t="s">
        <v>1982</v>
      </c>
      <c r="E57" s="32" t="s">
        <v>481</v>
      </c>
      <c r="F57" s="4">
        <v>1264365.9779999999</v>
      </c>
      <c r="G57" s="69" t="s">
        <v>1983</v>
      </c>
      <c r="H57" s="14"/>
      <c r="I57" s="41" t="s">
        <v>1984</v>
      </c>
      <c r="J57" s="22"/>
      <c r="K57" s="62"/>
    </row>
    <row r="58" spans="1:19" ht="7.35" customHeight="1" x14ac:dyDescent="0.25">
      <c r="A58" s="3">
        <v>0</v>
      </c>
      <c r="B58" s="212"/>
      <c r="C58" s="3"/>
      <c r="D58" s="3"/>
      <c r="E58" s="3"/>
      <c r="F58" s="209"/>
      <c r="G58" s="25"/>
      <c r="H58" s="212"/>
      <c r="I58" s="209"/>
    </row>
    <row r="59" spans="1:19" s="8" customFormat="1" ht="18.75" customHeight="1" x14ac:dyDescent="0.25">
      <c r="A59" s="11" t="s">
        <v>627</v>
      </c>
      <c r="B59" s="66"/>
      <c r="C59" s="213">
        <f>SUM(C60:C91)</f>
        <v>84.17</v>
      </c>
      <c r="D59" s="9"/>
      <c r="E59" s="9"/>
      <c r="F59" s="44">
        <f>SUM(F60:F91)</f>
        <v>84419693.359619081</v>
      </c>
      <c r="G59" s="24"/>
      <c r="H59" s="9"/>
      <c r="I59" s="10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9" customHeight="1" x14ac:dyDescent="0.25">
      <c r="A60" s="17">
        <v>0</v>
      </c>
      <c r="B60" s="39"/>
      <c r="C60" s="40"/>
      <c r="D60" s="17"/>
      <c r="E60" s="17"/>
      <c r="F60" s="36"/>
      <c r="G60" s="38"/>
      <c r="H60" s="39"/>
      <c r="I60" s="17"/>
      <c r="J60" s="2"/>
    </row>
    <row r="61" spans="1:19" s="228" customFormat="1" ht="13.95" customHeight="1" x14ac:dyDescent="0.25">
      <c r="A61" s="13" t="s">
        <v>1481</v>
      </c>
      <c r="B61" s="14"/>
      <c r="C61" s="13">
        <v>1.7</v>
      </c>
      <c r="D61" s="32" t="s">
        <v>1977</v>
      </c>
      <c r="E61" s="32" t="s">
        <v>130</v>
      </c>
      <c r="F61" s="4">
        <f>1730000</f>
        <v>1730000</v>
      </c>
      <c r="G61" s="69" t="s">
        <v>1978</v>
      </c>
      <c r="H61" s="14">
        <v>43363</v>
      </c>
      <c r="I61" s="41" t="s">
        <v>1979</v>
      </c>
      <c r="J61" s="22"/>
      <c r="K61" s="62"/>
    </row>
    <row r="62" spans="1:19" s="228" customFormat="1" ht="13.95" customHeight="1" x14ac:dyDescent="0.25">
      <c r="A62" s="68" t="s">
        <v>311</v>
      </c>
      <c r="B62" s="14"/>
      <c r="C62" s="13">
        <v>2.7</v>
      </c>
      <c r="D62" s="32" t="s">
        <v>1029</v>
      </c>
      <c r="E62" s="32" t="s">
        <v>958</v>
      </c>
      <c r="F62" s="4">
        <f>4700000-2000000</f>
        <v>2700000</v>
      </c>
      <c r="G62" s="86" t="s">
        <v>8678</v>
      </c>
      <c r="H62" s="211"/>
      <c r="I62" s="208" t="s">
        <v>8679</v>
      </c>
      <c r="J62" s="21"/>
    </row>
    <row r="63" spans="1:19" s="228" customFormat="1" ht="13.95" customHeight="1" x14ac:dyDescent="0.25">
      <c r="A63" s="61" t="s">
        <v>92</v>
      </c>
      <c r="B63" s="14"/>
      <c r="C63" s="13">
        <v>0.4</v>
      </c>
      <c r="D63" s="13" t="s">
        <v>474</v>
      </c>
      <c r="E63" s="32" t="s">
        <v>62</v>
      </c>
      <c r="F63" s="4">
        <v>460000</v>
      </c>
      <c r="G63" s="86" t="s">
        <v>9240</v>
      </c>
      <c r="H63" s="211"/>
      <c r="I63" s="4" t="s">
        <v>9241</v>
      </c>
      <c r="J63" s="21"/>
    </row>
    <row r="64" spans="1:19" s="228" customFormat="1" ht="16.5" customHeight="1" x14ac:dyDescent="0.25">
      <c r="A64" s="68" t="s">
        <v>91</v>
      </c>
      <c r="B64" s="14"/>
      <c r="C64" s="13">
        <v>0.4</v>
      </c>
      <c r="D64" s="32" t="s">
        <v>34</v>
      </c>
      <c r="E64" s="32" t="s">
        <v>62</v>
      </c>
      <c r="F64" s="4">
        <v>405000</v>
      </c>
      <c r="G64" s="69" t="s">
        <v>8693</v>
      </c>
      <c r="H64" s="14"/>
      <c r="I64" s="41" t="s">
        <v>6604</v>
      </c>
      <c r="J64" s="22"/>
      <c r="K64" s="62"/>
    </row>
    <row r="65" spans="1:11" s="228" customFormat="1" ht="16.5" customHeight="1" x14ac:dyDescent="0.25">
      <c r="A65" s="68" t="s">
        <v>91</v>
      </c>
      <c r="B65" s="14"/>
      <c r="C65" s="13">
        <v>0.03</v>
      </c>
      <c r="D65" s="32" t="s">
        <v>34</v>
      </c>
      <c r="E65" s="32" t="s">
        <v>62</v>
      </c>
      <c r="F65" s="4">
        <v>35000</v>
      </c>
      <c r="G65" s="69" t="s">
        <v>8694</v>
      </c>
      <c r="H65" s="14"/>
      <c r="I65" s="41" t="s">
        <v>8695</v>
      </c>
      <c r="J65" s="22"/>
      <c r="K65" s="62"/>
    </row>
    <row r="66" spans="1:11" s="228" customFormat="1" ht="13.95" customHeight="1" x14ac:dyDescent="0.25">
      <c r="A66" s="68" t="s">
        <v>166</v>
      </c>
      <c r="B66" s="14"/>
      <c r="C66" s="13">
        <v>0.2</v>
      </c>
      <c r="D66" s="32" t="s">
        <v>588</v>
      </c>
      <c r="E66" s="32" t="s">
        <v>76</v>
      </c>
      <c r="F66" s="4">
        <v>190000</v>
      </c>
      <c r="G66" s="69" t="s">
        <v>1729</v>
      </c>
      <c r="H66" s="14"/>
      <c r="I66" s="41" t="s">
        <v>82</v>
      </c>
      <c r="J66" s="22"/>
      <c r="K66" s="62"/>
    </row>
    <row r="67" spans="1:11" s="228" customFormat="1" ht="13.95" customHeight="1" x14ac:dyDescent="0.25">
      <c r="A67" s="68" t="s">
        <v>260</v>
      </c>
      <c r="B67" s="14"/>
      <c r="C67" s="13">
        <v>0.5</v>
      </c>
      <c r="D67" s="32" t="s">
        <v>588</v>
      </c>
      <c r="E67" s="32" t="s">
        <v>231</v>
      </c>
      <c r="F67" s="4">
        <v>474400</v>
      </c>
      <c r="G67" s="69" t="s">
        <v>1743</v>
      </c>
      <c r="H67" s="14"/>
      <c r="I67" s="41" t="s">
        <v>82</v>
      </c>
      <c r="J67" s="22"/>
      <c r="K67" s="62"/>
    </row>
    <row r="68" spans="1:11" s="228" customFormat="1" ht="13.95" customHeight="1" x14ac:dyDescent="0.25">
      <c r="A68" s="68" t="s">
        <v>310</v>
      </c>
      <c r="B68" s="14"/>
      <c r="C68" s="13">
        <v>8.1</v>
      </c>
      <c r="D68" s="32" t="s">
        <v>588</v>
      </c>
      <c r="E68" s="32" t="s">
        <v>958</v>
      </c>
      <c r="F68" s="4">
        <f>8100000</f>
        <v>8100000</v>
      </c>
      <c r="G68" s="69" t="s">
        <v>9279</v>
      </c>
      <c r="H68" s="14"/>
      <c r="I68" s="41" t="s">
        <v>82</v>
      </c>
      <c r="J68" s="22"/>
      <c r="K68" s="62"/>
    </row>
    <row r="69" spans="1:11" s="228" customFormat="1" ht="13.95" customHeight="1" x14ac:dyDescent="0.25">
      <c r="A69" s="61" t="s">
        <v>358</v>
      </c>
      <c r="B69" s="14"/>
      <c r="C69" s="13">
        <v>0.4</v>
      </c>
      <c r="D69" s="32" t="s">
        <v>8506</v>
      </c>
      <c r="E69" s="32" t="s">
        <v>62</v>
      </c>
      <c r="F69" s="4">
        <f>1344000-900000</f>
        <v>444000</v>
      </c>
      <c r="G69" s="86" t="s">
        <v>8507</v>
      </c>
      <c r="H69" s="211"/>
      <c r="I69" s="4" t="s">
        <v>8508</v>
      </c>
      <c r="J69" s="21"/>
    </row>
    <row r="70" spans="1:11" s="228" customFormat="1" ht="13.95" customHeight="1" x14ac:dyDescent="0.25">
      <c r="A70" s="61" t="s">
        <v>92</v>
      </c>
      <c r="B70" s="14"/>
      <c r="C70" s="13">
        <v>1.9</v>
      </c>
      <c r="D70" s="32" t="s">
        <v>8506</v>
      </c>
      <c r="E70" s="32" t="s">
        <v>62</v>
      </c>
      <c r="F70" s="4">
        <v>1924000</v>
      </c>
      <c r="G70" s="86" t="s">
        <v>9239</v>
      </c>
      <c r="H70" s="211"/>
      <c r="I70" s="4" t="s">
        <v>9238</v>
      </c>
      <c r="J70" s="21"/>
    </row>
    <row r="71" spans="1:11" s="228" customFormat="1" ht="13.95" customHeight="1" x14ac:dyDescent="0.25">
      <c r="A71" s="13" t="s">
        <v>527</v>
      </c>
      <c r="B71" s="14" t="s">
        <v>9271</v>
      </c>
      <c r="C71" s="13">
        <v>0.1</v>
      </c>
      <c r="D71" s="13" t="s">
        <v>578</v>
      </c>
      <c r="E71" s="32" t="s">
        <v>62</v>
      </c>
      <c r="F71" s="4">
        <v>110000</v>
      </c>
      <c r="G71" s="69" t="s">
        <v>1413</v>
      </c>
      <c r="H71" s="14"/>
      <c r="I71" s="4" t="s">
        <v>1224</v>
      </c>
      <c r="J71" s="21"/>
    </row>
    <row r="72" spans="1:11" s="228" customFormat="1" ht="13.95" customHeight="1" x14ac:dyDescent="0.25">
      <c r="A72" s="68" t="s">
        <v>311</v>
      </c>
      <c r="B72" s="14"/>
      <c r="C72" s="13">
        <v>4</v>
      </c>
      <c r="D72" s="32" t="s">
        <v>7231</v>
      </c>
      <c r="E72" s="32" t="s">
        <v>958</v>
      </c>
      <c r="F72" s="4">
        <f>17000000-13000000</f>
        <v>4000000</v>
      </c>
      <c r="G72" s="86" t="s">
        <v>8680</v>
      </c>
      <c r="H72" s="211"/>
      <c r="I72" s="208" t="s">
        <v>8681</v>
      </c>
      <c r="J72" s="21"/>
    </row>
    <row r="73" spans="1:11" s="228" customFormat="1" ht="13.95" customHeight="1" x14ac:dyDescent="0.25">
      <c r="A73" s="61" t="s">
        <v>442</v>
      </c>
      <c r="B73" s="14"/>
      <c r="C73" s="13">
        <v>12</v>
      </c>
      <c r="D73" s="32" t="s">
        <v>7231</v>
      </c>
      <c r="E73" s="32" t="s">
        <v>130</v>
      </c>
      <c r="F73" s="4">
        <f>12000000</f>
        <v>12000000</v>
      </c>
      <c r="G73" s="86" t="s">
        <v>8673</v>
      </c>
      <c r="H73" s="211"/>
      <c r="I73" s="4" t="s">
        <v>8674</v>
      </c>
      <c r="J73" s="21"/>
    </row>
    <row r="74" spans="1:11" s="228" customFormat="1" ht="13.95" customHeight="1" x14ac:dyDescent="0.25">
      <c r="A74" s="61" t="s">
        <v>442</v>
      </c>
      <c r="B74" s="14"/>
      <c r="C74" s="13">
        <v>7.6</v>
      </c>
      <c r="D74" s="32" t="s">
        <v>7231</v>
      </c>
      <c r="E74" s="32" t="s">
        <v>130</v>
      </c>
      <c r="F74" s="4">
        <v>7600000</v>
      </c>
      <c r="G74" s="86" t="s">
        <v>8675</v>
      </c>
      <c r="H74" s="211"/>
      <c r="I74" s="4" t="s">
        <v>8676</v>
      </c>
      <c r="J74" s="21"/>
    </row>
    <row r="75" spans="1:11" s="228" customFormat="1" ht="13.95" customHeight="1" x14ac:dyDescent="0.25">
      <c r="A75" s="61" t="s">
        <v>92</v>
      </c>
      <c r="B75" s="14"/>
      <c r="C75" s="13">
        <v>14.5</v>
      </c>
      <c r="D75" s="32" t="s">
        <v>7231</v>
      </c>
      <c r="E75" s="32" t="s">
        <v>62</v>
      </c>
      <c r="F75" s="4">
        <f>22500000-5000000-3000000</f>
        <v>14500000</v>
      </c>
      <c r="G75" s="86" t="s">
        <v>7232</v>
      </c>
      <c r="H75" s="211"/>
      <c r="I75" s="4" t="s">
        <v>190</v>
      </c>
      <c r="J75" s="21"/>
    </row>
    <row r="76" spans="1:11" s="228" customFormat="1" ht="13.95" customHeight="1" x14ac:dyDescent="0.25">
      <c r="A76" s="61" t="s">
        <v>358</v>
      </c>
      <c r="B76" s="14"/>
      <c r="C76" s="13">
        <v>0.1</v>
      </c>
      <c r="D76" s="13" t="s">
        <v>204</v>
      </c>
      <c r="E76" s="32" t="s">
        <v>62</v>
      </c>
      <c r="F76" s="4">
        <v>101165.8</v>
      </c>
      <c r="G76" s="86" t="s">
        <v>6603</v>
      </c>
      <c r="H76" s="211"/>
      <c r="I76" s="4" t="s">
        <v>6604</v>
      </c>
      <c r="J76" s="21"/>
    </row>
    <row r="77" spans="1:11" s="228" customFormat="1" ht="13.95" customHeight="1" x14ac:dyDescent="0.25">
      <c r="A77" s="61" t="s">
        <v>92</v>
      </c>
      <c r="B77" s="14"/>
      <c r="C77" s="13">
        <v>6.6</v>
      </c>
      <c r="D77" s="32" t="s">
        <v>1087</v>
      </c>
      <c r="E77" s="32" t="s">
        <v>62</v>
      </c>
      <c r="F77" s="4">
        <f>7650000-1000000</f>
        <v>6650000</v>
      </c>
      <c r="G77" s="86" t="s">
        <v>1772</v>
      </c>
      <c r="H77" s="211"/>
      <c r="I77" s="4" t="s">
        <v>20</v>
      </c>
      <c r="J77" s="21"/>
    </row>
    <row r="78" spans="1:11" s="228" customFormat="1" ht="13.95" customHeight="1" x14ac:dyDescent="0.25">
      <c r="A78" s="61" t="s">
        <v>107</v>
      </c>
      <c r="B78" s="14"/>
      <c r="C78" s="13">
        <v>0.7</v>
      </c>
      <c r="D78" s="13" t="s">
        <v>438</v>
      </c>
      <c r="E78" s="32" t="s">
        <v>60</v>
      </c>
      <c r="F78" s="4">
        <v>700000</v>
      </c>
      <c r="G78" s="86" t="s">
        <v>9283</v>
      </c>
      <c r="H78" s="211"/>
      <c r="I78" s="4" t="s">
        <v>252</v>
      </c>
      <c r="J78" s="21"/>
    </row>
    <row r="79" spans="1:11" s="228" customFormat="1" ht="13.95" customHeight="1" x14ac:dyDescent="0.25">
      <c r="A79" s="61" t="s">
        <v>310</v>
      </c>
      <c r="B79" s="14"/>
      <c r="C79" s="13">
        <v>2</v>
      </c>
      <c r="D79" s="13" t="s">
        <v>30</v>
      </c>
      <c r="E79" s="32" t="s">
        <v>958</v>
      </c>
      <c r="F79" s="4">
        <v>2027922.8096190793</v>
      </c>
      <c r="G79" s="86" t="s">
        <v>4463</v>
      </c>
      <c r="H79" s="211"/>
      <c r="I79" s="4" t="s">
        <v>20</v>
      </c>
      <c r="J79" s="21"/>
    </row>
    <row r="80" spans="1:11" s="228" customFormat="1" ht="13.95" customHeight="1" x14ac:dyDescent="0.25">
      <c r="A80" s="61" t="s">
        <v>92</v>
      </c>
      <c r="B80" s="14"/>
      <c r="C80" s="13">
        <v>7</v>
      </c>
      <c r="D80" s="13" t="s">
        <v>30</v>
      </c>
      <c r="E80" s="32" t="s">
        <v>62</v>
      </c>
      <c r="F80" s="4">
        <f>6940000</f>
        <v>6940000</v>
      </c>
      <c r="G80" s="86" t="s">
        <v>1760</v>
      </c>
      <c r="H80" s="211"/>
      <c r="I80" s="4" t="s">
        <v>5864</v>
      </c>
      <c r="J80" s="21"/>
    </row>
    <row r="81" spans="1:19" s="228" customFormat="1" ht="13.95" customHeight="1" x14ac:dyDescent="0.25">
      <c r="A81" s="13" t="s">
        <v>261</v>
      </c>
      <c r="B81" s="14"/>
      <c r="C81" s="13">
        <v>0.05</v>
      </c>
      <c r="D81" s="32" t="s">
        <v>3313</v>
      </c>
      <c r="E81" s="32" t="s">
        <v>808</v>
      </c>
      <c r="F81" s="4">
        <v>55500</v>
      </c>
      <c r="G81" s="86" t="s">
        <v>3315</v>
      </c>
      <c r="H81" s="14"/>
      <c r="I81" s="41" t="s">
        <v>3314</v>
      </c>
      <c r="J81" s="21"/>
    </row>
    <row r="82" spans="1:19" s="228" customFormat="1" ht="13.95" customHeight="1" x14ac:dyDescent="0.25">
      <c r="A82" s="61" t="s">
        <v>310</v>
      </c>
      <c r="B82" s="14"/>
      <c r="C82" s="13">
        <v>1.5</v>
      </c>
      <c r="D82" s="13" t="s">
        <v>8687</v>
      </c>
      <c r="E82" s="32" t="s">
        <v>958</v>
      </c>
      <c r="F82" s="4">
        <f>2500000-1000000</f>
        <v>1500000</v>
      </c>
      <c r="G82" s="86" t="s">
        <v>8688</v>
      </c>
      <c r="H82" s="211"/>
      <c r="I82" s="4" t="s">
        <v>8689</v>
      </c>
      <c r="J82" s="21"/>
    </row>
    <row r="83" spans="1:19" s="228" customFormat="1" ht="13.95" customHeight="1" x14ac:dyDescent="0.25">
      <c r="A83" s="68" t="s">
        <v>206</v>
      </c>
      <c r="B83" s="14"/>
      <c r="C83" s="13">
        <v>0.1</v>
      </c>
      <c r="D83" s="32" t="s">
        <v>1736</v>
      </c>
      <c r="E83" s="32" t="s">
        <v>130</v>
      </c>
      <c r="F83" s="4">
        <v>76023.67</v>
      </c>
      <c r="G83" s="86" t="s">
        <v>1833</v>
      </c>
      <c r="H83" s="14"/>
      <c r="I83" s="41" t="s">
        <v>1834</v>
      </c>
      <c r="J83" s="22"/>
      <c r="K83" s="62"/>
    </row>
    <row r="84" spans="1:19" s="228" customFormat="1" ht="13.95" customHeight="1" x14ac:dyDescent="0.25">
      <c r="A84" s="61" t="s">
        <v>455</v>
      </c>
      <c r="B84" s="14"/>
      <c r="C84" s="13">
        <v>1.5</v>
      </c>
      <c r="D84" s="13" t="s">
        <v>1144</v>
      </c>
      <c r="E84" s="32" t="s">
        <v>958</v>
      </c>
      <c r="F84" s="4">
        <v>1500000</v>
      </c>
      <c r="G84" s="86" t="s">
        <v>9220</v>
      </c>
      <c r="H84" s="211"/>
      <c r="I84" s="4" t="s">
        <v>6912</v>
      </c>
      <c r="J84" s="21"/>
    </row>
    <row r="85" spans="1:19" s="228" customFormat="1" ht="15" customHeight="1" x14ac:dyDescent="0.25">
      <c r="A85" s="68" t="s">
        <v>1316</v>
      </c>
      <c r="B85" s="14"/>
      <c r="C85" s="13">
        <v>0.3</v>
      </c>
      <c r="D85" s="32" t="s">
        <v>7925</v>
      </c>
      <c r="E85" s="32" t="s">
        <v>808</v>
      </c>
      <c r="F85" s="4">
        <v>315000</v>
      </c>
      <c r="G85" s="86" t="s">
        <v>7926</v>
      </c>
      <c r="H85" s="211"/>
      <c r="I85" s="84" t="s">
        <v>7927</v>
      </c>
      <c r="J85" s="21"/>
    </row>
    <row r="86" spans="1:19" s="228" customFormat="1" ht="13.95" customHeight="1" x14ac:dyDescent="0.25">
      <c r="A86" s="68" t="s">
        <v>311</v>
      </c>
      <c r="B86" s="14"/>
      <c r="C86" s="13">
        <v>3</v>
      </c>
      <c r="D86" s="32" t="s">
        <v>8162</v>
      </c>
      <c r="E86" s="32" t="s">
        <v>958</v>
      </c>
      <c r="F86" s="4">
        <f>10000000-7000000</f>
        <v>3000000</v>
      </c>
      <c r="G86" s="86" t="s">
        <v>8164</v>
      </c>
      <c r="H86" s="211"/>
      <c r="I86" s="208" t="s">
        <v>8682</v>
      </c>
      <c r="J86" s="21"/>
    </row>
    <row r="87" spans="1:19" s="228" customFormat="1" ht="13.95" customHeight="1" x14ac:dyDescent="0.25">
      <c r="A87" s="68" t="s">
        <v>311</v>
      </c>
      <c r="B87" s="14"/>
      <c r="C87" s="13">
        <v>6.2</v>
      </c>
      <c r="D87" s="13" t="s">
        <v>3301</v>
      </c>
      <c r="E87" s="32" t="s">
        <v>958</v>
      </c>
      <c r="F87" s="4">
        <f>11242981.08-5000000</f>
        <v>6242981.0800000001</v>
      </c>
      <c r="G87" s="86" t="s">
        <v>8684</v>
      </c>
      <c r="H87" s="211"/>
      <c r="I87" s="4" t="s">
        <v>8685</v>
      </c>
      <c r="J87" s="21"/>
    </row>
    <row r="88" spans="1:19" s="228" customFormat="1" ht="13.95" customHeight="1" x14ac:dyDescent="0.25">
      <c r="A88" s="61" t="s">
        <v>55</v>
      </c>
      <c r="B88" s="14"/>
      <c r="C88" s="13">
        <v>0.04</v>
      </c>
      <c r="D88" s="13" t="s">
        <v>352</v>
      </c>
      <c r="E88" s="32" t="s">
        <v>62</v>
      </c>
      <c r="F88" s="4">
        <v>42700</v>
      </c>
      <c r="G88" s="86" t="s">
        <v>4288</v>
      </c>
      <c r="H88" s="211"/>
      <c r="I88" s="4" t="s">
        <v>4289</v>
      </c>
      <c r="J88" s="21"/>
    </row>
    <row r="89" spans="1:19" s="228" customFormat="1" ht="13.95" customHeight="1" x14ac:dyDescent="0.25">
      <c r="A89" s="61" t="s">
        <v>310</v>
      </c>
      <c r="B89" s="14"/>
      <c r="C89" s="13">
        <v>0.5</v>
      </c>
      <c r="D89" s="13" t="s">
        <v>289</v>
      </c>
      <c r="E89" s="32" t="s">
        <v>958</v>
      </c>
      <c r="F89" s="4">
        <f>420000+120000</f>
        <v>540000</v>
      </c>
      <c r="G89" s="86" t="s">
        <v>9038</v>
      </c>
      <c r="H89" s="211"/>
      <c r="I89" s="4" t="s">
        <v>9039</v>
      </c>
      <c r="J89" s="21"/>
    </row>
    <row r="90" spans="1:19" s="228" customFormat="1" ht="13.95" customHeight="1" x14ac:dyDescent="0.25">
      <c r="A90" s="61" t="s">
        <v>637</v>
      </c>
      <c r="B90" s="14"/>
      <c r="C90" s="13">
        <v>0.05</v>
      </c>
      <c r="D90" s="13" t="s">
        <v>289</v>
      </c>
      <c r="E90" s="32" t="s">
        <v>691</v>
      </c>
      <c r="F90" s="4">
        <v>56000</v>
      </c>
      <c r="G90" s="86" t="s">
        <v>8029</v>
      </c>
      <c r="H90" s="211"/>
      <c r="I90" s="4" t="s">
        <v>467</v>
      </c>
      <c r="J90" s="21"/>
    </row>
    <row r="91" spans="1:19" s="228" customFormat="1" ht="8.25" customHeight="1" x14ac:dyDescent="0.25">
      <c r="A91" s="13">
        <v>0</v>
      </c>
      <c r="B91" s="14"/>
      <c r="C91" s="13"/>
      <c r="D91" s="13"/>
      <c r="E91" s="13"/>
      <c r="F91" s="4"/>
      <c r="G91" s="29"/>
      <c r="H91" s="14"/>
      <c r="I91" s="4"/>
      <c r="K91" s="74"/>
      <c r="L91" s="62"/>
      <c r="M91" s="62"/>
      <c r="N91" s="62"/>
      <c r="O91" s="35"/>
      <c r="P91" s="35"/>
      <c r="Q91" s="35"/>
      <c r="R91" s="35"/>
      <c r="S91" s="35"/>
    </row>
    <row r="92" spans="1:19" s="8" customFormat="1" ht="18.75" customHeight="1" x14ac:dyDescent="0.25">
      <c r="A92" s="11" t="s">
        <v>49</v>
      </c>
      <c r="B92" s="66"/>
      <c r="C92" s="213">
        <f>SUM(C93:C156)</f>
        <v>166.73000000000002</v>
      </c>
      <c r="D92" s="9"/>
      <c r="E92" s="9"/>
      <c r="F92" s="44">
        <f>SUM(F93:F156)</f>
        <v>73342117.760000005</v>
      </c>
      <c r="G92" s="24"/>
      <c r="H92" s="9"/>
      <c r="I92" s="10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1:19" ht="8.1" customHeight="1" x14ac:dyDescent="0.25">
      <c r="A93" s="17">
        <v>0</v>
      </c>
      <c r="B93" s="39"/>
      <c r="C93" s="40"/>
      <c r="D93" s="17"/>
      <c r="E93" s="17"/>
      <c r="F93" s="36"/>
      <c r="G93" s="38"/>
      <c r="H93" s="39"/>
      <c r="I93" s="17"/>
      <c r="J93" s="23"/>
    </row>
    <row r="94" spans="1:19" s="228" customFormat="1" x14ac:dyDescent="0.25">
      <c r="A94" s="68" t="s">
        <v>349</v>
      </c>
      <c r="B94" s="14"/>
      <c r="C94" s="13">
        <v>7.5</v>
      </c>
      <c r="D94" s="32" t="s">
        <v>562</v>
      </c>
      <c r="E94" s="32" t="s">
        <v>933</v>
      </c>
      <c r="F94" s="4">
        <v>4000000</v>
      </c>
      <c r="G94" s="69" t="s">
        <v>207</v>
      </c>
      <c r="H94" s="14"/>
      <c r="I94" s="41" t="s">
        <v>270</v>
      </c>
      <c r="J94" s="22"/>
      <c r="K94" s="63"/>
      <c r="L94" s="62"/>
    </row>
    <row r="95" spans="1:19" s="228" customFormat="1" ht="15.75" customHeight="1" x14ac:dyDescent="0.25">
      <c r="A95" s="68" t="s">
        <v>349</v>
      </c>
      <c r="B95" s="14"/>
      <c r="C95" s="13">
        <v>5.7</v>
      </c>
      <c r="D95" s="32" t="s">
        <v>1029</v>
      </c>
      <c r="E95" s="32" t="s">
        <v>62</v>
      </c>
      <c r="F95" s="4">
        <v>1500000</v>
      </c>
      <c r="G95" s="69" t="s">
        <v>207</v>
      </c>
      <c r="H95" s="211"/>
      <c r="I95" s="4" t="s">
        <v>630</v>
      </c>
      <c r="J95" s="50"/>
    </row>
    <row r="96" spans="1:19" s="228" customFormat="1" ht="13.95" customHeight="1" x14ac:dyDescent="0.25">
      <c r="A96" s="68" t="s">
        <v>310</v>
      </c>
      <c r="B96" s="14"/>
      <c r="C96" s="13">
        <v>0.2</v>
      </c>
      <c r="D96" s="13" t="s">
        <v>682</v>
      </c>
      <c r="E96" s="32" t="s">
        <v>958</v>
      </c>
      <c r="F96" s="4">
        <v>212188</v>
      </c>
      <c r="G96" s="86" t="s">
        <v>4462</v>
      </c>
      <c r="H96" s="211"/>
      <c r="I96" s="208" t="s">
        <v>79</v>
      </c>
      <c r="J96" s="21"/>
    </row>
    <row r="97" spans="1:16" s="228" customFormat="1" ht="13.95" customHeight="1" x14ac:dyDescent="0.25">
      <c r="A97" s="61" t="s">
        <v>160</v>
      </c>
      <c r="B97" s="14"/>
      <c r="C97" s="13">
        <v>3.3</v>
      </c>
      <c r="D97" s="32" t="s">
        <v>4461</v>
      </c>
      <c r="E97" s="32" t="s">
        <v>7369</v>
      </c>
      <c r="F97" s="4">
        <v>1500000</v>
      </c>
      <c r="G97" s="86" t="s">
        <v>207</v>
      </c>
      <c r="H97" s="211"/>
      <c r="I97" s="4" t="s">
        <v>82</v>
      </c>
      <c r="J97" s="21"/>
    </row>
    <row r="98" spans="1:16" s="228" customFormat="1" ht="13.95" customHeight="1" x14ac:dyDescent="0.25">
      <c r="A98" s="68" t="s">
        <v>91</v>
      </c>
      <c r="B98" s="14" t="s">
        <v>754</v>
      </c>
      <c r="C98" s="13">
        <v>0.7</v>
      </c>
      <c r="D98" s="32" t="s">
        <v>1767</v>
      </c>
      <c r="E98" s="32" t="s">
        <v>62</v>
      </c>
      <c r="F98" s="4">
        <v>677007.38999999966</v>
      </c>
      <c r="G98" s="86" t="s">
        <v>1768</v>
      </c>
      <c r="H98" s="14"/>
      <c r="I98" s="41" t="s">
        <v>1676</v>
      </c>
      <c r="J98" s="22"/>
      <c r="K98" s="62"/>
    </row>
    <row r="99" spans="1:16" s="228" customFormat="1" ht="13.95" customHeight="1" x14ac:dyDescent="0.25">
      <c r="A99" s="32" t="s">
        <v>407</v>
      </c>
      <c r="B99" s="14"/>
      <c r="C99" s="13">
        <v>0.08</v>
      </c>
      <c r="D99" s="13" t="s">
        <v>474</v>
      </c>
      <c r="E99" s="32" t="s">
        <v>488</v>
      </c>
      <c r="F99" s="4">
        <v>79380</v>
      </c>
      <c r="G99" s="86" t="s">
        <v>857</v>
      </c>
      <c r="H99" s="14"/>
      <c r="I99" s="4" t="s">
        <v>218</v>
      </c>
      <c r="J99" s="21"/>
    </row>
    <row r="100" spans="1:16" s="228" customFormat="1" ht="15" customHeight="1" x14ac:dyDescent="0.25">
      <c r="A100" s="68" t="s">
        <v>91</v>
      </c>
      <c r="B100" s="14" t="s">
        <v>2601</v>
      </c>
      <c r="C100" s="13">
        <v>0</v>
      </c>
      <c r="D100" s="13" t="s">
        <v>969</v>
      </c>
      <c r="E100" s="32" t="s">
        <v>62</v>
      </c>
      <c r="F100" s="4">
        <v>0</v>
      </c>
      <c r="G100" s="86" t="s">
        <v>1369</v>
      </c>
      <c r="H100" s="14"/>
      <c r="I100" s="4" t="s">
        <v>190</v>
      </c>
      <c r="J100" s="35"/>
      <c r="K100" s="62"/>
      <c r="L100" s="62"/>
    </row>
    <row r="101" spans="1:16" s="228" customFormat="1" x14ac:dyDescent="0.25">
      <c r="A101" s="68" t="s">
        <v>160</v>
      </c>
      <c r="B101" s="14"/>
      <c r="C101" s="13">
        <v>2</v>
      </c>
      <c r="D101" s="32" t="s">
        <v>1748</v>
      </c>
      <c r="E101" s="17" t="s">
        <v>365</v>
      </c>
      <c r="F101" s="4">
        <v>1000000</v>
      </c>
      <c r="G101" s="86" t="s">
        <v>207</v>
      </c>
      <c r="H101" s="211"/>
      <c r="I101" s="208" t="s">
        <v>630</v>
      </c>
      <c r="J101" s="21"/>
    </row>
    <row r="102" spans="1:16" s="228" customFormat="1" ht="13.95" customHeight="1" x14ac:dyDescent="0.25">
      <c r="A102" s="61" t="s">
        <v>455</v>
      </c>
      <c r="B102" s="14" t="s">
        <v>6316</v>
      </c>
      <c r="C102" s="13">
        <v>1.6</v>
      </c>
      <c r="D102" s="32" t="s">
        <v>4458</v>
      </c>
      <c r="E102" s="32" t="s">
        <v>958</v>
      </c>
      <c r="F102" s="4"/>
      <c r="G102" s="86" t="s">
        <v>4457</v>
      </c>
      <c r="H102" s="211"/>
      <c r="I102" s="4" t="s">
        <v>2791</v>
      </c>
      <c r="J102" s="21"/>
    </row>
    <row r="103" spans="1:16" s="228" customFormat="1" x14ac:dyDescent="0.25">
      <c r="A103" s="68" t="s">
        <v>358</v>
      </c>
      <c r="B103" s="14"/>
      <c r="C103" s="13">
        <v>0</v>
      </c>
      <c r="D103" s="32" t="s">
        <v>1077</v>
      </c>
      <c r="E103" s="32" t="s">
        <v>38</v>
      </c>
      <c r="F103" s="4">
        <v>0</v>
      </c>
      <c r="G103" s="86" t="s">
        <v>410</v>
      </c>
      <c r="H103" s="211"/>
      <c r="I103" s="208" t="s">
        <v>581</v>
      </c>
      <c r="J103" s="21"/>
    </row>
    <row r="104" spans="1:16" s="228" customFormat="1" ht="13.95" customHeight="1" x14ac:dyDescent="0.25">
      <c r="A104" s="61" t="s">
        <v>160</v>
      </c>
      <c r="B104" s="43"/>
      <c r="C104" s="13">
        <v>0.5</v>
      </c>
      <c r="D104" s="13" t="s">
        <v>1035</v>
      </c>
      <c r="E104" s="32" t="s">
        <v>7369</v>
      </c>
      <c r="F104" s="4">
        <v>542975</v>
      </c>
      <c r="G104" s="86" t="s">
        <v>193</v>
      </c>
      <c r="H104" s="211"/>
      <c r="I104" s="4" t="s">
        <v>218</v>
      </c>
      <c r="J104" s="21"/>
    </row>
    <row r="105" spans="1:16" s="50" customFormat="1" x14ac:dyDescent="0.25">
      <c r="A105" s="68" t="s">
        <v>1081</v>
      </c>
      <c r="B105" s="14"/>
      <c r="C105" s="13">
        <v>2</v>
      </c>
      <c r="D105" s="218" t="s">
        <v>1726</v>
      </c>
      <c r="E105" s="218" t="s">
        <v>691</v>
      </c>
      <c r="F105" s="221">
        <v>500000</v>
      </c>
      <c r="G105" s="174" t="s">
        <v>1727</v>
      </c>
      <c r="H105" s="14"/>
      <c r="I105" s="127" t="s">
        <v>124</v>
      </c>
    </row>
    <row r="106" spans="1:16" s="50" customFormat="1" x14ac:dyDescent="0.25">
      <c r="A106" s="68" t="s">
        <v>160</v>
      </c>
      <c r="B106" s="14"/>
      <c r="C106" s="13">
        <v>8.4</v>
      </c>
      <c r="D106" s="218" t="s">
        <v>385</v>
      </c>
      <c r="E106" s="32" t="s">
        <v>7369</v>
      </c>
      <c r="F106" s="221">
        <v>500000</v>
      </c>
      <c r="G106" s="174" t="s">
        <v>207</v>
      </c>
      <c r="H106" s="14"/>
      <c r="I106" s="127" t="s">
        <v>1542</v>
      </c>
    </row>
    <row r="107" spans="1:16" s="228" customFormat="1" ht="13.95" customHeight="1" x14ac:dyDescent="0.25">
      <c r="A107" s="13" t="s">
        <v>160</v>
      </c>
      <c r="B107" s="14"/>
      <c r="C107" s="13">
        <v>5.2</v>
      </c>
      <c r="D107" s="32" t="s">
        <v>588</v>
      </c>
      <c r="E107" s="32" t="s">
        <v>808</v>
      </c>
      <c r="F107" s="4">
        <v>2000000</v>
      </c>
      <c r="G107" s="86" t="s">
        <v>1122</v>
      </c>
      <c r="H107" s="211"/>
      <c r="I107" s="4" t="s">
        <v>20</v>
      </c>
      <c r="J107" s="21"/>
    </row>
    <row r="108" spans="1:16" s="228" customFormat="1" x14ac:dyDescent="0.25">
      <c r="A108" s="68" t="s">
        <v>659</v>
      </c>
      <c r="B108" s="126"/>
      <c r="C108" s="13">
        <v>0.5</v>
      </c>
      <c r="D108" s="32" t="s">
        <v>1820</v>
      </c>
      <c r="E108" s="32" t="s">
        <v>808</v>
      </c>
      <c r="F108" s="37">
        <v>472820.34</v>
      </c>
      <c r="G108" s="174" t="s">
        <v>207</v>
      </c>
      <c r="H108" s="14"/>
      <c r="I108" s="4" t="s">
        <v>82</v>
      </c>
      <c r="J108" s="62"/>
      <c r="K108" s="62"/>
      <c r="L108" s="35"/>
      <c r="M108" s="35"/>
      <c r="N108" s="35"/>
      <c r="O108" s="35"/>
      <c r="P108" s="35"/>
    </row>
    <row r="109" spans="1:16" s="228" customFormat="1" ht="13.95" customHeight="1" x14ac:dyDescent="0.25">
      <c r="A109" s="32" t="s">
        <v>442</v>
      </c>
      <c r="B109" s="14"/>
      <c r="C109" s="13">
        <v>1.7</v>
      </c>
      <c r="D109" s="32" t="s">
        <v>844</v>
      </c>
      <c r="E109" s="32" t="s">
        <v>62</v>
      </c>
      <c r="F109" s="4">
        <v>1668608.3</v>
      </c>
      <c r="G109" s="174" t="s">
        <v>845</v>
      </c>
      <c r="H109" s="14"/>
      <c r="I109" s="41" t="s">
        <v>503</v>
      </c>
      <c r="J109" s="22"/>
      <c r="K109" s="62"/>
    </row>
    <row r="110" spans="1:16" s="228" customFormat="1" ht="13.95" customHeight="1" x14ac:dyDescent="0.25">
      <c r="A110" s="61" t="s">
        <v>160</v>
      </c>
      <c r="B110" s="14"/>
      <c r="C110" s="13">
        <v>0.1</v>
      </c>
      <c r="D110" s="13" t="s">
        <v>204</v>
      </c>
      <c r="E110" s="32" t="s">
        <v>988</v>
      </c>
      <c r="F110" s="4">
        <v>109943</v>
      </c>
      <c r="G110" s="86" t="s">
        <v>207</v>
      </c>
      <c r="H110" s="211"/>
      <c r="I110" s="4" t="s">
        <v>20</v>
      </c>
      <c r="J110" s="21"/>
    </row>
    <row r="111" spans="1:16" s="228" customFormat="1" ht="13.95" customHeight="1" x14ac:dyDescent="0.25">
      <c r="A111" s="61" t="s">
        <v>91</v>
      </c>
      <c r="B111" s="14"/>
      <c r="C111" s="13">
        <v>1.5</v>
      </c>
      <c r="D111" s="32" t="s">
        <v>525</v>
      </c>
      <c r="E111" s="32" t="s">
        <v>62</v>
      </c>
      <c r="F111" s="4">
        <v>500000</v>
      </c>
      <c r="G111" s="86" t="s">
        <v>5519</v>
      </c>
      <c r="H111" s="211"/>
      <c r="I111" s="4" t="s">
        <v>5520</v>
      </c>
      <c r="J111" s="21"/>
    </row>
    <row r="112" spans="1:16" s="228" customFormat="1" ht="16.5" customHeight="1" x14ac:dyDescent="0.25">
      <c r="A112" s="68" t="s">
        <v>442</v>
      </c>
      <c r="B112" s="14"/>
      <c r="C112" s="13">
        <v>0.11</v>
      </c>
      <c r="D112" s="32" t="s">
        <v>821</v>
      </c>
      <c r="E112" s="32" t="s">
        <v>62</v>
      </c>
      <c r="F112" s="4">
        <v>117614</v>
      </c>
      <c r="G112" s="69" t="s">
        <v>822</v>
      </c>
      <c r="H112" s="14"/>
      <c r="I112" s="41" t="s">
        <v>823</v>
      </c>
      <c r="J112" s="22"/>
      <c r="K112" s="62"/>
    </row>
    <row r="113" spans="1:12" s="228" customFormat="1" ht="13.95" customHeight="1" x14ac:dyDescent="0.25">
      <c r="A113" s="68" t="s">
        <v>1147</v>
      </c>
      <c r="B113" s="14" t="s">
        <v>284</v>
      </c>
      <c r="C113" s="13">
        <v>1.3</v>
      </c>
      <c r="D113" s="32" t="s">
        <v>2592</v>
      </c>
      <c r="E113" s="32" t="s">
        <v>808</v>
      </c>
      <c r="F113" s="4">
        <v>1264800</v>
      </c>
      <c r="G113" s="86" t="s">
        <v>2593</v>
      </c>
      <c r="H113" s="211"/>
      <c r="I113" s="4" t="s">
        <v>2594</v>
      </c>
      <c r="J113" s="21"/>
    </row>
    <row r="114" spans="1:12" s="228" customFormat="1" x14ac:dyDescent="0.25">
      <c r="A114" s="13" t="s">
        <v>160</v>
      </c>
      <c r="B114" s="14"/>
      <c r="C114" s="13">
        <v>1.5</v>
      </c>
      <c r="D114" s="32" t="s">
        <v>391</v>
      </c>
      <c r="E114" s="32" t="s">
        <v>62</v>
      </c>
      <c r="F114" s="4">
        <v>1000000</v>
      </c>
      <c r="G114" s="69" t="s">
        <v>193</v>
      </c>
      <c r="H114" s="14"/>
      <c r="I114" s="41" t="s">
        <v>315</v>
      </c>
      <c r="J114" s="21"/>
    </row>
    <row r="115" spans="1:12" s="228" customFormat="1" ht="13.95" customHeight="1" x14ac:dyDescent="0.25">
      <c r="A115" s="13" t="s">
        <v>160</v>
      </c>
      <c r="B115" s="14"/>
      <c r="C115" s="13">
        <v>9</v>
      </c>
      <c r="D115" s="32" t="s">
        <v>194</v>
      </c>
      <c r="E115" s="32" t="s">
        <v>7369</v>
      </c>
      <c r="F115" s="4">
        <v>3000000</v>
      </c>
      <c r="G115" s="69" t="s">
        <v>193</v>
      </c>
      <c r="H115" s="14"/>
      <c r="I115" s="41" t="s">
        <v>6317</v>
      </c>
      <c r="J115" s="21"/>
    </row>
    <row r="116" spans="1:12" s="228" customFormat="1" ht="13.95" customHeight="1" x14ac:dyDescent="0.25">
      <c r="A116" s="32" t="s">
        <v>160</v>
      </c>
      <c r="B116" s="14"/>
      <c r="C116" s="13">
        <v>0.1</v>
      </c>
      <c r="D116" s="13" t="s">
        <v>418</v>
      </c>
      <c r="E116" s="32" t="s">
        <v>808</v>
      </c>
      <c r="F116" s="4">
        <v>137200</v>
      </c>
      <c r="G116" s="69" t="s">
        <v>207</v>
      </c>
      <c r="H116" s="14"/>
      <c r="I116" s="4" t="s">
        <v>218</v>
      </c>
      <c r="J116" s="21"/>
    </row>
    <row r="117" spans="1:12" s="228" customFormat="1" x14ac:dyDescent="0.25">
      <c r="A117" s="13" t="s">
        <v>550</v>
      </c>
      <c r="B117" s="14"/>
      <c r="C117" s="13">
        <v>5</v>
      </c>
      <c r="D117" s="32" t="s">
        <v>1980</v>
      </c>
      <c r="E117" s="32" t="s">
        <v>130</v>
      </c>
      <c r="F117" s="4">
        <v>2500000</v>
      </c>
      <c r="G117" s="69" t="s">
        <v>5423</v>
      </c>
      <c r="H117" s="14"/>
      <c r="I117" s="41" t="s">
        <v>5424</v>
      </c>
      <c r="J117" s="22"/>
      <c r="K117" s="62"/>
    </row>
    <row r="118" spans="1:12" s="228" customFormat="1" x14ac:dyDescent="0.25">
      <c r="A118" s="13" t="s">
        <v>160</v>
      </c>
      <c r="B118" s="14"/>
      <c r="C118" s="13">
        <v>29</v>
      </c>
      <c r="D118" s="32" t="s">
        <v>285</v>
      </c>
      <c r="E118" s="32" t="s">
        <v>365</v>
      </c>
      <c r="F118" s="4">
        <v>10000000</v>
      </c>
      <c r="G118" s="69" t="s">
        <v>193</v>
      </c>
      <c r="H118" s="14"/>
      <c r="I118" s="41" t="s">
        <v>190</v>
      </c>
      <c r="J118" s="22"/>
      <c r="K118" s="63"/>
      <c r="L118" s="62"/>
    </row>
    <row r="119" spans="1:12" s="228" customFormat="1" x14ac:dyDescent="0.25">
      <c r="A119" s="68" t="s">
        <v>188</v>
      </c>
      <c r="B119" s="14"/>
      <c r="C119" s="13">
        <v>0.3</v>
      </c>
      <c r="D119" s="32" t="s">
        <v>438</v>
      </c>
      <c r="E119" s="32" t="s">
        <v>808</v>
      </c>
      <c r="F119" s="4">
        <v>0</v>
      </c>
      <c r="G119" s="69" t="s">
        <v>193</v>
      </c>
      <c r="H119" s="211"/>
      <c r="I119" s="84" t="s">
        <v>864</v>
      </c>
      <c r="J119" s="21"/>
    </row>
    <row r="120" spans="1:12" s="228" customFormat="1" x14ac:dyDescent="0.25">
      <c r="A120" s="13" t="s">
        <v>160</v>
      </c>
      <c r="B120" s="14"/>
      <c r="C120" s="13">
        <v>8.6</v>
      </c>
      <c r="D120" s="32" t="s">
        <v>292</v>
      </c>
      <c r="E120" s="32" t="s">
        <v>365</v>
      </c>
      <c r="F120" s="4">
        <v>2500000</v>
      </c>
      <c r="G120" s="69" t="s">
        <v>193</v>
      </c>
      <c r="H120" s="14"/>
      <c r="I120" s="41" t="s">
        <v>475</v>
      </c>
      <c r="J120" s="22"/>
      <c r="K120" s="63"/>
      <c r="L120" s="62"/>
    </row>
    <row r="121" spans="1:12" s="228" customFormat="1" x14ac:dyDescent="0.25">
      <c r="A121" s="13" t="s">
        <v>160</v>
      </c>
      <c r="B121" s="14"/>
      <c r="C121" s="13">
        <v>0.3</v>
      </c>
      <c r="D121" s="32" t="s">
        <v>628</v>
      </c>
      <c r="E121" s="17" t="s">
        <v>4993</v>
      </c>
      <c r="F121" s="4">
        <v>300000</v>
      </c>
      <c r="G121" s="69" t="s">
        <v>193</v>
      </c>
      <c r="H121" s="14"/>
      <c r="I121" s="41" t="s">
        <v>202</v>
      </c>
      <c r="J121" s="21"/>
    </row>
    <row r="122" spans="1:12" s="228" customFormat="1" ht="13.95" customHeight="1" x14ac:dyDescent="0.25">
      <c r="A122" s="32" t="s">
        <v>55</v>
      </c>
      <c r="B122" s="14"/>
      <c r="C122" s="13">
        <v>0</v>
      </c>
      <c r="D122" s="32" t="s">
        <v>1857</v>
      </c>
      <c r="E122" s="32" t="s">
        <v>130</v>
      </c>
      <c r="F122" s="4">
        <v>0</v>
      </c>
      <c r="G122" s="69" t="s">
        <v>1858</v>
      </c>
      <c r="H122" s="14"/>
      <c r="I122" s="41" t="s">
        <v>1859</v>
      </c>
      <c r="J122" s="22"/>
      <c r="K122" s="62"/>
    </row>
    <row r="123" spans="1:12" s="97" customFormat="1" x14ac:dyDescent="0.25">
      <c r="A123" s="13" t="s">
        <v>160</v>
      </c>
      <c r="B123" s="14"/>
      <c r="C123" s="13">
        <v>0.5</v>
      </c>
      <c r="D123" s="13" t="s">
        <v>925</v>
      </c>
      <c r="E123" s="17" t="s">
        <v>4993</v>
      </c>
      <c r="F123" s="4">
        <v>518000</v>
      </c>
      <c r="G123" s="69" t="s">
        <v>193</v>
      </c>
      <c r="H123" s="14"/>
      <c r="I123" s="4" t="s">
        <v>202</v>
      </c>
      <c r="J123" s="22"/>
    </row>
    <row r="124" spans="1:12" s="228" customFormat="1" ht="13.95" customHeight="1" x14ac:dyDescent="0.25">
      <c r="A124" s="68" t="s">
        <v>1972</v>
      </c>
      <c r="B124" s="14" t="s">
        <v>284</v>
      </c>
      <c r="C124" s="13">
        <v>10.4</v>
      </c>
      <c r="D124" s="32" t="s">
        <v>905</v>
      </c>
      <c r="E124" s="32" t="s">
        <v>60</v>
      </c>
      <c r="F124" s="4">
        <v>3000000</v>
      </c>
      <c r="G124" s="86" t="s">
        <v>1120</v>
      </c>
      <c r="H124" s="211"/>
      <c r="I124" s="208" t="s">
        <v>1119</v>
      </c>
      <c r="J124" s="21"/>
    </row>
    <row r="125" spans="1:12" s="228" customFormat="1" ht="13.95" customHeight="1" x14ac:dyDescent="0.25">
      <c r="A125" s="68" t="s">
        <v>904</v>
      </c>
      <c r="B125" s="14" t="s">
        <v>284</v>
      </c>
      <c r="C125" s="13">
        <v>-5</v>
      </c>
      <c r="D125" s="32" t="s">
        <v>905</v>
      </c>
      <c r="E125" s="32" t="s">
        <v>38</v>
      </c>
      <c r="F125" s="4"/>
      <c r="G125" s="86" t="s">
        <v>906</v>
      </c>
      <c r="H125" s="211"/>
      <c r="I125" s="208" t="s">
        <v>581</v>
      </c>
      <c r="J125" s="21"/>
    </row>
    <row r="126" spans="1:12" s="228" customFormat="1" ht="13.95" customHeight="1" x14ac:dyDescent="0.25">
      <c r="A126" s="68" t="s">
        <v>55</v>
      </c>
      <c r="B126" s="14"/>
      <c r="C126" s="13">
        <v>0.05</v>
      </c>
      <c r="D126" s="13" t="s">
        <v>275</v>
      </c>
      <c r="E126" s="32" t="s">
        <v>130</v>
      </c>
      <c r="F126" s="4">
        <v>51725.68</v>
      </c>
      <c r="G126" s="69" t="s">
        <v>987</v>
      </c>
      <c r="H126" s="14"/>
      <c r="I126" s="41" t="s">
        <v>270</v>
      </c>
      <c r="J126" s="21"/>
    </row>
    <row r="127" spans="1:12" s="228" customFormat="1" ht="13.95" customHeight="1" x14ac:dyDescent="0.25">
      <c r="A127" s="68" t="s">
        <v>160</v>
      </c>
      <c r="B127" s="14"/>
      <c r="C127" s="13">
        <v>10.3</v>
      </c>
      <c r="D127" s="32" t="s">
        <v>1736</v>
      </c>
      <c r="E127" s="32" t="s">
        <v>62</v>
      </c>
      <c r="F127" s="4">
        <v>5000000</v>
      </c>
      <c r="G127" s="69" t="s">
        <v>207</v>
      </c>
      <c r="H127" s="211"/>
      <c r="I127" s="41" t="s">
        <v>629</v>
      </c>
      <c r="J127" s="21"/>
    </row>
    <row r="128" spans="1:12" s="228" customFormat="1" ht="13.95" customHeight="1" x14ac:dyDescent="0.25">
      <c r="A128" s="32" t="s">
        <v>215</v>
      </c>
      <c r="B128" s="14"/>
      <c r="C128" s="13">
        <v>0.06</v>
      </c>
      <c r="D128" s="13" t="s">
        <v>553</v>
      </c>
      <c r="E128" s="32" t="s">
        <v>62</v>
      </c>
      <c r="F128" s="4">
        <v>55161.14</v>
      </c>
      <c r="G128" s="86" t="s">
        <v>554</v>
      </c>
      <c r="H128" s="14"/>
      <c r="I128" s="4" t="s">
        <v>286</v>
      </c>
      <c r="J128" s="21"/>
    </row>
    <row r="129" spans="1:17" s="228" customFormat="1" ht="13.95" customHeight="1" x14ac:dyDescent="0.25">
      <c r="A129" s="13" t="s">
        <v>455</v>
      </c>
      <c r="B129" s="126"/>
      <c r="C129" s="13">
        <v>2.5</v>
      </c>
      <c r="D129" s="13" t="s">
        <v>4438</v>
      </c>
      <c r="E129" s="32" t="s">
        <v>958</v>
      </c>
      <c r="F129" s="37">
        <v>2500000</v>
      </c>
      <c r="G129" s="69" t="s">
        <v>4437</v>
      </c>
      <c r="H129" s="14"/>
      <c r="I129" s="4" t="s">
        <v>24</v>
      </c>
      <c r="J129" s="71"/>
      <c r="K129" s="62"/>
      <c r="L129" s="62"/>
      <c r="M129" s="35"/>
      <c r="N129" s="35"/>
      <c r="O129" s="35"/>
      <c r="P129" s="35"/>
      <c r="Q129" s="35"/>
    </row>
    <row r="130" spans="1:17" s="228" customFormat="1" ht="13.95" customHeight="1" x14ac:dyDescent="0.25">
      <c r="A130" s="32" t="s">
        <v>442</v>
      </c>
      <c r="B130" s="230"/>
      <c r="C130" s="13">
        <v>0.2</v>
      </c>
      <c r="D130" s="32" t="s">
        <v>1840</v>
      </c>
      <c r="E130" s="32" t="s">
        <v>62</v>
      </c>
      <c r="F130" s="4">
        <v>219458</v>
      </c>
      <c r="G130" s="69" t="s">
        <v>5597</v>
      </c>
      <c r="H130" s="14"/>
      <c r="I130" s="41" t="s">
        <v>1918</v>
      </c>
      <c r="J130" s="21"/>
    </row>
    <row r="131" spans="1:17" s="228" customFormat="1" ht="13.95" customHeight="1" x14ac:dyDescent="0.25">
      <c r="A131" s="13" t="s">
        <v>55</v>
      </c>
      <c r="B131" s="126"/>
      <c r="C131" s="13">
        <v>0.2</v>
      </c>
      <c r="D131" s="13" t="s">
        <v>1822</v>
      </c>
      <c r="E131" s="32" t="s">
        <v>130</v>
      </c>
      <c r="F131" s="4">
        <v>177034.96</v>
      </c>
      <c r="G131" s="69" t="s">
        <v>1136</v>
      </c>
      <c r="H131" s="14"/>
      <c r="I131" s="4" t="s">
        <v>270</v>
      </c>
      <c r="J131" s="71"/>
      <c r="K131" s="62"/>
      <c r="L131" s="62"/>
      <c r="M131" s="35"/>
      <c r="N131" s="35"/>
      <c r="O131" s="35"/>
      <c r="P131" s="35"/>
      <c r="Q131" s="35"/>
    </row>
    <row r="132" spans="1:17" s="228" customFormat="1" ht="13.95" customHeight="1" x14ac:dyDescent="0.25">
      <c r="A132" s="13" t="s">
        <v>55</v>
      </c>
      <c r="B132" s="126"/>
      <c r="C132" s="13">
        <v>0.25</v>
      </c>
      <c r="D132" s="13" t="s">
        <v>1308</v>
      </c>
      <c r="E132" s="32" t="s">
        <v>130</v>
      </c>
      <c r="F132" s="37">
        <v>251750</v>
      </c>
      <c r="G132" s="69" t="s">
        <v>1309</v>
      </c>
      <c r="H132" s="14"/>
      <c r="I132" s="4" t="s">
        <v>270</v>
      </c>
      <c r="J132" s="71"/>
      <c r="K132" s="62"/>
      <c r="L132" s="62"/>
      <c r="M132" s="35"/>
      <c r="N132" s="35"/>
      <c r="O132" s="35"/>
      <c r="P132" s="35"/>
      <c r="Q132" s="35"/>
    </row>
    <row r="133" spans="1:17" s="228" customFormat="1" ht="13.95" customHeight="1" x14ac:dyDescent="0.25">
      <c r="A133" s="32" t="s">
        <v>160</v>
      </c>
      <c r="B133" s="230"/>
      <c r="C133" s="13">
        <v>0</v>
      </c>
      <c r="D133" s="32" t="s">
        <v>1563</v>
      </c>
      <c r="E133" s="32" t="s">
        <v>62</v>
      </c>
      <c r="F133" s="4">
        <v>0</v>
      </c>
      <c r="G133" s="69" t="s">
        <v>207</v>
      </c>
      <c r="H133" s="14"/>
      <c r="I133" s="41" t="s">
        <v>82</v>
      </c>
      <c r="J133" s="21"/>
    </row>
    <row r="134" spans="1:17" s="470" customFormat="1" ht="15.6" customHeight="1" x14ac:dyDescent="0.25">
      <c r="A134" s="7" t="s">
        <v>8</v>
      </c>
      <c r="B134" s="43"/>
      <c r="C134" s="42">
        <v>0.6</v>
      </c>
      <c r="D134" s="6" t="s">
        <v>6062</v>
      </c>
      <c r="E134" s="6" t="s">
        <v>808</v>
      </c>
      <c r="F134" s="241">
        <v>600000</v>
      </c>
      <c r="G134" s="467" t="s">
        <v>6063</v>
      </c>
      <c r="H134" s="468"/>
      <c r="I134" s="469" t="s">
        <v>220</v>
      </c>
      <c r="J134" s="63"/>
    </row>
    <row r="135" spans="1:17" s="228" customFormat="1" ht="15.6" customHeight="1" x14ac:dyDescent="0.25">
      <c r="A135" s="68" t="s">
        <v>160</v>
      </c>
      <c r="B135" s="14"/>
      <c r="C135" s="13">
        <v>2</v>
      </c>
      <c r="D135" s="32" t="s">
        <v>506</v>
      </c>
      <c r="E135" s="32" t="s">
        <v>7369</v>
      </c>
      <c r="F135" s="4">
        <v>1000000</v>
      </c>
      <c r="G135" s="69" t="s">
        <v>193</v>
      </c>
      <c r="H135" s="211"/>
      <c r="I135" s="84" t="s">
        <v>220</v>
      </c>
      <c r="J135" s="21"/>
    </row>
    <row r="136" spans="1:17" s="228" customFormat="1" ht="13.95" customHeight="1" x14ac:dyDescent="0.25">
      <c r="A136" s="61" t="s">
        <v>1363</v>
      </c>
      <c r="B136" s="14"/>
      <c r="C136" s="13">
        <v>1.8</v>
      </c>
      <c r="D136" s="13" t="s">
        <v>632</v>
      </c>
      <c r="E136" s="32" t="s">
        <v>62</v>
      </c>
      <c r="F136" s="4">
        <v>700000</v>
      </c>
      <c r="G136" s="86" t="s">
        <v>1364</v>
      </c>
      <c r="H136" s="211"/>
      <c r="I136" s="4" t="s">
        <v>879</v>
      </c>
      <c r="J136" s="21"/>
    </row>
    <row r="137" spans="1:17" s="228" customFormat="1" ht="13.95" customHeight="1" x14ac:dyDescent="0.25">
      <c r="A137" s="32" t="s">
        <v>442</v>
      </c>
      <c r="B137" s="126"/>
      <c r="C137" s="13">
        <v>0</v>
      </c>
      <c r="D137" s="32" t="s">
        <v>1919</v>
      </c>
      <c r="E137" s="32" t="s">
        <v>62</v>
      </c>
      <c r="F137" s="4">
        <v>0</v>
      </c>
      <c r="G137" s="69" t="s">
        <v>1920</v>
      </c>
      <c r="H137" s="14"/>
      <c r="I137" s="41" t="s">
        <v>1921</v>
      </c>
      <c r="J137" s="21"/>
    </row>
    <row r="138" spans="1:17" s="228" customFormat="1" ht="13.95" customHeight="1" x14ac:dyDescent="0.25">
      <c r="A138" s="61" t="s">
        <v>160</v>
      </c>
      <c r="B138" s="14"/>
      <c r="C138" s="13">
        <v>0</v>
      </c>
      <c r="D138" s="32" t="s">
        <v>420</v>
      </c>
      <c r="E138" s="32" t="s">
        <v>7369</v>
      </c>
      <c r="F138" s="4">
        <v>0</v>
      </c>
      <c r="G138" s="86" t="s">
        <v>207</v>
      </c>
      <c r="H138" s="211"/>
      <c r="I138" s="208" t="s">
        <v>7370</v>
      </c>
      <c r="J138" s="21"/>
    </row>
    <row r="139" spans="1:17" s="228" customFormat="1" x14ac:dyDescent="0.25">
      <c r="A139" s="61" t="s">
        <v>160</v>
      </c>
      <c r="B139" s="14"/>
      <c r="C139" s="13">
        <v>1.5</v>
      </c>
      <c r="D139" s="13" t="s">
        <v>451</v>
      </c>
      <c r="E139" s="32" t="s">
        <v>62</v>
      </c>
      <c r="F139" s="4">
        <v>1000000</v>
      </c>
      <c r="G139" s="69" t="s">
        <v>193</v>
      </c>
      <c r="H139" s="211"/>
      <c r="I139" s="4" t="s">
        <v>270</v>
      </c>
      <c r="J139" s="21"/>
    </row>
    <row r="140" spans="1:17" s="228" customFormat="1" x14ac:dyDescent="0.25">
      <c r="A140" s="61" t="s">
        <v>659</v>
      </c>
      <c r="B140" s="14"/>
      <c r="C140" s="13">
        <v>3.7</v>
      </c>
      <c r="D140" s="13" t="s">
        <v>5888</v>
      </c>
      <c r="E140" s="13" t="s">
        <v>808</v>
      </c>
      <c r="F140" s="37">
        <v>3000000</v>
      </c>
      <c r="G140" s="174" t="s">
        <v>5762</v>
      </c>
      <c r="H140" s="14"/>
      <c r="I140" s="4" t="s">
        <v>24</v>
      </c>
      <c r="J140" s="22"/>
      <c r="K140" s="21"/>
    </row>
    <row r="141" spans="1:17" s="228" customFormat="1" ht="13.95" customHeight="1" x14ac:dyDescent="0.25">
      <c r="A141" s="68" t="s">
        <v>455</v>
      </c>
      <c r="B141" s="14"/>
      <c r="C141" s="13">
        <v>7.0000000000000007E-2</v>
      </c>
      <c r="D141" s="32" t="s">
        <v>4428</v>
      </c>
      <c r="E141" s="32" t="s">
        <v>958</v>
      </c>
      <c r="F141" s="4">
        <v>67683.78</v>
      </c>
      <c r="G141" s="86" t="s">
        <v>4427</v>
      </c>
      <c r="H141" s="211"/>
      <c r="I141" s="4" t="s">
        <v>4426</v>
      </c>
      <c r="J141" s="21"/>
    </row>
    <row r="142" spans="1:17" s="228" customFormat="1" ht="13.95" customHeight="1" x14ac:dyDescent="0.25">
      <c r="A142" s="61" t="s">
        <v>213</v>
      </c>
      <c r="B142" s="14"/>
      <c r="C142" s="13">
        <v>0.36</v>
      </c>
      <c r="D142" s="13" t="s">
        <v>880</v>
      </c>
      <c r="E142" s="32" t="s">
        <v>808</v>
      </c>
      <c r="F142" s="4">
        <v>360000</v>
      </c>
      <c r="G142" s="86" t="s">
        <v>193</v>
      </c>
      <c r="H142" s="211"/>
      <c r="I142" s="4" t="s">
        <v>218</v>
      </c>
      <c r="J142" s="21"/>
    </row>
    <row r="143" spans="1:17" s="228" customFormat="1" x14ac:dyDescent="0.25">
      <c r="A143" s="13" t="s">
        <v>639</v>
      </c>
      <c r="B143" s="502"/>
      <c r="C143" s="13">
        <v>0.2</v>
      </c>
      <c r="D143" s="13" t="s">
        <v>604</v>
      </c>
      <c r="E143" s="13" t="s">
        <v>691</v>
      </c>
      <c r="F143" s="37">
        <f>950370-750000</f>
        <v>200370</v>
      </c>
      <c r="G143" s="69" t="s">
        <v>854</v>
      </c>
      <c r="H143" s="14"/>
      <c r="I143" s="4" t="s">
        <v>855</v>
      </c>
      <c r="J143" s="62"/>
      <c r="K143" s="62"/>
      <c r="L143" s="35"/>
      <c r="M143" s="35"/>
      <c r="N143" s="35"/>
      <c r="O143" s="35"/>
      <c r="P143" s="35"/>
    </row>
    <row r="144" spans="1:17" s="228" customFormat="1" x14ac:dyDescent="0.25">
      <c r="A144" s="32" t="s">
        <v>1316</v>
      </c>
      <c r="B144" s="14"/>
      <c r="C144" s="13">
        <v>0.1</v>
      </c>
      <c r="D144" s="32" t="s">
        <v>1725</v>
      </c>
      <c r="E144" s="32" t="s">
        <v>808</v>
      </c>
      <c r="F144" s="4">
        <v>142046</v>
      </c>
      <c r="G144" s="69" t="s">
        <v>1532</v>
      </c>
      <c r="H144" s="14"/>
      <c r="I144" s="4" t="s">
        <v>24</v>
      </c>
      <c r="J144" s="21"/>
    </row>
    <row r="145" spans="1:19" s="228" customFormat="1" ht="13.95" customHeight="1" x14ac:dyDescent="0.25">
      <c r="A145" s="61" t="s">
        <v>91</v>
      </c>
      <c r="B145" s="14"/>
      <c r="C145" s="13">
        <v>0.3</v>
      </c>
      <c r="D145" s="13" t="s">
        <v>3301</v>
      </c>
      <c r="E145" s="32" t="s">
        <v>62</v>
      </c>
      <c r="F145" s="4">
        <v>300000</v>
      </c>
      <c r="G145" s="86" t="s">
        <v>3302</v>
      </c>
      <c r="H145" s="211"/>
      <c r="I145" s="4" t="s">
        <v>3303</v>
      </c>
      <c r="J145" s="21"/>
    </row>
    <row r="146" spans="1:19" s="228" customFormat="1" ht="15" customHeight="1" x14ac:dyDescent="0.25">
      <c r="A146" s="32" t="s">
        <v>160</v>
      </c>
      <c r="B146" s="14"/>
      <c r="C146" s="13">
        <v>17.3</v>
      </c>
      <c r="D146" s="32" t="s">
        <v>454</v>
      </c>
      <c r="E146" s="17" t="s">
        <v>4993</v>
      </c>
      <c r="F146" s="4">
        <v>6000000</v>
      </c>
      <c r="G146" s="69" t="s">
        <v>207</v>
      </c>
      <c r="H146" s="14"/>
      <c r="I146" s="4" t="s">
        <v>629</v>
      </c>
      <c r="J146" s="21"/>
    </row>
    <row r="147" spans="1:19" s="228" customFormat="1" ht="13.95" customHeight="1" x14ac:dyDescent="0.25">
      <c r="A147" s="61" t="s">
        <v>442</v>
      </c>
      <c r="B147" s="14"/>
      <c r="C147" s="13">
        <v>0.5</v>
      </c>
      <c r="D147" s="13" t="s">
        <v>893</v>
      </c>
      <c r="E147" s="32" t="s">
        <v>62</v>
      </c>
      <c r="F147" s="4">
        <v>474243.7</v>
      </c>
      <c r="G147" s="86" t="s">
        <v>1909</v>
      </c>
      <c r="H147" s="211"/>
      <c r="I147" s="4" t="s">
        <v>1910</v>
      </c>
      <c r="J147" s="21"/>
    </row>
    <row r="148" spans="1:19" s="228" customFormat="1" ht="13.95" customHeight="1" x14ac:dyDescent="0.25">
      <c r="A148" s="61" t="s">
        <v>442</v>
      </c>
      <c r="B148" s="14" t="s">
        <v>1940</v>
      </c>
      <c r="C148" s="13">
        <v>6.1</v>
      </c>
      <c r="D148" s="13" t="s">
        <v>3357</v>
      </c>
      <c r="E148" s="32" t="s">
        <v>62</v>
      </c>
      <c r="F148" s="4">
        <v>3000000</v>
      </c>
      <c r="G148" s="86" t="s">
        <v>1939</v>
      </c>
      <c r="H148" s="211"/>
      <c r="I148" s="4" t="s">
        <v>788</v>
      </c>
      <c r="J148" s="21"/>
    </row>
    <row r="149" spans="1:19" s="228" customFormat="1" x14ac:dyDescent="0.25">
      <c r="A149" s="32" t="s">
        <v>1149</v>
      </c>
      <c r="B149" s="14"/>
      <c r="C149" s="13">
        <v>5.4</v>
      </c>
      <c r="D149" s="32" t="s">
        <v>1179</v>
      </c>
      <c r="E149" s="32" t="s">
        <v>808</v>
      </c>
      <c r="F149" s="4">
        <v>3500000</v>
      </c>
      <c r="G149" s="69" t="s">
        <v>2190</v>
      </c>
      <c r="H149" s="14"/>
      <c r="I149" s="4" t="s">
        <v>24</v>
      </c>
      <c r="J149" s="21"/>
    </row>
    <row r="150" spans="1:19" s="228" customFormat="1" x14ac:dyDescent="0.25">
      <c r="A150" s="32" t="s">
        <v>55</v>
      </c>
      <c r="B150" s="14"/>
      <c r="C150" s="13">
        <v>9</v>
      </c>
      <c r="D150" s="32" t="s">
        <v>1143</v>
      </c>
      <c r="E150" s="32" t="s">
        <v>2604</v>
      </c>
      <c r="F150" s="4">
        <v>3000000</v>
      </c>
      <c r="G150" s="69" t="s">
        <v>1339</v>
      </c>
      <c r="H150" s="14"/>
      <c r="I150" s="4" t="s">
        <v>315</v>
      </c>
      <c r="J150" s="21"/>
    </row>
    <row r="151" spans="1:19" s="228" customFormat="1" ht="13.2" customHeight="1" x14ac:dyDescent="0.25">
      <c r="A151" s="32" t="s">
        <v>160</v>
      </c>
      <c r="B151" s="14"/>
      <c r="C151" s="13">
        <v>1</v>
      </c>
      <c r="D151" s="32" t="s">
        <v>352</v>
      </c>
      <c r="E151" s="32" t="s">
        <v>988</v>
      </c>
      <c r="F151" s="4">
        <v>1000000</v>
      </c>
      <c r="G151" s="69" t="s">
        <v>207</v>
      </c>
      <c r="H151" s="14"/>
      <c r="I151" s="4" t="s">
        <v>218</v>
      </c>
      <c r="J151" s="21"/>
    </row>
    <row r="152" spans="1:19" s="228" customFormat="1" ht="13.95" customHeight="1" x14ac:dyDescent="0.25">
      <c r="A152" s="68" t="s">
        <v>35</v>
      </c>
      <c r="B152" s="14"/>
      <c r="C152" s="13">
        <v>0.4</v>
      </c>
      <c r="D152" s="32" t="s">
        <v>799</v>
      </c>
      <c r="E152" s="32" t="s">
        <v>963</v>
      </c>
      <c r="F152" s="4">
        <v>365950</v>
      </c>
      <c r="G152" s="86" t="s">
        <v>1068</v>
      </c>
      <c r="H152" s="211"/>
      <c r="I152" s="208" t="s">
        <v>220</v>
      </c>
      <c r="J152" s="21"/>
    </row>
    <row r="153" spans="1:19" s="228" customFormat="1" ht="13.95" customHeight="1" x14ac:dyDescent="0.25">
      <c r="A153" s="61" t="s">
        <v>91</v>
      </c>
      <c r="B153" s="14"/>
      <c r="C153" s="13">
        <v>0.05</v>
      </c>
      <c r="D153" s="13" t="s">
        <v>289</v>
      </c>
      <c r="E153" s="32" t="s">
        <v>62</v>
      </c>
      <c r="F153" s="4">
        <v>55451.399999999994</v>
      </c>
      <c r="G153" s="86" t="s">
        <v>2033</v>
      </c>
      <c r="H153" s="211"/>
      <c r="I153" s="4" t="s">
        <v>467</v>
      </c>
      <c r="J153" s="21"/>
    </row>
    <row r="154" spans="1:19" s="228" customFormat="1" x14ac:dyDescent="0.25">
      <c r="A154" s="13" t="s">
        <v>637</v>
      </c>
      <c r="B154" s="126"/>
      <c r="C154" s="13">
        <v>0.3</v>
      </c>
      <c r="D154" s="13" t="s">
        <v>1789</v>
      </c>
      <c r="E154" s="13" t="s">
        <v>691</v>
      </c>
      <c r="F154" s="4">
        <v>325707.06999999983</v>
      </c>
      <c r="G154" s="69" t="s">
        <v>1791</v>
      </c>
      <c r="H154" s="14"/>
      <c r="I154" s="4" t="s">
        <v>1790</v>
      </c>
      <c r="J154" s="62"/>
      <c r="K154" s="62"/>
      <c r="L154" s="35"/>
      <c r="M154" s="35"/>
      <c r="N154" s="35"/>
      <c r="O154" s="35"/>
      <c r="P154" s="35"/>
    </row>
    <row r="155" spans="1:19" s="228" customFormat="1" ht="13.95" customHeight="1" x14ac:dyDescent="0.25">
      <c r="A155" s="68" t="s">
        <v>455</v>
      </c>
      <c r="B155" s="14"/>
      <c r="C155" s="13">
        <v>0.4</v>
      </c>
      <c r="D155" s="32" t="s">
        <v>7301</v>
      </c>
      <c r="E155" s="32" t="s">
        <v>958</v>
      </c>
      <c r="F155" s="4">
        <v>395000</v>
      </c>
      <c r="G155" s="86" t="s">
        <v>7302</v>
      </c>
      <c r="H155" s="211"/>
      <c r="I155" s="4" t="s">
        <v>4426</v>
      </c>
      <c r="J155" s="21"/>
    </row>
    <row r="156" spans="1:19" s="228" customFormat="1" ht="6" customHeight="1" x14ac:dyDescent="0.25">
      <c r="A156" s="13">
        <v>0</v>
      </c>
      <c r="B156" s="14"/>
      <c r="C156" s="13"/>
      <c r="D156" s="13"/>
      <c r="E156" s="13"/>
      <c r="F156" s="4"/>
      <c r="G156" s="29"/>
      <c r="H156" s="14"/>
      <c r="I156" s="4"/>
      <c r="K156" s="74"/>
      <c r="L156" s="62"/>
      <c r="M156" s="62"/>
      <c r="N156" s="62"/>
      <c r="O156" s="35"/>
      <c r="P156" s="35"/>
      <c r="Q156" s="35"/>
      <c r="R156" s="35"/>
      <c r="S156" s="35"/>
    </row>
    <row r="157" spans="1:19" s="8" customFormat="1" ht="18.75" customHeight="1" x14ac:dyDescent="0.25">
      <c r="A157" s="11" t="s">
        <v>703</v>
      </c>
      <c r="B157" s="66"/>
      <c r="C157" s="213">
        <f>SUM(C158:C163)</f>
        <v>11.9</v>
      </c>
      <c r="D157" s="9"/>
      <c r="E157" s="9"/>
      <c r="F157" s="44">
        <f>SUM(F158:F163)</f>
        <v>4431470</v>
      </c>
      <c r="G157" s="24"/>
      <c r="H157" s="9"/>
      <c r="I157" s="10"/>
      <c r="J157" s="23"/>
    </row>
    <row r="158" spans="1:19" s="228" customFormat="1" ht="7.35" customHeight="1" x14ac:dyDescent="0.25">
      <c r="A158" s="13">
        <v>0</v>
      </c>
      <c r="B158" s="14"/>
      <c r="C158" s="13"/>
      <c r="D158" s="13"/>
      <c r="E158" s="13"/>
      <c r="F158" s="4"/>
      <c r="G158" s="29"/>
      <c r="H158" s="14"/>
      <c r="I158" s="4"/>
      <c r="K158" s="8"/>
    </row>
    <row r="159" spans="1:19" s="228" customFormat="1" x14ac:dyDescent="0.25">
      <c r="A159" s="13" t="s">
        <v>160</v>
      </c>
      <c r="B159" s="14"/>
      <c r="C159" s="13">
        <v>1</v>
      </c>
      <c r="D159" s="13" t="s">
        <v>1182</v>
      </c>
      <c r="E159" s="13" t="s">
        <v>1311</v>
      </c>
      <c r="F159" s="37">
        <v>500000</v>
      </c>
      <c r="G159" s="29"/>
      <c r="H159" s="14"/>
      <c r="I159" s="4" t="s">
        <v>8156</v>
      </c>
      <c r="J159" s="133"/>
      <c r="K159" s="21"/>
    </row>
    <row r="160" spans="1:19" s="228" customFormat="1" x14ac:dyDescent="0.25">
      <c r="A160" s="13" t="s">
        <v>160</v>
      </c>
      <c r="B160" s="14"/>
      <c r="C160" s="13">
        <v>10</v>
      </c>
      <c r="D160" s="13" t="s">
        <v>1863</v>
      </c>
      <c r="E160" s="13" t="s">
        <v>988</v>
      </c>
      <c r="F160" s="208">
        <v>3000000</v>
      </c>
      <c r="G160" s="29" t="s">
        <v>193</v>
      </c>
      <c r="H160" s="14"/>
      <c r="I160" s="4" t="s">
        <v>159</v>
      </c>
      <c r="J160" s="71"/>
    </row>
    <row r="161" spans="1:19" s="228" customFormat="1" x14ac:dyDescent="0.25">
      <c r="A161" s="13" t="s">
        <v>160</v>
      </c>
      <c r="B161" s="14"/>
      <c r="C161" s="13">
        <v>0.9</v>
      </c>
      <c r="D161" s="13" t="s">
        <v>3040</v>
      </c>
      <c r="E161" s="13" t="s">
        <v>988</v>
      </c>
      <c r="F161" s="208">
        <v>931470</v>
      </c>
      <c r="G161" s="29" t="s">
        <v>193</v>
      </c>
      <c r="H161" s="14"/>
      <c r="I161" s="4" t="s">
        <v>1244</v>
      </c>
      <c r="J161" s="71"/>
    </row>
    <row r="162" spans="1:19" s="97" customFormat="1" x14ac:dyDescent="0.25">
      <c r="A162" s="32" t="s">
        <v>160</v>
      </c>
      <c r="B162" s="14"/>
      <c r="C162" s="13">
        <v>0</v>
      </c>
      <c r="D162" s="13" t="s">
        <v>1103</v>
      </c>
      <c r="E162" s="13" t="s">
        <v>988</v>
      </c>
      <c r="F162" s="4">
        <v>0</v>
      </c>
      <c r="G162" s="28" t="s">
        <v>193</v>
      </c>
      <c r="H162" s="14"/>
      <c r="I162" s="41" t="s">
        <v>1110</v>
      </c>
      <c r="J162" s="22"/>
      <c r="K162" s="22"/>
    </row>
    <row r="163" spans="1:19" s="228" customFormat="1" ht="6" customHeight="1" x14ac:dyDescent="0.25">
      <c r="A163" s="32">
        <v>0</v>
      </c>
      <c r="B163" s="102"/>
      <c r="C163" s="13"/>
      <c r="D163" s="32"/>
      <c r="E163" s="32"/>
      <c r="F163" s="4"/>
      <c r="G163" s="28"/>
      <c r="H163" s="14"/>
      <c r="I163" s="32"/>
      <c r="K163" s="8"/>
      <c r="L163" s="62"/>
      <c r="M163" s="62"/>
      <c r="N163" s="62"/>
      <c r="O163" s="35"/>
      <c r="P163" s="35"/>
      <c r="Q163" s="35"/>
      <c r="R163" s="35"/>
      <c r="S163" s="35"/>
    </row>
    <row r="164" spans="1:19" s="8" customFormat="1" ht="18.75" customHeight="1" x14ac:dyDescent="0.25">
      <c r="A164" s="11" t="s">
        <v>137</v>
      </c>
      <c r="B164" s="66"/>
      <c r="C164" s="213">
        <f>SUM(C165:C184)</f>
        <v>121.39999999999999</v>
      </c>
      <c r="D164" s="9"/>
      <c r="E164" s="9"/>
      <c r="F164" s="44">
        <f>SUM(F165:F184)</f>
        <v>63931000</v>
      </c>
      <c r="G164" s="24"/>
      <c r="H164" s="9"/>
      <c r="I164" s="10"/>
      <c r="J164" s="23"/>
      <c r="L164" s="23"/>
      <c r="M164" s="23"/>
      <c r="N164" s="23"/>
      <c r="O164" s="23"/>
      <c r="P164" s="23"/>
      <c r="Q164" s="23"/>
      <c r="R164" s="23"/>
      <c r="S164" s="23"/>
    </row>
    <row r="165" spans="1:19" s="228" customFormat="1" ht="7.35" customHeight="1" x14ac:dyDescent="0.25">
      <c r="A165" s="13">
        <v>0</v>
      </c>
      <c r="B165" s="83"/>
      <c r="C165" s="13"/>
      <c r="D165" s="13"/>
      <c r="E165" s="13"/>
      <c r="F165" s="4"/>
      <c r="G165" s="29"/>
      <c r="H165" s="14"/>
      <c r="I165" s="4"/>
      <c r="K165" s="8"/>
      <c r="L165" s="62"/>
      <c r="M165" s="62"/>
      <c r="N165" s="62"/>
      <c r="O165" s="35"/>
      <c r="P165" s="35"/>
      <c r="Q165" s="35"/>
      <c r="R165" s="35"/>
      <c r="S165" s="35"/>
    </row>
    <row r="166" spans="1:19" s="97" customFormat="1" x14ac:dyDescent="0.25">
      <c r="A166" s="13" t="s">
        <v>160</v>
      </c>
      <c r="B166" s="39"/>
      <c r="C166" s="40">
        <v>10</v>
      </c>
      <c r="D166" s="13" t="s">
        <v>783</v>
      </c>
      <c r="E166" s="17" t="s">
        <v>5154</v>
      </c>
      <c r="F166" s="37">
        <v>4000000</v>
      </c>
      <c r="G166" s="29"/>
      <c r="H166" s="39"/>
      <c r="I166" s="17" t="s">
        <v>264</v>
      </c>
      <c r="J166" s="22"/>
      <c r="K166" s="22"/>
    </row>
    <row r="167" spans="1:19" s="97" customFormat="1" x14ac:dyDescent="0.25">
      <c r="A167" s="13" t="s">
        <v>160</v>
      </c>
      <c r="B167" s="14"/>
      <c r="C167" s="13">
        <v>0.4</v>
      </c>
      <c r="D167" s="13" t="s">
        <v>487</v>
      </c>
      <c r="E167" s="17" t="s">
        <v>5154</v>
      </c>
      <c r="F167" s="4">
        <v>364000</v>
      </c>
      <c r="G167" s="28"/>
      <c r="H167" s="14"/>
      <c r="I167" s="17" t="s">
        <v>264</v>
      </c>
      <c r="J167" s="133"/>
      <c r="K167" s="22"/>
      <c r="L167" s="134"/>
    </row>
    <row r="168" spans="1:19" s="97" customFormat="1" x14ac:dyDescent="0.25">
      <c r="A168" s="13" t="s">
        <v>160</v>
      </c>
      <c r="B168" s="14"/>
      <c r="C168" s="13">
        <v>15.4</v>
      </c>
      <c r="D168" s="13" t="s">
        <v>257</v>
      </c>
      <c r="E168" s="17" t="s">
        <v>5154</v>
      </c>
      <c r="F168" s="4">
        <v>11067000</v>
      </c>
      <c r="G168" s="28"/>
      <c r="H168" s="14"/>
      <c r="I168" s="17" t="s">
        <v>264</v>
      </c>
      <c r="J168" s="133"/>
      <c r="K168" s="22"/>
      <c r="L168" s="134"/>
    </row>
    <row r="169" spans="1:19" s="97" customFormat="1" x14ac:dyDescent="0.25">
      <c r="A169" s="13" t="s">
        <v>160</v>
      </c>
      <c r="B169" s="14"/>
      <c r="C169" s="13">
        <v>3.4</v>
      </c>
      <c r="D169" s="13" t="s">
        <v>1377</v>
      </c>
      <c r="E169" s="17" t="s">
        <v>5154</v>
      </c>
      <c r="F169" s="4">
        <v>1660000</v>
      </c>
      <c r="G169" s="28"/>
      <c r="H169" s="14"/>
      <c r="I169" s="17" t="s">
        <v>264</v>
      </c>
      <c r="J169" s="133"/>
      <c r="K169" s="22"/>
      <c r="L169" s="134"/>
    </row>
    <row r="170" spans="1:19" s="50" customFormat="1" x14ac:dyDescent="0.25">
      <c r="A170" s="13" t="s">
        <v>160</v>
      </c>
      <c r="B170" s="14"/>
      <c r="C170" s="13">
        <v>15.5</v>
      </c>
      <c r="D170" s="218" t="s">
        <v>539</v>
      </c>
      <c r="E170" s="17" t="s">
        <v>5154</v>
      </c>
      <c r="F170" s="37">
        <v>1920000</v>
      </c>
      <c r="G170" s="28"/>
      <c r="H170" s="14"/>
      <c r="I170" s="32" t="s">
        <v>264</v>
      </c>
      <c r="J170" s="21"/>
    </row>
    <row r="171" spans="1:19" s="97" customFormat="1" x14ac:dyDescent="0.25">
      <c r="A171" s="13" t="s">
        <v>160</v>
      </c>
      <c r="B171" s="14"/>
      <c r="C171" s="13">
        <v>2.6</v>
      </c>
      <c r="D171" s="13" t="s">
        <v>2007</v>
      </c>
      <c r="E171" s="17" t="s">
        <v>5154</v>
      </c>
      <c r="F171" s="4">
        <v>860000</v>
      </c>
      <c r="G171" s="28"/>
      <c r="H171" s="14"/>
      <c r="I171" s="17" t="s">
        <v>264</v>
      </c>
      <c r="J171" s="133"/>
      <c r="K171" s="22"/>
      <c r="L171" s="134"/>
    </row>
    <row r="172" spans="1:19" s="93" customFormat="1" x14ac:dyDescent="0.25">
      <c r="A172" s="13" t="s">
        <v>160</v>
      </c>
      <c r="B172" s="14"/>
      <c r="C172" s="13">
        <v>5.7</v>
      </c>
      <c r="D172" s="13" t="s">
        <v>276</v>
      </c>
      <c r="E172" s="17" t="s">
        <v>5154</v>
      </c>
      <c r="F172" s="37">
        <v>5700000</v>
      </c>
      <c r="G172" s="29"/>
      <c r="H172" s="14"/>
      <c r="I172" s="17" t="s">
        <v>264</v>
      </c>
      <c r="J172" s="130"/>
      <c r="K172" s="16"/>
      <c r="L172" s="92"/>
    </row>
    <row r="173" spans="1:19" s="97" customFormat="1" x14ac:dyDescent="0.25">
      <c r="A173" s="13" t="s">
        <v>160</v>
      </c>
      <c r="B173" s="14"/>
      <c r="C173" s="13">
        <v>4.4000000000000004</v>
      </c>
      <c r="D173" s="13" t="s">
        <v>254</v>
      </c>
      <c r="E173" s="17" t="s">
        <v>5154</v>
      </c>
      <c r="F173" s="37">
        <v>1800000</v>
      </c>
      <c r="G173" s="29"/>
      <c r="H173" s="14"/>
      <c r="I173" s="17" t="s">
        <v>264</v>
      </c>
      <c r="J173" s="133"/>
      <c r="K173" s="22"/>
      <c r="L173" s="134"/>
    </row>
    <row r="174" spans="1:19" s="97" customFormat="1" x14ac:dyDescent="0.25">
      <c r="A174" s="13" t="s">
        <v>160</v>
      </c>
      <c r="B174" s="14"/>
      <c r="C174" s="13">
        <v>4.9000000000000004</v>
      </c>
      <c r="D174" s="13" t="s">
        <v>6951</v>
      </c>
      <c r="E174" s="17" t="s">
        <v>5154</v>
      </c>
      <c r="F174" s="37">
        <v>840000</v>
      </c>
      <c r="G174" s="29"/>
      <c r="H174" s="14"/>
      <c r="I174" s="17" t="s">
        <v>264</v>
      </c>
      <c r="J174" s="133"/>
      <c r="K174" s="22"/>
      <c r="L174" s="134"/>
    </row>
    <row r="175" spans="1:19" s="97" customFormat="1" x14ac:dyDescent="0.25">
      <c r="A175" s="13" t="s">
        <v>160</v>
      </c>
      <c r="B175" s="14"/>
      <c r="C175" s="13">
        <v>17.7</v>
      </c>
      <c r="D175" s="13" t="s">
        <v>589</v>
      </c>
      <c r="E175" s="17" t="s">
        <v>5154</v>
      </c>
      <c r="F175" s="37">
        <v>11900000</v>
      </c>
      <c r="G175" s="29"/>
      <c r="H175" s="14"/>
      <c r="I175" s="17" t="s">
        <v>264</v>
      </c>
      <c r="J175" s="133"/>
      <c r="K175" s="22"/>
      <c r="L175" s="134"/>
    </row>
    <row r="176" spans="1:19" s="97" customFormat="1" x14ac:dyDescent="0.25">
      <c r="A176" s="13" t="s">
        <v>160</v>
      </c>
      <c r="B176" s="14"/>
      <c r="C176" s="13">
        <v>2</v>
      </c>
      <c r="D176" s="13" t="s">
        <v>8620</v>
      </c>
      <c r="E176" s="17" t="s">
        <v>5154</v>
      </c>
      <c r="F176" s="37">
        <v>2000000</v>
      </c>
      <c r="G176" s="29"/>
      <c r="H176" s="14"/>
      <c r="I176" s="17" t="s">
        <v>264</v>
      </c>
      <c r="J176" s="133"/>
      <c r="K176" s="22"/>
      <c r="L176" s="134"/>
    </row>
    <row r="177" spans="1:19" s="97" customFormat="1" x14ac:dyDescent="0.25">
      <c r="A177" s="13" t="s">
        <v>160</v>
      </c>
      <c r="B177" s="14"/>
      <c r="C177" s="13">
        <v>2.7</v>
      </c>
      <c r="D177" s="13" t="s">
        <v>8111</v>
      </c>
      <c r="E177" s="17" t="s">
        <v>5154</v>
      </c>
      <c r="F177" s="4">
        <v>950000</v>
      </c>
      <c r="G177" s="29"/>
      <c r="H177" s="14"/>
      <c r="I177" s="17" t="s">
        <v>264</v>
      </c>
      <c r="J177" s="133"/>
      <c r="K177" s="22"/>
      <c r="L177" s="134"/>
    </row>
    <row r="178" spans="1:19" s="97" customFormat="1" x14ac:dyDescent="0.25">
      <c r="A178" s="13" t="s">
        <v>160</v>
      </c>
      <c r="B178" s="14"/>
      <c r="C178" s="13">
        <v>2.6</v>
      </c>
      <c r="D178" s="13" t="s">
        <v>6805</v>
      </c>
      <c r="E178" s="17" t="s">
        <v>5154</v>
      </c>
      <c r="F178" s="37">
        <v>843000</v>
      </c>
      <c r="G178" s="29"/>
      <c r="H178" s="14"/>
      <c r="I178" s="17" t="s">
        <v>264</v>
      </c>
      <c r="J178" s="133"/>
      <c r="K178" s="22"/>
      <c r="L178" s="134"/>
    </row>
    <row r="179" spans="1:19" s="97" customFormat="1" ht="27.6" x14ac:dyDescent="0.25">
      <c r="A179" s="13" t="s">
        <v>160</v>
      </c>
      <c r="B179" s="14"/>
      <c r="C179" s="13">
        <v>1.7</v>
      </c>
      <c r="D179" s="13" t="s">
        <v>7763</v>
      </c>
      <c r="E179" s="17" t="s">
        <v>5154</v>
      </c>
      <c r="F179" s="4">
        <v>837000</v>
      </c>
      <c r="G179" s="29"/>
      <c r="H179" s="14"/>
      <c r="I179" s="17" t="s">
        <v>264</v>
      </c>
      <c r="J179" s="133"/>
      <c r="K179" s="22"/>
      <c r="L179" s="134"/>
    </row>
    <row r="180" spans="1:19" s="97" customFormat="1" x14ac:dyDescent="0.25">
      <c r="A180" s="13" t="s">
        <v>160</v>
      </c>
      <c r="B180" s="14"/>
      <c r="C180" s="13">
        <v>2.6</v>
      </c>
      <c r="D180" s="13" t="s">
        <v>1827</v>
      </c>
      <c r="E180" s="17" t="s">
        <v>5154</v>
      </c>
      <c r="F180" s="37">
        <v>1730000</v>
      </c>
      <c r="G180" s="29"/>
      <c r="H180" s="14"/>
      <c r="I180" s="17" t="s">
        <v>264</v>
      </c>
      <c r="J180" s="133"/>
      <c r="K180" s="22"/>
      <c r="L180" s="134"/>
    </row>
    <row r="181" spans="1:19" s="97" customFormat="1" x14ac:dyDescent="0.25">
      <c r="A181" s="17" t="s">
        <v>160</v>
      </c>
      <c r="B181" s="14"/>
      <c r="C181" s="13">
        <v>9</v>
      </c>
      <c r="D181" s="17" t="s">
        <v>243</v>
      </c>
      <c r="E181" s="17" t="s">
        <v>5154</v>
      </c>
      <c r="F181" s="37">
        <v>3540000</v>
      </c>
      <c r="G181" s="29"/>
      <c r="H181" s="14"/>
      <c r="I181" s="17" t="s">
        <v>264</v>
      </c>
      <c r="J181" s="22"/>
      <c r="K181" s="22"/>
    </row>
    <row r="182" spans="1:19" s="97" customFormat="1" x14ac:dyDescent="0.25">
      <c r="A182" s="13" t="s">
        <v>160</v>
      </c>
      <c r="B182" s="39"/>
      <c r="C182" s="13">
        <v>7</v>
      </c>
      <c r="D182" s="17" t="s">
        <v>249</v>
      </c>
      <c r="E182" s="17" t="s">
        <v>5154</v>
      </c>
      <c r="F182" s="37">
        <v>5300000</v>
      </c>
      <c r="G182" s="29"/>
      <c r="H182" s="39"/>
      <c r="I182" s="17" t="s">
        <v>264</v>
      </c>
      <c r="J182" s="22"/>
      <c r="K182" s="22"/>
    </row>
    <row r="183" spans="1:19" s="97" customFormat="1" x14ac:dyDescent="0.25">
      <c r="A183" s="13" t="s">
        <v>160</v>
      </c>
      <c r="B183" s="14"/>
      <c r="C183" s="13">
        <v>13.8</v>
      </c>
      <c r="D183" s="13" t="s">
        <v>353</v>
      </c>
      <c r="E183" s="17" t="s">
        <v>5154</v>
      </c>
      <c r="F183" s="37">
        <v>8620000</v>
      </c>
      <c r="G183" s="29"/>
      <c r="H183" s="14"/>
      <c r="I183" s="4" t="s">
        <v>264</v>
      </c>
      <c r="J183" s="133"/>
      <c r="K183" s="22"/>
      <c r="L183" s="134"/>
    </row>
    <row r="184" spans="1:19" s="228" customFormat="1" ht="8.1" customHeight="1" x14ac:dyDescent="0.25">
      <c r="A184" s="32">
        <v>0</v>
      </c>
      <c r="B184" s="14"/>
      <c r="C184" s="13"/>
      <c r="D184" s="32"/>
      <c r="E184" s="32"/>
      <c r="F184" s="4"/>
      <c r="G184" s="28"/>
      <c r="H184" s="14"/>
      <c r="I184" s="32"/>
      <c r="K184" s="8"/>
      <c r="L184" s="62"/>
      <c r="M184" s="62"/>
      <c r="N184" s="62"/>
      <c r="O184" s="35"/>
      <c r="P184" s="35"/>
      <c r="Q184" s="35"/>
      <c r="R184" s="35"/>
      <c r="S184" s="35"/>
    </row>
    <row r="185" spans="1:19" s="8" customFormat="1" ht="18.75" customHeight="1" x14ac:dyDescent="0.25">
      <c r="A185" s="11" t="s">
        <v>180</v>
      </c>
      <c r="B185" s="66"/>
      <c r="C185" s="213">
        <f>SUM(C186:C192)</f>
        <v>24.6</v>
      </c>
      <c r="D185" s="9"/>
      <c r="E185" s="9"/>
      <c r="F185" s="44">
        <f>SUM(F186:F192)</f>
        <v>18983771</v>
      </c>
      <c r="G185" s="85"/>
      <c r="H185" s="9"/>
      <c r="I185" s="10"/>
      <c r="J185" s="23"/>
      <c r="L185" s="23"/>
      <c r="M185" s="23"/>
      <c r="N185" s="23"/>
      <c r="O185" s="23"/>
      <c r="P185" s="23"/>
      <c r="Q185" s="23"/>
      <c r="R185" s="23"/>
      <c r="S185" s="23"/>
    </row>
    <row r="186" spans="1:19" s="228" customFormat="1" ht="6" customHeight="1" x14ac:dyDescent="0.25">
      <c r="A186" s="13">
        <v>0</v>
      </c>
      <c r="B186" s="83"/>
      <c r="C186" s="13"/>
      <c r="D186" s="13"/>
      <c r="E186" s="13"/>
      <c r="F186" s="4"/>
      <c r="G186" s="29"/>
      <c r="H186" s="14"/>
      <c r="I186" s="4"/>
      <c r="K186" s="8"/>
      <c r="L186" s="62"/>
      <c r="M186" s="62"/>
      <c r="N186" s="62"/>
      <c r="O186" s="35"/>
      <c r="P186" s="35"/>
      <c r="Q186" s="35"/>
      <c r="R186" s="35"/>
      <c r="S186" s="35"/>
    </row>
    <row r="187" spans="1:19" s="82" customFormat="1" ht="15" customHeight="1" x14ac:dyDescent="0.25">
      <c r="A187" s="13" t="s">
        <v>160</v>
      </c>
      <c r="B187" s="14"/>
      <c r="C187" s="13">
        <v>24.1</v>
      </c>
      <c r="D187" s="13" t="s">
        <v>415</v>
      </c>
      <c r="E187" s="17" t="s">
        <v>1050</v>
      </c>
      <c r="F187" s="4">
        <v>9400000</v>
      </c>
      <c r="G187" s="29"/>
      <c r="H187" s="14"/>
      <c r="I187" s="29" t="s">
        <v>9285</v>
      </c>
      <c r="J187" s="22"/>
      <c r="K187" s="63"/>
      <c r="L187" s="228"/>
      <c r="M187" s="228"/>
      <c r="N187" s="228"/>
    </row>
    <row r="188" spans="1:19" s="82" customFormat="1" ht="15" customHeight="1" x14ac:dyDescent="0.25">
      <c r="A188" s="13" t="s">
        <v>160</v>
      </c>
      <c r="B188" s="14"/>
      <c r="C188" s="13">
        <v>0.5</v>
      </c>
      <c r="D188" s="13" t="s">
        <v>635</v>
      </c>
      <c r="E188" s="17" t="s">
        <v>1050</v>
      </c>
      <c r="F188" s="4">
        <v>500000</v>
      </c>
      <c r="G188" s="29"/>
      <c r="H188" s="14"/>
      <c r="I188" s="29"/>
      <c r="J188" s="22"/>
      <c r="K188" s="63"/>
      <c r="L188" s="228"/>
      <c r="M188" s="228"/>
      <c r="N188" s="228"/>
    </row>
    <row r="189" spans="1:19" s="228" customFormat="1" ht="27.6" x14ac:dyDescent="0.25">
      <c r="A189" s="32" t="s">
        <v>1147</v>
      </c>
      <c r="B189" s="14" t="s">
        <v>8238</v>
      </c>
      <c r="C189" s="67"/>
      <c r="D189" s="32" t="s">
        <v>3551</v>
      </c>
      <c r="E189" s="13" t="s">
        <v>808</v>
      </c>
      <c r="F189" s="4">
        <f>4578025</f>
        <v>4578025</v>
      </c>
      <c r="G189" s="67" t="s">
        <v>9234</v>
      </c>
      <c r="H189" s="14">
        <v>43633</v>
      </c>
      <c r="I189" s="4" t="s">
        <v>9235</v>
      </c>
      <c r="J189" s="21"/>
    </row>
    <row r="190" spans="1:19" s="228" customFormat="1" ht="27.6" x14ac:dyDescent="0.25">
      <c r="A190" s="32" t="s">
        <v>8192</v>
      </c>
      <c r="B190" s="14" t="s">
        <v>8238</v>
      </c>
      <c r="C190" s="67"/>
      <c r="D190" s="32" t="s">
        <v>3551</v>
      </c>
      <c r="E190" s="13" t="s">
        <v>62</v>
      </c>
      <c r="F190" s="4">
        <f>2097130</f>
        <v>2097130</v>
      </c>
      <c r="G190" s="67" t="s">
        <v>8193</v>
      </c>
      <c r="H190" s="14">
        <v>43607</v>
      </c>
      <c r="I190" s="4" t="s">
        <v>8194</v>
      </c>
      <c r="J190" s="21"/>
    </row>
    <row r="191" spans="1:19" s="228" customFormat="1" ht="27.6" x14ac:dyDescent="0.25">
      <c r="A191" s="32" t="s">
        <v>455</v>
      </c>
      <c r="B191" s="14" t="s">
        <v>7222</v>
      </c>
      <c r="C191" s="67"/>
      <c r="D191" s="32" t="s">
        <v>4653</v>
      </c>
      <c r="E191" s="13" t="s">
        <v>958</v>
      </c>
      <c r="F191" s="4">
        <f>4014360-1605744</f>
        <v>2408616</v>
      </c>
      <c r="G191" s="67">
        <v>314</v>
      </c>
      <c r="H191" s="14">
        <v>43580</v>
      </c>
      <c r="I191" s="4" t="s">
        <v>7223</v>
      </c>
      <c r="J191" s="21"/>
    </row>
    <row r="192" spans="1:19" s="228" customFormat="1" ht="5.4" customHeight="1" x14ac:dyDescent="0.25">
      <c r="A192" s="32">
        <v>0</v>
      </c>
      <c r="B192" s="14"/>
      <c r="C192" s="67"/>
      <c r="D192" s="32"/>
      <c r="E192" s="32"/>
      <c r="F192" s="4"/>
      <c r="G192" s="28"/>
      <c r="H192" s="14"/>
      <c r="I192" s="32"/>
      <c r="K192" s="8"/>
      <c r="L192" s="62"/>
      <c r="M192" s="62"/>
      <c r="N192" s="62"/>
      <c r="O192" s="35"/>
      <c r="P192" s="35"/>
      <c r="Q192" s="35"/>
      <c r="R192" s="35"/>
      <c r="S192" s="35"/>
    </row>
    <row r="193" spans="1:19" s="8" customFormat="1" ht="18.75" customHeight="1" x14ac:dyDescent="0.25">
      <c r="A193" s="11" t="s">
        <v>274</v>
      </c>
      <c r="B193" s="66"/>
      <c r="C193" s="213">
        <f>SUM(C194:C200)</f>
        <v>33.4</v>
      </c>
      <c r="D193" s="9"/>
      <c r="E193" s="9"/>
      <c r="F193" s="44">
        <f>SUM(F194:F200)</f>
        <v>14350800</v>
      </c>
      <c r="G193" s="85"/>
      <c r="H193" s="9"/>
      <c r="I193" s="10"/>
      <c r="J193" s="23"/>
      <c r="L193" s="23"/>
      <c r="M193" s="23"/>
      <c r="N193" s="23"/>
      <c r="O193" s="23"/>
      <c r="P193" s="23"/>
      <c r="Q193" s="23"/>
      <c r="R193" s="23"/>
      <c r="S193" s="23"/>
    </row>
    <row r="194" spans="1:19" s="107" customFormat="1" ht="6" customHeight="1" x14ac:dyDescent="0.25">
      <c r="A194" s="32">
        <v>0</v>
      </c>
      <c r="B194" s="106"/>
      <c r="C194" s="106"/>
      <c r="D194" s="106"/>
      <c r="E194" s="106"/>
      <c r="F194" s="106"/>
      <c r="G194" s="106"/>
      <c r="H194" s="106"/>
      <c r="I194" s="106"/>
      <c r="K194" s="8"/>
      <c r="L194" s="108"/>
      <c r="M194" s="108"/>
      <c r="N194" s="108"/>
    </row>
    <row r="195" spans="1:19" s="228" customFormat="1" x14ac:dyDescent="0.25">
      <c r="A195" s="13" t="s">
        <v>2320</v>
      </c>
      <c r="B195" s="14"/>
      <c r="C195" s="13">
        <v>1.7</v>
      </c>
      <c r="D195" s="13" t="s">
        <v>1935</v>
      </c>
      <c r="E195" s="13" t="s">
        <v>808</v>
      </c>
      <c r="F195" s="37">
        <v>1683000</v>
      </c>
      <c r="G195" s="69" t="s">
        <v>2321</v>
      </c>
      <c r="H195" s="14"/>
      <c r="I195" s="4" t="s">
        <v>2318</v>
      </c>
      <c r="J195" s="169"/>
      <c r="K195" s="21"/>
    </row>
    <row r="196" spans="1:19" s="228" customFormat="1" ht="27.6" x14ac:dyDescent="0.25">
      <c r="A196" s="61" t="s">
        <v>659</v>
      </c>
      <c r="B196" s="14"/>
      <c r="C196" s="13">
        <v>0.7</v>
      </c>
      <c r="D196" s="13" t="s">
        <v>8787</v>
      </c>
      <c r="E196" s="13" t="s">
        <v>808</v>
      </c>
      <c r="F196" s="37">
        <v>667800</v>
      </c>
      <c r="G196" s="28" t="s">
        <v>8788</v>
      </c>
      <c r="H196" s="14">
        <v>43528</v>
      </c>
      <c r="I196" s="4" t="s">
        <v>9455</v>
      </c>
      <c r="J196" s="22" t="s">
        <v>9454</v>
      </c>
      <c r="K196" s="21"/>
    </row>
    <row r="197" spans="1:19" s="82" customFormat="1" x14ac:dyDescent="0.25">
      <c r="A197" s="13" t="s">
        <v>160</v>
      </c>
      <c r="B197" s="14"/>
      <c r="C197" s="13">
        <v>1.5</v>
      </c>
      <c r="D197" s="13" t="s">
        <v>624</v>
      </c>
      <c r="E197" s="17" t="s">
        <v>1050</v>
      </c>
      <c r="F197" s="4">
        <v>1000000</v>
      </c>
      <c r="G197" s="29"/>
      <c r="H197" s="14"/>
      <c r="I197" s="13" t="s">
        <v>1282</v>
      </c>
      <c r="J197" s="22"/>
      <c r="K197" s="63"/>
      <c r="L197" s="228"/>
      <c r="M197" s="228"/>
      <c r="N197" s="228"/>
    </row>
    <row r="198" spans="1:19" s="82" customFormat="1" ht="14.25" customHeight="1" x14ac:dyDescent="0.25">
      <c r="A198" s="13" t="s">
        <v>160</v>
      </c>
      <c r="B198" s="14"/>
      <c r="C198" s="13">
        <v>3.9</v>
      </c>
      <c r="D198" s="13" t="s">
        <v>182</v>
      </c>
      <c r="E198" s="17" t="s">
        <v>1050</v>
      </c>
      <c r="F198" s="4">
        <v>1000000</v>
      </c>
      <c r="G198" s="29"/>
      <c r="H198" s="14"/>
      <c r="I198" s="29"/>
      <c r="J198" s="22"/>
      <c r="K198" s="63"/>
      <c r="L198" s="228"/>
      <c r="M198" s="228"/>
      <c r="N198" s="228"/>
    </row>
    <row r="199" spans="1:19" s="82" customFormat="1" ht="14.25" customHeight="1" x14ac:dyDescent="0.25">
      <c r="A199" s="13" t="s">
        <v>160</v>
      </c>
      <c r="B199" s="14"/>
      <c r="C199" s="13">
        <v>25.6</v>
      </c>
      <c r="D199" s="13" t="s">
        <v>127</v>
      </c>
      <c r="E199" s="17" t="s">
        <v>1050</v>
      </c>
      <c r="F199" s="4">
        <v>10000000</v>
      </c>
      <c r="G199" s="29"/>
      <c r="H199" s="14"/>
      <c r="I199" s="29" t="s">
        <v>9286</v>
      </c>
      <c r="J199" s="22"/>
      <c r="K199" s="63"/>
      <c r="L199" s="228"/>
      <c r="M199" s="228"/>
      <c r="N199" s="228"/>
    </row>
    <row r="200" spans="1:19" s="228" customFormat="1" ht="8.1" customHeight="1" x14ac:dyDescent="0.25">
      <c r="A200" s="32">
        <v>0</v>
      </c>
      <c r="B200" s="14"/>
      <c r="C200" s="13"/>
      <c r="D200" s="32"/>
      <c r="E200" s="32"/>
      <c r="F200" s="4"/>
      <c r="G200" s="28"/>
      <c r="H200" s="14"/>
      <c r="I200" s="32"/>
      <c r="K200" s="62"/>
      <c r="L200" s="62"/>
      <c r="M200" s="62"/>
      <c r="N200" s="62"/>
      <c r="O200" s="35"/>
      <c r="P200" s="35"/>
      <c r="Q200" s="35"/>
      <c r="R200" s="35"/>
      <c r="S200" s="35"/>
    </row>
    <row r="201" spans="1:19" s="8" customFormat="1" ht="18.75" customHeight="1" x14ac:dyDescent="0.25">
      <c r="A201" s="11" t="s">
        <v>702</v>
      </c>
      <c r="B201" s="66"/>
      <c r="C201" s="213">
        <f>SUM(C202:C209)</f>
        <v>63</v>
      </c>
      <c r="D201" s="24"/>
      <c r="E201" s="65"/>
      <c r="F201" s="44">
        <f>SUM(F202:F209)</f>
        <v>34860000</v>
      </c>
      <c r="G201" s="24"/>
      <c r="H201" s="9"/>
      <c r="I201" s="10"/>
      <c r="J201" s="23"/>
      <c r="K201" s="23"/>
      <c r="L201" s="23"/>
      <c r="M201" s="23"/>
      <c r="N201" s="23"/>
      <c r="O201" s="23"/>
      <c r="P201" s="23"/>
      <c r="Q201" s="23"/>
      <c r="R201" s="23"/>
      <c r="S201" s="23"/>
    </row>
    <row r="202" spans="1:19" s="228" customFormat="1" ht="8.25" customHeight="1" x14ac:dyDescent="0.25">
      <c r="A202" s="32">
        <v>0</v>
      </c>
      <c r="B202" s="14"/>
      <c r="C202" s="67"/>
      <c r="D202" s="32"/>
      <c r="E202" s="32"/>
      <c r="F202" s="4"/>
      <c r="G202" s="28"/>
      <c r="H202" s="14"/>
      <c r="I202" s="32"/>
      <c r="K202" s="62"/>
      <c r="L202" s="62"/>
      <c r="M202" s="62"/>
      <c r="N202" s="62"/>
      <c r="O202" s="35"/>
      <c r="P202" s="35"/>
      <c r="Q202" s="35"/>
      <c r="R202" s="35"/>
      <c r="S202" s="35"/>
    </row>
    <row r="203" spans="1:19" s="228" customFormat="1" x14ac:dyDescent="0.25">
      <c r="A203" s="32" t="s">
        <v>460</v>
      </c>
      <c r="B203" s="14"/>
      <c r="C203" s="67">
        <v>12.4</v>
      </c>
      <c r="D203" s="32" t="s">
        <v>1571</v>
      </c>
      <c r="E203" s="32"/>
      <c r="F203" s="4">
        <v>4100000</v>
      </c>
      <c r="G203" s="69"/>
      <c r="H203" s="14"/>
      <c r="I203" s="4"/>
      <c r="K203" s="62"/>
      <c r="L203" s="62"/>
      <c r="M203" s="62"/>
      <c r="N203" s="62"/>
      <c r="O203" s="35"/>
      <c r="P203" s="35"/>
      <c r="Q203" s="35"/>
      <c r="R203" s="35"/>
      <c r="S203" s="35"/>
    </row>
    <row r="204" spans="1:19" s="228" customFormat="1" x14ac:dyDescent="0.25">
      <c r="A204" s="32" t="s">
        <v>1102</v>
      </c>
      <c r="B204" s="14"/>
      <c r="C204" s="67">
        <v>5.2</v>
      </c>
      <c r="D204" s="32" t="s">
        <v>184</v>
      </c>
      <c r="E204" s="32" t="s">
        <v>265</v>
      </c>
      <c r="F204" s="4">
        <v>5200000</v>
      </c>
      <c r="G204" s="28"/>
      <c r="H204" s="14"/>
      <c r="I204" s="4" t="s">
        <v>533</v>
      </c>
      <c r="K204" s="62"/>
      <c r="L204" s="62"/>
      <c r="M204" s="62"/>
      <c r="N204" s="62"/>
      <c r="O204" s="35"/>
      <c r="P204" s="35"/>
      <c r="Q204" s="35"/>
      <c r="R204" s="35"/>
      <c r="S204" s="35"/>
    </row>
    <row r="205" spans="1:19" s="228" customFormat="1" x14ac:dyDescent="0.25">
      <c r="A205" s="32" t="s">
        <v>242</v>
      </c>
      <c r="B205" s="14"/>
      <c r="C205" s="67">
        <v>15</v>
      </c>
      <c r="D205" s="32" t="s">
        <v>242</v>
      </c>
      <c r="E205" s="32" t="s">
        <v>265</v>
      </c>
      <c r="F205" s="4">
        <v>10000000</v>
      </c>
      <c r="G205" s="28"/>
      <c r="H205" s="14"/>
      <c r="I205" s="4" t="s">
        <v>143</v>
      </c>
      <c r="K205" s="21"/>
    </row>
    <row r="206" spans="1:19" s="115" customFormat="1" ht="15.6" x14ac:dyDescent="0.25">
      <c r="A206" s="32" t="s">
        <v>151</v>
      </c>
      <c r="B206" s="14"/>
      <c r="C206" s="13">
        <v>7.8</v>
      </c>
      <c r="D206" s="32" t="s">
        <v>1141</v>
      </c>
      <c r="E206" s="32"/>
      <c r="F206" s="4">
        <v>5000000</v>
      </c>
      <c r="G206" s="13"/>
      <c r="H206" s="14"/>
      <c r="I206" s="4" t="s">
        <v>1142</v>
      </c>
      <c r="K206" s="116"/>
      <c r="L206" s="116"/>
      <c r="M206" s="116"/>
      <c r="N206" s="116"/>
      <c r="O206" s="117"/>
      <c r="P206" s="117"/>
      <c r="Q206" s="117"/>
      <c r="R206" s="117"/>
      <c r="S206" s="117"/>
    </row>
    <row r="207" spans="1:19" s="115" customFormat="1" ht="15.6" x14ac:dyDescent="0.25">
      <c r="A207" s="32" t="s">
        <v>151</v>
      </c>
      <c r="B207" s="14"/>
      <c r="C207" s="13">
        <v>0.6</v>
      </c>
      <c r="D207" s="32" t="s">
        <v>296</v>
      </c>
      <c r="E207" s="32"/>
      <c r="F207" s="4">
        <v>560000</v>
      </c>
      <c r="G207" s="13"/>
      <c r="H207" s="14"/>
      <c r="I207" s="4"/>
      <c r="K207" s="116"/>
      <c r="L207" s="116"/>
      <c r="M207" s="116"/>
      <c r="N207" s="116"/>
      <c r="O207" s="117"/>
      <c r="P207" s="117"/>
      <c r="Q207" s="117"/>
      <c r="R207" s="117"/>
      <c r="S207" s="117"/>
    </row>
    <row r="208" spans="1:19" s="228" customFormat="1" x14ac:dyDescent="0.25">
      <c r="A208" s="32" t="s">
        <v>160</v>
      </c>
      <c r="B208" s="14"/>
      <c r="C208" s="13">
        <v>22</v>
      </c>
      <c r="D208" s="32" t="s">
        <v>271</v>
      </c>
      <c r="E208" s="32"/>
      <c r="F208" s="4">
        <v>10000000</v>
      </c>
      <c r="G208" s="28"/>
      <c r="H208" s="14"/>
      <c r="I208" s="4" t="s">
        <v>409</v>
      </c>
      <c r="J208" s="22"/>
      <c r="K208" s="63"/>
      <c r="L208" s="62"/>
    </row>
    <row r="209" spans="1:19" s="31" customFormat="1" ht="6.6" customHeight="1" x14ac:dyDescent="0.25">
      <c r="A209" s="32">
        <v>0</v>
      </c>
      <c r="B209" s="14"/>
      <c r="C209" s="13"/>
      <c r="D209" s="32"/>
      <c r="E209" s="32"/>
      <c r="F209" s="4"/>
      <c r="G209" s="28"/>
      <c r="H209" s="14"/>
      <c r="I209" s="32"/>
      <c r="J209" s="34"/>
      <c r="O209" s="34"/>
      <c r="P209" s="34"/>
      <c r="Q209" s="34"/>
      <c r="R209" s="34"/>
      <c r="S209" s="34"/>
    </row>
    <row r="210" spans="1:19" s="31" customFormat="1" x14ac:dyDescent="0.25">
      <c r="A210" s="2"/>
      <c r="B210" s="33"/>
      <c r="C210" s="49"/>
      <c r="D210" s="1"/>
      <c r="E210" s="2"/>
      <c r="F210" s="62"/>
      <c r="G210" s="26"/>
      <c r="H210" s="2"/>
      <c r="I210" s="2"/>
      <c r="J210" s="34"/>
      <c r="O210" s="34"/>
      <c r="P210" s="34"/>
      <c r="Q210" s="34"/>
      <c r="R210" s="34"/>
      <c r="S210" s="34"/>
    </row>
    <row r="211" spans="1:19" s="31" customFormat="1" x14ac:dyDescent="0.25">
      <c r="A211" s="2"/>
      <c r="B211" s="33"/>
      <c r="C211" s="49"/>
      <c r="D211" s="1"/>
      <c r="E211" s="2"/>
      <c r="F211" s="62"/>
      <c r="G211" s="26"/>
      <c r="H211" s="2"/>
      <c r="I211" s="2"/>
      <c r="J211" s="34"/>
      <c r="O211" s="34"/>
      <c r="P211" s="34"/>
      <c r="Q211" s="34"/>
      <c r="R211" s="34"/>
      <c r="S211" s="34"/>
    </row>
    <row r="212" spans="1:19" s="31" customFormat="1" x14ac:dyDescent="0.25">
      <c r="A212" s="2"/>
      <c r="B212" s="33"/>
      <c r="C212" s="49"/>
      <c r="D212" s="1"/>
      <c r="E212" s="2"/>
      <c r="F212" s="62"/>
      <c r="G212" s="26"/>
      <c r="H212" s="2"/>
      <c r="I212" s="2"/>
      <c r="J212" s="34"/>
      <c r="O212" s="34"/>
      <c r="P212" s="34"/>
      <c r="Q212" s="34"/>
      <c r="R212" s="34"/>
      <c r="S212" s="34"/>
    </row>
    <row r="213" spans="1:19" s="31" customFormat="1" x14ac:dyDescent="0.25">
      <c r="A213" s="2"/>
      <c r="B213" s="33"/>
      <c r="C213" s="49"/>
      <c r="D213" s="1"/>
      <c r="E213" s="2"/>
      <c r="F213" s="62"/>
      <c r="G213" s="26"/>
      <c r="H213" s="2"/>
      <c r="I213" s="2"/>
      <c r="J213" s="34"/>
      <c r="O213" s="34"/>
      <c r="P213" s="34"/>
      <c r="Q213" s="34"/>
      <c r="R213" s="34"/>
      <c r="S213" s="34"/>
    </row>
    <row r="214" spans="1:19" s="31" customFormat="1" x14ac:dyDescent="0.25">
      <c r="A214" s="2"/>
      <c r="B214" s="33"/>
      <c r="C214" s="49"/>
      <c r="D214" s="1"/>
      <c r="E214" s="2"/>
      <c r="G214" s="26"/>
      <c r="H214" s="2"/>
      <c r="I214" s="2"/>
      <c r="J214" s="34"/>
      <c r="O214" s="34"/>
      <c r="P214" s="34"/>
      <c r="Q214" s="34"/>
      <c r="R214" s="34"/>
      <c r="S214" s="34"/>
    </row>
    <row r="215" spans="1:19" s="31" customFormat="1" x14ac:dyDescent="0.25">
      <c r="A215" s="2"/>
      <c r="B215" s="33"/>
      <c r="C215" s="49"/>
      <c r="D215" s="1"/>
      <c r="E215" s="2"/>
      <c r="G215" s="26"/>
      <c r="H215" s="2"/>
      <c r="I215" s="2"/>
      <c r="J215" s="34"/>
      <c r="O215" s="34"/>
      <c r="P215" s="34"/>
      <c r="Q215" s="34"/>
      <c r="R215" s="34"/>
      <c r="S215" s="34"/>
    </row>
    <row r="216" spans="1:19" s="31" customFormat="1" x14ac:dyDescent="0.25">
      <c r="A216" s="2"/>
      <c r="B216" s="33"/>
      <c r="C216" s="49"/>
      <c r="D216" s="1"/>
      <c r="E216" s="2"/>
      <c r="G216" s="26"/>
      <c r="H216" s="2"/>
      <c r="I216" s="2"/>
      <c r="J216" s="34"/>
      <c r="O216" s="34"/>
      <c r="P216" s="34"/>
      <c r="Q216" s="34"/>
      <c r="R216" s="34"/>
      <c r="S216" s="34"/>
    </row>
    <row r="217" spans="1:19" s="31" customFormat="1" x14ac:dyDescent="0.25">
      <c r="A217" s="2"/>
      <c r="B217" s="33"/>
      <c r="C217" s="49"/>
      <c r="D217" s="1"/>
      <c r="E217" s="2"/>
      <c r="G217" s="26"/>
      <c r="H217" s="2"/>
      <c r="I217" s="2"/>
      <c r="J217" s="34"/>
      <c r="O217" s="34"/>
      <c r="P217" s="34"/>
      <c r="Q217" s="34"/>
      <c r="R217" s="34"/>
      <c r="S217" s="34"/>
    </row>
    <row r="218" spans="1:19" s="31" customFormat="1" x14ac:dyDescent="0.25">
      <c r="A218" s="2"/>
      <c r="B218" s="33"/>
      <c r="C218" s="49"/>
      <c r="D218" s="1"/>
      <c r="E218" s="2"/>
      <c r="G218" s="26"/>
      <c r="H218" s="2"/>
      <c r="I218" s="2"/>
      <c r="J218" s="34"/>
      <c r="O218" s="34"/>
      <c r="P218" s="34"/>
      <c r="Q218" s="34"/>
      <c r="R218" s="34"/>
      <c r="S218" s="34"/>
    </row>
    <row r="219" spans="1:19" x14ac:dyDescent="0.25">
      <c r="D219" s="1"/>
    </row>
    <row r="220" spans="1:19" x14ac:dyDescent="0.25">
      <c r="D220" s="1"/>
    </row>
    <row r="221" spans="1:19" x14ac:dyDescent="0.25">
      <c r="D221" s="1"/>
    </row>
    <row r="222" spans="1:19" x14ac:dyDescent="0.25">
      <c r="D222" s="1"/>
    </row>
    <row r="223" spans="1:19" x14ac:dyDescent="0.25">
      <c r="D223" s="1"/>
    </row>
    <row r="224" spans="1:19" x14ac:dyDescent="0.25">
      <c r="D224" s="1"/>
    </row>
    <row r="225" spans="2:19" x14ac:dyDescent="0.25">
      <c r="D225" s="1"/>
    </row>
    <row r="226" spans="2:19" x14ac:dyDescent="0.25">
      <c r="D226" s="1"/>
    </row>
    <row r="227" spans="2:19" x14ac:dyDescent="0.25">
      <c r="D227" s="1"/>
    </row>
    <row r="228" spans="2:19" x14ac:dyDescent="0.25">
      <c r="D228" s="1"/>
    </row>
    <row r="229" spans="2:19" x14ac:dyDescent="0.25">
      <c r="D229" s="1"/>
    </row>
    <row r="230" spans="2:19" x14ac:dyDescent="0.25">
      <c r="D230" s="1"/>
    </row>
    <row r="231" spans="2:19" x14ac:dyDescent="0.25">
      <c r="B231" s="2"/>
      <c r="C231" s="2"/>
      <c r="D231" s="1"/>
      <c r="F231" s="2"/>
      <c r="G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2:19" x14ac:dyDescent="0.25">
      <c r="B232" s="2"/>
      <c r="C232" s="2"/>
      <c r="D232" s="1"/>
      <c r="F232" s="2"/>
      <c r="G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</sheetData>
  <autoFilter ref="A3:I209"/>
  <mergeCells count="1">
    <mergeCell ref="G1:H1"/>
  </mergeCells>
  <pageMargins left="0.19685039370078741" right="0.19685039370078741" top="0.19685039370078741" bottom="0.19685039370078741" header="0.51181102362204722" footer="0.51181102362204722"/>
  <pageSetup paperSize="9" scale="95" fitToHeight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4"/>
  <sheetViews>
    <sheetView zoomScaleNormal="100" workbookViewId="0">
      <pane ySplit="3" topLeftCell="A181" activePane="bottomLeft" state="frozen"/>
      <selection activeCell="D153" sqref="D153"/>
      <selection pane="bottomLeft" activeCell="E186" sqref="E186"/>
    </sheetView>
  </sheetViews>
  <sheetFormatPr defaultColWidth="9.44140625" defaultRowHeight="13.8" x14ac:dyDescent="0.25"/>
  <cols>
    <col min="1" max="1" width="14.44140625" style="2" customWidth="1"/>
    <col min="2" max="2" width="10" style="49" customWidth="1"/>
    <col min="3" max="3" width="23.6640625" style="2" customWidth="1"/>
    <col min="4" max="5" width="18.44140625" style="31" customWidth="1"/>
    <col min="6" max="6" width="28.44140625" style="2" customWidth="1"/>
    <col min="7" max="7" width="13.5546875" style="34" customWidth="1"/>
    <col min="8" max="8" width="13.5546875" style="31" customWidth="1"/>
    <col min="9" max="9" width="15.5546875" style="31" customWidth="1"/>
    <col min="10" max="10" width="16.5546875" style="31" customWidth="1"/>
    <col min="11" max="11" width="9.44140625" style="31"/>
    <col min="12" max="16" width="9.44140625" style="34"/>
    <col min="17" max="16384" width="9.44140625" style="2"/>
  </cols>
  <sheetData>
    <row r="1" spans="1:16" ht="28.35" customHeight="1" thickBot="1" x14ac:dyDescent="0.3">
      <c r="A1" s="89" t="s">
        <v>1191</v>
      </c>
      <c r="B1" s="215">
        <f>B4+B11+B22+B33+B59+B92+B159+B166+B187+B195+B203</f>
        <v>965.44999999999993</v>
      </c>
      <c r="F1" s="535">
        <v>144587999.26999998</v>
      </c>
    </row>
    <row r="2" spans="1:16" s="1" customFormat="1" ht="29.4" customHeight="1" thickTop="1" thickBot="1" x14ac:dyDescent="0.3">
      <c r="A2" s="253" t="s">
        <v>9284</v>
      </c>
      <c r="B2" s="215">
        <f>B4+B22+B33+B59+B92+B159+B166+B187+B195</f>
        <v>855.65000000000009</v>
      </c>
      <c r="C2" s="48"/>
      <c r="D2" s="47">
        <f>D11+D33+D22+D59+D92+D159+D166+D187+D195+D203+D4</f>
        <v>144587999.27000001</v>
      </c>
      <c r="E2" s="47">
        <f>E11+E33+E22+E59+E92+E159+E166+E187+E195+E203+E4</f>
        <v>461116187.28761911</v>
      </c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8" customFormat="1" ht="40.35" customHeight="1" thickTop="1" x14ac:dyDescent="0.25">
      <c r="A3" s="6" t="s">
        <v>192</v>
      </c>
      <c r="B3" s="42" t="s">
        <v>51</v>
      </c>
      <c r="C3" s="6" t="s">
        <v>109</v>
      </c>
      <c r="D3" s="46" t="s">
        <v>9287</v>
      </c>
      <c r="E3" s="46" t="s">
        <v>9288</v>
      </c>
      <c r="F3" s="7" t="s">
        <v>10</v>
      </c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s="31" customFormat="1" ht="17.850000000000001" customHeight="1" x14ac:dyDescent="0.25">
      <c r="A4" s="11" t="s">
        <v>701</v>
      </c>
      <c r="B4" s="213">
        <f>SUM(B5:B10)</f>
        <v>61.4</v>
      </c>
      <c r="C4" s="9"/>
      <c r="D4" s="44">
        <f>SUM(D5:D10)</f>
        <v>14191214</v>
      </c>
      <c r="E4" s="44">
        <f>SUM(E5:E10)</f>
        <v>26500000</v>
      </c>
      <c r="F4" s="10"/>
      <c r="G4" s="34"/>
      <c r="L4" s="34"/>
      <c r="M4" s="34"/>
      <c r="N4" s="34"/>
      <c r="O4" s="34"/>
      <c r="P4" s="34"/>
    </row>
    <row r="5" spans="1:16" s="31" customFormat="1" ht="7.35" customHeight="1" x14ac:dyDescent="0.25">
      <c r="A5" s="110">
        <v>0</v>
      </c>
      <c r="B5" s="112"/>
      <c r="C5" s="110"/>
      <c r="D5" s="113"/>
      <c r="E5" s="113"/>
      <c r="F5" s="110"/>
      <c r="G5" s="34"/>
      <c r="L5" s="34"/>
      <c r="M5" s="34"/>
      <c r="N5" s="34"/>
      <c r="O5" s="34"/>
      <c r="P5" s="34"/>
    </row>
    <row r="6" spans="1:16" s="228" customFormat="1" x14ac:dyDescent="0.25">
      <c r="A6" s="68" t="s">
        <v>699</v>
      </c>
      <c r="B6" s="13">
        <v>44.4</v>
      </c>
      <c r="C6" s="32" t="s">
        <v>1170</v>
      </c>
      <c r="D6" s="4">
        <v>3000000</v>
      </c>
      <c r="E6" s="4">
        <v>10000000</v>
      </c>
      <c r="F6" s="208" t="s">
        <v>78</v>
      </c>
      <c r="G6" s="21"/>
    </row>
    <row r="7" spans="1:16" s="97" customFormat="1" x14ac:dyDescent="0.25">
      <c r="A7" s="61" t="s">
        <v>160</v>
      </c>
      <c r="B7" s="13">
        <v>10</v>
      </c>
      <c r="C7" s="32" t="s">
        <v>1228</v>
      </c>
      <c r="D7" s="4">
        <v>5000000</v>
      </c>
      <c r="E7" s="4">
        <v>10000000</v>
      </c>
      <c r="F7" s="41" t="s">
        <v>640</v>
      </c>
      <c r="G7" s="22"/>
      <c r="H7" s="22"/>
    </row>
    <row r="8" spans="1:16" s="97" customFormat="1" x14ac:dyDescent="0.25">
      <c r="A8" s="61" t="s">
        <v>160</v>
      </c>
      <c r="B8" s="13">
        <v>5</v>
      </c>
      <c r="C8" s="32" t="s">
        <v>1283</v>
      </c>
      <c r="D8" s="4">
        <v>5000000</v>
      </c>
      <c r="E8" s="4">
        <v>5000000</v>
      </c>
      <c r="F8" s="41" t="s">
        <v>1284</v>
      </c>
      <c r="G8" s="22"/>
      <c r="H8" s="22"/>
    </row>
    <row r="9" spans="1:16" s="8" customFormat="1" x14ac:dyDescent="0.25">
      <c r="A9" s="13" t="s">
        <v>103</v>
      </c>
      <c r="B9" s="13">
        <v>2</v>
      </c>
      <c r="C9" s="13" t="s">
        <v>508</v>
      </c>
      <c r="D9" s="37">
        <v>1191214</v>
      </c>
      <c r="E9" s="37">
        <v>1500000</v>
      </c>
      <c r="F9" s="4"/>
      <c r="G9" s="23"/>
    </row>
    <row r="10" spans="1:16" s="31" customFormat="1" ht="9" customHeight="1" x14ac:dyDescent="0.25">
      <c r="A10" s="32"/>
      <c r="B10" s="13"/>
      <c r="C10" s="32"/>
      <c r="D10" s="4"/>
      <c r="E10" s="4"/>
      <c r="F10" s="32"/>
      <c r="G10" s="34"/>
      <c r="L10" s="34"/>
      <c r="M10" s="34"/>
      <c r="N10" s="34"/>
      <c r="O10" s="34"/>
      <c r="P10" s="34"/>
    </row>
    <row r="11" spans="1:16" s="8" customFormat="1" ht="18.75" customHeight="1" x14ac:dyDescent="0.25">
      <c r="A11" s="11" t="s">
        <v>736</v>
      </c>
      <c r="B11" s="213">
        <f>SUM(B12:B21)</f>
        <v>46.800000000000004</v>
      </c>
      <c r="C11" s="9"/>
      <c r="D11" s="390">
        <f>SUM(D12:D21)</f>
        <v>2821459.19</v>
      </c>
      <c r="E11" s="390">
        <f>SUM(E12:E21)</f>
        <v>10400000</v>
      </c>
      <c r="F11" s="10"/>
      <c r="G11" s="34"/>
      <c r="H11" s="34"/>
      <c r="I11" s="34"/>
      <c r="J11" s="23"/>
      <c r="K11" s="23"/>
      <c r="L11" s="23"/>
      <c r="M11" s="23"/>
      <c r="N11" s="23"/>
      <c r="O11" s="23"/>
      <c r="P11" s="23"/>
    </row>
    <row r="12" spans="1:16" ht="8.25" customHeight="1" x14ac:dyDescent="0.25">
      <c r="A12" s="17">
        <v>0</v>
      </c>
      <c r="B12" s="40"/>
      <c r="C12" s="17"/>
      <c r="D12" s="36"/>
      <c r="E12" s="36"/>
      <c r="F12" s="17"/>
      <c r="G12" s="2"/>
      <c r="J12" s="2"/>
      <c r="K12" s="2"/>
      <c r="L12" s="2"/>
      <c r="M12" s="2"/>
      <c r="N12" s="2"/>
      <c r="O12" s="2"/>
      <c r="P12" s="2"/>
    </row>
    <row r="13" spans="1:16" s="228" customFormat="1" x14ac:dyDescent="0.25">
      <c r="A13" s="32" t="s">
        <v>1147</v>
      </c>
      <c r="B13" s="13">
        <v>6</v>
      </c>
      <c r="C13" s="32" t="s">
        <v>4006</v>
      </c>
      <c r="D13" s="4">
        <v>2000000</v>
      </c>
      <c r="E13" s="4">
        <v>2000000</v>
      </c>
      <c r="F13" s="41" t="s">
        <v>490</v>
      </c>
      <c r="G13" s="22"/>
      <c r="H13" s="63"/>
      <c r="I13" s="62"/>
    </row>
    <row r="14" spans="1:16" s="228" customFormat="1" x14ac:dyDescent="0.25">
      <c r="A14" s="32" t="s">
        <v>212</v>
      </c>
      <c r="B14" s="13">
        <v>10</v>
      </c>
      <c r="C14" s="32" t="s">
        <v>212</v>
      </c>
      <c r="D14" s="4"/>
      <c r="E14" s="4">
        <v>3000000</v>
      </c>
      <c r="F14" s="41" t="s">
        <v>277</v>
      </c>
      <c r="G14" s="22"/>
      <c r="H14" s="63"/>
      <c r="I14" s="62"/>
    </row>
    <row r="15" spans="1:16" s="31" customFormat="1" x14ac:dyDescent="0.25">
      <c r="A15" s="61" t="s">
        <v>160</v>
      </c>
      <c r="B15" s="13">
        <v>6.3</v>
      </c>
      <c r="C15" s="13" t="s">
        <v>351</v>
      </c>
      <c r="D15" s="37"/>
      <c r="E15" s="37">
        <v>1000000</v>
      </c>
      <c r="F15" s="4" t="s">
        <v>484</v>
      </c>
      <c r="G15" s="34"/>
      <c r="L15" s="34"/>
      <c r="M15" s="34"/>
      <c r="N15" s="34"/>
      <c r="O15" s="34"/>
      <c r="P15" s="34"/>
    </row>
    <row r="16" spans="1:16" s="31" customFormat="1" x14ac:dyDescent="0.25">
      <c r="A16" s="61" t="s">
        <v>160</v>
      </c>
      <c r="B16" s="13">
        <v>7.3</v>
      </c>
      <c r="C16" s="13" t="s">
        <v>704</v>
      </c>
      <c r="D16" s="37"/>
      <c r="E16" s="37">
        <v>500000</v>
      </c>
      <c r="F16" s="4" t="s">
        <v>605</v>
      </c>
      <c r="G16" s="34"/>
      <c r="L16" s="34"/>
      <c r="M16" s="34"/>
      <c r="N16" s="34"/>
      <c r="O16" s="34"/>
      <c r="P16" s="34"/>
    </row>
    <row r="17" spans="1:16" s="62" customFormat="1" x14ac:dyDescent="0.25">
      <c r="A17" s="61" t="s">
        <v>160</v>
      </c>
      <c r="B17" s="13">
        <v>2.4</v>
      </c>
      <c r="C17" s="13" t="s">
        <v>706</v>
      </c>
      <c r="D17" s="37"/>
      <c r="E17" s="37">
        <v>1000000</v>
      </c>
      <c r="F17" s="13" t="s">
        <v>707</v>
      </c>
      <c r="G17" s="35"/>
      <c r="L17" s="35"/>
      <c r="M17" s="35"/>
      <c r="N17" s="35"/>
      <c r="O17" s="35"/>
      <c r="P17" s="35"/>
    </row>
    <row r="18" spans="1:16" s="62" customFormat="1" x14ac:dyDescent="0.25">
      <c r="A18" s="61" t="s">
        <v>160</v>
      </c>
      <c r="B18" s="13">
        <v>13.2</v>
      </c>
      <c r="C18" s="13" t="s">
        <v>133</v>
      </c>
      <c r="D18" s="37"/>
      <c r="E18" s="37">
        <v>2000000</v>
      </c>
      <c r="F18" s="4" t="s">
        <v>705</v>
      </c>
      <c r="G18" s="71"/>
      <c r="L18" s="35"/>
      <c r="M18" s="35"/>
      <c r="N18" s="35"/>
      <c r="O18" s="35"/>
      <c r="P18" s="35"/>
    </row>
    <row r="19" spans="1:16" s="62" customFormat="1" x14ac:dyDescent="0.25">
      <c r="A19" s="61" t="s">
        <v>160</v>
      </c>
      <c r="B19" s="13">
        <v>1.2</v>
      </c>
      <c r="C19" s="13" t="s">
        <v>709</v>
      </c>
      <c r="D19" s="37"/>
      <c r="E19" s="37">
        <v>500000</v>
      </c>
      <c r="F19" s="4" t="s">
        <v>576</v>
      </c>
      <c r="G19" s="71"/>
      <c r="L19" s="35"/>
      <c r="M19" s="35"/>
      <c r="N19" s="35"/>
      <c r="O19" s="35"/>
      <c r="P19" s="35"/>
    </row>
    <row r="20" spans="1:16" s="62" customFormat="1" x14ac:dyDescent="0.25">
      <c r="A20" s="61" t="s">
        <v>160</v>
      </c>
      <c r="B20" s="13">
        <v>0.4</v>
      </c>
      <c r="C20" s="13" t="s">
        <v>853</v>
      </c>
      <c r="D20" s="37">
        <f>610169.5+9125+1464.5+200700.19</f>
        <v>821459.19</v>
      </c>
      <c r="E20" s="37">
        <v>400000</v>
      </c>
      <c r="F20" s="4" t="s">
        <v>708</v>
      </c>
      <c r="G20" s="71"/>
      <c r="L20" s="35"/>
      <c r="M20" s="35"/>
      <c r="N20" s="35"/>
      <c r="O20" s="35"/>
      <c r="P20" s="35"/>
    </row>
    <row r="21" spans="1:16" ht="8.25" customHeight="1" x14ac:dyDescent="0.25">
      <c r="A21" s="17">
        <v>0</v>
      </c>
      <c r="B21" s="40"/>
      <c r="C21" s="17"/>
      <c r="D21" s="36"/>
      <c r="E21" s="36"/>
      <c r="F21" s="17"/>
      <c r="G21" s="2"/>
      <c r="J21" s="2"/>
      <c r="K21" s="2"/>
      <c r="L21" s="2"/>
      <c r="M21" s="2"/>
      <c r="N21" s="2"/>
      <c r="O21" s="2"/>
      <c r="P21" s="2"/>
    </row>
    <row r="22" spans="1:16" s="8" customFormat="1" ht="19.350000000000001" customHeight="1" x14ac:dyDescent="0.25">
      <c r="A22" s="11" t="s">
        <v>3</v>
      </c>
      <c r="B22" s="213">
        <f>SUM(B23:B32)</f>
        <v>137.69999999999999</v>
      </c>
      <c r="C22" s="9"/>
      <c r="D22" s="44">
        <f>SUM(D23:D32)</f>
        <v>8211832.4699999997</v>
      </c>
      <c r="E22" s="44">
        <f>SUM(E23:E32)</f>
        <v>45757975.990000002</v>
      </c>
      <c r="F22" s="10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 ht="8.25" customHeight="1" x14ac:dyDescent="0.25">
      <c r="A23" s="17">
        <v>0</v>
      </c>
      <c r="B23" s="40"/>
      <c r="C23" s="17"/>
      <c r="D23" s="36"/>
      <c r="E23" s="36"/>
      <c r="F23" s="17"/>
      <c r="G23" s="2"/>
    </row>
    <row r="24" spans="1:16" s="228" customFormat="1" ht="13.95" customHeight="1" x14ac:dyDescent="0.25">
      <c r="A24" s="32" t="s">
        <v>160</v>
      </c>
      <c r="B24" s="13">
        <v>0.2</v>
      </c>
      <c r="C24" s="32" t="s">
        <v>999</v>
      </c>
      <c r="D24" s="4">
        <v>211832.47</v>
      </c>
      <c r="E24" s="4">
        <v>211832.47</v>
      </c>
      <c r="F24" s="84" t="s">
        <v>882</v>
      </c>
      <c r="G24" s="21"/>
    </row>
    <row r="25" spans="1:16" s="228" customFormat="1" x14ac:dyDescent="0.25">
      <c r="A25" s="68" t="s">
        <v>188</v>
      </c>
      <c r="B25" s="13">
        <v>0.6</v>
      </c>
      <c r="C25" s="32" t="s">
        <v>4071</v>
      </c>
      <c r="D25" s="4"/>
      <c r="E25" s="4">
        <v>610797.69999999995</v>
      </c>
      <c r="F25" s="208" t="s">
        <v>21</v>
      </c>
      <c r="G25" s="21"/>
    </row>
    <row r="26" spans="1:16" s="228" customFormat="1" ht="16.2" customHeight="1" x14ac:dyDescent="0.25">
      <c r="A26" s="68" t="s">
        <v>1654</v>
      </c>
      <c r="B26" s="13">
        <v>1.7</v>
      </c>
      <c r="C26" s="32" t="s">
        <v>1655</v>
      </c>
      <c r="D26" s="4"/>
      <c r="E26" s="4">
        <v>1700000</v>
      </c>
      <c r="F26" s="84" t="s">
        <v>273</v>
      </c>
      <c r="G26" s="76"/>
      <c r="H26" s="62"/>
    </row>
    <row r="27" spans="1:16" s="228" customFormat="1" ht="14.85" customHeight="1" x14ac:dyDescent="0.25">
      <c r="A27" s="68" t="s">
        <v>213</v>
      </c>
      <c r="B27" s="13">
        <v>0.2</v>
      </c>
      <c r="C27" s="32" t="s">
        <v>1938</v>
      </c>
      <c r="D27" s="4"/>
      <c r="E27" s="4">
        <v>235345.82</v>
      </c>
      <c r="F27" s="41" t="s">
        <v>21</v>
      </c>
      <c r="G27" s="22"/>
      <c r="H27" s="62"/>
    </row>
    <row r="28" spans="1:16" s="228" customFormat="1" x14ac:dyDescent="0.25">
      <c r="A28" s="68" t="s">
        <v>4254</v>
      </c>
      <c r="B28" s="13">
        <v>15.6</v>
      </c>
      <c r="C28" s="32" t="s">
        <v>2759</v>
      </c>
      <c r="D28" s="4"/>
      <c r="E28" s="4">
        <v>7000000</v>
      </c>
      <c r="F28" s="41" t="s">
        <v>23</v>
      </c>
      <c r="G28" s="21"/>
    </row>
    <row r="29" spans="1:16" s="228" customFormat="1" x14ac:dyDescent="0.25">
      <c r="A29" s="68" t="s">
        <v>160</v>
      </c>
      <c r="B29" s="13">
        <v>63</v>
      </c>
      <c r="C29" s="32" t="s">
        <v>4987</v>
      </c>
      <c r="D29" s="4">
        <v>5000000</v>
      </c>
      <c r="E29" s="4">
        <v>20000000</v>
      </c>
      <c r="F29" s="84" t="s">
        <v>273</v>
      </c>
      <c r="G29" s="21"/>
    </row>
    <row r="30" spans="1:16" s="228" customFormat="1" ht="13.95" customHeight="1" x14ac:dyDescent="0.25">
      <c r="A30" s="32" t="s">
        <v>442</v>
      </c>
      <c r="B30" s="13">
        <v>37.299999999999997</v>
      </c>
      <c r="C30" s="32" t="s">
        <v>1644</v>
      </c>
      <c r="D30" s="4"/>
      <c r="E30" s="4">
        <v>10000000</v>
      </c>
      <c r="F30" s="84" t="s">
        <v>23</v>
      </c>
      <c r="G30" s="21"/>
    </row>
    <row r="31" spans="1:16" s="228" customFormat="1" x14ac:dyDescent="0.25">
      <c r="A31" s="32" t="s">
        <v>160</v>
      </c>
      <c r="B31" s="13">
        <v>19.100000000000001</v>
      </c>
      <c r="C31" s="32" t="s">
        <v>528</v>
      </c>
      <c r="D31" s="4">
        <v>3000000</v>
      </c>
      <c r="E31" s="4">
        <v>6000000</v>
      </c>
      <c r="F31" s="41" t="s">
        <v>273</v>
      </c>
      <c r="G31" s="21"/>
    </row>
    <row r="32" spans="1:16" ht="6" customHeight="1" x14ac:dyDescent="0.25">
      <c r="A32" s="3">
        <v>0</v>
      </c>
      <c r="B32" s="3"/>
      <c r="C32" s="3"/>
      <c r="D32" s="209"/>
      <c r="E32" s="209"/>
      <c r="F32" s="208"/>
    </row>
    <row r="33" spans="1:16" s="8" customFormat="1" ht="22.35" customHeight="1" x14ac:dyDescent="0.25">
      <c r="A33" s="11" t="s">
        <v>521</v>
      </c>
      <c r="B33" s="213">
        <f>SUM(B34:B58)</f>
        <v>210.54999999999995</v>
      </c>
      <c r="C33" s="9"/>
      <c r="D33" s="44">
        <f>SUM(D34:D58)</f>
        <v>14400000</v>
      </c>
      <c r="E33" s="44">
        <f>SUM(E34:E58)</f>
        <v>84807159.178000003</v>
      </c>
      <c r="F33" s="10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ht="6" customHeight="1" x14ac:dyDescent="0.25">
      <c r="A34" s="17">
        <v>0</v>
      </c>
      <c r="B34" s="40"/>
      <c r="C34" s="17"/>
      <c r="D34" s="36"/>
      <c r="E34" s="36"/>
      <c r="F34" s="17"/>
      <c r="G34" s="2"/>
    </row>
    <row r="35" spans="1:16" s="228" customFormat="1" ht="13.95" customHeight="1" x14ac:dyDescent="0.25">
      <c r="A35" s="13" t="s">
        <v>160</v>
      </c>
      <c r="B35" s="13">
        <v>23.6</v>
      </c>
      <c r="C35" s="32" t="s">
        <v>667</v>
      </c>
      <c r="D35" s="4">
        <f>2000000</f>
        <v>2000000</v>
      </c>
      <c r="E35" s="4">
        <v>13000000</v>
      </c>
      <c r="F35" s="41" t="s">
        <v>5782</v>
      </c>
      <c r="G35" s="22"/>
      <c r="H35" s="62"/>
    </row>
    <row r="36" spans="1:16" s="228" customFormat="1" x14ac:dyDescent="0.25">
      <c r="A36" s="32" t="s">
        <v>550</v>
      </c>
      <c r="B36" s="13">
        <v>0</v>
      </c>
      <c r="C36" s="32" t="s">
        <v>1787</v>
      </c>
      <c r="D36" s="4"/>
      <c r="E36" s="4">
        <v>0</v>
      </c>
      <c r="F36" s="208" t="s">
        <v>671</v>
      </c>
      <c r="G36" s="21"/>
    </row>
    <row r="37" spans="1:16" s="228" customFormat="1" ht="15" customHeight="1" x14ac:dyDescent="0.25">
      <c r="A37" s="68" t="s">
        <v>160</v>
      </c>
      <c r="B37" s="13">
        <v>6</v>
      </c>
      <c r="C37" s="13" t="s">
        <v>969</v>
      </c>
      <c r="D37" s="4"/>
      <c r="E37" s="4">
        <v>3000000</v>
      </c>
      <c r="F37" s="4" t="s">
        <v>229</v>
      </c>
      <c r="G37" s="71"/>
      <c r="H37" s="62"/>
      <c r="I37" s="62"/>
    </row>
    <row r="38" spans="1:16" s="228" customFormat="1" ht="13.95" customHeight="1" x14ac:dyDescent="0.25">
      <c r="A38" s="32" t="s">
        <v>160</v>
      </c>
      <c r="B38" s="13">
        <v>14.3</v>
      </c>
      <c r="C38" s="32" t="s">
        <v>470</v>
      </c>
      <c r="D38" s="4">
        <v>2000000</v>
      </c>
      <c r="E38" s="4">
        <v>3000000</v>
      </c>
      <c r="F38" s="208" t="s">
        <v>237</v>
      </c>
      <c r="G38" s="21"/>
    </row>
    <row r="39" spans="1:16" s="228" customFormat="1" x14ac:dyDescent="0.25">
      <c r="A39" s="61" t="s">
        <v>160</v>
      </c>
      <c r="B39" s="13">
        <v>7.8</v>
      </c>
      <c r="C39" s="13" t="s">
        <v>228</v>
      </c>
      <c r="D39" s="4"/>
      <c r="E39" s="4">
        <v>3000000</v>
      </c>
      <c r="F39" s="208" t="s">
        <v>229</v>
      </c>
      <c r="G39" s="21"/>
    </row>
    <row r="40" spans="1:16" s="228" customFormat="1" ht="15" customHeight="1" x14ac:dyDescent="0.25">
      <c r="A40" s="68" t="s">
        <v>160</v>
      </c>
      <c r="B40" s="13">
        <v>69.8</v>
      </c>
      <c r="C40" s="13" t="s">
        <v>456</v>
      </c>
      <c r="D40" s="4">
        <f>5000000</f>
        <v>5000000</v>
      </c>
      <c r="E40" s="4">
        <v>20000000</v>
      </c>
      <c r="F40" s="4" t="s">
        <v>237</v>
      </c>
      <c r="G40" s="35"/>
      <c r="H40" s="62"/>
      <c r="I40" s="62"/>
      <c r="J40" s="62"/>
      <c r="K40" s="62"/>
      <c r="L40" s="35"/>
      <c r="M40" s="35"/>
      <c r="N40" s="35"/>
      <c r="O40" s="35"/>
      <c r="P40" s="35"/>
    </row>
    <row r="41" spans="1:16" s="228" customFormat="1" ht="13.95" customHeight="1" x14ac:dyDescent="0.25">
      <c r="A41" s="68" t="s">
        <v>160</v>
      </c>
      <c r="B41" s="13">
        <v>0.3</v>
      </c>
      <c r="C41" s="13" t="s">
        <v>950</v>
      </c>
      <c r="D41" s="4">
        <f>5000000</f>
        <v>5000000</v>
      </c>
      <c r="E41" s="4">
        <v>332000</v>
      </c>
      <c r="F41" s="4" t="s">
        <v>361</v>
      </c>
      <c r="G41" s="22"/>
    </row>
    <row r="42" spans="1:16" s="228" customFormat="1" ht="14.1" customHeight="1" x14ac:dyDescent="0.25">
      <c r="A42" s="32" t="s">
        <v>160</v>
      </c>
      <c r="B42" s="13">
        <v>6.3</v>
      </c>
      <c r="C42" s="32" t="s">
        <v>541</v>
      </c>
      <c r="D42" s="4"/>
      <c r="E42" s="4">
        <v>2500000</v>
      </c>
      <c r="F42" s="208" t="s">
        <v>4989</v>
      </c>
      <c r="G42" s="21"/>
    </row>
    <row r="43" spans="1:16" s="228" customFormat="1" ht="14.1" customHeight="1" x14ac:dyDescent="0.25">
      <c r="A43" s="32" t="s">
        <v>4547</v>
      </c>
      <c r="B43" s="13">
        <v>25.9</v>
      </c>
      <c r="C43" s="32" t="s">
        <v>541</v>
      </c>
      <c r="D43" s="4"/>
      <c r="E43" s="4">
        <v>5000000</v>
      </c>
      <c r="F43" s="208" t="s">
        <v>427</v>
      </c>
      <c r="G43" s="21"/>
    </row>
    <row r="44" spans="1:16" s="228" customFormat="1" ht="14.1" customHeight="1" x14ac:dyDescent="0.25">
      <c r="A44" s="68" t="s">
        <v>160</v>
      </c>
      <c r="B44" s="13">
        <v>2</v>
      </c>
      <c r="C44" s="32" t="s">
        <v>219</v>
      </c>
      <c r="D44" s="4"/>
      <c r="E44" s="4">
        <v>1000000</v>
      </c>
      <c r="F44" s="208" t="s">
        <v>7368</v>
      </c>
      <c r="G44" s="21"/>
    </row>
    <row r="45" spans="1:16" s="228" customFormat="1" x14ac:dyDescent="0.25">
      <c r="A45" s="68" t="s">
        <v>160</v>
      </c>
      <c r="B45" s="13">
        <v>0.9</v>
      </c>
      <c r="C45" s="32" t="s">
        <v>1664</v>
      </c>
      <c r="D45" s="4"/>
      <c r="E45" s="4">
        <v>900000</v>
      </c>
      <c r="F45" s="208" t="s">
        <v>16</v>
      </c>
      <c r="G45" s="21"/>
    </row>
    <row r="46" spans="1:16" s="228" customFormat="1" ht="13.95" customHeight="1" x14ac:dyDescent="0.25">
      <c r="A46" s="61" t="s">
        <v>358</v>
      </c>
      <c r="B46" s="13">
        <v>1.75</v>
      </c>
      <c r="C46" s="32" t="s">
        <v>8257</v>
      </c>
      <c r="D46" s="4"/>
      <c r="E46" s="4">
        <v>1750864.25</v>
      </c>
      <c r="F46" s="208" t="s">
        <v>5426</v>
      </c>
      <c r="G46" s="21"/>
    </row>
    <row r="47" spans="1:16" s="228" customFormat="1" ht="13.95" customHeight="1" x14ac:dyDescent="0.25">
      <c r="A47" s="68" t="s">
        <v>455</v>
      </c>
      <c r="B47" s="13">
        <v>0.6</v>
      </c>
      <c r="C47" s="13" t="s">
        <v>4470</v>
      </c>
      <c r="D47" s="4"/>
      <c r="E47" s="4">
        <v>609227.1399999999</v>
      </c>
      <c r="F47" s="4" t="s">
        <v>4468</v>
      </c>
      <c r="G47" s="71"/>
      <c r="H47" s="62"/>
      <c r="I47" s="62"/>
    </row>
    <row r="48" spans="1:16" s="228" customFormat="1" ht="13.95" customHeight="1" x14ac:dyDescent="0.25">
      <c r="A48" s="68" t="s">
        <v>310</v>
      </c>
      <c r="B48" s="13">
        <v>0</v>
      </c>
      <c r="C48" s="13" t="s">
        <v>510</v>
      </c>
      <c r="D48" s="4"/>
      <c r="E48" s="4">
        <v>0</v>
      </c>
      <c r="F48" s="4" t="s">
        <v>237</v>
      </c>
      <c r="G48" s="71"/>
      <c r="H48" s="62"/>
      <c r="I48" s="62"/>
    </row>
    <row r="49" spans="1:16" s="228" customFormat="1" ht="13.95" customHeight="1" x14ac:dyDescent="0.25">
      <c r="A49" s="13" t="s">
        <v>160</v>
      </c>
      <c r="B49" s="13">
        <v>0.6</v>
      </c>
      <c r="C49" s="32" t="s">
        <v>559</v>
      </c>
      <c r="D49" s="4"/>
      <c r="E49" s="4">
        <v>0</v>
      </c>
      <c r="F49" s="41" t="s">
        <v>1720</v>
      </c>
      <c r="G49" s="21"/>
    </row>
    <row r="50" spans="1:16" s="228" customFormat="1" x14ac:dyDescent="0.25">
      <c r="A50" s="32" t="s">
        <v>1034</v>
      </c>
      <c r="B50" s="13">
        <v>2.7</v>
      </c>
      <c r="C50" s="32" t="s">
        <v>1671</v>
      </c>
      <c r="D50" s="4"/>
      <c r="E50" s="4">
        <v>1700000</v>
      </c>
      <c r="F50" s="208" t="s">
        <v>427</v>
      </c>
      <c r="G50" s="21"/>
    </row>
    <row r="51" spans="1:16" s="228" customFormat="1" ht="13.95" customHeight="1" x14ac:dyDescent="0.25">
      <c r="A51" s="32" t="s">
        <v>92</v>
      </c>
      <c r="B51" s="13">
        <v>11.6</v>
      </c>
      <c r="C51" s="32" t="s">
        <v>39</v>
      </c>
      <c r="D51" s="4"/>
      <c r="E51" s="4">
        <v>3000000</v>
      </c>
      <c r="F51" s="41" t="s">
        <v>97</v>
      </c>
      <c r="G51" s="21"/>
    </row>
    <row r="52" spans="1:16" s="228" customFormat="1" ht="13.95" customHeight="1" x14ac:dyDescent="0.25">
      <c r="A52" s="32" t="s">
        <v>1285</v>
      </c>
      <c r="B52" s="13">
        <v>12.2</v>
      </c>
      <c r="C52" s="32" t="s">
        <v>1800</v>
      </c>
      <c r="D52" s="4"/>
      <c r="E52" s="4">
        <v>3000000</v>
      </c>
      <c r="F52" s="208" t="s">
        <v>361</v>
      </c>
      <c r="G52" s="21"/>
    </row>
    <row r="53" spans="1:16" s="228" customFormat="1" ht="13.95" customHeight="1" x14ac:dyDescent="0.25">
      <c r="A53" s="32" t="s">
        <v>442</v>
      </c>
      <c r="B53" s="13">
        <v>18.5</v>
      </c>
      <c r="C53" s="32" t="s">
        <v>8368</v>
      </c>
      <c r="D53" s="4"/>
      <c r="E53" s="4">
        <v>18450000</v>
      </c>
      <c r="F53" s="41" t="s">
        <v>8366</v>
      </c>
      <c r="G53" s="21"/>
    </row>
    <row r="54" spans="1:16" s="228" customFormat="1" x14ac:dyDescent="0.25">
      <c r="A54" s="32" t="s">
        <v>442</v>
      </c>
      <c r="B54" s="13">
        <v>1.2</v>
      </c>
      <c r="C54" s="32" t="s">
        <v>1179</v>
      </c>
      <c r="D54" s="4"/>
      <c r="E54" s="4">
        <v>1200000</v>
      </c>
      <c r="F54" s="208" t="s">
        <v>237</v>
      </c>
      <c r="G54" s="21"/>
    </row>
    <row r="55" spans="1:16" s="228" customFormat="1" ht="14.1" customHeight="1" x14ac:dyDescent="0.25">
      <c r="A55" s="32" t="s">
        <v>2</v>
      </c>
      <c r="B55" s="13">
        <v>1.1000000000000001</v>
      </c>
      <c r="C55" s="32" t="s">
        <v>435</v>
      </c>
      <c r="D55" s="4"/>
      <c r="E55" s="4">
        <v>1100701.8100000005</v>
      </c>
      <c r="F55" s="4" t="s">
        <v>427</v>
      </c>
      <c r="G55" s="21"/>
    </row>
    <row r="56" spans="1:16" s="62" customFormat="1" ht="15" customHeight="1" x14ac:dyDescent="0.25">
      <c r="A56" s="13" t="s">
        <v>8</v>
      </c>
      <c r="B56" s="13">
        <v>2.1</v>
      </c>
      <c r="C56" s="13" t="s">
        <v>1765</v>
      </c>
      <c r="D56" s="37">
        <v>400000</v>
      </c>
      <c r="E56" s="37">
        <v>1000000</v>
      </c>
      <c r="F56" s="4" t="s">
        <v>1204</v>
      </c>
      <c r="G56" s="71"/>
    </row>
    <row r="57" spans="1:16" s="228" customFormat="1" ht="13.95" customHeight="1" x14ac:dyDescent="0.25">
      <c r="A57" s="13" t="s">
        <v>956</v>
      </c>
      <c r="B57" s="13">
        <v>1.3</v>
      </c>
      <c r="C57" s="32" t="s">
        <v>1982</v>
      </c>
      <c r="D57" s="4"/>
      <c r="E57" s="4">
        <v>1264365.9779999999</v>
      </c>
      <c r="F57" s="41" t="s">
        <v>1984</v>
      </c>
      <c r="G57" s="22"/>
      <c r="H57" s="62"/>
    </row>
    <row r="58" spans="1:16" ht="7.35" customHeight="1" x14ac:dyDescent="0.25">
      <c r="A58" s="3">
        <v>0</v>
      </c>
      <c r="B58" s="3"/>
      <c r="C58" s="3"/>
      <c r="D58" s="209"/>
      <c r="E58" s="209"/>
      <c r="F58" s="209"/>
    </row>
    <row r="59" spans="1:16" s="8" customFormat="1" ht="18.75" customHeight="1" x14ac:dyDescent="0.25">
      <c r="A59" s="11" t="s">
        <v>627</v>
      </c>
      <c r="B59" s="213">
        <f>SUM(B60:B91)</f>
        <v>84.17</v>
      </c>
      <c r="C59" s="9"/>
      <c r="D59" s="44">
        <f>SUM(D60:D91)</f>
        <v>3700000</v>
      </c>
      <c r="E59" s="44">
        <f>SUM(E60:E91)</f>
        <v>84419693.359619081</v>
      </c>
      <c r="F59" s="10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ht="9" customHeight="1" x14ac:dyDescent="0.25">
      <c r="A60" s="17">
        <v>0</v>
      </c>
      <c r="B60" s="40"/>
      <c r="C60" s="17"/>
      <c r="D60" s="36"/>
      <c r="E60" s="36"/>
      <c r="F60" s="17"/>
      <c r="G60" s="2"/>
    </row>
    <row r="61" spans="1:16" s="228" customFormat="1" ht="13.95" customHeight="1" x14ac:dyDescent="0.25">
      <c r="A61" s="13" t="s">
        <v>1481</v>
      </c>
      <c r="B61" s="13">
        <v>1.7</v>
      </c>
      <c r="C61" s="32" t="s">
        <v>1977</v>
      </c>
      <c r="D61" s="4"/>
      <c r="E61" s="4">
        <f>1730000</f>
        <v>1730000</v>
      </c>
      <c r="F61" s="41" t="s">
        <v>1979</v>
      </c>
      <c r="G61" s="22"/>
      <c r="H61" s="62"/>
    </row>
    <row r="62" spans="1:16" s="228" customFormat="1" ht="13.95" customHeight="1" x14ac:dyDescent="0.25">
      <c r="A62" s="68" t="s">
        <v>311</v>
      </c>
      <c r="B62" s="13">
        <v>2.7</v>
      </c>
      <c r="C62" s="32" t="s">
        <v>1029</v>
      </c>
      <c r="D62" s="4"/>
      <c r="E62" s="4">
        <f>4700000-2000000</f>
        <v>2700000</v>
      </c>
      <c r="F62" s="208" t="s">
        <v>8679</v>
      </c>
      <c r="G62" s="21"/>
    </row>
    <row r="63" spans="1:16" s="228" customFormat="1" ht="13.95" customHeight="1" x14ac:dyDescent="0.25">
      <c r="A63" s="61" t="s">
        <v>92</v>
      </c>
      <c r="B63" s="13">
        <v>0.4</v>
      </c>
      <c r="C63" s="13" t="s">
        <v>474</v>
      </c>
      <c r="D63" s="4"/>
      <c r="E63" s="4">
        <v>460000</v>
      </c>
      <c r="F63" s="4" t="s">
        <v>9241</v>
      </c>
      <c r="G63" s="21"/>
    </row>
    <row r="64" spans="1:16" s="228" customFormat="1" ht="16.5" customHeight="1" x14ac:dyDescent="0.25">
      <c r="A64" s="68" t="s">
        <v>91</v>
      </c>
      <c r="B64" s="13">
        <v>0.4</v>
      </c>
      <c r="C64" s="32" t="s">
        <v>34</v>
      </c>
      <c r="D64" s="4"/>
      <c r="E64" s="4">
        <v>405000</v>
      </c>
      <c r="F64" s="41" t="s">
        <v>6604</v>
      </c>
      <c r="G64" s="22"/>
      <c r="H64" s="62"/>
    </row>
    <row r="65" spans="1:8" s="228" customFormat="1" ht="16.5" customHeight="1" x14ac:dyDescent="0.25">
      <c r="A65" s="68" t="s">
        <v>91</v>
      </c>
      <c r="B65" s="13">
        <v>0.03</v>
      </c>
      <c r="C65" s="32" t="s">
        <v>34</v>
      </c>
      <c r="D65" s="4"/>
      <c r="E65" s="4">
        <v>35000</v>
      </c>
      <c r="F65" s="41" t="s">
        <v>8695</v>
      </c>
      <c r="G65" s="22"/>
      <c r="H65" s="62"/>
    </row>
    <row r="66" spans="1:8" s="228" customFormat="1" ht="13.95" customHeight="1" x14ac:dyDescent="0.25">
      <c r="A66" s="68" t="s">
        <v>166</v>
      </c>
      <c r="B66" s="13">
        <v>0.2</v>
      </c>
      <c r="C66" s="32" t="s">
        <v>588</v>
      </c>
      <c r="D66" s="4"/>
      <c r="E66" s="4">
        <v>190000</v>
      </c>
      <c r="F66" s="41" t="s">
        <v>82</v>
      </c>
      <c r="G66" s="22"/>
      <c r="H66" s="62"/>
    </row>
    <row r="67" spans="1:8" s="228" customFormat="1" ht="13.95" customHeight="1" x14ac:dyDescent="0.25">
      <c r="A67" s="68" t="s">
        <v>260</v>
      </c>
      <c r="B67" s="13">
        <v>0.5</v>
      </c>
      <c r="C67" s="32" t="s">
        <v>588</v>
      </c>
      <c r="D67" s="4"/>
      <c r="E67" s="4">
        <v>474400</v>
      </c>
      <c r="F67" s="41" t="s">
        <v>82</v>
      </c>
      <c r="G67" s="22"/>
      <c r="H67" s="62"/>
    </row>
    <row r="68" spans="1:8" s="228" customFormat="1" ht="13.95" customHeight="1" x14ac:dyDescent="0.25">
      <c r="A68" s="68" t="s">
        <v>310</v>
      </c>
      <c r="B68" s="13">
        <v>8.1</v>
      </c>
      <c r="C68" s="32" t="s">
        <v>588</v>
      </c>
      <c r="D68" s="4">
        <v>3000000</v>
      </c>
      <c r="E68" s="4">
        <f>8100000</f>
        <v>8100000</v>
      </c>
      <c r="F68" s="41" t="s">
        <v>82</v>
      </c>
      <c r="G68" s="22"/>
      <c r="H68" s="62"/>
    </row>
    <row r="69" spans="1:8" s="228" customFormat="1" ht="13.95" customHeight="1" x14ac:dyDescent="0.25">
      <c r="A69" s="61" t="s">
        <v>358</v>
      </c>
      <c r="B69" s="13">
        <v>0.4</v>
      </c>
      <c r="C69" s="32" t="s">
        <v>8506</v>
      </c>
      <c r="D69" s="4"/>
      <c r="E69" s="4">
        <f>1344000-900000</f>
        <v>444000</v>
      </c>
      <c r="F69" s="4" t="s">
        <v>8508</v>
      </c>
      <c r="G69" s="21"/>
    </row>
    <row r="70" spans="1:8" s="228" customFormat="1" ht="13.95" customHeight="1" x14ac:dyDescent="0.25">
      <c r="A70" s="61" t="s">
        <v>92</v>
      </c>
      <c r="B70" s="13">
        <v>1.9</v>
      </c>
      <c r="C70" s="32" t="s">
        <v>8506</v>
      </c>
      <c r="D70" s="4"/>
      <c r="E70" s="4">
        <v>1924000</v>
      </c>
      <c r="F70" s="4" t="s">
        <v>9238</v>
      </c>
      <c r="G70" s="21"/>
    </row>
    <row r="71" spans="1:8" s="228" customFormat="1" ht="13.95" customHeight="1" x14ac:dyDescent="0.25">
      <c r="A71" s="13" t="s">
        <v>527</v>
      </c>
      <c r="B71" s="13">
        <v>0.1</v>
      </c>
      <c r="C71" s="13" t="s">
        <v>578</v>
      </c>
      <c r="D71" s="4"/>
      <c r="E71" s="4">
        <v>110000</v>
      </c>
      <c r="F71" s="4" t="s">
        <v>1224</v>
      </c>
      <c r="G71" s="21"/>
    </row>
    <row r="72" spans="1:8" s="228" customFormat="1" ht="13.95" customHeight="1" x14ac:dyDescent="0.25">
      <c r="A72" s="68" t="s">
        <v>311</v>
      </c>
      <c r="B72" s="13">
        <v>4</v>
      </c>
      <c r="C72" s="32" t="s">
        <v>7231</v>
      </c>
      <c r="D72" s="4"/>
      <c r="E72" s="4">
        <f>17000000-13000000</f>
        <v>4000000</v>
      </c>
      <c r="F72" s="208" t="s">
        <v>8681</v>
      </c>
      <c r="G72" s="21"/>
    </row>
    <row r="73" spans="1:8" s="228" customFormat="1" ht="13.95" customHeight="1" x14ac:dyDescent="0.25">
      <c r="A73" s="61" t="s">
        <v>442</v>
      </c>
      <c r="B73" s="13">
        <v>12</v>
      </c>
      <c r="C73" s="32" t="s">
        <v>7231</v>
      </c>
      <c r="D73" s="4"/>
      <c r="E73" s="4">
        <f>12000000</f>
        <v>12000000</v>
      </c>
      <c r="F73" s="4" t="s">
        <v>8674</v>
      </c>
      <c r="G73" s="21"/>
    </row>
    <row r="74" spans="1:8" s="228" customFormat="1" ht="13.95" customHeight="1" x14ac:dyDescent="0.25">
      <c r="A74" s="61" t="s">
        <v>442</v>
      </c>
      <c r="B74" s="13">
        <v>7.6</v>
      </c>
      <c r="C74" s="32" t="s">
        <v>7231</v>
      </c>
      <c r="D74" s="4"/>
      <c r="E74" s="4">
        <v>7600000</v>
      </c>
      <c r="F74" s="4" t="s">
        <v>8676</v>
      </c>
      <c r="G74" s="21"/>
    </row>
    <row r="75" spans="1:8" s="228" customFormat="1" ht="13.95" customHeight="1" x14ac:dyDescent="0.25">
      <c r="A75" s="61" t="s">
        <v>92</v>
      </c>
      <c r="B75" s="13">
        <v>14.5</v>
      </c>
      <c r="C75" s="32" t="s">
        <v>7231</v>
      </c>
      <c r="D75" s="4"/>
      <c r="E75" s="4">
        <f>22500000-5000000-3000000</f>
        <v>14500000</v>
      </c>
      <c r="F75" s="4" t="s">
        <v>190</v>
      </c>
      <c r="G75" s="21"/>
    </row>
    <row r="76" spans="1:8" s="228" customFormat="1" ht="13.95" customHeight="1" x14ac:dyDescent="0.25">
      <c r="A76" s="61" t="s">
        <v>358</v>
      </c>
      <c r="B76" s="13">
        <v>0.1</v>
      </c>
      <c r="C76" s="13" t="s">
        <v>204</v>
      </c>
      <c r="D76" s="4"/>
      <c r="E76" s="4">
        <v>101165.8</v>
      </c>
      <c r="F76" s="4" t="s">
        <v>6604</v>
      </c>
      <c r="G76" s="21"/>
    </row>
    <row r="77" spans="1:8" s="228" customFormat="1" ht="13.95" customHeight="1" x14ac:dyDescent="0.25">
      <c r="A77" s="61" t="s">
        <v>92</v>
      </c>
      <c r="B77" s="13">
        <v>6.6</v>
      </c>
      <c r="C77" s="32" t="s">
        <v>1087</v>
      </c>
      <c r="D77" s="4"/>
      <c r="E77" s="4">
        <f>7650000-1000000</f>
        <v>6650000</v>
      </c>
      <c r="F77" s="4" t="s">
        <v>20</v>
      </c>
      <c r="G77" s="21"/>
    </row>
    <row r="78" spans="1:8" s="228" customFormat="1" ht="13.95" customHeight="1" x14ac:dyDescent="0.25">
      <c r="A78" s="61" t="s">
        <v>107</v>
      </c>
      <c r="B78" s="13">
        <v>0.7</v>
      </c>
      <c r="C78" s="13" t="s">
        <v>438</v>
      </c>
      <c r="D78" s="4">
        <v>700000</v>
      </c>
      <c r="E78" s="4">
        <v>700000</v>
      </c>
      <c r="F78" s="4" t="s">
        <v>252</v>
      </c>
      <c r="G78" s="21"/>
    </row>
    <row r="79" spans="1:8" s="228" customFormat="1" ht="13.95" customHeight="1" x14ac:dyDescent="0.25">
      <c r="A79" s="61" t="s">
        <v>310</v>
      </c>
      <c r="B79" s="13">
        <v>2</v>
      </c>
      <c r="C79" s="13" t="s">
        <v>30</v>
      </c>
      <c r="D79" s="4"/>
      <c r="E79" s="4">
        <v>2027922.8096190793</v>
      </c>
      <c r="F79" s="4" t="s">
        <v>20</v>
      </c>
      <c r="G79" s="21"/>
    </row>
    <row r="80" spans="1:8" s="228" customFormat="1" ht="13.95" customHeight="1" x14ac:dyDescent="0.25">
      <c r="A80" s="61" t="s">
        <v>92</v>
      </c>
      <c r="B80" s="13">
        <v>7</v>
      </c>
      <c r="C80" s="13" t="s">
        <v>30</v>
      </c>
      <c r="D80" s="4"/>
      <c r="E80" s="4">
        <f>6940000</f>
        <v>6940000</v>
      </c>
      <c r="F80" s="4" t="s">
        <v>5864</v>
      </c>
      <c r="G80" s="21"/>
    </row>
    <row r="81" spans="1:16" s="228" customFormat="1" ht="13.95" customHeight="1" x14ac:dyDescent="0.25">
      <c r="A81" s="13" t="s">
        <v>261</v>
      </c>
      <c r="B81" s="13">
        <v>0.05</v>
      </c>
      <c r="C81" s="32" t="s">
        <v>3313</v>
      </c>
      <c r="D81" s="4"/>
      <c r="E81" s="4">
        <v>55500</v>
      </c>
      <c r="F81" s="41" t="s">
        <v>3314</v>
      </c>
      <c r="G81" s="21"/>
    </row>
    <row r="82" spans="1:16" s="228" customFormat="1" ht="13.95" customHeight="1" x14ac:dyDescent="0.25">
      <c r="A82" s="61" t="s">
        <v>310</v>
      </c>
      <c r="B82" s="13">
        <v>1.5</v>
      </c>
      <c r="C82" s="13" t="s">
        <v>8687</v>
      </c>
      <c r="D82" s="4"/>
      <c r="E82" s="4">
        <f>2500000-1000000</f>
        <v>1500000</v>
      </c>
      <c r="F82" s="4" t="s">
        <v>8689</v>
      </c>
      <c r="G82" s="21"/>
    </row>
    <row r="83" spans="1:16" s="228" customFormat="1" ht="13.95" customHeight="1" x14ac:dyDescent="0.25">
      <c r="A83" s="68" t="s">
        <v>206</v>
      </c>
      <c r="B83" s="13">
        <v>0.1</v>
      </c>
      <c r="C83" s="32" t="s">
        <v>1736</v>
      </c>
      <c r="D83" s="4"/>
      <c r="E83" s="4">
        <v>76023.67</v>
      </c>
      <c r="F83" s="41" t="s">
        <v>1834</v>
      </c>
      <c r="G83" s="22"/>
      <c r="H83" s="62"/>
    </row>
    <row r="84" spans="1:16" s="228" customFormat="1" ht="13.95" customHeight="1" x14ac:dyDescent="0.25">
      <c r="A84" s="61" t="s">
        <v>455</v>
      </c>
      <c r="B84" s="13">
        <v>1.5</v>
      </c>
      <c r="C84" s="13" t="s">
        <v>1144</v>
      </c>
      <c r="D84" s="4"/>
      <c r="E84" s="4">
        <v>1500000</v>
      </c>
      <c r="F84" s="4" t="s">
        <v>6912</v>
      </c>
      <c r="G84" s="21"/>
    </row>
    <row r="85" spans="1:16" s="228" customFormat="1" ht="15" customHeight="1" x14ac:dyDescent="0.25">
      <c r="A85" s="68" t="s">
        <v>1316</v>
      </c>
      <c r="B85" s="13">
        <v>0.3</v>
      </c>
      <c r="C85" s="32" t="s">
        <v>7925</v>
      </c>
      <c r="D85" s="4"/>
      <c r="E85" s="4">
        <v>315000</v>
      </c>
      <c r="F85" s="84" t="s">
        <v>7927</v>
      </c>
      <c r="G85" s="21"/>
    </row>
    <row r="86" spans="1:16" s="228" customFormat="1" ht="13.95" customHeight="1" x14ac:dyDescent="0.25">
      <c r="A86" s="68" t="s">
        <v>311</v>
      </c>
      <c r="B86" s="13">
        <v>3</v>
      </c>
      <c r="C86" s="32" t="s">
        <v>8162</v>
      </c>
      <c r="D86" s="4"/>
      <c r="E86" s="4">
        <f>10000000-7000000</f>
        <v>3000000</v>
      </c>
      <c r="F86" s="208" t="s">
        <v>8682</v>
      </c>
      <c r="G86" s="21"/>
    </row>
    <row r="87" spans="1:16" s="228" customFormat="1" ht="13.95" customHeight="1" x14ac:dyDescent="0.25">
      <c r="A87" s="68" t="s">
        <v>311</v>
      </c>
      <c r="B87" s="13">
        <v>6.2</v>
      </c>
      <c r="C87" s="13" t="s">
        <v>3301</v>
      </c>
      <c r="D87" s="4"/>
      <c r="E87" s="4">
        <f>11242981.08-5000000</f>
        <v>6242981.0800000001</v>
      </c>
      <c r="F87" s="4" t="s">
        <v>8685</v>
      </c>
      <c r="G87" s="21"/>
    </row>
    <row r="88" spans="1:16" s="228" customFormat="1" ht="13.95" customHeight="1" x14ac:dyDescent="0.25">
      <c r="A88" s="61" t="s">
        <v>55</v>
      </c>
      <c r="B88" s="13">
        <v>0.04</v>
      </c>
      <c r="C88" s="13" t="s">
        <v>352</v>
      </c>
      <c r="D88" s="4"/>
      <c r="E88" s="4">
        <v>42700</v>
      </c>
      <c r="F88" s="4" t="s">
        <v>4289</v>
      </c>
      <c r="G88" s="21"/>
    </row>
    <row r="89" spans="1:16" s="228" customFormat="1" ht="13.95" customHeight="1" x14ac:dyDescent="0.25">
      <c r="A89" s="61" t="s">
        <v>310</v>
      </c>
      <c r="B89" s="13">
        <v>0.5</v>
      </c>
      <c r="C89" s="13" t="s">
        <v>289</v>
      </c>
      <c r="D89" s="4"/>
      <c r="E89" s="4">
        <f>420000+120000</f>
        <v>540000</v>
      </c>
      <c r="F89" s="4" t="s">
        <v>9039</v>
      </c>
      <c r="G89" s="21"/>
    </row>
    <row r="90" spans="1:16" s="228" customFormat="1" ht="13.95" customHeight="1" x14ac:dyDescent="0.25">
      <c r="A90" s="61" t="s">
        <v>637</v>
      </c>
      <c r="B90" s="13">
        <v>0.05</v>
      </c>
      <c r="C90" s="13" t="s">
        <v>289</v>
      </c>
      <c r="D90" s="4"/>
      <c r="E90" s="4">
        <v>56000</v>
      </c>
      <c r="F90" s="4" t="s">
        <v>467</v>
      </c>
      <c r="G90" s="21"/>
    </row>
    <row r="91" spans="1:16" s="228" customFormat="1" ht="8.25" customHeight="1" x14ac:dyDescent="0.25">
      <c r="A91" s="13">
        <v>0</v>
      </c>
      <c r="B91" s="13"/>
      <c r="C91" s="13"/>
      <c r="D91" s="4"/>
      <c r="E91" s="4"/>
      <c r="F91" s="4"/>
      <c r="H91" s="74"/>
      <c r="I91" s="62"/>
      <c r="J91" s="62"/>
      <c r="K91" s="62"/>
      <c r="L91" s="35"/>
      <c r="M91" s="35"/>
      <c r="N91" s="35"/>
      <c r="O91" s="35"/>
      <c r="P91" s="35"/>
    </row>
    <row r="92" spans="1:16" s="8" customFormat="1" ht="18.75" customHeight="1" x14ac:dyDescent="0.25">
      <c r="A92" s="11" t="s">
        <v>49</v>
      </c>
      <c r="B92" s="213">
        <f>SUM(B93:B158)</f>
        <v>171.23000000000005</v>
      </c>
      <c r="C92" s="9"/>
      <c r="D92" s="44">
        <f>SUM(D93:D158)</f>
        <v>44100215.689999998</v>
      </c>
      <c r="E92" s="44">
        <f>SUM(E93:E158)</f>
        <v>73342117.760000005</v>
      </c>
      <c r="F92" s="10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16" ht="8.1" customHeight="1" x14ac:dyDescent="0.25">
      <c r="A93" s="17">
        <v>0</v>
      </c>
      <c r="B93" s="40"/>
      <c r="C93" s="17"/>
      <c r="D93" s="36"/>
      <c r="E93" s="36"/>
      <c r="F93" s="17"/>
      <c r="G93" s="23"/>
    </row>
    <row r="94" spans="1:16" s="228" customFormat="1" x14ac:dyDescent="0.25">
      <c r="A94" s="68" t="s">
        <v>9449</v>
      </c>
      <c r="B94" s="13"/>
      <c r="C94" s="32" t="s">
        <v>432</v>
      </c>
      <c r="D94" s="4">
        <v>270000</v>
      </c>
      <c r="E94" s="4"/>
      <c r="F94" s="41" t="s">
        <v>78</v>
      </c>
      <c r="G94" s="22"/>
      <c r="H94" s="63"/>
      <c r="I94" s="62"/>
    </row>
    <row r="95" spans="1:16" s="228" customFormat="1" x14ac:dyDescent="0.25">
      <c r="A95" s="68" t="s">
        <v>349</v>
      </c>
      <c r="B95" s="13">
        <v>7.5</v>
      </c>
      <c r="C95" s="32" t="s">
        <v>562</v>
      </c>
      <c r="D95" s="4"/>
      <c r="E95" s="4">
        <v>4000000</v>
      </c>
      <c r="F95" s="41" t="s">
        <v>270</v>
      </c>
      <c r="G95" s="22"/>
      <c r="H95" s="63"/>
      <c r="I95" s="62"/>
    </row>
    <row r="96" spans="1:16" s="228" customFormat="1" ht="15.75" customHeight="1" x14ac:dyDescent="0.25">
      <c r="A96" s="68" t="s">
        <v>349</v>
      </c>
      <c r="B96" s="13">
        <v>5.7</v>
      </c>
      <c r="C96" s="32" t="s">
        <v>1029</v>
      </c>
      <c r="D96" s="4"/>
      <c r="E96" s="4">
        <v>1500000</v>
      </c>
      <c r="F96" s="4" t="s">
        <v>630</v>
      </c>
      <c r="G96" s="50"/>
    </row>
    <row r="97" spans="1:13" s="228" customFormat="1" ht="13.95" customHeight="1" x14ac:dyDescent="0.25">
      <c r="A97" s="68" t="s">
        <v>310</v>
      </c>
      <c r="B97" s="13">
        <v>0.2</v>
      </c>
      <c r="C97" s="13" t="s">
        <v>682</v>
      </c>
      <c r="D97" s="4"/>
      <c r="E97" s="4">
        <v>212188</v>
      </c>
      <c r="F97" s="208" t="s">
        <v>79</v>
      </c>
      <c r="G97" s="21"/>
    </row>
    <row r="98" spans="1:13" s="228" customFormat="1" ht="13.95" customHeight="1" x14ac:dyDescent="0.25">
      <c r="A98" s="61" t="s">
        <v>160</v>
      </c>
      <c r="B98" s="13">
        <v>3.3</v>
      </c>
      <c r="C98" s="32" t="s">
        <v>4461</v>
      </c>
      <c r="D98" s="4">
        <v>2000000</v>
      </c>
      <c r="E98" s="4">
        <v>1500000</v>
      </c>
      <c r="F98" s="4" t="s">
        <v>82</v>
      </c>
      <c r="G98" s="21"/>
    </row>
    <row r="99" spans="1:13" s="228" customFormat="1" x14ac:dyDescent="0.25">
      <c r="A99" s="68" t="s">
        <v>90</v>
      </c>
      <c r="B99" s="13">
        <v>4.5</v>
      </c>
      <c r="C99" s="32" t="s">
        <v>507</v>
      </c>
      <c r="D99" s="4">
        <v>2000000</v>
      </c>
      <c r="E99" s="211"/>
      <c r="F99" s="4" t="s">
        <v>9330</v>
      </c>
      <c r="G99" s="21"/>
    </row>
    <row r="100" spans="1:13" s="228" customFormat="1" ht="13.95" customHeight="1" x14ac:dyDescent="0.25">
      <c r="A100" s="68" t="s">
        <v>91</v>
      </c>
      <c r="B100" s="13">
        <v>0.7</v>
      </c>
      <c r="C100" s="32" t="s">
        <v>1767</v>
      </c>
      <c r="D100" s="4">
        <v>677007.38999999966</v>
      </c>
      <c r="E100" s="4">
        <v>677007.38999999966</v>
      </c>
      <c r="F100" s="41" t="s">
        <v>1676</v>
      </c>
      <c r="G100" s="22"/>
      <c r="H100" s="62"/>
    </row>
    <row r="101" spans="1:13" s="228" customFormat="1" ht="13.95" customHeight="1" x14ac:dyDescent="0.25">
      <c r="A101" s="32" t="s">
        <v>407</v>
      </c>
      <c r="B101" s="13">
        <v>0.08</v>
      </c>
      <c r="C101" s="13" t="s">
        <v>474</v>
      </c>
      <c r="D101" s="4"/>
      <c r="E101" s="4">
        <v>79380</v>
      </c>
      <c r="F101" s="4" t="s">
        <v>218</v>
      </c>
      <c r="G101" s="21"/>
    </row>
    <row r="102" spans="1:13" s="228" customFormat="1" ht="15" customHeight="1" x14ac:dyDescent="0.25">
      <c r="A102" s="68" t="s">
        <v>91</v>
      </c>
      <c r="B102" s="13">
        <v>0</v>
      </c>
      <c r="C102" s="13" t="s">
        <v>969</v>
      </c>
      <c r="D102" s="4"/>
      <c r="E102" s="4">
        <v>0</v>
      </c>
      <c r="F102" s="4" t="s">
        <v>190</v>
      </c>
      <c r="G102" s="35"/>
      <c r="H102" s="62"/>
      <c r="I102" s="62"/>
    </row>
    <row r="103" spans="1:13" s="228" customFormat="1" x14ac:dyDescent="0.25">
      <c r="A103" s="68" t="s">
        <v>160</v>
      </c>
      <c r="B103" s="13">
        <v>2</v>
      </c>
      <c r="C103" s="32" t="s">
        <v>1748</v>
      </c>
      <c r="D103" s="4">
        <v>1000000</v>
      </c>
      <c r="E103" s="4">
        <v>1000000</v>
      </c>
      <c r="F103" s="208" t="s">
        <v>630</v>
      </c>
      <c r="G103" s="21"/>
    </row>
    <row r="104" spans="1:13" s="228" customFormat="1" ht="13.95" customHeight="1" x14ac:dyDescent="0.25">
      <c r="A104" s="61" t="s">
        <v>455</v>
      </c>
      <c r="B104" s="13">
        <v>1.6</v>
      </c>
      <c r="C104" s="32" t="s">
        <v>4458</v>
      </c>
      <c r="D104" s="4"/>
      <c r="E104" s="4"/>
      <c r="F104" s="4" t="s">
        <v>2791</v>
      </c>
      <c r="G104" s="21"/>
    </row>
    <row r="105" spans="1:13" s="228" customFormat="1" x14ac:dyDescent="0.25">
      <c r="A105" s="68" t="s">
        <v>358</v>
      </c>
      <c r="B105" s="13">
        <v>0</v>
      </c>
      <c r="C105" s="32" t="s">
        <v>1077</v>
      </c>
      <c r="D105" s="4">
        <v>5000000</v>
      </c>
      <c r="E105" s="4">
        <v>0</v>
      </c>
      <c r="F105" s="208" t="s">
        <v>581</v>
      </c>
      <c r="G105" s="21"/>
    </row>
    <row r="106" spans="1:13" s="228" customFormat="1" ht="13.95" customHeight="1" x14ac:dyDescent="0.25">
      <c r="A106" s="61" t="s">
        <v>160</v>
      </c>
      <c r="B106" s="13">
        <v>0.5</v>
      </c>
      <c r="C106" s="13" t="s">
        <v>1035</v>
      </c>
      <c r="D106" s="4"/>
      <c r="E106" s="4">
        <v>542975</v>
      </c>
      <c r="F106" s="4" t="s">
        <v>218</v>
      </c>
      <c r="G106" s="21"/>
    </row>
    <row r="107" spans="1:13" s="50" customFormat="1" x14ac:dyDescent="0.25">
      <c r="A107" s="68" t="s">
        <v>1081</v>
      </c>
      <c r="B107" s="13">
        <v>2</v>
      </c>
      <c r="C107" s="218" t="s">
        <v>1726</v>
      </c>
      <c r="D107" s="221"/>
      <c r="E107" s="221">
        <v>500000</v>
      </c>
      <c r="F107" s="127" t="s">
        <v>124</v>
      </c>
    </row>
    <row r="108" spans="1:13" s="50" customFormat="1" x14ac:dyDescent="0.25">
      <c r="A108" s="68" t="s">
        <v>160</v>
      </c>
      <c r="B108" s="13">
        <v>8.4</v>
      </c>
      <c r="C108" s="218" t="s">
        <v>385</v>
      </c>
      <c r="D108" s="221">
        <v>500000</v>
      </c>
      <c r="E108" s="221">
        <v>500000</v>
      </c>
      <c r="F108" s="127" t="s">
        <v>1542</v>
      </c>
    </row>
    <row r="109" spans="1:13" s="228" customFormat="1" ht="13.95" customHeight="1" x14ac:dyDescent="0.25">
      <c r="A109" s="13" t="s">
        <v>160</v>
      </c>
      <c r="B109" s="13">
        <v>5.2</v>
      </c>
      <c r="C109" s="32" t="s">
        <v>588</v>
      </c>
      <c r="D109" s="4"/>
      <c r="E109" s="4">
        <v>2000000</v>
      </c>
      <c r="F109" s="4" t="s">
        <v>20</v>
      </c>
      <c r="G109" s="21"/>
    </row>
    <row r="110" spans="1:13" s="228" customFormat="1" x14ac:dyDescent="0.25">
      <c r="A110" s="68" t="s">
        <v>659</v>
      </c>
      <c r="B110" s="13">
        <v>0.5</v>
      </c>
      <c r="C110" s="32" t="s">
        <v>1820</v>
      </c>
      <c r="D110" s="37"/>
      <c r="E110" s="37">
        <v>472820.34</v>
      </c>
      <c r="F110" s="4" t="s">
        <v>82</v>
      </c>
      <c r="G110" s="62"/>
      <c r="H110" s="62"/>
      <c r="I110" s="35"/>
      <c r="J110" s="35"/>
      <c r="K110" s="35"/>
      <c r="L110" s="35"/>
      <c r="M110" s="35"/>
    </row>
    <row r="111" spans="1:13" s="228" customFormat="1" ht="13.95" customHeight="1" x14ac:dyDescent="0.25">
      <c r="A111" s="32" t="s">
        <v>442</v>
      </c>
      <c r="B111" s="13">
        <v>1.7</v>
      </c>
      <c r="C111" s="32" t="s">
        <v>844</v>
      </c>
      <c r="D111" s="4">
        <v>1668608.3</v>
      </c>
      <c r="E111" s="4">
        <v>1668608.3</v>
      </c>
      <c r="F111" s="41" t="s">
        <v>503</v>
      </c>
      <c r="G111" s="22"/>
      <c r="H111" s="62"/>
    </row>
    <row r="112" spans="1:13" s="228" customFormat="1" ht="13.95" customHeight="1" x14ac:dyDescent="0.25">
      <c r="A112" s="61" t="s">
        <v>160</v>
      </c>
      <c r="B112" s="13">
        <v>0.1</v>
      </c>
      <c r="C112" s="13" t="s">
        <v>204</v>
      </c>
      <c r="D112" s="4"/>
      <c r="E112" s="4">
        <v>109943</v>
      </c>
      <c r="F112" s="4" t="s">
        <v>20</v>
      </c>
      <c r="G112" s="21"/>
    </row>
    <row r="113" spans="1:9" s="228" customFormat="1" ht="13.95" customHeight="1" x14ac:dyDescent="0.25">
      <c r="A113" s="61" t="s">
        <v>91</v>
      </c>
      <c r="B113" s="13">
        <v>1.5</v>
      </c>
      <c r="C113" s="32" t="s">
        <v>525</v>
      </c>
      <c r="D113" s="4"/>
      <c r="E113" s="4">
        <v>500000</v>
      </c>
      <c r="F113" s="4" t="s">
        <v>5520</v>
      </c>
      <c r="G113" s="21"/>
    </row>
    <row r="114" spans="1:9" s="228" customFormat="1" ht="16.5" customHeight="1" x14ac:dyDescent="0.25">
      <c r="A114" s="68" t="s">
        <v>442</v>
      </c>
      <c r="B114" s="13">
        <v>0.11</v>
      </c>
      <c r="C114" s="32" t="s">
        <v>821</v>
      </c>
      <c r="D114" s="4"/>
      <c r="E114" s="4">
        <v>117614</v>
      </c>
      <c r="F114" s="41" t="s">
        <v>823</v>
      </c>
      <c r="G114" s="22"/>
      <c r="H114" s="62"/>
    </row>
    <row r="115" spans="1:9" s="228" customFormat="1" ht="13.95" customHeight="1" x14ac:dyDescent="0.25">
      <c r="A115" s="68" t="s">
        <v>1147</v>
      </c>
      <c r="B115" s="13">
        <v>1.3</v>
      </c>
      <c r="C115" s="32" t="s">
        <v>2592</v>
      </c>
      <c r="D115" s="4"/>
      <c r="E115" s="4">
        <v>1264800</v>
      </c>
      <c r="F115" s="4" t="s">
        <v>2594</v>
      </c>
      <c r="G115" s="21"/>
    </row>
    <row r="116" spans="1:9" s="228" customFormat="1" x14ac:dyDescent="0.25">
      <c r="A116" s="13" t="s">
        <v>160</v>
      </c>
      <c r="B116" s="13">
        <v>1.5</v>
      </c>
      <c r="C116" s="32" t="s">
        <v>391</v>
      </c>
      <c r="D116" s="4"/>
      <c r="E116" s="4">
        <v>1000000</v>
      </c>
      <c r="F116" s="41" t="s">
        <v>315</v>
      </c>
      <c r="G116" s="21"/>
    </row>
    <row r="117" spans="1:9" s="228" customFormat="1" ht="13.95" customHeight="1" x14ac:dyDescent="0.25">
      <c r="A117" s="13" t="s">
        <v>160</v>
      </c>
      <c r="B117" s="13">
        <v>9</v>
      </c>
      <c r="C117" s="32" t="s">
        <v>194</v>
      </c>
      <c r="D117" s="4"/>
      <c r="E117" s="4">
        <v>3000000</v>
      </c>
      <c r="F117" s="41" t="s">
        <v>6317</v>
      </c>
      <c r="G117" s="21"/>
    </row>
    <row r="118" spans="1:9" s="228" customFormat="1" ht="13.95" customHeight="1" x14ac:dyDescent="0.25">
      <c r="A118" s="32" t="s">
        <v>160</v>
      </c>
      <c r="B118" s="13">
        <v>0.1</v>
      </c>
      <c r="C118" s="13" t="s">
        <v>418</v>
      </c>
      <c r="D118" s="4"/>
      <c r="E118" s="4">
        <v>137200</v>
      </c>
      <c r="F118" s="4" t="s">
        <v>218</v>
      </c>
      <c r="G118" s="21"/>
    </row>
    <row r="119" spans="1:9" s="228" customFormat="1" x14ac:dyDescent="0.25">
      <c r="A119" s="13" t="s">
        <v>550</v>
      </c>
      <c r="B119" s="13">
        <v>5</v>
      </c>
      <c r="C119" s="32" t="s">
        <v>1980</v>
      </c>
      <c r="D119" s="4">
        <f>1000000</f>
        <v>1000000</v>
      </c>
      <c r="E119" s="4">
        <v>2500000</v>
      </c>
      <c r="F119" s="41" t="s">
        <v>5424</v>
      </c>
      <c r="G119" s="22"/>
      <c r="H119" s="62"/>
    </row>
    <row r="120" spans="1:9" s="228" customFormat="1" x14ac:dyDescent="0.25">
      <c r="A120" s="13" t="s">
        <v>160</v>
      </c>
      <c r="B120" s="13">
        <v>29</v>
      </c>
      <c r="C120" s="32" t="s">
        <v>285</v>
      </c>
      <c r="D120" s="4">
        <f>5000000*2</f>
        <v>10000000</v>
      </c>
      <c r="E120" s="4">
        <v>10000000</v>
      </c>
      <c r="F120" s="41" t="s">
        <v>190</v>
      </c>
      <c r="G120" s="22"/>
      <c r="H120" s="63"/>
      <c r="I120" s="62"/>
    </row>
    <row r="121" spans="1:9" s="228" customFormat="1" x14ac:dyDescent="0.25">
      <c r="A121" s="68" t="s">
        <v>188</v>
      </c>
      <c r="B121" s="13">
        <v>0.3</v>
      </c>
      <c r="C121" s="32" t="s">
        <v>438</v>
      </c>
      <c r="D121" s="4"/>
      <c r="E121" s="4">
        <v>0</v>
      </c>
      <c r="F121" s="84" t="s">
        <v>864</v>
      </c>
      <c r="G121" s="21"/>
    </row>
    <row r="122" spans="1:9" s="228" customFormat="1" x14ac:dyDescent="0.25">
      <c r="A122" s="13" t="s">
        <v>160</v>
      </c>
      <c r="B122" s="13">
        <v>8.6</v>
      </c>
      <c r="C122" s="32" t="s">
        <v>292</v>
      </c>
      <c r="D122" s="4">
        <f>1100000</f>
        <v>1100000</v>
      </c>
      <c r="E122" s="4">
        <v>2500000</v>
      </c>
      <c r="F122" s="41" t="s">
        <v>475</v>
      </c>
      <c r="G122" s="22"/>
      <c r="H122" s="63"/>
      <c r="I122" s="62"/>
    </row>
    <row r="123" spans="1:9" s="228" customFormat="1" x14ac:dyDescent="0.25">
      <c r="A123" s="13" t="s">
        <v>160</v>
      </c>
      <c r="B123" s="13">
        <v>0.3</v>
      </c>
      <c r="C123" s="32" t="s">
        <v>628</v>
      </c>
      <c r="D123" s="4"/>
      <c r="E123" s="4">
        <v>300000</v>
      </c>
      <c r="F123" s="41" t="s">
        <v>202</v>
      </c>
      <c r="G123" s="21"/>
    </row>
    <row r="124" spans="1:9" s="228" customFormat="1" ht="13.95" customHeight="1" x14ac:dyDescent="0.25">
      <c r="A124" s="32" t="s">
        <v>55</v>
      </c>
      <c r="B124" s="13">
        <v>0</v>
      </c>
      <c r="C124" s="32" t="s">
        <v>1857</v>
      </c>
      <c r="D124" s="4"/>
      <c r="E124" s="4">
        <v>0</v>
      </c>
      <c r="F124" s="41" t="s">
        <v>1859</v>
      </c>
      <c r="G124" s="22"/>
      <c r="H124" s="62"/>
    </row>
    <row r="125" spans="1:9" s="97" customFormat="1" x14ac:dyDescent="0.25">
      <c r="A125" s="13" t="s">
        <v>160</v>
      </c>
      <c r="B125" s="13">
        <v>0.5</v>
      </c>
      <c r="C125" s="13" t="s">
        <v>925</v>
      </c>
      <c r="D125" s="4"/>
      <c r="E125" s="4">
        <v>518000</v>
      </c>
      <c r="F125" s="4" t="s">
        <v>202</v>
      </c>
      <c r="G125" s="22"/>
    </row>
    <row r="126" spans="1:9" s="228" customFormat="1" ht="13.95" customHeight="1" x14ac:dyDescent="0.25">
      <c r="A126" s="68" t="s">
        <v>1972</v>
      </c>
      <c r="B126" s="13">
        <v>10.4</v>
      </c>
      <c r="C126" s="32" t="s">
        <v>905</v>
      </c>
      <c r="D126" s="4">
        <v>3800000</v>
      </c>
      <c r="E126" s="4">
        <v>3000000</v>
      </c>
      <c r="F126" s="208" t="s">
        <v>1119</v>
      </c>
      <c r="G126" s="21"/>
    </row>
    <row r="127" spans="1:9" s="228" customFormat="1" ht="13.95" customHeight="1" x14ac:dyDescent="0.25">
      <c r="A127" s="68" t="s">
        <v>904</v>
      </c>
      <c r="B127" s="13">
        <v>-5</v>
      </c>
      <c r="C127" s="32" t="s">
        <v>905</v>
      </c>
      <c r="D127" s="4"/>
      <c r="E127" s="4"/>
      <c r="F127" s="208" t="s">
        <v>581</v>
      </c>
      <c r="G127" s="21"/>
    </row>
    <row r="128" spans="1:9" s="228" customFormat="1" ht="13.95" customHeight="1" x14ac:dyDescent="0.25">
      <c r="A128" s="68" t="s">
        <v>55</v>
      </c>
      <c r="B128" s="13">
        <v>0.05</v>
      </c>
      <c r="C128" s="13" t="s">
        <v>275</v>
      </c>
      <c r="D128" s="4"/>
      <c r="E128" s="4">
        <v>51725.68</v>
      </c>
      <c r="F128" s="41" t="s">
        <v>270</v>
      </c>
      <c r="G128" s="21"/>
    </row>
    <row r="129" spans="1:14" s="228" customFormat="1" ht="13.95" customHeight="1" x14ac:dyDescent="0.25">
      <c r="A129" s="68" t="s">
        <v>160</v>
      </c>
      <c r="B129" s="13">
        <v>10.3</v>
      </c>
      <c r="C129" s="32" t="s">
        <v>1736</v>
      </c>
      <c r="D129" s="4">
        <v>5000000</v>
      </c>
      <c r="E129" s="4">
        <v>5000000</v>
      </c>
      <c r="F129" s="41" t="s">
        <v>629</v>
      </c>
      <c r="G129" s="21"/>
    </row>
    <row r="130" spans="1:14" s="228" customFormat="1" ht="13.95" customHeight="1" x14ac:dyDescent="0.25">
      <c r="A130" s="32" t="s">
        <v>215</v>
      </c>
      <c r="B130" s="13">
        <v>0.06</v>
      </c>
      <c r="C130" s="13" t="s">
        <v>553</v>
      </c>
      <c r="D130" s="4"/>
      <c r="E130" s="4">
        <v>55161.14</v>
      </c>
      <c r="F130" s="4" t="s">
        <v>286</v>
      </c>
      <c r="G130" s="21"/>
    </row>
    <row r="131" spans="1:14" s="228" customFormat="1" ht="13.95" customHeight="1" x14ac:dyDescent="0.25">
      <c r="A131" s="13" t="s">
        <v>455</v>
      </c>
      <c r="B131" s="13">
        <v>2.5</v>
      </c>
      <c r="C131" s="13" t="s">
        <v>4438</v>
      </c>
      <c r="D131" s="37">
        <v>2484600</v>
      </c>
      <c r="E131" s="37">
        <v>2500000</v>
      </c>
      <c r="F131" s="4" t="s">
        <v>24</v>
      </c>
      <c r="G131" s="71"/>
      <c r="H131" s="62"/>
      <c r="I131" s="62"/>
      <c r="J131" s="35"/>
      <c r="K131" s="35"/>
      <c r="L131" s="35"/>
      <c r="M131" s="35"/>
      <c r="N131" s="35"/>
    </row>
    <row r="132" spans="1:14" s="228" customFormat="1" ht="13.95" customHeight="1" x14ac:dyDescent="0.25">
      <c r="A132" s="32" t="s">
        <v>442</v>
      </c>
      <c r="B132" s="13">
        <v>0.2</v>
      </c>
      <c r="C132" s="32" t="s">
        <v>1840</v>
      </c>
      <c r="D132" s="4"/>
      <c r="E132" s="4">
        <v>219458</v>
      </c>
      <c r="F132" s="41" t="s">
        <v>1918</v>
      </c>
      <c r="G132" s="21"/>
    </row>
    <row r="133" spans="1:14" s="228" customFormat="1" ht="13.95" customHeight="1" x14ac:dyDescent="0.25">
      <c r="A133" s="13" t="s">
        <v>55</v>
      </c>
      <c r="B133" s="13">
        <v>0.2</v>
      </c>
      <c r="C133" s="13" t="s">
        <v>1822</v>
      </c>
      <c r="D133" s="4"/>
      <c r="E133" s="4">
        <v>177034.96</v>
      </c>
      <c r="F133" s="4" t="s">
        <v>270</v>
      </c>
      <c r="G133" s="71"/>
      <c r="H133" s="62"/>
      <c r="I133" s="62"/>
      <c r="J133" s="35"/>
      <c r="K133" s="35"/>
      <c r="L133" s="35"/>
      <c r="M133" s="35"/>
      <c r="N133" s="35"/>
    </row>
    <row r="134" spans="1:14" s="228" customFormat="1" ht="13.95" customHeight="1" x14ac:dyDescent="0.25">
      <c r="A134" s="13" t="s">
        <v>55</v>
      </c>
      <c r="B134" s="13">
        <v>0.25</v>
      </c>
      <c r="C134" s="13" t="s">
        <v>1308</v>
      </c>
      <c r="D134" s="37"/>
      <c r="E134" s="37">
        <v>251750</v>
      </c>
      <c r="F134" s="4" t="s">
        <v>270</v>
      </c>
      <c r="G134" s="71"/>
      <c r="H134" s="62"/>
      <c r="I134" s="62"/>
      <c r="J134" s="35"/>
      <c r="K134" s="35"/>
      <c r="L134" s="35"/>
      <c r="M134" s="35"/>
      <c r="N134" s="35"/>
    </row>
    <row r="135" spans="1:14" s="228" customFormat="1" ht="13.95" customHeight="1" x14ac:dyDescent="0.25">
      <c r="A135" s="32" t="s">
        <v>160</v>
      </c>
      <c r="B135" s="13">
        <v>0</v>
      </c>
      <c r="C135" s="32" t="s">
        <v>1563</v>
      </c>
      <c r="D135" s="4"/>
      <c r="E135" s="4">
        <v>0</v>
      </c>
      <c r="F135" s="41" t="s">
        <v>82</v>
      </c>
      <c r="G135" s="21"/>
    </row>
    <row r="136" spans="1:14" s="228" customFormat="1" ht="15.6" customHeight="1" x14ac:dyDescent="0.25">
      <c r="A136" s="68" t="s">
        <v>8</v>
      </c>
      <c r="B136" s="13">
        <v>0.6</v>
      </c>
      <c r="C136" s="32" t="s">
        <v>6062</v>
      </c>
      <c r="D136" s="4"/>
      <c r="E136" s="4">
        <v>600000</v>
      </c>
      <c r="F136" s="84" t="s">
        <v>220</v>
      </c>
      <c r="G136" s="21"/>
    </row>
    <row r="137" spans="1:14" s="228" customFormat="1" ht="15.6" customHeight="1" x14ac:dyDescent="0.25">
      <c r="A137" s="68" t="s">
        <v>160</v>
      </c>
      <c r="B137" s="13">
        <v>2</v>
      </c>
      <c r="C137" s="32" t="s">
        <v>506</v>
      </c>
      <c r="D137" s="4"/>
      <c r="E137" s="4">
        <v>1000000</v>
      </c>
      <c r="F137" s="84" t="s">
        <v>220</v>
      </c>
      <c r="G137" s="21"/>
    </row>
    <row r="138" spans="1:14" s="228" customFormat="1" ht="13.95" customHeight="1" x14ac:dyDescent="0.25">
      <c r="A138" s="61" t="s">
        <v>1363</v>
      </c>
      <c r="B138" s="13">
        <v>1.8</v>
      </c>
      <c r="C138" s="13" t="s">
        <v>632</v>
      </c>
      <c r="D138" s="4">
        <v>2600000</v>
      </c>
      <c r="E138" s="4">
        <v>700000</v>
      </c>
      <c r="F138" s="4" t="s">
        <v>879</v>
      </c>
      <c r="G138" s="21"/>
    </row>
    <row r="139" spans="1:14" s="228" customFormat="1" ht="13.95" customHeight="1" x14ac:dyDescent="0.25">
      <c r="A139" s="32" t="s">
        <v>442</v>
      </c>
      <c r="B139" s="13">
        <v>0</v>
      </c>
      <c r="C139" s="32" t="s">
        <v>1919</v>
      </c>
      <c r="D139" s="4"/>
      <c r="E139" s="4">
        <v>0</v>
      </c>
      <c r="F139" s="41" t="s">
        <v>1921</v>
      </c>
      <c r="G139" s="21"/>
    </row>
    <row r="140" spans="1:14" s="228" customFormat="1" ht="13.95" customHeight="1" x14ac:dyDescent="0.25">
      <c r="A140" s="61" t="s">
        <v>160</v>
      </c>
      <c r="B140" s="13">
        <v>0</v>
      </c>
      <c r="C140" s="32" t="s">
        <v>420</v>
      </c>
      <c r="D140" s="4"/>
      <c r="E140" s="4">
        <v>0</v>
      </c>
      <c r="F140" s="208" t="s">
        <v>7370</v>
      </c>
      <c r="G140" s="21"/>
    </row>
    <row r="141" spans="1:14" s="228" customFormat="1" x14ac:dyDescent="0.25">
      <c r="A141" s="61" t="s">
        <v>160</v>
      </c>
      <c r="B141" s="13">
        <v>1.5</v>
      </c>
      <c r="C141" s="13" t="s">
        <v>451</v>
      </c>
      <c r="D141" s="4"/>
      <c r="E141" s="4">
        <v>1000000</v>
      </c>
      <c r="F141" s="4" t="s">
        <v>270</v>
      </c>
      <c r="G141" s="21"/>
    </row>
    <row r="142" spans="1:14" s="228" customFormat="1" x14ac:dyDescent="0.25">
      <c r="A142" s="61" t="s">
        <v>659</v>
      </c>
      <c r="B142" s="13">
        <v>3.7</v>
      </c>
      <c r="C142" s="13" t="s">
        <v>5888</v>
      </c>
      <c r="D142" s="37">
        <v>3000000</v>
      </c>
      <c r="E142" s="37">
        <v>3000000</v>
      </c>
      <c r="F142" s="4" t="s">
        <v>24</v>
      </c>
      <c r="G142" s="22"/>
      <c r="H142" s="21"/>
    </row>
    <row r="143" spans="1:14" s="228" customFormat="1" ht="13.95" customHeight="1" x14ac:dyDescent="0.25">
      <c r="A143" s="68" t="s">
        <v>455</v>
      </c>
      <c r="B143" s="13">
        <v>7.0000000000000007E-2</v>
      </c>
      <c r="C143" s="32" t="s">
        <v>4428</v>
      </c>
      <c r="D143" s="4"/>
      <c r="E143" s="4">
        <v>67683.78</v>
      </c>
      <c r="F143" s="4" t="s">
        <v>4426</v>
      </c>
      <c r="G143" s="21"/>
    </row>
    <row r="144" spans="1:14" s="228" customFormat="1" ht="13.95" customHeight="1" x14ac:dyDescent="0.25">
      <c r="A144" s="61" t="s">
        <v>213</v>
      </c>
      <c r="B144" s="13">
        <v>0.36</v>
      </c>
      <c r="C144" s="13" t="s">
        <v>880</v>
      </c>
      <c r="D144" s="4"/>
      <c r="E144" s="4">
        <v>360000</v>
      </c>
      <c r="F144" s="4" t="s">
        <v>218</v>
      </c>
      <c r="G144" s="21"/>
    </row>
    <row r="145" spans="1:16" s="228" customFormat="1" x14ac:dyDescent="0.25">
      <c r="A145" s="13" t="s">
        <v>639</v>
      </c>
      <c r="B145" s="13">
        <v>0.2</v>
      </c>
      <c r="C145" s="13" t="s">
        <v>604</v>
      </c>
      <c r="D145" s="37"/>
      <c r="E145" s="37">
        <f>950370-750000</f>
        <v>200370</v>
      </c>
      <c r="F145" s="4" t="s">
        <v>855</v>
      </c>
      <c r="G145" s="62"/>
      <c r="H145" s="62"/>
      <c r="I145" s="35"/>
      <c r="J145" s="35"/>
      <c r="K145" s="35"/>
      <c r="L145" s="35"/>
      <c r="M145" s="35"/>
    </row>
    <row r="146" spans="1:16" s="228" customFormat="1" x14ac:dyDescent="0.25">
      <c r="A146" s="32" t="s">
        <v>1316</v>
      </c>
      <c r="B146" s="13">
        <v>0.1</v>
      </c>
      <c r="C146" s="32" t="s">
        <v>1725</v>
      </c>
      <c r="D146" s="4"/>
      <c r="E146" s="4">
        <v>142046</v>
      </c>
      <c r="F146" s="4" t="s">
        <v>24</v>
      </c>
      <c r="G146" s="21"/>
    </row>
    <row r="147" spans="1:16" s="228" customFormat="1" ht="13.95" customHeight="1" x14ac:dyDescent="0.25">
      <c r="A147" s="61" t="s">
        <v>91</v>
      </c>
      <c r="B147" s="13">
        <v>0.3</v>
      </c>
      <c r="C147" s="13" t="s">
        <v>3301</v>
      </c>
      <c r="D147" s="4"/>
      <c r="E147" s="4">
        <v>300000</v>
      </c>
      <c r="F147" s="4" t="s">
        <v>3303</v>
      </c>
      <c r="G147" s="21"/>
    </row>
    <row r="148" spans="1:16" s="228" customFormat="1" ht="15" customHeight="1" x14ac:dyDescent="0.25">
      <c r="A148" s="32" t="s">
        <v>160</v>
      </c>
      <c r="B148" s="13">
        <v>17.3</v>
      </c>
      <c r="C148" s="32" t="s">
        <v>454</v>
      </c>
      <c r="D148" s="4"/>
      <c r="E148" s="4">
        <v>6000000</v>
      </c>
      <c r="F148" s="4" t="s">
        <v>629</v>
      </c>
      <c r="G148" s="21"/>
    </row>
    <row r="149" spans="1:16" s="228" customFormat="1" ht="13.95" customHeight="1" x14ac:dyDescent="0.25">
      <c r="A149" s="61" t="s">
        <v>442</v>
      </c>
      <c r="B149" s="13">
        <v>0.5</v>
      </c>
      <c r="C149" s="13" t="s">
        <v>893</v>
      </c>
      <c r="D149" s="4"/>
      <c r="E149" s="4">
        <v>474243.7</v>
      </c>
      <c r="F149" s="4" t="s">
        <v>1910</v>
      </c>
      <c r="G149" s="21"/>
    </row>
    <row r="150" spans="1:16" s="228" customFormat="1" ht="13.95" customHeight="1" x14ac:dyDescent="0.25">
      <c r="A150" s="61" t="s">
        <v>442</v>
      </c>
      <c r="B150" s="13">
        <v>6.1</v>
      </c>
      <c r="C150" s="13" t="s">
        <v>3357</v>
      </c>
      <c r="D150" s="4">
        <f>2000000</f>
        <v>2000000</v>
      </c>
      <c r="E150" s="4">
        <v>3000000</v>
      </c>
      <c r="F150" s="4" t="s">
        <v>788</v>
      </c>
      <c r="G150" s="21"/>
    </row>
    <row r="151" spans="1:16" s="228" customFormat="1" x14ac:dyDescent="0.25">
      <c r="A151" s="32" t="s">
        <v>1149</v>
      </c>
      <c r="B151" s="13">
        <v>5.4</v>
      </c>
      <c r="C151" s="32" t="s">
        <v>1179</v>
      </c>
      <c r="D151" s="4"/>
      <c r="E151" s="4">
        <v>3500000</v>
      </c>
      <c r="F151" s="4" t="s">
        <v>24</v>
      </c>
      <c r="G151" s="21"/>
    </row>
    <row r="152" spans="1:16" s="228" customFormat="1" x14ac:dyDescent="0.25">
      <c r="A152" s="32" t="s">
        <v>55</v>
      </c>
      <c r="B152" s="13">
        <v>9</v>
      </c>
      <c r="C152" s="32" t="s">
        <v>1143</v>
      </c>
      <c r="D152" s="4"/>
      <c r="E152" s="4">
        <v>3000000</v>
      </c>
      <c r="F152" s="4" t="s">
        <v>315</v>
      </c>
      <c r="G152" s="21"/>
    </row>
    <row r="153" spans="1:16" s="228" customFormat="1" ht="13.2" customHeight="1" x14ac:dyDescent="0.25">
      <c r="A153" s="32" t="s">
        <v>160</v>
      </c>
      <c r="B153" s="13">
        <v>1</v>
      </c>
      <c r="C153" s="32" t="s">
        <v>352</v>
      </c>
      <c r="D153" s="4"/>
      <c r="E153" s="4">
        <v>1000000</v>
      </c>
      <c r="F153" s="4" t="s">
        <v>218</v>
      </c>
      <c r="G153" s="21"/>
    </row>
    <row r="154" spans="1:16" s="228" customFormat="1" ht="13.95" customHeight="1" x14ac:dyDescent="0.25">
      <c r="A154" s="68" t="s">
        <v>35</v>
      </c>
      <c r="B154" s="13">
        <v>0.4</v>
      </c>
      <c r="C154" s="32" t="s">
        <v>799</v>
      </c>
      <c r="D154" s="4"/>
      <c r="E154" s="4">
        <v>365950</v>
      </c>
      <c r="F154" s="208" t="s">
        <v>220</v>
      </c>
      <c r="G154" s="21"/>
    </row>
    <row r="155" spans="1:16" s="228" customFormat="1" ht="13.95" customHeight="1" x14ac:dyDescent="0.25">
      <c r="A155" s="61" t="s">
        <v>91</v>
      </c>
      <c r="B155" s="13">
        <v>0.05</v>
      </c>
      <c r="C155" s="13" t="s">
        <v>289</v>
      </c>
      <c r="D155" s="4"/>
      <c r="E155" s="4">
        <v>55451.399999999994</v>
      </c>
      <c r="F155" s="4" t="s">
        <v>467</v>
      </c>
      <c r="G155" s="21"/>
    </row>
    <row r="156" spans="1:16" s="228" customFormat="1" x14ac:dyDescent="0.25">
      <c r="A156" s="13" t="s">
        <v>637</v>
      </c>
      <c r="B156" s="13">
        <v>0.3</v>
      </c>
      <c r="C156" s="13" t="s">
        <v>1789</v>
      </c>
      <c r="D156" s="4"/>
      <c r="E156" s="4">
        <v>325707.06999999983</v>
      </c>
      <c r="F156" s="4" t="s">
        <v>1790</v>
      </c>
      <c r="G156" s="62"/>
      <c r="H156" s="62"/>
      <c r="I156" s="35"/>
      <c r="J156" s="35"/>
      <c r="K156" s="35"/>
      <c r="L156" s="35"/>
      <c r="M156" s="35"/>
    </row>
    <row r="157" spans="1:16" s="228" customFormat="1" ht="13.95" customHeight="1" x14ac:dyDescent="0.25">
      <c r="A157" s="68" t="s">
        <v>455</v>
      </c>
      <c r="B157" s="13">
        <v>0.4</v>
      </c>
      <c r="C157" s="32" t="s">
        <v>7301</v>
      </c>
      <c r="D157" s="4"/>
      <c r="E157" s="4">
        <v>395000</v>
      </c>
      <c r="F157" s="4" t="s">
        <v>4426</v>
      </c>
      <c r="G157" s="21"/>
    </row>
    <row r="158" spans="1:16" s="228" customFormat="1" ht="6" customHeight="1" x14ac:dyDescent="0.25">
      <c r="A158" s="13">
        <v>0</v>
      </c>
      <c r="B158" s="13"/>
      <c r="C158" s="13"/>
      <c r="D158" s="4"/>
      <c r="E158" s="4"/>
      <c r="F158" s="4"/>
      <c r="H158" s="74"/>
      <c r="I158" s="62"/>
      <c r="J158" s="62"/>
      <c r="K158" s="62"/>
      <c r="L158" s="35"/>
      <c r="M158" s="35"/>
      <c r="N158" s="35"/>
      <c r="O158" s="35"/>
      <c r="P158" s="35"/>
    </row>
    <row r="159" spans="1:16" s="8" customFormat="1" ht="18.75" customHeight="1" x14ac:dyDescent="0.25">
      <c r="A159" s="11" t="s">
        <v>703</v>
      </c>
      <c r="B159" s="213">
        <f>SUM(B160:B165)</f>
        <v>11.9</v>
      </c>
      <c r="C159" s="9"/>
      <c r="D159" s="44">
        <f>SUM(D160:D165)</f>
        <v>2004614</v>
      </c>
      <c r="E159" s="44">
        <f>SUM(E160:E165)</f>
        <v>4431470</v>
      </c>
      <c r="F159" s="10"/>
      <c r="G159" s="23"/>
    </row>
    <row r="160" spans="1:16" s="228" customFormat="1" ht="7.35" customHeight="1" x14ac:dyDescent="0.25">
      <c r="A160" s="13">
        <v>0</v>
      </c>
      <c r="B160" s="13"/>
      <c r="C160" s="13"/>
      <c r="D160" s="4"/>
      <c r="E160" s="4"/>
      <c r="F160" s="4"/>
      <c r="H160" s="8"/>
    </row>
    <row r="161" spans="1:16" s="228" customFormat="1" x14ac:dyDescent="0.25">
      <c r="A161" s="13" t="s">
        <v>160</v>
      </c>
      <c r="B161" s="13">
        <v>1</v>
      </c>
      <c r="C161" s="13" t="s">
        <v>1182</v>
      </c>
      <c r="D161" s="37"/>
      <c r="E161" s="37">
        <v>500000</v>
      </c>
      <c r="F161" s="4" t="s">
        <v>8156</v>
      </c>
      <c r="G161" s="133"/>
      <c r="H161" s="21"/>
    </row>
    <row r="162" spans="1:16" s="228" customFormat="1" x14ac:dyDescent="0.25">
      <c r="A162" s="13" t="s">
        <v>160</v>
      </c>
      <c r="B162" s="13">
        <v>10</v>
      </c>
      <c r="C162" s="13" t="s">
        <v>1863</v>
      </c>
      <c r="D162" s="208">
        <f>1100000</f>
        <v>1100000</v>
      </c>
      <c r="E162" s="208">
        <v>3000000</v>
      </c>
      <c r="F162" s="4" t="s">
        <v>159</v>
      </c>
      <c r="G162" s="71"/>
    </row>
    <row r="163" spans="1:16" s="228" customFormat="1" x14ac:dyDescent="0.25">
      <c r="A163" s="13" t="s">
        <v>160</v>
      </c>
      <c r="B163" s="13">
        <v>0.9</v>
      </c>
      <c r="C163" s="13" t="s">
        <v>3040</v>
      </c>
      <c r="D163" s="208">
        <v>82908</v>
      </c>
      <c r="E163" s="208">
        <v>931470</v>
      </c>
      <c r="F163" s="4" t="s">
        <v>1244</v>
      </c>
      <c r="G163" s="71"/>
    </row>
    <row r="164" spans="1:16" s="97" customFormat="1" x14ac:dyDescent="0.25">
      <c r="A164" s="32" t="s">
        <v>160</v>
      </c>
      <c r="B164" s="13">
        <v>0</v>
      </c>
      <c r="C164" s="13" t="s">
        <v>1103</v>
      </c>
      <c r="D164" s="4">
        <f>400000+421706</f>
        <v>821706</v>
      </c>
      <c r="E164" s="4">
        <v>0</v>
      </c>
      <c r="F164" s="41" t="s">
        <v>1110</v>
      </c>
      <c r="G164" s="22"/>
      <c r="H164" s="22"/>
    </row>
    <row r="165" spans="1:16" s="228" customFormat="1" ht="6" customHeight="1" x14ac:dyDescent="0.25">
      <c r="A165" s="32">
        <v>0</v>
      </c>
      <c r="B165" s="13"/>
      <c r="C165" s="32"/>
      <c r="D165" s="4"/>
      <c r="E165" s="4"/>
      <c r="F165" s="32"/>
      <c r="H165" s="8"/>
      <c r="I165" s="62"/>
      <c r="J165" s="62"/>
      <c r="K165" s="62"/>
      <c r="L165" s="35"/>
      <c r="M165" s="35"/>
      <c r="N165" s="35"/>
      <c r="O165" s="35"/>
      <c r="P165" s="35"/>
    </row>
    <row r="166" spans="1:16" s="8" customFormat="1" ht="18.75" customHeight="1" x14ac:dyDescent="0.25">
      <c r="A166" s="11" t="s">
        <v>137</v>
      </c>
      <c r="B166" s="213">
        <f>SUM(B167:B186)</f>
        <v>121.39999999999999</v>
      </c>
      <c r="C166" s="9"/>
      <c r="D166" s="44">
        <f>SUM(D167:D186)</f>
        <v>21997289.140000001</v>
      </c>
      <c r="E166" s="44">
        <f>SUM(E167:E186)</f>
        <v>63931000</v>
      </c>
      <c r="F166" s="10"/>
      <c r="G166" s="23"/>
      <c r="I166" s="23"/>
      <c r="J166" s="23"/>
      <c r="K166" s="23"/>
      <c r="L166" s="23"/>
      <c r="M166" s="23"/>
      <c r="N166" s="23"/>
      <c r="O166" s="23"/>
      <c r="P166" s="23"/>
    </row>
    <row r="167" spans="1:16" s="228" customFormat="1" ht="7.35" customHeight="1" x14ac:dyDescent="0.25">
      <c r="A167" s="13">
        <v>0</v>
      </c>
      <c r="B167" s="13"/>
      <c r="C167" s="13"/>
      <c r="D167" s="4"/>
      <c r="E167" s="4"/>
      <c r="F167" s="4"/>
      <c r="H167" s="8"/>
      <c r="I167" s="62"/>
      <c r="J167" s="62"/>
      <c r="K167" s="62"/>
      <c r="L167" s="35"/>
      <c r="M167" s="35"/>
      <c r="N167" s="35"/>
      <c r="O167" s="35"/>
      <c r="P167" s="35"/>
    </row>
    <row r="168" spans="1:16" s="97" customFormat="1" x14ac:dyDescent="0.25">
      <c r="A168" s="13" t="s">
        <v>160</v>
      </c>
      <c r="B168" s="40">
        <v>10</v>
      </c>
      <c r="C168" s="13" t="s">
        <v>783</v>
      </c>
      <c r="D168" s="37">
        <f>823000+1154580</f>
        <v>1977580</v>
      </c>
      <c r="E168" s="37">
        <v>4000000</v>
      </c>
      <c r="F168" s="17" t="s">
        <v>264</v>
      </c>
      <c r="G168" s="22"/>
      <c r="H168" s="22"/>
    </row>
    <row r="169" spans="1:16" s="97" customFormat="1" x14ac:dyDescent="0.25">
      <c r="A169" s="13" t="s">
        <v>160</v>
      </c>
      <c r="B169" s="13">
        <v>0.4</v>
      </c>
      <c r="C169" s="13" t="s">
        <v>487</v>
      </c>
      <c r="D169" s="4">
        <f>363593.6</f>
        <v>363593.6</v>
      </c>
      <c r="E169" s="4">
        <v>364000</v>
      </c>
      <c r="F169" s="17" t="s">
        <v>264</v>
      </c>
      <c r="G169" s="133"/>
      <c r="H169" s="22"/>
      <c r="I169" s="134"/>
    </row>
    <row r="170" spans="1:16" s="97" customFormat="1" x14ac:dyDescent="0.25">
      <c r="A170" s="13" t="s">
        <v>160</v>
      </c>
      <c r="B170" s="13">
        <v>15.4</v>
      </c>
      <c r="C170" s="13" t="s">
        <v>257</v>
      </c>
      <c r="D170" s="4">
        <v>907954.5</v>
      </c>
      <c r="E170" s="4">
        <v>11067000</v>
      </c>
      <c r="F170" s="17" t="s">
        <v>264</v>
      </c>
      <c r="G170" s="133"/>
      <c r="H170" s="22"/>
      <c r="I170" s="134"/>
    </row>
    <row r="171" spans="1:16" s="97" customFormat="1" x14ac:dyDescent="0.25">
      <c r="A171" s="13" t="s">
        <v>160</v>
      </c>
      <c r="B171" s="13">
        <v>3.4</v>
      </c>
      <c r="C171" s="13" t="s">
        <v>1377</v>
      </c>
      <c r="D171" s="4"/>
      <c r="E171" s="4">
        <v>1660000</v>
      </c>
      <c r="F171" s="17" t="s">
        <v>264</v>
      </c>
      <c r="G171" s="133"/>
      <c r="H171" s="22"/>
      <c r="I171" s="134"/>
    </row>
    <row r="172" spans="1:16" s="50" customFormat="1" x14ac:dyDescent="0.25">
      <c r="A172" s="13" t="s">
        <v>160</v>
      </c>
      <c r="B172" s="13">
        <v>15.5</v>
      </c>
      <c r="C172" s="218" t="s">
        <v>539</v>
      </c>
      <c r="D172" s="37">
        <f>948600</f>
        <v>948600</v>
      </c>
      <c r="E172" s="37">
        <v>1920000</v>
      </c>
      <c r="F172" s="32" t="s">
        <v>264</v>
      </c>
      <c r="G172" s="21"/>
    </row>
    <row r="173" spans="1:16" s="97" customFormat="1" x14ac:dyDescent="0.25">
      <c r="A173" s="13" t="s">
        <v>160</v>
      </c>
      <c r="B173" s="13">
        <v>2.6</v>
      </c>
      <c r="C173" s="13" t="s">
        <v>2007</v>
      </c>
      <c r="D173" s="4"/>
      <c r="E173" s="4">
        <v>860000</v>
      </c>
      <c r="F173" s="17" t="s">
        <v>264</v>
      </c>
      <c r="G173" s="133"/>
      <c r="H173" s="22"/>
      <c r="I173" s="134"/>
    </row>
    <row r="174" spans="1:16" s="93" customFormat="1" x14ac:dyDescent="0.25">
      <c r="A174" s="13" t="s">
        <v>160</v>
      </c>
      <c r="B174" s="13">
        <v>5.7</v>
      </c>
      <c r="C174" s="13" t="s">
        <v>276</v>
      </c>
      <c r="D174" s="37">
        <f>2034040</f>
        <v>2034040</v>
      </c>
      <c r="E174" s="37">
        <v>5700000</v>
      </c>
      <c r="F174" s="17" t="s">
        <v>264</v>
      </c>
      <c r="G174" s="130"/>
      <c r="H174" s="16"/>
      <c r="I174" s="92"/>
    </row>
    <row r="175" spans="1:16" s="97" customFormat="1" x14ac:dyDescent="0.25">
      <c r="A175" s="13" t="s">
        <v>160</v>
      </c>
      <c r="B175" s="13">
        <v>4.4000000000000004</v>
      </c>
      <c r="C175" s="13" t="s">
        <v>254</v>
      </c>
      <c r="D175" s="37">
        <f>935466.08+849787.58</f>
        <v>1785253.66</v>
      </c>
      <c r="E175" s="37">
        <v>1800000</v>
      </c>
      <c r="F175" s="17" t="s">
        <v>264</v>
      </c>
      <c r="G175" s="133"/>
      <c r="H175" s="22"/>
      <c r="I175" s="134"/>
    </row>
    <row r="176" spans="1:16" s="97" customFormat="1" x14ac:dyDescent="0.25">
      <c r="A176" s="13" t="s">
        <v>160</v>
      </c>
      <c r="B176" s="13">
        <v>4.9000000000000004</v>
      </c>
      <c r="C176" s="13" t="s">
        <v>6951</v>
      </c>
      <c r="D176" s="37">
        <f>841712.5</f>
        <v>841712.5</v>
      </c>
      <c r="E176" s="37">
        <v>840000</v>
      </c>
      <c r="F176" s="17" t="s">
        <v>264</v>
      </c>
      <c r="G176" s="133"/>
      <c r="H176" s="22"/>
      <c r="I176" s="134"/>
    </row>
    <row r="177" spans="1:16" s="97" customFormat="1" x14ac:dyDescent="0.25">
      <c r="A177" s="13" t="s">
        <v>160</v>
      </c>
      <c r="B177" s="13">
        <v>17.7</v>
      </c>
      <c r="C177" s="13" t="s">
        <v>589</v>
      </c>
      <c r="D177" s="37">
        <f>2056733.5+839150</f>
        <v>2895883.5</v>
      </c>
      <c r="E177" s="37">
        <v>11900000</v>
      </c>
      <c r="F177" s="17" t="s">
        <v>264</v>
      </c>
      <c r="G177" s="133"/>
      <c r="H177" s="22"/>
      <c r="I177" s="134"/>
    </row>
    <row r="178" spans="1:16" s="97" customFormat="1" x14ac:dyDescent="0.25">
      <c r="A178" s="13" t="s">
        <v>160</v>
      </c>
      <c r="B178" s="13">
        <v>2</v>
      </c>
      <c r="C178" s="13" t="s">
        <v>8620</v>
      </c>
      <c r="D178" s="37">
        <v>1999361</v>
      </c>
      <c r="E178" s="37">
        <v>2000000</v>
      </c>
      <c r="F178" s="17" t="s">
        <v>264</v>
      </c>
      <c r="G178" s="133"/>
      <c r="H178" s="22"/>
      <c r="I178" s="134"/>
    </row>
    <row r="179" spans="1:16" s="97" customFormat="1" x14ac:dyDescent="0.25">
      <c r="A179" s="13" t="s">
        <v>160</v>
      </c>
      <c r="B179" s="13">
        <v>2.7</v>
      </c>
      <c r="C179" s="13" t="s">
        <v>8111</v>
      </c>
      <c r="D179" s="4">
        <f>950000</f>
        <v>950000</v>
      </c>
      <c r="E179" s="4">
        <v>950000</v>
      </c>
      <c r="F179" s="17" t="s">
        <v>264</v>
      </c>
      <c r="G179" s="133"/>
      <c r="H179" s="22"/>
      <c r="I179" s="134"/>
    </row>
    <row r="180" spans="1:16" s="97" customFormat="1" x14ac:dyDescent="0.25">
      <c r="A180" s="13" t="s">
        <v>160</v>
      </c>
      <c r="B180" s="13">
        <v>2.6</v>
      </c>
      <c r="C180" s="13" t="s">
        <v>6805</v>
      </c>
      <c r="D180" s="37"/>
      <c r="E180" s="37">
        <v>843000</v>
      </c>
      <c r="F180" s="17" t="s">
        <v>264</v>
      </c>
      <c r="G180" s="133"/>
      <c r="H180" s="22"/>
      <c r="I180" s="134"/>
    </row>
    <row r="181" spans="1:16" s="97" customFormat="1" ht="27.6" x14ac:dyDescent="0.25">
      <c r="A181" s="13" t="s">
        <v>160</v>
      </c>
      <c r="B181" s="13">
        <v>1.7</v>
      </c>
      <c r="C181" s="13" t="s">
        <v>7763</v>
      </c>
      <c r="D181" s="4">
        <f>436500</f>
        <v>436500</v>
      </c>
      <c r="E181" s="4">
        <v>837000</v>
      </c>
      <c r="F181" s="17" t="s">
        <v>264</v>
      </c>
      <c r="G181" s="133"/>
      <c r="H181" s="22"/>
      <c r="I181" s="134"/>
    </row>
    <row r="182" spans="1:16" s="97" customFormat="1" x14ac:dyDescent="0.25">
      <c r="A182" s="13" t="s">
        <v>160</v>
      </c>
      <c r="B182" s="13">
        <v>2.6</v>
      </c>
      <c r="C182" s="13" t="s">
        <v>1827</v>
      </c>
      <c r="D182" s="37">
        <f>864000</f>
        <v>864000</v>
      </c>
      <c r="E182" s="37">
        <v>1730000</v>
      </c>
      <c r="F182" s="17" t="s">
        <v>264</v>
      </c>
      <c r="G182" s="133"/>
      <c r="H182" s="22"/>
      <c r="I182" s="134"/>
    </row>
    <row r="183" spans="1:16" s="97" customFormat="1" x14ac:dyDescent="0.25">
      <c r="A183" s="17" t="s">
        <v>160</v>
      </c>
      <c r="B183" s="13">
        <v>9</v>
      </c>
      <c r="C183" s="17" t="s">
        <v>243</v>
      </c>
      <c r="D183" s="37">
        <f>1440317.5+1247409.64</f>
        <v>2687727.1399999997</v>
      </c>
      <c r="E183" s="37">
        <v>3540000</v>
      </c>
      <c r="F183" s="17" t="s">
        <v>264</v>
      </c>
      <c r="G183" s="22"/>
      <c r="H183" s="22"/>
    </row>
    <row r="184" spans="1:16" s="97" customFormat="1" x14ac:dyDescent="0.25">
      <c r="A184" s="13" t="s">
        <v>160</v>
      </c>
      <c r="B184" s="13">
        <v>7</v>
      </c>
      <c r="C184" s="17" t="s">
        <v>249</v>
      </c>
      <c r="D184" s="37">
        <f>3305083.24</f>
        <v>3305083.24</v>
      </c>
      <c r="E184" s="37">
        <v>5300000</v>
      </c>
      <c r="F184" s="17" t="s">
        <v>264</v>
      </c>
      <c r="G184" s="22"/>
      <c r="H184" s="22"/>
    </row>
    <row r="185" spans="1:16" s="97" customFormat="1" x14ac:dyDescent="0.25">
      <c r="A185" s="13" t="s">
        <v>160</v>
      </c>
      <c r="B185" s="13">
        <v>13.8</v>
      </c>
      <c r="C185" s="13" t="s">
        <v>353</v>
      </c>
      <c r="D185" s="37"/>
      <c r="E185" s="37">
        <v>8620000</v>
      </c>
      <c r="F185" s="4" t="s">
        <v>264</v>
      </c>
      <c r="G185" s="133"/>
      <c r="H185" s="22"/>
      <c r="I185" s="134"/>
    </row>
    <row r="186" spans="1:16" s="228" customFormat="1" ht="8.1" customHeight="1" x14ac:dyDescent="0.25">
      <c r="A186" s="32">
        <v>0</v>
      </c>
      <c r="B186" s="13"/>
      <c r="C186" s="32"/>
      <c r="D186" s="4"/>
      <c r="E186" s="4"/>
      <c r="F186" s="32"/>
      <c r="H186" s="8"/>
      <c r="I186" s="62"/>
      <c r="J186" s="62"/>
      <c r="K186" s="62"/>
      <c r="L186" s="35"/>
      <c r="M186" s="35"/>
      <c r="N186" s="35"/>
      <c r="O186" s="35"/>
      <c r="P186" s="35"/>
    </row>
    <row r="187" spans="1:16" s="8" customFormat="1" ht="18.75" customHeight="1" x14ac:dyDescent="0.25">
      <c r="A187" s="11" t="s">
        <v>180</v>
      </c>
      <c r="B187" s="213">
        <f>SUM(B188:B194)</f>
        <v>24.6</v>
      </c>
      <c r="C187" s="9"/>
      <c r="D187" s="44">
        <f>SUM(D188:D194)</f>
        <v>8238773.6500000004</v>
      </c>
      <c r="E187" s="44">
        <f>SUM(E188:E194)</f>
        <v>18983771</v>
      </c>
      <c r="F187" s="10"/>
      <c r="G187" s="23"/>
      <c r="I187" s="23"/>
      <c r="J187" s="23"/>
      <c r="K187" s="23"/>
      <c r="L187" s="23"/>
      <c r="M187" s="23"/>
      <c r="N187" s="23"/>
      <c r="O187" s="23"/>
      <c r="P187" s="23"/>
    </row>
    <row r="188" spans="1:16" s="228" customFormat="1" ht="6" customHeight="1" x14ac:dyDescent="0.25">
      <c r="A188" s="13">
        <v>0</v>
      </c>
      <c r="B188" s="13"/>
      <c r="C188" s="13"/>
      <c r="D188" s="4"/>
      <c r="E188" s="4"/>
      <c r="F188" s="4"/>
      <c r="H188" s="8"/>
      <c r="I188" s="62"/>
      <c r="J188" s="62"/>
      <c r="K188" s="62"/>
      <c r="L188" s="35"/>
      <c r="M188" s="35"/>
      <c r="N188" s="35"/>
      <c r="O188" s="35"/>
      <c r="P188" s="35"/>
    </row>
    <row r="189" spans="1:16" s="82" customFormat="1" ht="15" customHeight="1" x14ac:dyDescent="0.25">
      <c r="A189" s="13" t="s">
        <v>160</v>
      </c>
      <c r="B189" s="13">
        <v>24.1</v>
      </c>
      <c r="C189" s="13" t="s">
        <v>415</v>
      </c>
      <c r="D189" s="4">
        <f>2499323.34+1002195.31</f>
        <v>3501518.65</v>
      </c>
      <c r="E189" s="4">
        <v>9400000</v>
      </c>
      <c r="F189" s="29" t="s">
        <v>9285</v>
      </c>
      <c r="G189" s="22"/>
      <c r="H189" s="63"/>
      <c r="I189" s="228"/>
      <c r="J189" s="228"/>
      <c r="K189" s="228"/>
    </row>
    <row r="190" spans="1:16" s="82" customFormat="1" ht="15" customHeight="1" x14ac:dyDescent="0.25">
      <c r="A190" s="13" t="s">
        <v>160</v>
      </c>
      <c r="B190" s="13">
        <v>0.5</v>
      </c>
      <c r="C190" s="13" t="s">
        <v>635</v>
      </c>
      <c r="D190" s="4">
        <f>29750+18360+18840+92280</f>
        <v>159230</v>
      </c>
      <c r="E190" s="4">
        <v>500000</v>
      </c>
      <c r="F190" s="29"/>
      <c r="G190" s="22"/>
      <c r="H190" s="63"/>
      <c r="I190" s="228"/>
      <c r="J190" s="228"/>
      <c r="K190" s="228"/>
    </row>
    <row r="191" spans="1:16" s="228" customFormat="1" ht="27.6" x14ac:dyDescent="0.25">
      <c r="A191" s="32" t="s">
        <v>1147</v>
      </c>
      <c r="B191" s="67"/>
      <c r="C191" s="32" t="s">
        <v>3551</v>
      </c>
      <c r="D191" s="4">
        <f>4578025</f>
        <v>4578025</v>
      </c>
      <c r="E191" s="4">
        <f>4578025</f>
        <v>4578025</v>
      </c>
      <c r="F191" s="4" t="s">
        <v>9235</v>
      </c>
      <c r="G191" s="21"/>
    </row>
    <row r="192" spans="1:16" s="228" customFormat="1" ht="27.6" x14ac:dyDescent="0.25">
      <c r="A192" s="32" t="s">
        <v>8192</v>
      </c>
      <c r="B192" s="67"/>
      <c r="C192" s="32" t="s">
        <v>3551</v>
      </c>
      <c r="D192" s="4"/>
      <c r="E192" s="4">
        <f>2097130</f>
        <v>2097130</v>
      </c>
      <c r="F192" s="4" t="s">
        <v>8194</v>
      </c>
      <c r="G192" s="21"/>
    </row>
    <row r="193" spans="1:16" s="228" customFormat="1" x14ac:dyDescent="0.25">
      <c r="A193" s="32" t="s">
        <v>455</v>
      </c>
      <c r="B193" s="67"/>
      <c r="C193" s="32" t="s">
        <v>4653</v>
      </c>
      <c r="D193" s="4"/>
      <c r="E193" s="4">
        <f>4014360-1605744</f>
        <v>2408616</v>
      </c>
      <c r="F193" s="4" t="s">
        <v>7223</v>
      </c>
      <c r="G193" s="21"/>
    </row>
    <row r="194" spans="1:16" s="228" customFormat="1" ht="5.4" customHeight="1" x14ac:dyDescent="0.25">
      <c r="A194" s="32">
        <v>0</v>
      </c>
      <c r="B194" s="67"/>
      <c r="C194" s="32"/>
      <c r="D194" s="4"/>
      <c r="E194" s="4"/>
      <c r="F194" s="32"/>
      <c r="H194" s="8"/>
      <c r="I194" s="62"/>
      <c r="J194" s="62"/>
      <c r="K194" s="62"/>
      <c r="L194" s="35"/>
      <c r="M194" s="35"/>
      <c r="N194" s="35"/>
      <c r="O194" s="35"/>
      <c r="P194" s="35"/>
    </row>
    <row r="195" spans="1:16" s="8" customFormat="1" ht="18.75" customHeight="1" x14ac:dyDescent="0.25">
      <c r="A195" s="11" t="s">
        <v>274</v>
      </c>
      <c r="B195" s="213">
        <f>SUM(B196:B202)</f>
        <v>32.700000000000003</v>
      </c>
      <c r="C195" s="9"/>
      <c r="D195" s="44">
        <f>SUM(D196:D202)</f>
        <v>5846647.2000000002</v>
      </c>
      <c r="E195" s="44">
        <f>SUM(E196:E202)</f>
        <v>13683000</v>
      </c>
      <c r="F195" s="10"/>
      <c r="G195" s="23"/>
      <c r="I195" s="23"/>
      <c r="J195" s="23"/>
      <c r="K195" s="23"/>
      <c r="L195" s="23"/>
      <c r="M195" s="23"/>
      <c r="N195" s="23"/>
      <c r="O195" s="23"/>
      <c r="P195" s="23"/>
    </row>
    <row r="196" spans="1:16" s="107" customFormat="1" ht="6" customHeight="1" x14ac:dyDescent="0.25">
      <c r="A196" s="32">
        <v>0</v>
      </c>
      <c r="B196" s="106"/>
      <c r="C196" s="106"/>
      <c r="D196" s="106"/>
      <c r="E196" s="106"/>
      <c r="F196" s="106"/>
      <c r="H196" s="8"/>
      <c r="I196" s="108"/>
      <c r="J196" s="108"/>
      <c r="K196" s="108"/>
    </row>
    <row r="197" spans="1:16" s="228" customFormat="1" x14ac:dyDescent="0.25">
      <c r="A197" s="13" t="s">
        <v>2320</v>
      </c>
      <c r="B197" s="13">
        <v>1.7</v>
      </c>
      <c r="C197" s="13" t="s">
        <v>1935</v>
      </c>
      <c r="D197" s="37"/>
      <c r="E197" s="37">
        <v>1683000</v>
      </c>
      <c r="F197" s="4" t="s">
        <v>2318</v>
      </c>
      <c r="G197" s="169"/>
      <c r="H197" s="21"/>
    </row>
    <row r="198" spans="1:16" s="228" customFormat="1" x14ac:dyDescent="0.25">
      <c r="A198" s="61" t="s">
        <v>659</v>
      </c>
      <c r="B198" s="13"/>
      <c r="C198" s="13" t="s">
        <v>8787</v>
      </c>
      <c r="D198" s="37"/>
      <c r="E198" s="37"/>
      <c r="F198" s="4" t="s">
        <v>8789</v>
      </c>
      <c r="G198" s="22"/>
      <c r="H198" s="21"/>
    </row>
    <row r="199" spans="1:16" s="82" customFormat="1" x14ac:dyDescent="0.25">
      <c r="A199" s="13" t="s">
        <v>160</v>
      </c>
      <c r="B199" s="13">
        <v>1.5</v>
      </c>
      <c r="C199" s="13" t="s">
        <v>624</v>
      </c>
      <c r="D199" s="4">
        <f>1100215.2</f>
        <v>1100215.2</v>
      </c>
      <c r="E199" s="4">
        <v>1000000</v>
      </c>
      <c r="F199" s="13" t="s">
        <v>1282</v>
      </c>
      <c r="G199" s="22"/>
      <c r="H199" s="63"/>
      <c r="I199" s="228"/>
      <c r="J199" s="228"/>
      <c r="K199" s="228"/>
    </row>
    <row r="200" spans="1:16" s="82" customFormat="1" ht="14.25" customHeight="1" x14ac:dyDescent="0.25">
      <c r="A200" s="13" t="s">
        <v>160</v>
      </c>
      <c r="B200" s="13">
        <v>3.9</v>
      </c>
      <c r="C200" s="13" t="s">
        <v>182</v>
      </c>
      <c r="D200" s="4">
        <f>779890</f>
        <v>779890</v>
      </c>
      <c r="E200" s="4">
        <v>1000000</v>
      </c>
      <c r="F200" s="29"/>
      <c r="G200" s="22"/>
      <c r="H200" s="63"/>
      <c r="I200" s="228"/>
      <c r="J200" s="228"/>
      <c r="K200" s="228"/>
    </row>
    <row r="201" spans="1:16" s="82" customFormat="1" ht="14.25" customHeight="1" x14ac:dyDescent="0.25">
      <c r="A201" s="13" t="s">
        <v>160</v>
      </c>
      <c r="B201" s="13">
        <v>25.6</v>
      </c>
      <c r="C201" s="13" t="s">
        <v>127</v>
      </c>
      <c r="D201" s="4">
        <f>2224767+153500+1588275</f>
        <v>3966542</v>
      </c>
      <c r="E201" s="4">
        <v>10000000</v>
      </c>
      <c r="F201" s="29" t="s">
        <v>9286</v>
      </c>
      <c r="G201" s="22"/>
      <c r="H201" s="63"/>
      <c r="I201" s="228"/>
      <c r="J201" s="228"/>
      <c r="K201" s="228"/>
    </row>
    <row r="202" spans="1:16" s="228" customFormat="1" ht="8.1" customHeight="1" x14ac:dyDescent="0.25">
      <c r="A202" s="32">
        <v>0</v>
      </c>
      <c r="B202" s="13"/>
      <c r="C202" s="32"/>
      <c r="D202" s="4"/>
      <c r="E202" s="4"/>
      <c r="F202" s="32"/>
      <c r="H202" s="62"/>
      <c r="I202" s="62"/>
      <c r="J202" s="62"/>
      <c r="K202" s="62"/>
      <c r="L202" s="35"/>
      <c r="M202" s="35"/>
      <c r="N202" s="35"/>
      <c r="O202" s="35"/>
      <c r="P202" s="35"/>
    </row>
    <row r="203" spans="1:16" s="8" customFormat="1" ht="18.75" customHeight="1" x14ac:dyDescent="0.25">
      <c r="A203" s="11" t="s">
        <v>702</v>
      </c>
      <c r="B203" s="213">
        <f>SUM(B204:B211)</f>
        <v>63</v>
      </c>
      <c r="C203" s="24"/>
      <c r="D203" s="44">
        <f>SUM(D204:D211)</f>
        <v>19075953.930000003</v>
      </c>
      <c r="E203" s="44">
        <f>SUM(E204:E211)</f>
        <v>34860000</v>
      </c>
      <c r="F203" s="10"/>
      <c r="G203" s="23"/>
      <c r="H203" s="23"/>
      <c r="I203" s="23"/>
      <c r="J203" s="23"/>
      <c r="K203" s="23"/>
      <c r="L203" s="23"/>
      <c r="M203" s="23"/>
      <c r="N203" s="23"/>
      <c r="O203" s="23"/>
      <c r="P203" s="23"/>
    </row>
    <row r="204" spans="1:16" s="228" customFormat="1" ht="8.25" customHeight="1" x14ac:dyDescent="0.25">
      <c r="A204" s="32">
        <v>0</v>
      </c>
      <c r="B204" s="67"/>
      <c r="C204" s="32"/>
      <c r="D204" s="4"/>
      <c r="E204" s="4"/>
      <c r="F204" s="32"/>
      <c r="H204" s="62"/>
      <c r="I204" s="62"/>
      <c r="J204" s="62"/>
      <c r="K204" s="62"/>
      <c r="L204" s="35"/>
      <c r="M204" s="35"/>
      <c r="N204" s="35"/>
      <c r="O204" s="35"/>
      <c r="P204" s="35"/>
    </row>
    <row r="205" spans="1:16" s="228" customFormat="1" x14ac:dyDescent="0.25">
      <c r="A205" s="32" t="s">
        <v>460</v>
      </c>
      <c r="B205" s="67">
        <v>12.4</v>
      </c>
      <c r="C205" s="32" t="s">
        <v>1571</v>
      </c>
      <c r="D205" s="4">
        <f>2073334+992005+271613+424708</f>
        <v>3761660</v>
      </c>
      <c r="E205" s="4">
        <v>4100000</v>
      </c>
      <c r="F205" s="4"/>
      <c r="H205" s="62"/>
      <c r="I205" s="62"/>
      <c r="J205" s="62"/>
      <c r="K205" s="62"/>
      <c r="L205" s="35"/>
      <c r="M205" s="35"/>
      <c r="N205" s="35"/>
      <c r="O205" s="35"/>
      <c r="P205" s="35"/>
    </row>
    <row r="206" spans="1:16" s="228" customFormat="1" x14ac:dyDescent="0.25">
      <c r="A206" s="32" t="s">
        <v>1102</v>
      </c>
      <c r="B206" s="67">
        <v>5.2</v>
      </c>
      <c r="C206" s="32" t="s">
        <v>184</v>
      </c>
      <c r="D206" s="4">
        <f>590838+682390+2640545.37+1004211</f>
        <v>4917984.37</v>
      </c>
      <c r="E206" s="4">
        <v>5200000</v>
      </c>
      <c r="F206" s="4" t="s">
        <v>533</v>
      </c>
      <c r="H206" s="62"/>
      <c r="I206" s="62"/>
      <c r="J206" s="62"/>
      <c r="K206" s="62"/>
      <c r="L206" s="35"/>
      <c r="M206" s="35"/>
      <c r="N206" s="35"/>
      <c r="O206" s="35"/>
      <c r="P206" s="35"/>
    </row>
    <row r="207" spans="1:16" s="228" customFormat="1" x14ac:dyDescent="0.25">
      <c r="A207" s="32" t="s">
        <v>242</v>
      </c>
      <c r="B207" s="67">
        <v>15</v>
      </c>
      <c r="C207" s="32" t="s">
        <v>242</v>
      </c>
      <c r="D207" s="4">
        <f>2166820.74+2067930.73+1766075.82</f>
        <v>6000827.290000001</v>
      </c>
      <c r="E207" s="4">
        <v>10000000</v>
      </c>
      <c r="F207" s="4" t="s">
        <v>143</v>
      </c>
      <c r="H207" s="21"/>
    </row>
    <row r="208" spans="1:16" s="115" customFormat="1" ht="15.6" x14ac:dyDescent="0.25">
      <c r="A208" s="32" t="s">
        <v>151</v>
      </c>
      <c r="B208" s="13">
        <v>7.8</v>
      </c>
      <c r="C208" s="32" t="s">
        <v>1141</v>
      </c>
      <c r="D208" s="4">
        <v>368185.81</v>
      </c>
      <c r="E208" s="4">
        <v>5000000</v>
      </c>
      <c r="F208" s="4" t="s">
        <v>1142</v>
      </c>
      <c r="H208" s="116"/>
      <c r="I208" s="116"/>
      <c r="J208" s="116"/>
      <c r="K208" s="116"/>
      <c r="L208" s="117"/>
      <c r="M208" s="117"/>
      <c r="N208" s="117"/>
      <c r="O208" s="117"/>
      <c r="P208" s="117"/>
    </row>
    <row r="209" spans="1:16" s="115" customFormat="1" ht="15.6" x14ac:dyDescent="0.25">
      <c r="A209" s="32" t="s">
        <v>151</v>
      </c>
      <c r="B209" s="13">
        <v>0.6</v>
      </c>
      <c r="C209" s="32" t="s">
        <v>296</v>
      </c>
      <c r="D209" s="4">
        <f>57623.6+169566+15000</f>
        <v>242189.6</v>
      </c>
      <c r="E209" s="4">
        <v>560000</v>
      </c>
      <c r="F209" s="4"/>
      <c r="H209" s="116"/>
      <c r="I209" s="116"/>
      <c r="J209" s="116"/>
      <c r="K209" s="116"/>
      <c r="L209" s="117"/>
      <c r="M209" s="117"/>
      <c r="N209" s="117"/>
      <c r="O209" s="117"/>
      <c r="P209" s="117"/>
    </row>
    <row r="210" spans="1:16" s="228" customFormat="1" x14ac:dyDescent="0.25">
      <c r="A210" s="32" t="s">
        <v>160</v>
      </c>
      <c r="B210" s="13">
        <v>22</v>
      </c>
      <c r="C210" s="32" t="s">
        <v>271</v>
      </c>
      <c r="D210" s="4">
        <f>1635199.81+1359696.8+790210.25</f>
        <v>3785106.8600000003</v>
      </c>
      <c r="E210" s="4">
        <v>10000000</v>
      </c>
      <c r="F210" s="4" t="s">
        <v>409</v>
      </c>
      <c r="G210" s="22"/>
      <c r="H210" s="63"/>
      <c r="I210" s="62"/>
    </row>
    <row r="211" spans="1:16" s="31" customFormat="1" ht="6.6" customHeight="1" x14ac:dyDescent="0.25">
      <c r="A211" s="32">
        <v>0</v>
      </c>
      <c r="B211" s="13"/>
      <c r="C211" s="32"/>
      <c r="D211" s="4"/>
      <c r="E211" s="4"/>
      <c r="F211" s="32"/>
      <c r="G211" s="34"/>
      <c r="L211" s="34"/>
      <c r="M211" s="34"/>
      <c r="N211" s="34"/>
      <c r="O211" s="34"/>
      <c r="P211" s="34"/>
    </row>
    <row r="212" spans="1:16" s="31" customFormat="1" x14ac:dyDescent="0.25">
      <c r="A212" s="2"/>
      <c r="B212" s="49"/>
      <c r="C212" s="1"/>
      <c r="D212" s="62"/>
      <c r="E212" s="62"/>
      <c r="F212" s="2"/>
      <c r="G212" s="34"/>
      <c r="L212" s="34"/>
      <c r="M212" s="34"/>
      <c r="N212" s="34"/>
      <c r="O212" s="34"/>
      <c r="P212" s="34"/>
    </row>
    <row r="213" spans="1:16" s="31" customFormat="1" x14ac:dyDescent="0.25">
      <c r="A213" s="2"/>
      <c r="B213" s="49"/>
      <c r="C213" s="1"/>
      <c r="D213" s="62"/>
      <c r="E213" s="62"/>
      <c r="F213" s="2"/>
      <c r="G213" s="34"/>
      <c r="L213" s="34"/>
      <c r="M213" s="34"/>
      <c r="N213" s="34"/>
      <c r="O213" s="34"/>
      <c r="P213" s="34"/>
    </row>
    <row r="214" spans="1:16" s="31" customFormat="1" x14ac:dyDescent="0.25">
      <c r="A214" s="2"/>
      <c r="B214" s="49"/>
      <c r="C214" s="1"/>
      <c r="D214" s="62"/>
      <c r="E214" s="62"/>
      <c r="F214" s="2"/>
      <c r="G214" s="34"/>
      <c r="L214" s="34"/>
      <c r="M214" s="34"/>
      <c r="N214" s="34"/>
      <c r="O214" s="34"/>
      <c r="P214" s="34"/>
    </row>
    <row r="215" spans="1:16" s="31" customFormat="1" x14ac:dyDescent="0.25">
      <c r="A215" s="2"/>
      <c r="B215" s="49"/>
      <c r="C215" s="1"/>
      <c r="D215" s="62"/>
      <c r="E215" s="62"/>
      <c r="F215" s="2"/>
      <c r="G215" s="34"/>
      <c r="L215" s="34"/>
      <c r="M215" s="34"/>
      <c r="N215" s="34"/>
      <c r="O215" s="34"/>
      <c r="P215" s="34"/>
    </row>
    <row r="216" spans="1:16" s="31" customFormat="1" x14ac:dyDescent="0.25">
      <c r="A216" s="2"/>
      <c r="B216" s="49"/>
      <c r="C216" s="1"/>
      <c r="F216" s="2"/>
      <c r="G216" s="34"/>
      <c r="L216" s="34"/>
      <c r="M216" s="34"/>
      <c r="N216" s="34"/>
      <c r="O216" s="34"/>
      <c r="P216" s="34"/>
    </row>
    <row r="217" spans="1:16" s="31" customFormat="1" x14ac:dyDescent="0.25">
      <c r="A217" s="2"/>
      <c r="B217" s="49"/>
      <c r="C217" s="1"/>
      <c r="F217" s="2"/>
      <c r="G217" s="34"/>
      <c r="L217" s="34"/>
      <c r="M217" s="34"/>
      <c r="N217" s="34"/>
      <c r="O217" s="34"/>
      <c r="P217" s="34"/>
    </row>
    <row r="218" spans="1:16" s="31" customFormat="1" x14ac:dyDescent="0.25">
      <c r="A218" s="2"/>
      <c r="B218" s="49"/>
      <c r="C218" s="1"/>
      <c r="F218" s="2"/>
      <c r="G218" s="34"/>
      <c r="L218" s="34"/>
      <c r="M218" s="34"/>
      <c r="N218" s="34"/>
      <c r="O218" s="34"/>
      <c r="P218" s="34"/>
    </row>
    <row r="219" spans="1:16" s="31" customFormat="1" x14ac:dyDescent="0.25">
      <c r="A219" s="2"/>
      <c r="B219" s="49"/>
      <c r="C219" s="1"/>
      <c r="F219" s="2"/>
      <c r="G219" s="34"/>
      <c r="L219" s="34"/>
      <c r="M219" s="34"/>
      <c r="N219" s="34"/>
      <c r="O219" s="34"/>
      <c r="P219" s="34"/>
    </row>
    <row r="220" spans="1:16" s="31" customFormat="1" x14ac:dyDescent="0.25">
      <c r="A220" s="2"/>
      <c r="B220" s="49"/>
      <c r="C220" s="1"/>
      <c r="F220" s="2"/>
      <c r="G220" s="34"/>
      <c r="L220" s="34"/>
      <c r="M220" s="34"/>
      <c r="N220" s="34"/>
      <c r="O220" s="34"/>
      <c r="P220" s="34"/>
    </row>
    <row r="221" spans="1:16" x14ac:dyDescent="0.25">
      <c r="C221" s="1"/>
    </row>
    <row r="222" spans="1:16" x14ac:dyDescent="0.25">
      <c r="C222" s="1"/>
    </row>
    <row r="223" spans="1:16" x14ac:dyDescent="0.25">
      <c r="C223" s="1"/>
    </row>
    <row r="224" spans="1:16" x14ac:dyDescent="0.25">
      <c r="C224" s="1"/>
    </row>
    <row r="225" spans="2:16" x14ac:dyDescent="0.25">
      <c r="C225" s="1"/>
    </row>
    <row r="226" spans="2:16" x14ac:dyDescent="0.25">
      <c r="C226" s="1"/>
    </row>
    <row r="227" spans="2:16" x14ac:dyDescent="0.25">
      <c r="C227" s="1"/>
    </row>
    <row r="228" spans="2:16" x14ac:dyDescent="0.25">
      <c r="C228" s="1"/>
    </row>
    <row r="229" spans="2:16" x14ac:dyDescent="0.25">
      <c r="C229" s="1"/>
    </row>
    <row r="230" spans="2:16" x14ac:dyDescent="0.25">
      <c r="C230" s="1"/>
    </row>
    <row r="231" spans="2:16" x14ac:dyDescent="0.25">
      <c r="C231" s="1"/>
    </row>
    <row r="232" spans="2:16" x14ac:dyDescent="0.25">
      <c r="C232" s="1"/>
    </row>
    <row r="233" spans="2:16" x14ac:dyDescent="0.25">
      <c r="B233" s="2"/>
      <c r="C233" s="1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x14ac:dyDescent="0.25">
      <c r="B234" s="2"/>
      <c r="C234" s="1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</sheetData>
  <autoFilter ref="A3:F211"/>
  <pageMargins left="0.19685039370078741" right="0.19685039370078741" top="0.19685039370078741" bottom="0.19685039370078741" header="0.51181102362204722" footer="0.51181102362204722"/>
  <pageSetup paperSize="9" scale="95" fitToHeight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1FFFF"/>
    <pageSetUpPr fitToPage="1"/>
  </sheetPr>
  <dimension ref="A1:S48"/>
  <sheetViews>
    <sheetView tabSelected="1" zoomScaleNormal="100" workbookViewId="0">
      <pane ySplit="3" topLeftCell="A4" activePane="bottomLeft" state="frozen"/>
      <selection pane="bottomLeft" activeCell="E19" sqref="E19"/>
    </sheetView>
  </sheetViews>
  <sheetFormatPr defaultColWidth="9.44140625" defaultRowHeight="13.8" x14ac:dyDescent="0.25"/>
  <cols>
    <col min="1" max="1" width="14.44140625" style="2" customWidth="1"/>
    <col min="2" max="2" width="10.5546875" style="33" customWidth="1"/>
    <col min="3" max="3" width="10.77734375" style="49" bestFit="1" customWidth="1"/>
    <col min="4" max="4" width="24.88671875" style="2" customWidth="1"/>
    <col min="5" max="5" width="11.33203125" style="2" customWidth="1"/>
    <col min="6" max="6" width="16" style="31" customWidth="1"/>
    <col min="7" max="7" width="21.44140625" style="26" customWidth="1"/>
    <col min="8" max="8" width="10.6640625" style="2" customWidth="1"/>
    <col min="9" max="9" width="36.77734375" style="2" customWidth="1"/>
    <col min="10" max="10" width="13.33203125" style="341" bestFit="1" customWidth="1"/>
    <col min="11" max="11" width="13.5546875" style="31" customWidth="1"/>
    <col min="12" max="12" width="15.5546875" style="31" customWidth="1"/>
    <col min="13" max="13" width="16.5546875" style="31" customWidth="1"/>
    <col min="14" max="14" width="9.44140625" style="31"/>
    <col min="15" max="19" width="9.44140625" style="34"/>
    <col min="20" max="16384" width="9.44140625" style="2"/>
  </cols>
  <sheetData>
    <row r="1" spans="1:19" ht="17.399999999999999" customHeight="1" x14ac:dyDescent="0.25">
      <c r="D1" s="34"/>
      <c r="F1" s="62"/>
      <c r="G1" s="450"/>
      <c r="H1" s="88"/>
    </row>
    <row r="2" spans="1:19" s="8" customFormat="1" ht="36" customHeight="1" x14ac:dyDescent="0.25">
      <c r="A2" s="6" t="s">
        <v>192</v>
      </c>
      <c r="B2" s="43" t="s">
        <v>37</v>
      </c>
      <c r="C2" s="42" t="s">
        <v>51</v>
      </c>
      <c r="D2" s="6" t="s">
        <v>109</v>
      </c>
      <c r="E2" s="6" t="s">
        <v>121</v>
      </c>
      <c r="F2" s="241" t="s">
        <v>56</v>
      </c>
      <c r="G2" s="27" t="s">
        <v>58</v>
      </c>
      <c r="H2" s="6" t="s">
        <v>57</v>
      </c>
      <c r="I2" s="7" t="s">
        <v>10</v>
      </c>
      <c r="J2" s="71"/>
      <c r="K2" s="31"/>
      <c r="L2" s="23"/>
      <c r="M2" s="23"/>
      <c r="N2" s="23"/>
      <c r="O2" s="23"/>
      <c r="P2" s="23"/>
      <c r="Q2" s="23"/>
      <c r="R2" s="23"/>
      <c r="S2" s="23"/>
    </row>
    <row r="3" spans="1:19" s="8" customFormat="1" ht="18.75" customHeight="1" x14ac:dyDescent="0.25">
      <c r="A3" s="141"/>
      <c r="B3" s="142"/>
      <c r="C3" s="145"/>
      <c r="D3" s="345"/>
      <c r="E3" s="143"/>
      <c r="F3" s="145">
        <f>SUM(F4:F16)</f>
        <v>436298.57</v>
      </c>
      <c r="G3" s="345">
        <f>30000000-F3</f>
        <v>29563701.43</v>
      </c>
      <c r="H3" s="143"/>
      <c r="I3" s="387"/>
      <c r="J3" s="71"/>
      <c r="K3" s="31"/>
      <c r="L3" s="23"/>
      <c r="M3" s="23"/>
      <c r="N3" s="23"/>
      <c r="O3" s="23"/>
      <c r="P3" s="23"/>
      <c r="Q3" s="23"/>
      <c r="R3" s="23"/>
      <c r="S3" s="23"/>
    </row>
    <row r="4" spans="1:19" ht="6" customHeight="1" x14ac:dyDescent="0.25">
      <c r="A4" s="88">
        <v>0</v>
      </c>
      <c r="F4" s="62"/>
      <c r="J4" s="71"/>
    </row>
    <row r="5" spans="1:19" s="228" customFormat="1" ht="14.1" customHeight="1" x14ac:dyDescent="0.25">
      <c r="A5" s="32" t="s">
        <v>160</v>
      </c>
      <c r="B5" s="14"/>
      <c r="C5" s="67"/>
      <c r="D5" s="32" t="s">
        <v>4825</v>
      </c>
      <c r="E5" s="32"/>
      <c r="F5" s="4"/>
      <c r="G5" s="250"/>
      <c r="H5" s="14"/>
      <c r="I5" s="4"/>
      <c r="J5" s="71"/>
      <c r="K5" s="62"/>
    </row>
    <row r="6" spans="1:19" s="228" customFormat="1" ht="14.1" customHeight="1" x14ac:dyDescent="0.25">
      <c r="A6" s="32" t="s">
        <v>160</v>
      </c>
      <c r="B6" s="14"/>
      <c r="C6" s="67"/>
      <c r="D6" s="32" t="s">
        <v>937</v>
      </c>
      <c r="E6" s="17"/>
      <c r="F6" s="4"/>
      <c r="G6" s="250"/>
      <c r="H6" s="14"/>
      <c r="I6" s="4"/>
      <c r="J6" s="71"/>
      <c r="K6" s="62"/>
    </row>
    <row r="7" spans="1:19" s="228" customFormat="1" ht="13.2" customHeight="1" x14ac:dyDescent="0.25">
      <c r="A7" s="32" t="s">
        <v>1385</v>
      </c>
      <c r="B7" s="14"/>
      <c r="C7" s="67"/>
      <c r="D7" s="32" t="s">
        <v>1385</v>
      </c>
      <c r="E7" s="17" t="s">
        <v>691</v>
      </c>
      <c r="F7" s="4"/>
      <c r="G7" s="250"/>
      <c r="H7" s="14"/>
      <c r="I7" s="4"/>
      <c r="J7" s="71"/>
      <c r="K7" s="62"/>
    </row>
    <row r="8" spans="1:19" s="228" customFormat="1" ht="13.8" customHeight="1" x14ac:dyDescent="0.25">
      <c r="A8" s="32" t="s">
        <v>1147</v>
      </c>
      <c r="B8" s="14"/>
      <c r="C8" s="13"/>
      <c r="D8" s="32" t="s">
        <v>2439</v>
      </c>
      <c r="E8" s="32" t="s">
        <v>808</v>
      </c>
      <c r="F8" s="4">
        <v>75880</v>
      </c>
      <c r="G8" s="29" t="s">
        <v>9217</v>
      </c>
      <c r="H8" s="14">
        <v>43635</v>
      </c>
      <c r="I8" s="4" t="s">
        <v>5986</v>
      </c>
      <c r="J8" s="21"/>
    </row>
    <row r="9" spans="1:19" s="228" customFormat="1" x14ac:dyDescent="0.25">
      <c r="A9" s="61" t="s">
        <v>442</v>
      </c>
      <c r="B9" s="14"/>
      <c r="C9" s="13"/>
      <c r="D9" s="13" t="s">
        <v>4162</v>
      </c>
      <c r="E9" s="13" t="s">
        <v>62</v>
      </c>
      <c r="F9" s="4">
        <v>3750</v>
      </c>
      <c r="G9" s="28" t="s">
        <v>9451</v>
      </c>
      <c r="H9" s="14">
        <v>43643</v>
      </c>
      <c r="I9" s="4" t="s">
        <v>7435</v>
      </c>
      <c r="J9" s="128"/>
      <c r="K9" s="21"/>
    </row>
    <row r="10" spans="1:19" s="228" customFormat="1" x14ac:dyDescent="0.25">
      <c r="A10" s="61" t="s">
        <v>460</v>
      </c>
      <c r="B10" s="14"/>
      <c r="C10" s="13"/>
      <c r="D10" s="14" t="s">
        <v>9452</v>
      </c>
      <c r="E10" s="32" t="s">
        <v>522</v>
      </c>
      <c r="F10" s="4">
        <v>6655.27</v>
      </c>
      <c r="G10" s="86" t="s">
        <v>9453</v>
      </c>
      <c r="H10" s="211"/>
      <c r="I10" s="326"/>
      <c r="J10" s="22"/>
      <c r="K10" s="62"/>
    </row>
    <row r="11" spans="1:19" s="129" customFormat="1" x14ac:dyDescent="0.25">
      <c r="A11" s="13" t="s">
        <v>151</v>
      </c>
      <c r="B11" s="14"/>
      <c r="C11" s="13"/>
      <c r="D11" s="13" t="s">
        <v>7381</v>
      </c>
      <c r="E11" s="32" t="s">
        <v>1121</v>
      </c>
      <c r="F11" s="37">
        <v>3800</v>
      </c>
      <c r="G11" s="28" t="s">
        <v>7382</v>
      </c>
      <c r="H11" s="14">
        <v>43643</v>
      </c>
      <c r="I11" s="4" t="s">
        <v>7383</v>
      </c>
      <c r="J11" s="170" t="s">
        <v>400</v>
      </c>
      <c r="K11" s="136"/>
    </row>
    <row r="12" spans="1:19" s="228" customFormat="1" x14ac:dyDescent="0.25">
      <c r="A12" s="13" t="s">
        <v>151</v>
      </c>
      <c r="B12" s="14"/>
      <c r="C12" s="13"/>
      <c r="D12" s="13" t="s">
        <v>8937</v>
      </c>
      <c r="E12" s="32" t="s">
        <v>22</v>
      </c>
      <c r="F12" s="4">
        <f>40570-20630</f>
        <v>19940</v>
      </c>
      <c r="G12" s="28" t="s">
        <v>8938</v>
      </c>
      <c r="H12" s="14">
        <v>43627</v>
      </c>
      <c r="I12" s="4" t="s">
        <v>8939</v>
      </c>
      <c r="J12" s="125"/>
      <c r="K12" s="21"/>
    </row>
    <row r="13" spans="1:19" s="129" customFormat="1" x14ac:dyDescent="0.25">
      <c r="A13" s="13" t="s">
        <v>151</v>
      </c>
      <c r="B13" s="14"/>
      <c r="C13" s="28"/>
      <c r="D13" s="13" t="s">
        <v>372</v>
      </c>
      <c r="E13" s="13" t="s">
        <v>22</v>
      </c>
      <c r="F13" s="4">
        <f>309377.01</f>
        <v>309377.01</v>
      </c>
      <c r="G13" s="28" t="s">
        <v>9462</v>
      </c>
      <c r="H13" s="14">
        <v>43636</v>
      </c>
      <c r="I13" s="4" t="s">
        <v>836</v>
      </c>
      <c r="J13" s="133"/>
      <c r="K13" s="275"/>
    </row>
    <row r="14" spans="1:19" s="129" customFormat="1" x14ac:dyDescent="0.25">
      <c r="A14" s="13" t="s">
        <v>151</v>
      </c>
      <c r="B14" s="14"/>
      <c r="C14" s="28"/>
      <c r="D14" s="13" t="s">
        <v>4162</v>
      </c>
      <c r="E14" s="13" t="s">
        <v>22</v>
      </c>
      <c r="F14" s="4">
        <v>5290</v>
      </c>
      <c r="G14" s="28" t="s">
        <v>9466</v>
      </c>
      <c r="H14" s="14">
        <v>43643</v>
      </c>
      <c r="I14" s="4" t="s">
        <v>9467</v>
      </c>
      <c r="J14" s="133"/>
      <c r="K14" s="275"/>
    </row>
    <row r="15" spans="1:19" s="129" customFormat="1" x14ac:dyDescent="0.25">
      <c r="A15" s="13" t="s">
        <v>151</v>
      </c>
      <c r="B15" s="14"/>
      <c r="C15" s="28"/>
      <c r="D15" s="13" t="s">
        <v>4162</v>
      </c>
      <c r="E15" s="13" t="s">
        <v>22</v>
      </c>
      <c r="F15" s="4">
        <v>11606.29</v>
      </c>
      <c r="G15" s="28" t="s">
        <v>9470</v>
      </c>
      <c r="H15" s="14">
        <v>43636</v>
      </c>
      <c r="I15" s="4" t="s">
        <v>836</v>
      </c>
      <c r="J15" s="133"/>
      <c r="K15" s="275"/>
    </row>
    <row r="16" spans="1:19" s="31" customFormat="1" ht="9" customHeight="1" x14ac:dyDescent="0.25">
      <c r="A16" s="160">
        <v>0</v>
      </c>
      <c r="B16" s="14"/>
      <c r="C16" s="67"/>
      <c r="D16" s="161"/>
      <c r="E16" s="161"/>
      <c r="F16" s="4"/>
      <c r="G16" s="40"/>
      <c r="H16" s="118"/>
      <c r="I16" s="161"/>
      <c r="J16" s="71"/>
      <c r="K16" s="62"/>
      <c r="O16" s="34"/>
      <c r="P16" s="34"/>
      <c r="Q16" s="34"/>
      <c r="R16" s="34"/>
      <c r="S16" s="34"/>
    </row>
    <row r="17" spans="1:19" x14ac:dyDescent="0.25">
      <c r="C17" s="405" t="s">
        <v>187</v>
      </c>
      <c r="D17" s="412"/>
      <c r="E17" s="225"/>
      <c r="F17" s="62"/>
    </row>
    <row r="18" spans="1:19" x14ac:dyDescent="0.25">
      <c r="C18" s="405" t="s">
        <v>8240</v>
      </c>
      <c r="D18" s="412"/>
      <c r="E18" s="225"/>
      <c r="F18" s="2"/>
    </row>
    <row r="19" spans="1:19" x14ac:dyDescent="0.25">
      <c r="C19" s="405" t="s">
        <v>8241</v>
      </c>
      <c r="D19" s="412"/>
      <c r="E19" s="225"/>
      <c r="F19" s="62"/>
    </row>
    <row r="20" spans="1:19" x14ac:dyDescent="0.25">
      <c r="C20" s="405" t="s">
        <v>9019</v>
      </c>
      <c r="D20" s="412"/>
      <c r="E20" s="225"/>
      <c r="F20" s="62"/>
    </row>
    <row r="21" spans="1:19" ht="14.4" customHeight="1" x14ac:dyDescent="0.25"/>
    <row r="22" spans="1:19" s="8" customFormat="1" ht="18.75" customHeight="1" x14ac:dyDescent="0.25">
      <c r="A22" s="141" t="s">
        <v>8566</v>
      </c>
      <c r="B22" s="142"/>
      <c r="C22" s="145"/>
      <c r="D22" s="345"/>
      <c r="E22" s="143"/>
      <c r="F22" s="145">
        <f>SUM(F39:F67)</f>
        <v>0</v>
      </c>
      <c r="G22" s="345">
        <f>0-F22</f>
        <v>0</v>
      </c>
      <c r="H22" s="143"/>
      <c r="I22" s="387"/>
      <c r="J22" s="71"/>
      <c r="K22" s="31"/>
      <c r="L22" s="23"/>
      <c r="M22" s="23"/>
      <c r="N22" s="23"/>
      <c r="O22" s="23"/>
      <c r="P22" s="23"/>
      <c r="Q22" s="23"/>
      <c r="R22" s="23"/>
      <c r="S22" s="23"/>
    </row>
    <row r="23" spans="1:19" s="115" customFormat="1" ht="15" customHeight="1" x14ac:dyDescent="0.25">
      <c r="A23" s="13" t="s">
        <v>311</v>
      </c>
      <c r="B23" s="14">
        <v>43662</v>
      </c>
      <c r="C23" s="13"/>
      <c r="D23" s="13" t="s">
        <v>3269</v>
      </c>
      <c r="E23" s="13" t="s">
        <v>130</v>
      </c>
      <c r="F23" s="37">
        <v>300000</v>
      </c>
      <c r="G23" s="29" t="s">
        <v>8711</v>
      </c>
      <c r="H23" s="14">
        <v>43602</v>
      </c>
      <c r="I23" s="4" t="s">
        <v>1150</v>
      </c>
      <c r="J23" s="71"/>
      <c r="K23" s="116"/>
      <c r="L23" s="116"/>
      <c r="M23" s="116"/>
      <c r="N23" s="116"/>
      <c r="O23" s="117"/>
      <c r="P23" s="117"/>
      <c r="Q23" s="117"/>
      <c r="R23" s="117"/>
      <c r="S23" s="117"/>
    </row>
    <row r="24" spans="1:19" s="115" customFormat="1" ht="15" customHeight="1" x14ac:dyDescent="0.25">
      <c r="A24" s="13" t="s">
        <v>311</v>
      </c>
      <c r="B24" s="14">
        <v>43662</v>
      </c>
      <c r="C24" s="13"/>
      <c r="D24" s="13" t="s">
        <v>3269</v>
      </c>
      <c r="E24" s="13" t="s">
        <v>60</v>
      </c>
      <c r="F24" s="37">
        <v>80000</v>
      </c>
      <c r="G24" s="29" t="s">
        <v>8712</v>
      </c>
      <c r="H24" s="14">
        <v>43602</v>
      </c>
      <c r="I24" s="4" t="s">
        <v>1150</v>
      </c>
      <c r="J24" s="71"/>
      <c r="K24" s="116"/>
      <c r="L24" s="116"/>
      <c r="M24" s="116"/>
      <c r="N24" s="116"/>
      <c r="O24" s="117"/>
      <c r="P24" s="117"/>
      <c r="Q24" s="117"/>
      <c r="R24" s="117"/>
      <c r="S24" s="117"/>
    </row>
    <row r="41" spans="1:6" x14ac:dyDescent="0.25">
      <c r="F41" s="23"/>
    </row>
    <row r="42" spans="1:6" x14ac:dyDescent="0.25">
      <c r="A42" s="511"/>
    </row>
    <row r="43" spans="1:6" x14ac:dyDescent="0.25">
      <c r="A43" s="511"/>
    </row>
    <row r="44" spans="1:6" x14ac:dyDescent="0.25">
      <c r="A44" s="511"/>
    </row>
    <row r="45" spans="1:6" x14ac:dyDescent="0.25">
      <c r="A45" s="511"/>
    </row>
    <row r="46" spans="1:6" x14ac:dyDescent="0.25">
      <c r="A46" s="511"/>
    </row>
    <row r="47" spans="1:6" x14ac:dyDescent="0.25">
      <c r="A47" s="511"/>
    </row>
    <row r="48" spans="1:6" x14ac:dyDescent="0.25">
      <c r="A48" s="511"/>
    </row>
  </sheetData>
  <autoFilter ref="A2:I20"/>
  <pageMargins left="0.39370078740157483" right="0.39370078740157483" top="0.19685039370078741" bottom="0.19685039370078741" header="0.51181102362204722" footer="0.51181102362204722"/>
  <pageSetup paperSize="9" scale="77" fitToHeight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413"/>
  <sheetViews>
    <sheetView zoomScaleNormal="100" workbookViewId="0">
      <pane ySplit="2" topLeftCell="A1373" activePane="bottomLeft" state="frozen"/>
      <selection activeCell="D147" sqref="D147"/>
      <selection pane="bottomLeft" activeCell="E1386" sqref="E1386"/>
    </sheetView>
  </sheetViews>
  <sheetFormatPr defaultColWidth="9.44140625" defaultRowHeight="13.8" x14ac:dyDescent="0.25"/>
  <cols>
    <col min="1" max="1" width="14.44140625" style="228" customWidth="1"/>
    <col min="2" max="2" width="10.5546875" style="57" customWidth="1"/>
    <col min="3" max="3" width="9.21875" style="124" customWidth="1"/>
    <col min="4" max="4" width="27" style="228" customWidth="1"/>
    <col min="5" max="5" width="11" style="228" customWidth="1"/>
    <col min="6" max="6" width="16.44140625" style="62" customWidth="1"/>
    <col min="7" max="7" width="26.109375" style="50" customWidth="1"/>
    <col min="8" max="8" width="11.44140625" style="228" customWidth="1"/>
    <col min="9" max="9" width="37.88671875" style="228" customWidth="1"/>
    <col min="10" max="10" width="17.5546875" style="22" customWidth="1"/>
    <col min="11" max="11" width="14.44140625" style="21" customWidth="1"/>
    <col min="12" max="16384" width="9.44140625" style="228"/>
  </cols>
  <sheetData>
    <row r="1" spans="1:16" ht="19.5" customHeight="1" x14ac:dyDescent="0.25">
      <c r="F1" s="72">
        <f>SUM(F3:F1409)</f>
        <v>723205858.94493985</v>
      </c>
      <c r="G1" s="62"/>
    </row>
    <row r="2" spans="1:16" s="50" customFormat="1" ht="24.6" customHeight="1" x14ac:dyDescent="0.25">
      <c r="A2" s="79" t="s">
        <v>192</v>
      </c>
      <c r="B2" s="80" t="s">
        <v>123</v>
      </c>
      <c r="C2" s="78" t="s">
        <v>51</v>
      </c>
      <c r="D2" s="79" t="s">
        <v>109</v>
      </c>
      <c r="E2" s="79" t="s">
        <v>9</v>
      </c>
      <c r="F2" s="423" t="s">
        <v>56</v>
      </c>
      <c r="G2" s="79" t="s">
        <v>58</v>
      </c>
      <c r="H2" s="79" t="s">
        <v>57</v>
      </c>
      <c r="I2" s="81" t="s">
        <v>10</v>
      </c>
      <c r="J2" s="22"/>
      <c r="K2" s="21"/>
    </row>
    <row r="3" spans="1:16" x14ac:dyDescent="0.25">
      <c r="A3" s="61" t="s">
        <v>460</v>
      </c>
      <c r="B3" s="14">
        <v>43619</v>
      </c>
      <c r="C3" s="13">
        <v>77</v>
      </c>
      <c r="D3" s="13" t="s">
        <v>8320</v>
      </c>
      <c r="E3" s="13" t="s">
        <v>742</v>
      </c>
      <c r="F3" s="4">
        <v>733231</v>
      </c>
      <c r="G3" s="69" t="s">
        <v>8321</v>
      </c>
      <c r="H3" s="14">
        <v>43600</v>
      </c>
      <c r="I3" s="274"/>
      <c r="J3" s="169"/>
    </row>
    <row r="4" spans="1:16" ht="15" customHeight="1" x14ac:dyDescent="0.25">
      <c r="A4" s="68" t="s">
        <v>174</v>
      </c>
      <c r="B4" s="14">
        <v>43619</v>
      </c>
      <c r="C4" s="67">
        <v>93</v>
      </c>
      <c r="D4" s="32" t="s">
        <v>156</v>
      </c>
      <c r="E4" s="32" t="s">
        <v>178</v>
      </c>
      <c r="F4" s="4">
        <v>170929.1</v>
      </c>
      <c r="G4" s="28" t="s">
        <v>8244</v>
      </c>
      <c r="H4" s="14">
        <v>43592</v>
      </c>
      <c r="I4" s="4" t="s">
        <v>752</v>
      </c>
      <c r="J4" s="166" t="s">
        <v>771</v>
      </c>
      <c r="K4" s="167"/>
      <c r="L4" s="35"/>
    </row>
    <row r="5" spans="1:16" ht="13.95" customHeight="1" x14ac:dyDescent="0.25">
      <c r="A5" s="61" t="s">
        <v>151</v>
      </c>
      <c r="B5" s="14">
        <v>43619</v>
      </c>
      <c r="C5" s="13">
        <v>137</v>
      </c>
      <c r="D5" s="13" t="s">
        <v>679</v>
      </c>
      <c r="E5" s="32" t="s">
        <v>195</v>
      </c>
      <c r="F5" s="4">
        <v>72901.8</v>
      </c>
      <c r="G5" s="86" t="s">
        <v>7363</v>
      </c>
      <c r="H5" s="211"/>
      <c r="I5" s="4" t="s">
        <v>7364</v>
      </c>
      <c r="J5" s="21"/>
      <c r="K5" s="228"/>
    </row>
    <row r="6" spans="1:16" ht="13.95" customHeight="1" x14ac:dyDescent="0.25">
      <c r="A6" s="68" t="s">
        <v>28</v>
      </c>
      <c r="B6" s="14">
        <v>43619</v>
      </c>
      <c r="C6" s="13">
        <v>67</v>
      </c>
      <c r="D6" s="13" t="s">
        <v>679</v>
      </c>
      <c r="E6" s="32" t="s">
        <v>110</v>
      </c>
      <c r="F6" s="4">
        <v>329154.71999999974</v>
      </c>
      <c r="G6" s="69" t="s">
        <v>1167</v>
      </c>
      <c r="H6" s="14"/>
      <c r="I6" s="41" t="s">
        <v>270</v>
      </c>
      <c r="K6" s="62"/>
    </row>
    <row r="7" spans="1:16" x14ac:dyDescent="0.25">
      <c r="A7" s="32" t="s">
        <v>1148</v>
      </c>
      <c r="B7" s="14">
        <v>43619</v>
      </c>
      <c r="C7" s="13">
        <v>490</v>
      </c>
      <c r="D7" s="32" t="s">
        <v>4006</v>
      </c>
      <c r="E7" s="32" t="s">
        <v>136</v>
      </c>
      <c r="F7" s="4">
        <v>1000000</v>
      </c>
      <c r="G7" s="174" t="s">
        <v>5821</v>
      </c>
      <c r="H7" s="14">
        <v>43486</v>
      </c>
      <c r="I7" s="41" t="s">
        <v>490</v>
      </c>
      <c r="K7" s="63"/>
      <c r="L7" s="62"/>
    </row>
    <row r="8" spans="1:16" ht="15" customHeight="1" x14ac:dyDescent="0.25">
      <c r="A8" s="13" t="s">
        <v>2320</v>
      </c>
      <c r="B8" s="14">
        <v>43619</v>
      </c>
      <c r="C8" s="13">
        <v>489</v>
      </c>
      <c r="D8" s="13" t="s">
        <v>650</v>
      </c>
      <c r="E8" s="13" t="s">
        <v>136</v>
      </c>
      <c r="F8" s="37">
        <v>10240.870000000001</v>
      </c>
      <c r="G8" s="29" t="s">
        <v>8185</v>
      </c>
      <c r="H8" s="14">
        <v>43560</v>
      </c>
      <c r="I8" s="4" t="s">
        <v>6760</v>
      </c>
      <c r="J8" s="76"/>
    </row>
    <row r="9" spans="1:16" ht="15" customHeight="1" x14ac:dyDescent="0.25">
      <c r="A9" s="13" t="s">
        <v>455</v>
      </c>
      <c r="B9" s="14">
        <v>43619</v>
      </c>
      <c r="C9" s="13">
        <v>360</v>
      </c>
      <c r="D9" s="13" t="s">
        <v>650</v>
      </c>
      <c r="E9" s="13" t="s">
        <v>440</v>
      </c>
      <c r="F9" s="37">
        <v>58781.37</v>
      </c>
      <c r="G9" s="29" t="s">
        <v>6759</v>
      </c>
      <c r="H9" s="14">
        <v>43563</v>
      </c>
      <c r="I9" s="4" t="s">
        <v>6760</v>
      </c>
      <c r="J9" s="76"/>
    </row>
    <row r="10" spans="1:16" x14ac:dyDescent="0.25">
      <c r="A10" s="13" t="s">
        <v>184</v>
      </c>
      <c r="B10" s="14">
        <v>43619</v>
      </c>
      <c r="C10" s="13">
        <v>700</v>
      </c>
      <c r="D10" s="13" t="s">
        <v>6568</v>
      </c>
      <c r="E10" s="32" t="s">
        <v>1121</v>
      </c>
      <c r="F10" s="4">
        <v>322000</v>
      </c>
      <c r="G10" s="28" t="s">
        <v>7211</v>
      </c>
      <c r="H10" s="14">
        <v>43563</v>
      </c>
      <c r="I10" s="4" t="s">
        <v>6574</v>
      </c>
      <c r="J10" s="76" t="s">
        <v>1386</v>
      </c>
    </row>
    <row r="11" spans="1:16" x14ac:dyDescent="0.25">
      <c r="A11" s="13" t="s">
        <v>151</v>
      </c>
      <c r="B11" s="14">
        <v>43619</v>
      </c>
      <c r="C11" s="13">
        <v>157</v>
      </c>
      <c r="D11" s="13" t="s">
        <v>596</v>
      </c>
      <c r="E11" s="32" t="s">
        <v>22</v>
      </c>
      <c r="F11" s="4">
        <v>5720</v>
      </c>
      <c r="G11" s="28" t="s">
        <v>8343</v>
      </c>
      <c r="H11" s="14">
        <v>43615</v>
      </c>
      <c r="I11" s="4" t="s">
        <v>1</v>
      </c>
      <c r="J11" s="125"/>
    </row>
    <row r="12" spans="1:16" x14ac:dyDescent="0.25">
      <c r="A12" s="32" t="s">
        <v>151</v>
      </c>
      <c r="B12" s="14">
        <v>43619</v>
      </c>
      <c r="C12" s="13">
        <v>158</v>
      </c>
      <c r="D12" s="13" t="s">
        <v>223</v>
      </c>
      <c r="E12" s="32" t="s">
        <v>22</v>
      </c>
      <c r="F12" s="4">
        <v>19690</v>
      </c>
      <c r="G12" s="28" t="s">
        <v>730</v>
      </c>
      <c r="H12" s="14">
        <v>43577</v>
      </c>
      <c r="I12" s="4" t="s">
        <v>3072</v>
      </c>
      <c r="J12" s="76"/>
      <c r="K12" s="246"/>
    </row>
    <row r="13" spans="1:16" ht="13.95" customHeight="1" x14ac:dyDescent="0.25">
      <c r="A13" s="61" t="s">
        <v>188</v>
      </c>
      <c r="B13" s="14">
        <v>43619</v>
      </c>
      <c r="C13" s="13">
        <v>988</v>
      </c>
      <c r="D13" s="13" t="s">
        <v>1035</v>
      </c>
      <c r="E13" s="32" t="s">
        <v>808</v>
      </c>
      <c r="F13" s="4">
        <v>1000000</v>
      </c>
      <c r="G13" s="86" t="s">
        <v>2249</v>
      </c>
      <c r="H13" s="211"/>
      <c r="I13" s="4" t="s">
        <v>2250</v>
      </c>
      <c r="J13" s="21"/>
      <c r="K13" s="228"/>
    </row>
    <row r="14" spans="1:16" x14ac:dyDescent="0.25">
      <c r="A14" s="68" t="s">
        <v>659</v>
      </c>
      <c r="B14" s="14">
        <v>43619</v>
      </c>
      <c r="C14" s="13">
        <v>987</v>
      </c>
      <c r="D14" s="32" t="s">
        <v>1820</v>
      </c>
      <c r="E14" s="13" t="s">
        <v>808</v>
      </c>
      <c r="F14" s="4">
        <v>2002000</v>
      </c>
      <c r="G14" s="28" t="s">
        <v>1821</v>
      </c>
      <c r="H14" s="14"/>
      <c r="I14" s="4" t="s">
        <v>82</v>
      </c>
      <c r="J14" s="62"/>
      <c r="K14" s="62"/>
      <c r="L14" s="35"/>
      <c r="M14" s="35"/>
      <c r="N14" s="35"/>
      <c r="O14" s="35"/>
      <c r="P14" s="35"/>
    </row>
    <row r="15" spans="1:16" x14ac:dyDescent="0.25">
      <c r="A15" s="61" t="s">
        <v>1148</v>
      </c>
      <c r="B15" s="14">
        <v>43619</v>
      </c>
      <c r="C15" s="13">
        <v>989</v>
      </c>
      <c r="D15" s="13" t="s">
        <v>447</v>
      </c>
      <c r="E15" s="13" t="s">
        <v>808</v>
      </c>
      <c r="F15" s="4">
        <v>315000</v>
      </c>
      <c r="G15" s="28" t="s">
        <v>54</v>
      </c>
      <c r="H15" s="14">
        <v>43585</v>
      </c>
      <c r="I15" s="4" t="s">
        <v>1328</v>
      </c>
      <c r="J15" s="128"/>
    </row>
    <row r="16" spans="1:16" x14ac:dyDescent="0.25">
      <c r="A16" s="13" t="s">
        <v>659</v>
      </c>
      <c r="B16" s="14">
        <v>43619</v>
      </c>
      <c r="C16" s="13">
        <v>989</v>
      </c>
      <c r="D16" s="13" t="s">
        <v>447</v>
      </c>
      <c r="E16" s="13" t="s">
        <v>808</v>
      </c>
      <c r="F16" s="4">
        <v>69000</v>
      </c>
      <c r="G16" s="28" t="s">
        <v>3209</v>
      </c>
      <c r="H16" s="14">
        <v>43585</v>
      </c>
      <c r="I16" s="4" t="s">
        <v>1328</v>
      </c>
      <c r="J16" s="128"/>
    </row>
    <row r="17" spans="1:19" x14ac:dyDescent="0.25">
      <c r="A17" s="68" t="s">
        <v>1148</v>
      </c>
      <c r="B17" s="14">
        <v>43619</v>
      </c>
      <c r="C17" s="13">
        <v>989</v>
      </c>
      <c r="D17" s="13" t="s">
        <v>447</v>
      </c>
      <c r="E17" s="218" t="s">
        <v>808</v>
      </c>
      <c r="F17" s="4">
        <v>240000</v>
      </c>
      <c r="G17" s="29" t="s">
        <v>1264</v>
      </c>
      <c r="H17" s="14">
        <v>43585</v>
      </c>
      <c r="I17" s="4" t="s">
        <v>1315</v>
      </c>
      <c r="J17" s="128"/>
    </row>
    <row r="18" spans="1:19" x14ac:dyDescent="0.25">
      <c r="A18" s="61" t="s">
        <v>495</v>
      </c>
      <c r="B18" s="14">
        <v>43619</v>
      </c>
      <c r="C18" s="13">
        <v>990</v>
      </c>
      <c r="D18" s="13" t="s">
        <v>381</v>
      </c>
      <c r="E18" s="13" t="s">
        <v>808</v>
      </c>
      <c r="F18" s="37">
        <v>9950</v>
      </c>
      <c r="G18" s="29" t="s">
        <v>299</v>
      </c>
      <c r="H18" s="14">
        <v>43557</v>
      </c>
      <c r="I18" s="4" t="s">
        <v>441</v>
      </c>
      <c r="J18" s="128"/>
    </row>
    <row r="19" spans="1:19" x14ac:dyDescent="0.25">
      <c r="A19" s="61" t="s">
        <v>659</v>
      </c>
      <c r="B19" s="14">
        <v>43619</v>
      </c>
      <c r="C19" s="13">
        <v>991</v>
      </c>
      <c r="D19" s="13" t="s">
        <v>1739</v>
      </c>
      <c r="E19" s="13" t="s">
        <v>808</v>
      </c>
      <c r="F19" s="37">
        <v>138000</v>
      </c>
      <c r="G19" s="29" t="s">
        <v>1384</v>
      </c>
      <c r="H19" s="14">
        <v>43573</v>
      </c>
      <c r="I19" s="4" t="s">
        <v>1237</v>
      </c>
      <c r="J19" s="128"/>
    </row>
    <row r="20" spans="1:19" x14ac:dyDescent="0.25">
      <c r="A20" s="61" t="s">
        <v>495</v>
      </c>
      <c r="B20" s="14">
        <v>43619</v>
      </c>
      <c r="C20" s="13">
        <v>992</v>
      </c>
      <c r="D20" s="13" t="s">
        <v>7194</v>
      </c>
      <c r="E20" s="13" t="s">
        <v>808</v>
      </c>
      <c r="F20" s="37">
        <v>46000</v>
      </c>
      <c r="G20" s="29" t="s">
        <v>3862</v>
      </c>
      <c r="H20" s="14">
        <v>43577</v>
      </c>
      <c r="I20" s="4" t="s">
        <v>319</v>
      </c>
      <c r="J20" s="128"/>
    </row>
    <row r="21" spans="1:19" s="2" customFormat="1" x14ac:dyDescent="0.25">
      <c r="A21" s="61" t="s">
        <v>1149</v>
      </c>
      <c r="B21" s="14">
        <v>43619</v>
      </c>
      <c r="C21" s="13">
        <v>993</v>
      </c>
      <c r="D21" s="13" t="s">
        <v>340</v>
      </c>
      <c r="E21" s="13" t="s">
        <v>808</v>
      </c>
      <c r="F21" s="37">
        <v>5500</v>
      </c>
      <c r="G21" s="29" t="s">
        <v>146</v>
      </c>
      <c r="H21" s="14">
        <v>43571</v>
      </c>
      <c r="I21" s="4" t="s">
        <v>767</v>
      </c>
      <c r="J21" s="121"/>
      <c r="K21" s="5"/>
    </row>
    <row r="22" spans="1:19" s="93" customFormat="1" x14ac:dyDescent="0.25">
      <c r="A22" s="61" t="s">
        <v>1147</v>
      </c>
      <c r="B22" s="14">
        <v>43619</v>
      </c>
      <c r="C22" s="13">
        <v>994</v>
      </c>
      <c r="D22" s="13" t="s">
        <v>2439</v>
      </c>
      <c r="E22" s="13" t="s">
        <v>808</v>
      </c>
      <c r="F22" s="4">
        <v>75880</v>
      </c>
      <c r="G22" s="29" t="s">
        <v>3423</v>
      </c>
      <c r="H22" s="14">
        <v>43616</v>
      </c>
      <c r="I22" s="4" t="s">
        <v>3294</v>
      </c>
      <c r="J22" s="130"/>
      <c r="K22" s="16"/>
      <c r="L22" s="92"/>
    </row>
    <row r="23" spans="1:19" x14ac:dyDescent="0.25">
      <c r="A23" s="13" t="s">
        <v>151</v>
      </c>
      <c r="B23" s="14">
        <v>43619</v>
      </c>
      <c r="C23" s="13">
        <v>995</v>
      </c>
      <c r="D23" s="13" t="s">
        <v>3916</v>
      </c>
      <c r="E23" s="32" t="s">
        <v>808</v>
      </c>
      <c r="F23" s="4">
        <v>2500</v>
      </c>
      <c r="G23" s="28" t="s">
        <v>8350</v>
      </c>
      <c r="H23" s="14">
        <v>43616</v>
      </c>
      <c r="I23" s="4" t="s">
        <v>8351</v>
      </c>
      <c r="J23" s="125"/>
    </row>
    <row r="24" spans="1:19" x14ac:dyDescent="0.25">
      <c r="A24" s="61" t="s">
        <v>103</v>
      </c>
      <c r="B24" s="14">
        <v>43619</v>
      </c>
      <c r="C24" s="13">
        <v>921</v>
      </c>
      <c r="D24" s="13" t="s">
        <v>6487</v>
      </c>
      <c r="E24" s="13" t="s">
        <v>62</v>
      </c>
      <c r="F24" s="4">
        <v>54226</v>
      </c>
      <c r="G24" s="28" t="s">
        <v>5200</v>
      </c>
      <c r="H24" s="14">
        <v>43577</v>
      </c>
      <c r="I24" s="4" t="s">
        <v>1497</v>
      </c>
      <c r="J24" s="128"/>
    </row>
    <row r="25" spans="1:19" x14ac:dyDescent="0.25">
      <c r="A25" s="61" t="s">
        <v>103</v>
      </c>
      <c r="B25" s="14">
        <v>43619</v>
      </c>
      <c r="C25" s="13">
        <v>922</v>
      </c>
      <c r="D25" s="13" t="s">
        <v>7719</v>
      </c>
      <c r="E25" s="13" t="s">
        <v>62</v>
      </c>
      <c r="F25" s="37">
        <v>500000</v>
      </c>
      <c r="G25" s="29" t="s">
        <v>7720</v>
      </c>
      <c r="H25" s="14">
        <v>43589</v>
      </c>
      <c r="I25" s="4" t="s">
        <v>7721</v>
      </c>
      <c r="J25" s="128"/>
    </row>
    <row r="26" spans="1:19" s="76" customFormat="1" x14ac:dyDescent="0.25">
      <c r="A26" s="32" t="s">
        <v>495</v>
      </c>
      <c r="B26" s="14">
        <v>43619</v>
      </c>
      <c r="C26" s="13">
        <v>923</v>
      </c>
      <c r="D26" s="32" t="s">
        <v>411</v>
      </c>
      <c r="E26" s="32" t="s">
        <v>62</v>
      </c>
      <c r="F26" s="4">
        <v>427000</v>
      </c>
      <c r="G26" s="28" t="s">
        <v>4091</v>
      </c>
      <c r="H26" s="14">
        <v>43563</v>
      </c>
      <c r="I26" s="32" t="s">
        <v>4803</v>
      </c>
      <c r="J26" s="407"/>
      <c r="K26" s="260"/>
      <c r="L26" s="50"/>
      <c r="M26" s="50"/>
      <c r="N26" s="50"/>
      <c r="O26" s="50"/>
      <c r="P26" s="50"/>
      <c r="Q26" s="50"/>
      <c r="R26" s="50"/>
      <c r="S26" s="50"/>
    </row>
    <row r="27" spans="1:19" s="76" customFormat="1" x14ac:dyDescent="0.25">
      <c r="A27" s="32" t="s">
        <v>495</v>
      </c>
      <c r="B27" s="14">
        <v>43619</v>
      </c>
      <c r="C27" s="13">
        <v>923</v>
      </c>
      <c r="D27" s="32" t="s">
        <v>411</v>
      </c>
      <c r="E27" s="32" t="s">
        <v>62</v>
      </c>
      <c r="F27" s="4">
        <v>183000</v>
      </c>
      <c r="G27" s="28" t="s">
        <v>2932</v>
      </c>
      <c r="H27" s="14">
        <v>43593</v>
      </c>
      <c r="I27" s="32" t="s">
        <v>4803</v>
      </c>
      <c r="J27" s="407"/>
      <c r="K27" s="260"/>
      <c r="L27" s="50"/>
      <c r="M27" s="50"/>
      <c r="N27" s="50"/>
      <c r="O27" s="50"/>
      <c r="P27" s="50"/>
      <c r="Q27" s="50"/>
      <c r="R27" s="50"/>
      <c r="S27" s="50"/>
    </row>
    <row r="28" spans="1:19" ht="13.95" customHeight="1" x14ac:dyDescent="0.25">
      <c r="A28" s="32" t="s">
        <v>534</v>
      </c>
      <c r="B28" s="14">
        <v>43619</v>
      </c>
      <c r="C28" s="13">
        <v>924</v>
      </c>
      <c r="D28" s="32" t="s">
        <v>470</v>
      </c>
      <c r="E28" s="32" t="s">
        <v>62</v>
      </c>
      <c r="F28" s="4">
        <v>2000000</v>
      </c>
      <c r="G28" s="86" t="s">
        <v>471</v>
      </c>
      <c r="H28" s="211"/>
      <c r="I28" s="208" t="s">
        <v>672</v>
      </c>
      <c r="J28" s="21"/>
      <c r="K28" s="228"/>
    </row>
    <row r="29" spans="1:19" ht="13.95" customHeight="1" x14ac:dyDescent="0.25">
      <c r="A29" s="13" t="s">
        <v>91</v>
      </c>
      <c r="B29" s="14">
        <v>43619</v>
      </c>
      <c r="C29" s="13">
        <v>925</v>
      </c>
      <c r="D29" s="32" t="s">
        <v>559</v>
      </c>
      <c r="E29" s="32" t="s">
        <v>62</v>
      </c>
      <c r="F29" s="4">
        <v>580683.64</v>
      </c>
      <c r="G29" s="86" t="s">
        <v>1025</v>
      </c>
      <c r="H29" s="211"/>
      <c r="I29" s="41" t="s">
        <v>463</v>
      </c>
      <c r="J29" s="21"/>
      <c r="K29" s="228"/>
    </row>
    <row r="30" spans="1:19" ht="13.95" customHeight="1" x14ac:dyDescent="0.25">
      <c r="A30" s="13" t="s">
        <v>91</v>
      </c>
      <c r="B30" s="14">
        <v>43619</v>
      </c>
      <c r="C30" s="13">
        <v>926</v>
      </c>
      <c r="D30" s="32" t="s">
        <v>559</v>
      </c>
      <c r="E30" s="32" t="s">
        <v>62</v>
      </c>
      <c r="F30" s="4">
        <v>379734.31</v>
      </c>
      <c r="G30" s="86" t="s">
        <v>1024</v>
      </c>
      <c r="H30" s="211"/>
      <c r="I30" s="41" t="s">
        <v>579</v>
      </c>
      <c r="J30" s="21"/>
      <c r="K30" s="228"/>
    </row>
    <row r="31" spans="1:19" ht="13.95" customHeight="1" x14ac:dyDescent="0.25">
      <c r="A31" s="32" t="s">
        <v>1285</v>
      </c>
      <c r="B31" s="14">
        <v>43619</v>
      </c>
      <c r="C31" s="13">
        <v>927</v>
      </c>
      <c r="D31" s="32" t="s">
        <v>1800</v>
      </c>
      <c r="E31" s="32" t="s">
        <v>62</v>
      </c>
      <c r="F31" s="4">
        <v>5000000</v>
      </c>
      <c r="G31" s="86" t="s">
        <v>816</v>
      </c>
      <c r="H31" s="211"/>
      <c r="I31" s="208" t="s">
        <v>361</v>
      </c>
      <c r="J31" s="21"/>
      <c r="K31" s="228"/>
    </row>
    <row r="32" spans="1:19" ht="13.95" customHeight="1" x14ac:dyDescent="0.25">
      <c r="A32" s="61" t="s">
        <v>442</v>
      </c>
      <c r="B32" s="14">
        <v>43619</v>
      </c>
      <c r="C32" s="13">
        <v>928</v>
      </c>
      <c r="D32" s="13" t="s">
        <v>679</v>
      </c>
      <c r="E32" s="32" t="s">
        <v>62</v>
      </c>
      <c r="F32" s="4">
        <v>1700000</v>
      </c>
      <c r="G32" s="86" t="s">
        <v>3624</v>
      </c>
      <c r="H32" s="211"/>
      <c r="I32" s="4" t="s">
        <v>3625</v>
      </c>
      <c r="J32" s="21"/>
      <c r="K32" s="228"/>
    </row>
    <row r="33" spans="1:16" ht="16.5" customHeight="1" x14ac:dyDescent="0.25">
      <c r="A33" s="68" t="s">
        <v>91</v>
      </c>
      <c r="B33" s="14">
        <v>43619</v>
      </c>
      <c r="C33" s="13">
        <v>929</v>
      </c>
      <c r="D33" s="32" t="s">
        <v>34</v>
      </c>
      <c r="E33" s="32" t="s">
        <v>62</v>
      </c>
      <c r="F33" s="4">
        <v>1000000</v>
      </c>
      <c r="G33" s="69" t="s">
        <v>8696</v>
      </c>
      <c r="H33" s="14"/>
      <c r="I33" s="41" t="s">
        <v>8134</v>
      </c>
      <c r="K33" s="62"/>
    </row>
    <row r="34" spans="1:16" ht="13.95" customHeight="1" x14ac:dyDescent="0.25">
      <c r="A34" s="13" t="s">
        <v>358</v>
      </c>
      <c r="B34" s="14">
        <v>43619</v>
      </c>
      <c r="C34" s="13">
        <v>930</v>
      </c>
      <c r="D34" s="32" t="s">
        <v>391</v>
      </c>
      <c r="E34" s="32" t="s">
        <v>62</v>
      </c>
      <c r="F34" s="4">
        <f>1558300</f>
        <v>1558300</v>
      </c>
      <c r="G34" s="69" t="s">
        <v>1868</v>
      </c>
      <c r="H34" s="14"/>
      <c r="I34" s="41" t="s">
        <v>1869</v>
      </c>
      <c r="K34" s="62"/>
    </row>
    <row r="35" spans="1:16" x14ac:dyDescent="0.25">
      <c r="A35" s="32" t="s">
        <v>129</v>
      </c>
      <c r="B35" s="14">
        <v>43619</v>
      </c>
      <c r="C35" s="13">
        <v>931</v>
      </c>
      <c r="D35" s="32" t="s">
        <v>1143</v>
      </c>
      <c r="E35" s="32" t="s">
        <v>62</v>
      </c>
      <c r="F35" s="4">
        <v>167245.76000000001</v>
      </c>
      <c r="G35" s="69" t="s">
        <v>1338</v>
      </c>
      <c r="H35" s="14"/>
      <c r="I35" s="4" t="s">
        <v>252</v>
      </c>
      <c r="J35" s="21"/>
      <c r="K35" s="228"/>
    </row>
    <row r="36" spans="1:16" x14ac:dyDescent="0.25">
      <c r="A36" s="32" t="s">
        <v>129</v>
      </c>
      <c r="B36" s="14">
        <v>43619</v>
      </c>
      <c r="C36" s="13">
        <v>932</v>
      </c>
      <c r="D36" s="32" t="s">
        <v>1143</v>
      </c>
      <c r="E36" s="32" t="s">
        <v>62</v>
      </c>
      <c r="F36" s="4">
        <v>600410.54999999981</v>
      </c>
      <c r="G36" s="69" t="s">
        <v>1339</v>
      </c>
      <c r="H36" s="14"/>
      <c r="I36" s="4" t="s">
        <v>252</v>
      </c>
      <c r="J36" s="21"/>
      <c r="K36" s="228"/>
    </row>
    <row r="37" spans="1:16" ht="13.95" customHeight="1" x14ac:dyDescent="0.25">
      <c r="A37" s="61" t="s">
        <v>1363</v>
      </c>
      <c r="B37" s="14">
        <v>43619</v>
      </c>
      <c r="C37" s="13">
        <v>933</v>
      </c>
      <c r="D37" s="13" t="s">
        <v>632</v>
      </c>
      <c r="E37" s="32" t="s">
        <v>62</v>
      </c>
      <c r="F37" s="4">
        <v>690955.28</v>
      </c>
      <c r="G37" s="86" t="s">
        <v>1364</v>
      </c>
      <c r="H37" s="211"/>
      <c r="I37" s="4" t="s">
        <v>879</v>
      </c>
      <c r="J37" s="21"/>
      <c r="K37" s="228"/>
    </row>
    <row r="38" spans="1:16" x14ac:dyDescent="0.25">
      <c r="A38" s="68" t="s">
        <v>215</v>
      </c>
      <c r="B38" s="14">
        <v>43619</v>
      </c>
      <c r="C38" s="13">
        <v>934</v>
      </c>
      <c r="D38" s="32" t="s">
        <v>420</v>
      </c>
      <c r="E38" s="32" t="s">
        <v>62</v>
      </c>
      <c r="F38" s="4">
        <v>534561.40000000037</v>
      </c>
      <c r="G38" s="86" t="s">
        <v>846</v>
      </c>
      <c r="H38" s="211"/>
      <c r="I38" s="208" t="s">
        <v>980</v>
      </c>
      <c r="J38" s="21"/>
      <c r="K38" s="228"/>
    </row>
    <row r="39" spans="1:16" x14ac:dyDescent="0.25">
      <c r="A39" s="68" t="s">
        <v>215</v>
      </c>
      <c r="B39" s="14">
        <v>43619</v>
      </c>
      <c r="C39" s="13">
        <v>935</v>
      </c>
      <c r="D39" s="32" t="s">
        <v>420</v>
      </c>
      <c r="E39" s="32" t="s">
        <v>62</v>
      </c>
      <c r="F39" s="4">
        <v>193257.53000000003</v>
      </c>
      <c r="G39" s="86" t="s">
        <v>979</v>
      </c>
      <c r="H39" s="211"/>
      <c r="I39" s="208" t="s">
        <v>981</v>
      </c>
      <c r="J39" s="21"/>
      <c r="K39" s="228"/>
    </row>
    <row r="40" spans="1:16" ht="13.95" customHeight="1" x14ac:dyDescent="0.25">
      <c r="A40" s="61" t="s">
        <v>550</v>
      </c>
      <c r="B40" s="14">
        <v>43619</v>
      </c>
      <c r="C40" s="13">
        <v>936</v>
      </c>
      <c r="D40" s="13" t="s">
        <v>352</v>
      </c>
      <c r="E40" s="32" t="s">
        <v>62</v>
      </c>
      <c r="F40" s="4">
        <v>1500000</v>
      </c>
      <c r="G40" s="86" t="s">
        <v>1223</v>
      </c>
      <c r="H40" s="211"/>
      <c r="I40" s="4" t="s">
        <v>218</v>
      </c>
      <c r="J40" s="21"/>
      <c r="K40" s="228"/>
    </row>
    <row r="41" spans="1:16" s="2" customFormat="1" x14ac:dyDescent="0.25">
      <c r="A41" s="13" t="s">
        <v>442</v>
      </c>
      <c r="B41" s="14">
        <v>43619</v>
      </c>
      <c r="C41" s="13">
        <v>937</v>
      </c>
      <c r="D41" s="13" t="s">
        <v>1513</v>
      </c>
      <c r="E41" s="13" t="s">
        <v>62</v>
      </c>
      <c r="F41" s="4">
        <v>168000</v>
      </c>
      <c r="G41" s="28" t="s">
        <v>2819</v>
      </c>
      <c r="H41" s="14">
        <v>43566</v>
      </c>
      <c r="I41" s="4" t="s">
        <v>1396</v>
      </c>
      <c r="J41" s="121"/>
      <c r="K41" s="5"/>
    </row>
    <row r="42" spans="1:16" s="2" customFormat="1" x14ac:dyDescent="0.25">
      <c r="A42" s="61" t="s">
        <v>442</v>
      </c>
      <c r="B42" s="14">
        <v>43619</v>
      </c>
      <c r="C42" s="13">
        <v>938</v>
      </c>
      <c r="D42" s="13" t="s">
        <v>340</v>
      </c>
      <c r="E42" s="13" t="s">
        <v>62</v>
      </c>
      <c r="F42" s="37">
        <v>3200</v>
      </c>
      <c r="G42" s="29" t="s">
        <v>6232</v>
      </c>
      <c r="H42" s="14">
        <v>43571</v>
      </c>
      <c r="I42" s="4" t="s">
        <v>767</v>
      </c>
      <c r="J42" s="121"/>
      <c r="K42" s="5"/>
    </row>
    <row r="43" spans="1:16" x14ac:dyDescent="0.25">
      <c r="A43" s="61" t="s">
        <v>442</v>
      </c>
      <c r="B43" s="14">
        <v>43619</v>
      </c>
      <c r="C43" s="13">
        <v>939</v>
      </c>
      <c r="D43" s="13" t="s">
        <v>1130</v>
      </c>
      <c r="E43" s="13" t="s">
        <v>62</v>
      </c>
      <c r="F43" s="37">
        <v>8040</v>
      </c>
      <c r="G43" s="29" t="s">
        <v>201</v>
      </c>
      <c r="H43" s="14">
        <v>43599</v>
      </c>
      <c r="I43" s="4" t="s">
        <v>1131</v>
      </c>
      <c r="J43" s="128"/>
    </row>
    <row r="44" spans="1:16" ht="15.6" customHeight="1" x14ac:dyDescent="0.25">
      <c r="A44" s="68" t="s">
        <v>310</v>
      </c>
      <c r="B44" s="14">
        <v>43619</v>
      </c>
      <c r="C44" s="13" t="s">
        <v>8488</v>
      </c>
      <c r="D44" s="32" t="s">
        <v>506</v>
      </c>
      <c r="E44" s="32" t="s">
        <v>958</v>
      </c>
      <c r="F44" s="4">
        <v>2000000</v>
      </c>
      <c r="G44" s="86" t="s">
        <v>4432</v>
      </c>
      <c r="H44" s="211"/>
      <c r="I44" s="84" t="s">
        <v>220</v>
      </c>
      <c r="J44" s="21"/>
      <c r="K44" s="228"/>
    </row>
    <row r="45" spans="1:16" ht="27.6" x14ac:dyDescent="0.25">
      <c r="A45" s="32" t="s">
        <v>455</v>
      </c>
      <c r="B45" s="14">
        <v>43619</v>
      </c>
      <c r="C45" s="67">
        <v>565</v>
      </c>
      <c r="D45" s="32" t="s">
        <v>7224</v>
      </c>
      <c r="E45" s="13" t="s">
        <v>958</v>
      </c>
      <c r="F45" s="4">
        <v>120000</v>
      </c>
      <c r="G45" s="67">
        <v>267</v>
      </c>
      <c r="H45" s="14">
        <v>43613</v>
      </c>
      <c r="I45" s="4" t="s">
        <v>8332</v>
      </c>
      <c r="J45" s="21"/>
      <c r="K45" s="228"/>
    </row>
    <row r="46" spans="1:16" ht="13.8" customHeight="1" x14ac:dyDescent="0.25">
      <c r="A46" s="32" t="s">
        <v>311</v>
      </c>
      <c r="B46" s="14">
        <v>43619</v>
      </c>
      <c r="C46" s="13">
        <v>566</v>
      </c>
      <c r="D46" s="32" t="s">
        <v>181</v>
      </c>
      <c r="E46" s="32" t="s">
        <v>958</v>
      </c>
      <c r="F46" s="4">
        <v>16800</v>
      </c>
      <c r="G46" s="29" t="s">
        <v>4079</v>
      </c>
      <c r="H46" s="14">
        <v>43577</v>
      </c>
      <c r="I46" s="4" t="s">
        <v>102</v>
      </c>
      <c r="J46" s="21"/>
      <c r="K46" s="228"/>
    </row>
    <row r="47" spans="1:16" x14ac:dyDescent="0.25">
      <c r="A47" s="13" t="s">
        <v>637</v>
      </c>
      <c r="B47" s="14">
        <v>43619</v>
      </c>
      <c r="C47" s="13" t="s">
        <v>8489</v>
      </c>
      <c r="D47" s="13" t="s">
        <v>1947</v>
      </c>
      <c r="E47" s="13" t="s">
        <v>691</v>
      </c>
      <c r="F47" s="4">
        <v>3000000</v>
      </c>
      <c r="G47" s="69" t="s">
        <v>1948</v>
      </c>
      <c r="H47" s="14"/>
      <c r="I47" s="4" t="s">
        <v>315</v>
      </c>
      <c r="J47" s="62"/>
      <c r="K47" s="62"/>
      <c r="L47" s="35"/>
      <c r="M47" s="35"/>
      <c r="N47" s="35"/>
      <c r="O47" s="35"/>
      <c r="P47" s="35"/>
    </row>
    <row r="48" spans="1:16" s="2" customFormat="1" x14ac:dyDescent="0.25">
      <c r="A48" s="61" t="s">
        <v>1350</v>
      </c>
      <c r="B48" s="14">
        <v>43619</v>
      </c>
      <c r="C48" s="13">
        <v>414</v>
      </c>
      <c r="D48" s="13" t="s">
        <v>340</v>
      </c>
      <c r="E48" s="13" t="s">
        <v>691</v>
      </c>
      <c r="F48" s="37">
        <v>7200</v>
      </c>
      <c r="G48" s="29" t="s">
        <v>251</v>
      </c>
      <c r="H48" s="14">
        <v>43571</v>
      </c>
      <c r="I48" s="4" t="s">
        <v>1346</v>
      </c>
      <c r="J48" s="121"/>
      <c r="K48" s="5"/>
    </row>
    <row r="49" spans="1:12" x14ac:dyDescent="0.25">
      <c r="A49" s="13" t="s">
        <v>637</v>
      </c>
      <c r="B49" s="14">
        <v>43619</v>
      </c>
      <c r="C49" s="13">
        <v>415</v>
      </c>
      <c r="D49" s="13" t="s">
        <v>7440</v>
      </c>
      <c r="E49" s="13" t="s">
        <v>691</v>
      </c>
      <c r="F49" s="4">
        <v>10600</v>
      </c>
      <c r="G49" s="28" t="s">
        <v>3390</v>
      </c>
      <c r="H49" s="14">
        <v>43584</v>
      </c>
      <c r="I49" s="4" t="s">
        <v>7441</v>
      </c>
      <c r="J49" s="128"/>
    </row>
    <row r="50" spans="1:12" x14ac:dyDescent="0.25">
      <c r="A50" s="61" t="s">
        <v>741</v>
      </c>
      <c r="B50" s="14">
        <v>43619</v>
      </c>
      <c r="C50" s="13">
        <v>592</v>
      </c>
      <c r="D50" s="13" t="s">
        <v>6123</v>
      </c>
      <c r="E50" s="13" t="s">
        <v>434</v>
      </c>
      <c r="F50" s="37">
        <v>171120</v>
      </c>
      <c r="G50" s="29" t="s">
        <v>8276</v>
      </c>
      <c r="H50" s="14">
        <v>43612</v>
      </c>
      <c r="I50" s="4" t="s">
        <v>8277</v>
      </c>
      <c r="J50" s="128"/>
    </row>
    <row r="51" spans="1:12" x14ac:dyDescent="0.25">
      <c r="A51" s="61" t="s">
        <v>741</v>
      </c>
      <c r="B51" s="14">
        <v>43619</v>
      </c>
      <c r="C51" s="13">
        <v>593</v>
      </c>
      <c r="D51" s="13" t="s">
        <v>8278</v>
      </c>
      <c r="E51" s="13" t="s">
        <v>434</v>
      </c>
      <c r="F51" s="37">
        <v>34800</v>
      </c>
      <c r="G51" s="29" t="s">
        <v>480</v>
      </c>
      <c r="H51" s="14">
        <v>43557</v>
      </c>
      <c r="I51" s="4" t="s">
        <v>8279</v>
      </c>
      <c r="J51" s="128"/>
    </row>
    <row r="52" spans="1:12" x14ac:dyDescent="0.25">
      <c r="A52" s="61" t="s">
        <v>741</v>
      </c>
      <c r="B52" s="14">
        <v>43619</v>
      </c>
      <c r="C52" s="13">
        <v>594</v>
      </c>
      <c r="D52" s="13" t="s">
        <v>8278</v>
      </c>
      <c r="E52" s="13" t="s">
        <v>434</v>
      </c>
      <c r="F52" s="37">
        <v>164148</v>
      </c>
      <c r="G52" s="29" t="s">
        <v>3813</v>
      </c>
      <c r="H52" s="14">
        <v>43565</v>
      </c>
      <c r="I52" s="4" t="s">
        <v>8355</v>
      </c>
      <c r="J52" s="128"/>
    </row>
    <row r="53" spans="1:12" ht="15" customHeight="1" x14ac:dyDescent="0.25">
      <c r="A53" s="68" t="s">
        <v>206</v>
      </c>
      <c r="B53" s="14">
        <v>43619</v>
      </c>
      <c r="C53" s="67">
        <v>92</v>
      </c>
      <c r="D53" s="32" t="s">
        <v>156</v>
      </c>
      <c r="E53" s="32" t="s">
        <v>178</v>
      </c>
      <c r="F53" s="4">
        <f>549210.36-508707.41</f>
        <v>40502.950000000012</v>
      </c>
      <c r="G53" s="28" t="s">
        <v>8245</v>
      </c>
      <c r="H53" s="14">
        <v>43592</v>
      </c>
      <c r="I53" s="4" t="s">
        <v>362</v>
      </c>
      <c r="J53" s="166" t="s">
        <v>771</v>
      </c>
      <c r="K53" s="167"/>
      <c r="L53" s="35"/>
    </row>
    <row r="54" spans="1:12" ht="15" customHeight="1" x14ac:dyDescent="0.25">
      <c r="A54" s="68" t="s">
        <v>151</v>
      </c>
      <c r="B54" s="14">
        <v>43619</v>
      </c>
      <c r="C54" s="67">
        <v>628</v>
      </c>
      <c r="D54" s="32" t="s">
        <v>8490</v>
      </c>
      <c r="E54" s="32" t="s">
        <v>60</v>
      </c>
      <c r="F54" s="4">
        <v>195095.61</v>
      </c>
      <c r="G54" s="70" t="s">
        <v>8491</v>
      </c>
      <c r="H54" s="14">
        <v>43612</v>
      </c>
      <c r="I54" s="4" t="s">
        <v>512</v>
      </c>
      <c r="J54" s="166"/>
      <c r="K54" s="167"/>
      <c r="L54" s="35"/>
    </row>
    <row r="55" spans="1:12" ht="15" customHeight="1" x14ac:dyDescent="0.25">
      <c r="A55" s="68" t="s">
        <v>151</v>
      </c>
      <c r="B55" s="14">
        <v>43619</v>
      </c>
      <c r="C55" s="67">
        <v>629</v>
      </c>
      <c r="D55" s="32" t="s">
        <v>8490</v>
      </c>
      <c r="E55" s="32" t="s">
        <v>60</v>
      </c>
      <c r="F55" s="4">
        <v>80000</v>
      </c>
      <c r="G55" s="70" t="s">
        <v>8492</v>
      </c>
      <c r="H55" s="14">
        <v>43507</v>
      </c>
      <c r="I55" s="4" t="s">
        <v>512</v>
      </c>
      <c r="J55" s="166"/>
      <c r="K55" s="167"/>
      <c r="L55" s="35"/>
    </row>
    <row r="56" spans="1:12" x14ac:dyDescent="0.25">
      <c r="A56" s="68" t="s">
        <v>151</v>
      </c>
      <c r="B56" s="14">
        <v>43619</v>
      </c>
      <c r="C56" s="13">
        <v>2</v>
      </c>
      <c r="D56" s="32" t="s">
        <v>2899</v>
      </c>
      <c r="E56" s="32" t="s">
        <v>7976</v>
      </c>
      <c r="F56" s="209">
        <v>4000</v>
      </c>
      <c r="G56" s="210" t="s">
        <v>8493</v>
      </c>
      <c r="H56" s="211">
        <v>43619</v>
      </c>
      <c r="I56" s="208" t="s">
        <v>4399</v>
      </c>
      <c r="J56" s="21"/>
      <c r="K56" s="228"/>
    </row>
    <row r="57" spans="1:12" x14ac:dyDescent="0.25">
      <c r="A57" s="68" t="s">
        <v>151</v>
      </c>
      <c r="B57" s="14">
        <v>43619</v>
      </c>
      <c r="C57" s="13">
        <v>1</v>
      </c>
      <c r="D57" s="32" t="s">
        <v>2899</v>
      </c>
      <c r="E57" s="32" t="s">
        <v>8494</v>
      </c>
      <c r="F57" s="209">
        <v>4000</v>
      </c>
      <c r="G57" s="210" t="s">
        <v>8495</v>
      </c>
      <c r="H57" s="211">
        <v>43619</v>
      </c>
      <c r="I57" s="208" t="s">
        <v>4399</v>
      </c>
      <c r="J57" s="21"/>
      <c r="K57" s="228"/>
    </row>
    <row r="58" spans="1:12" x14ac:dyDescent="0.25">
      <c r="A58" s="13" t="s">
        <v>55</v>
      </c>
      <c r="B58" s="14">
        <v>43620</v>
      </c>
      <c r="C58" s="13">
        <v>902</v>
      </c>
      <c r="D58" s="32" t="s">
        <v>228</v>
      </c>
      <c r="E58" s="32" t="s">
        <v>130</v>
      </c>
      <c r="F58" s="4">
        <v>105000</v>
      </c>
      <c r="G58" s="86" t="s">
        <v>7844</v>
      </c>
      <c r="H58" s="14"/>
      <c r="I58" s="41" t="s">
        <v>229</v>
      </c>
      <c r="J58" s="21"/>
      <c r="K58" s="228"/>
    </row>
    <row r="59" spans="1:12" x14ac:dyDescent="0.25">
      <c r="A59" s="61" t="s">
        <v>55</v>
      </c>
      <c r="B59" s="14">
        <v>43620</v>
      </c>
      <c r="C59" s="13">
        <v>903</v>
      </c>
      <c r="D59" s="13" t="s">
        <v>679</v>
      </c>
      <c r="E59" s="32" t="s">
        <v>130</v>
      </c>
      <c r="F59" s="4">
        <v>1304072</v>
      </c>
      <c r="G59" s="86" t="s">
        <v>1797</v>
      </c>
      <c r="H59" s="211"/>
      <c r="I59" s="4" t="s">
        <v>1798</v>
      </c>
      <c r="J59" s="21"/>
      <c r="K59" s="228"/>
    </row>
    <row r="60" spans="1:12" x14ac:dyDescent="0.25">
      <c r="A60" s="61" t="s">
        <v>91</v>
      </c>
      <c r="B60" s="14">
        <v>43620</v>
      </c>
      <c r="C60" s="13">
        <v>904</v>
      </c>
      <c r="D60" s="13" t="s">
        <v>679</v>
      </c>
      <c r="E60" s="32" t="s">
        <v>130</v>
      </c>
      <c r="F60" s="4">
        <v>1595000</v>
      </c>
      <c r="G60" s="86" t="s">
        <v>5956</v>
      </c>
      <c r="H60" s="211"/>
      <c r="I60" s="4" t="s">
        <v>270</v>
      </c>
      <c r="J60" s="21"/>
      <c r="K60" s="228"/>
    </row>
    <row r="61" spans="1:12" ht="13.95" customHeight="1" x14ac:dyDescent="0.25">
      <c r="A61" s="32" t="s">
        <v>90</v>
      </c>
      <c r="B61" s="14">
        <v>43620</v>
      </c>
      <c r="C61" s="13">
        <v>905</v>
      </c>
      <c r="D61" s="13" t="s">
        <v>513</v>
      </c>
      <c r="E61" s="32" t="s">
        <v>130</v>
      </c>
      <c r="F61" s="4">
        <v>500000</v>
      </c>
      <c r="G61" s="86" t="s">
        <v>1946</v>
      </c>
      <c r="H61" s="14"/>
      <c r="I61" s="4" t="s">
        <v>315</v>
      </c>
      <c r="J61" s="21"/>
      <c r="K61" s="228"/>
    </row>
    <row r="62" spans="1:12" ht="27.6" x14ac:dyDescent="0.25">
      <c r="A62" s="32" t="s">
        <v>151</v>
      </c>
      <c r="B62" s="14">
        <v>43620</v>
      </c>
      <c r="C62" s="67">
        <v>418</v>
      </c>
      <c r="D62" s="32" t="s">
        <v>7698</v>
      </c>
      <c r="E62" s="32" t="s">
        <v>691</v>
      </c>
      <c r="F62" s="4">
        <v>1286</v>
      </c>
      <c r="G62" s="29" t="s">
        <v>3234</v>
      </c>
      <c r="H62" s="14">
        <v>43616</v>
      </c>
      <c r="I62" s="4" t="s">
        <v>7699</v>
      </c>
      <c r="J62" s="166"/>
      <c r="K62" s="167"/>
      <c r="L62" s="35"/>
    </row>
    <row r="63" spans="1:12" ht="27.6" x14ac:dyDescent="0.25">
      <c r="A63" s="32" t="s">
        <v>55</v>
      </c>
      <c r="B63" s="14">
        <v>43620</v>
      </c>
      <c r="C63" s="67">
        <v>912</v>
      </c>
      <c r="D63" s="32" t="s">
        <v>373</v>
      </c>
      <c r="E63" s="32" t="s">
        <v>1427</v>
      </c>
      <c r="F63" s="4">
        <v>417431</v>
      </c>
      <c r="G63" s="28" t="s">
        <v>7236</v>
      </c>
      <c r="H63" s="14">
        <v>43546</v>
      </c>
      <c r="I63" s="4" t="s">
        <v>7237</v>
      </c>
      <c r="J63" s="166" t="s">
        <v>366</v>
      </c>
      <c r="K63" s="167"/>
      <c r="L63" s="35"/>
    </row>
    <row r="64" spans="1:12" ht="27.6" x14ac:dyDescent="0.25">
      <c r="A64" s="32" t="s">
        <v>55</v>
      </c>
      <c r="B64" s="14">
        <v>43620</v>
      </c>
      <c r="C64" s="67">
        <v>913</v>
      </c>
      <c r="D64" s="32" t="s">
        <v>373</v>
      </c>
      <c r="E64" s="32" t="s">
        <v>1427</v>
      </c>
      <c r="F64" s="4">
        <v>180314.02</v>
      </c>
      <c r="G64" s="28" t="s">
        <v>7240</v>
      </c>
      <c r="H64" s="14">
        <v>43546</v>
      </c>
      <c r="I64" s="4" t="s">
        <v>7238</v>
      </c>
      <c r="J64" s="166" t="s">
        <v>366</v>
      </c>
      <c r="K64" s="167"/>
      <c r="L64" s="35"/>
    </row>
    <row r="65" spans="1:12" ht="27.6" x14ac:dyDescent="0.25">
      <c r="A65" s="32" t="s">
        <v>55</v>
      </c>
      <c r="B65" s="14">
        <v>43620</v>
      </c>
      <c r="C65" s="67">
        <v>914</v>
      </c>
      <c r="D65" s="32" t="s">
        <v>373</v>
      </c>
      <c r="E65" s="32" t="s">
        <v>1427</v>
      </c>
      <c r="F65" s="4">
        <v>209041.18</v>
      </c>
      <c r="G65" s="28" t="s">
        <v>7241</v>
      </c>
      <c r="H65" s="14">
        <v>43546</v>
      </c>
      <c r="I65" s="4" t="s">
        <v>7239</v>
      </c>
      <c r="J65" s="166" t="s">
        <v>366</v>
      </c>
      <c r="K65" s="167"/>
      <c r="L65" s="35"/>
    </row>
    <row r="66" spans="1:12" x14ac:dyDescent="0.25">
      <c r="A66" s="61" t="s">
        <v>460</v>
      </c>
      <c r="B66" s="14">
        <v>43620</v>
      </c>
      <c r="C66" s="13">
        <v>136</v>
      </c>
      <c r="D66" s="14" t="s">
        <v>6239</v>
      </c>
      <c r="E66" s="32" t="s">
        <v>483</v>
      </c>
      <c r="F66" s="4">
        <v>46574</v>
      </c>
      <c r="G66" s="86" t="s">
        <v>6240</v>
      </c>
      <c r="H66" s="211"/>
      <c r="I66" s="326"/>
      <c r="K66" s="62"/>
    </row>
    <row r="67" spans="1:12" x14ac:dyDescent="0.25">
      <c r="A67" s="61" t="s">
        <v>460</v>
      </c>
      <c r="B67" s="14">
        <v>43620</v>
      </c>
      <c r="C67" s="13">
        <v>137</v>
      </c>
      <c r="D67" s="14" t="s">
        <v>6241</v>
      </c>
      <c r="E67" s="32" t="s">
        <v>483</v>
      </c>
      <c r="F67" s="4">
        <v>67023</v>
      </c>
      <c r="G67" s="86" t="s">
        <v>6242</v>
      </c>
      <c r="H67" s="211"/>
      <c r="I67" s="326"/>
      <c r="K67" s="62"/>
    </row>
    <row r="68" spans="1:12" x14ac:dyDescent="0.25">
      <c r="A68" s="61" t="s">
        <v>460</v>
      </c>
      <c r="B68" s="14">
        <v>43620</v>
      </c>
      <c r="C68" s="13">
        <v>138</v>
      </c>
      <c r="D68" s="14" t="s">
        <v>6243</v>
      </c>
      <c r="E68" s="32" t="s">
        <v>483</v>
      </c>
      <c r="F68" s="4">
        <v>33608</v>
      </c>
      <c r="G68" s="86" t="s">
        <v>6244</v>
      </c>
      <c r="H68" s="211"/>
      <c r="I68" s="326"/>
      <c r="K68" s="62"/>
    </row>
    <row r="69" spans="1:12" x14ac:dyDescent="0.25">
      <c r="A69" s="61" t="s">
        <v>460</v>
      </c>
      <c r="B69" s="14">
        <v>43620</v>
      </c>
      <c r="C69" s="13">
        <v>139</v>
      </c>
      <c r="D69" s="14" t="s">
        <v>6335</v>
      </c>
      <c r="E69" s="32" t="s">
        <v>483</v>
      </c>
      <c r="F69" s="4">
        <v>54826</v>
      </c>
      <c r="G69" s="86" t="s">
        <v>6333</v>
      </c>
      <c r="H69" s="211"/>
      <c r="I69" s="326"/>
      <c r="K69" s="62"/>
    </row>
    <row r="70" spans="1:12" x14ac:dyDescent="0.25">
      <c r="A70" s="61" t="s">
        <v>460</v>
      </c>
      <c r="B70" s="14">
        <v>43620</v>
      </c>
      <c r="C70" s="13">
        <v>140</v>
      </c>
      <c r="D70" s="14" t="s">
        <v>6334</v>
      </c>
      <c r="E70" s="32" t="s">
        <v>483</v>
      </c>
      <c r="F70" s="4">
        <v>36976</v>
      </c>
      <c r="G70" s="86" t="s">
        <v>6336</v>
      </c>
      <c r="H70" s="211"/>
      <c r="I70" s="326"/>
      <c r="K70" s="62"/>
    </row>
    <row r="71" spans="1:12" x14ac:dyDescent="0.25">
      <c r="A71" s="61" t="s">
        <v>460</v>
      </c>
      <c r="B71" s="14">
        <v>43712</v>
      </c>
      <c r="C71" s="13">
        <v>709</v>
      </c>
      <c r="D71" s="14" t="s">
        <v>6280</v>
      </c>
      <c r="E71" s="32" t="s">
        <v>1121</v>
      </c>
      <c r="F71" s="4">
        <v>77100</v>
      </c>
      <c r="G71" s="86" t="s">
        <v>6281</v>
      </c>
      <c r="H71" s="211"/>
      <c r="I71" s="326"/>
      <c r="K71" s="62"/>
    </row>
    <row r="72" spans="1:12" x14ac:dyDescent="0.25">
      <c r="A72" s="61" t="s">
        <v>460</v>
      </c>
      <c r="B72" s="14">
        <v>43620</v>
      </c>
      <c r="C72" s="13">
        <v>710</v>
      </c>
      <c r="D72" s="14" t="s">
        <v>6331</v>
      </c>
      <c r="E72" s="32" t="s">
        <v>1121</v>
      </c>
      <c r="F72" s="4">
        <v>35528</v>
      </c>
      <c r="G72" s="86" t="s">
        <v>6332</v>
      </c>
      <c r="H72" s="211"/>
      <c r="I72" s="326"/>
      <c r="K72" s="62"/>
    </row>
    <row r="73" spans="1:12" ht="15" customHeight="1" x14ac:dyDescent="0.25">
      <c r="A73" s="13" t="s">
        <v>184</v>
      </c>
      <c r="B73" s="14">
        <v>43620</v>
      </c>
      <c r="C73" s="13">
        <v>703</v>
      </c>
      <c r="D73" s="13" t="s">
        <v>348</v>
      </c>
      <c r="E73" s="32" t="s">
        <v>1121</v>
      </c>
      <c r="F73" s="4">
        <v>45540</v>
      </c>
      <c r="G73" s="28" t="s">
        <v>8224</v>
      </c>
      <c r="H73" s="14">
        <v>43606</v>
      </c>
      <c r="I73" s="4" t="s">
        <v>6366</v>
      </c>
      <c r="J73" s="76" t="s">
        <v>8225</v>
      </c>
    </row>
    <row r="74" spans="1:12" ht="15" customHeight="1" x14ac:dyDescent="0.25">
      <c r="A74" s="13" t="s">
        <v>184</v>
      </c>
      <c r="B74" s="14">
        <v>43620</v>
      </c>
      <c r="C74" s="13">
        <v>703</v>
      </c>
      <c r="D74" s="13" t="s">
        <v>348</v>
      </c>
      <c r="E74" s="32" t="s">
        <v>1121</v>
      </c>
      <c r="F74" s="4">
        <v>14178.37</v>
      </c>
      <c r="G74" s="28" t="s">
        <v>8222</v>
      </c>
      <c r="H74" s="14">
        <v>43606</v>
      </c>
      <c r="I74" s="4" t="s">
        <v>1124</v>
      </c>
      <c r="J74" s="76" t="s">
        <v>8223</v>
      </c>
    </row>
    <row r="75" spans="1:12" ht="15" customHeight="1" x14ac:dyDescent="0.25">
      <c r="A75" s="13" t="s">
        <v>184</v>
      </c>
      <c r="B75" s="14">
        <v>43620</v>
      </c>
      <c r="C75" s="13">
        <v>704</v>
      </c>
      <c r="D75" s="13" t="s">
        <v>348</v>
      </c>
      <c r="E75" s="32" t="s">
        <v>1121</v>
      </c>
      <c r="F75" s="4">
        <v>187735.2</v>
      </c>
      <c r="G75" s="28" t="s">
        <v>7900</v>
      </c>
      <c r="H75" s="14">
        <v>43598</v>
      </c>
      <c r="I75" s="4" t="s">
        <v>7901</v>
      </c>
      <c r="J75" s="76" t="s">
        <v>7902</v>
      </c>
    </row>
    <row r="76" spans="1:12" ht="15" customHeight="1" x14ac:dyDescent="0.25">
      <c r="A76" s="13" t="s">
        <v>184</v>
      </c>
      <c r="B76" s="14">
        <v>43620</v>
      </c>
      <c r="C76" s="13">
        <v>704</v>
      </c>
      <c r="D76" s="13" t="s">
        <v>348</v>
      </c>
      <c r="E76" s="32" t="s">
        <v>1121</v>
      </c>
      <c r="F76" s="4">
        <v>100800</v>
      </c>
      <c r="G76" s="28" t="s">
        <v>7903</v>
      </c>
      <c r="H76" s="14">
        <v>43598</v>
      </c>
      <c r="I76" s="4" t="s">
        <v>7904</v>
      </c>
      <c r="J76" s="76" t="s">
        <v>7902</v>
      </c>
    </row>
    <row r="77" spans="1:12" ht="15.6" customHeight="1" x14ac:dyDescent="0.25">
      <c r="A77" s="13" t="s">
        <v>184</v>
      </c>
      <c r="B77" s="14">
        <v>43620</v>
      </c>
      <c r="C77" s="13">
        <v>705</v>
      </c>
      <c r="D77" s="13" t="s">
        <v>444</v>
      </c>
      <c r="E77" s="32" t="s">
        <v>1121</v>
      </c>
      <c r="F77" s="4">
        <f>168000-100000</f>
        <v>68000</v>
      </c>
      <c r="G77" s="28" t="s">
        <v>878</v>
      </c>
      <c r="H77" s="14">
        <v>43560</v>
      </c>
      <c r="I77" s="4" t="s">
        <v>445</v>
      </c>
      <c r="J77" s="76" t="s">
        <v>4150</v>
      </c>
    </row>
    <row r="78" spans="1:12" x14ac:dyDescent="0.25">
      <c r="A78" s="13" t="s">
        <v>184</v>
      </c>
      <c r="B78" s="14">
        <v>43620</v>
      </c>
      <c r="C78" s="13">
        <v>706</v>
      </c>
      <c r="D78" s="13" t="s">
        <v>6568</v>
      </c>
      <c r="E78" s="32" t="s">
        <v>1121</v>
      </c>
      <c r="F78" s="4">
        <f>455040-322000</f>
        <v>133040</v>
      </c>
      <c r="G78" s="28" t="s">
        <v>7211</v>
      </c>
      <c r="H78" s="14">
        <v>43563</v>
      </c>
      <c r="I78" s="4" t="s">
        <v>6574</v>
      </c>
      <c r="J78" s="76" t="s">
        <v>1386</v>
      </c>
    </row>
    <row r="79" spans="1:12" ht="27.6" x14ac:dyDescent="0.25">
      <c r="A79" s="13" t="s">
        <v>184</v>
      </c>
      <c r="B79" s="14">
        <v>43620</v>
      </c>
      <c r="C79" s="13">
        <v>707</v>
      </c>
      <c r="D79" s="13" t="s">
        <v>5844</v>
      </c>
      <c r="E79" s="32" t="s">
        <v>1121</v>
      </c>
      <c r="F79" s="4">
        <v>112500</v>
      </c>
      <c r="G79" s="28" t="s">
        <v>480</v>
      </c>
      <c r="H79" s="14">
        <v>43602</v>
      </c>
      <c r="I79" s="4" t="s">
        <v>795</v>
      </c>
      <c r="J79" s="125" t="s">
        <v>1386</v>
      </c>
    </row>
    <row r="80" spans="1:12" x14ac:dyDescent="0.25">
      <c r="A80" s="13" t="s">
        <v>184</v>
      </c>
      <c r="B80" s="14">
        <v>43620</v>
      </c>
      <c r="C80" s="13">
        <v>708</v>
      </c>
      <c r="D80" s="13" t="s">
        <v>2340</v>
      </c>
      <c r="E80" s="32" t="s">
        <v>1121</v>
      </c>
      <c r="F80" s="4">
        <v>158325.6</v>
      </c>
      <c r="G80" s="28" t="s">
        <v>3609</v>
      </c>
      <c r="H80" s="14">
        <v>43585</v>
      </c>
      <c r="I80" s="4" t="s">
        <v>2342</v>
      </c>
      <c r="J80" s="76" t="s">
        <v>7899</v>
      </c>
    </row>
    <row r="81" spans="1:19" x14ac:dyDescent="0.25">
      <c r="A81" s="13" t="s">
        <v>184</v>
      </c>
      <c r="B81" s="14">
        <v>43620</v>
      </c>
      <c r="C81" s="13">
        <v>455</v>
      </c>
      <c r="D81" s="13" t="s">
        <v>781</v>
      </c>
      <c r="E81" s="13" t="s">
        <v>144</v>
      </c>
      <c r="F81" s="37">
        <v>16000</v>
      </c>
      <c r="G81" s="29" t="s">
        <v>2911</v>
      </c>
      <c r="H81" s="14">
        <v>43581</v>
      </c>
      <c r="I81" s="4" t="s">
        <v>782</v>
      </c>
      <c r="J81" s="128" t="s">
        <v>1386</v>
      </c>
    </row>
    <row r="82" spans="1:19" x14ac:dyDescent="0.25">
      <c r="A82" s="13" t="s">
        <v>184</v>
      </c>
      <c r="B82" s="14">
        <v>43620</v>
      </c>
      <c r="C82" s="13">
        <v>455</v>
      </c>
      <c r="D82" s="13" t="s">
        <v>781</v>
      </c>
      <c r="E82" s="13" t="s">
        <v>144</v>
      </c>
      <c r="F82" s="37">
        <v>24000</v>
      </c>
      <c r="G82" s="29" t="s">
        <v>1313</v>
      </c>
      <c r="H82" s="14">
        <v>43581</v>
      </c>
      <c r="I82" s="4" t="s">
        <v>934</v>
      </c>
      <c r="J82" s="128" t="s">
        <v>1386</v>
      </c>
    </row>
    <row r="83" spans="1:19" x14ac:dyDescent="0.25">
      <c r="A83" s="13" t="s">
        <v>184</v>
      </c>
      <c r="B83" s="14">
        <v>43620</v>
      </c>
      <c r="C83" s="13">
        <v>455</v>
      </c>
      <c r="D83" s="13" t="s">
        <v>781</v>
      </c>
      <c r="E83" s="13" t="s">
        <v>144</v>
      </c>
      <c r="F83" s="37">
        <v>24000</v>
      </c>
      <c r="G83" s="29" t="s">
        <v>730</v>
      </c>
      <c r="H83" s="14">
        <v>43581</v>
      </c>
      <c r="I83" s="4" t="s">
        <v>934</v>
      </c>
      <c r="J83" s="128" t="s">
        <v>1386</v>
      </c>
    </row>
    <row r="84" spans="1:19" s="192" customFormat="1" x14ac:dyDescent="0.25">
      <c r="A84" s="147" t="s">
        <v>242</v>
      </c>
      <c r="B84" s="14">
        <v>43620</v>
      </c>
      <c r="C84" s="195">
        <v>456</v>
      </c>
      <c r="D84" s="149" t="s">
        <v>784</v>
      </c>
      <c r="E84" s="147" t="s">
        <v>144</v>
      </c>
      <c r="F84" s="158">
        <v>926805.8</v>
      </c>
      <c r="G84" s="150" t="s">
        <v>1154</v>
      </c>
      <c r="H84" s="148">
        <v>43616</v>
      </c>
      <c r="I84" s="149" t="s">
        <v>143</v>
      </c>
      <c r="J84" s="193"/>
      <c r="K84" s="194"/>
      <c r="L84" s="190"/>
    </row>
    <row r="85" spans="1:19" s="192" customFormat="1" ht="14.85" customHeight="1" x14ac:dyDescent="0.25">
      <c r="A85" s="147" t="s">
        <v>242</v>
      </c>
      <c r="B85" s="14">
        <v>43620</v>
      </c>
      <c r="C85" s="195">
        <v>458</v>
      </c>
      <c r="D85" s="149" t="s">
        <v>1816</v>
      </c>
      <c r="E85" s="147" t="s">
        <v>144</v>
      </c>
      <c r="F85" s="158">
        <v>68571.360000000001</v>
      </c>
      <c r="G85" s="150" t="s">
        <v>2933</v>
      </c>
      <c r="H85" s="148">
        <v>43592</v>
      </c>
      <c r="I85" s="149" t="s">
        <v>143</v>
      </c>
      <c r="J85" s="190"/>
    </row>
    <row r="86" spans="1:19" s="192" customFormat="1" ht="27.6" x14ac:dyDescent="0.25">
      <c r="A86" s="147" t="s">
        <v>92</v>
      </c>
      <c r="B86" s="14">
        <v>43620</v>
      </c>
      <c r="C86" s="187">
        <v>910</v>
      </c>
      <c r="D86" s="233" t="s">
        <v>737</v>
      </c>
      <c r="E86" s="147" t="s">
        <v>7168</v>
      </c>
      <c r="F86" s="158">
        <f>23524.54</f>
        <v>23524.54</v>
      </c>
      <c r="G86" s="264" t="s">
        <v>1163</v>
      </c>
      <c r="H86" s="151"/>
      <c r="I86" s="233" t="s">
        <v>1249</v>
      </c>
      <c r="J86" s="257" t="s">
        <v>1386</v>
      </c>
      <c r="K86" s="194"/>
      <c r="L86" s="190"/>
    </row>
    <row r="87" spans="1:19" s="192" customFormat="1" ht="27.6" x14ac:dyDescent="0.25">
      <c r="A87" s="147" t="s">
        <v>92</v>
      </c>
      <c r="B87" s="164">
        <v>43620</v>
      </c>
      <c r="C87" s="187">
        <v>911</v>
      </c>
      <c r="D87" s="233" t="s">
        <v>737</v>
      </c>
      <c r="E87" s="147" t="s">
        <v>7168</v>
      </c>
      <c r="F87" s="158">
        <v>38399.94</v>
      </c>
      <c r="G87" s="264" t="s">
        <v>1184</v>
      </c>
      <c r="H87" s="151">
        <v>43109</v>
      </c>
      <c r="I87" s="233" t="s">
        <v>1250</v>
      </c>
      <c r="J87" s="257" t="s">
        <v>1386</v>
      </c>
      <c r="K87" s="194"/>
      <c r="L87" s="190"/>
    </row>
    <row r="88" spans="1:19" s="115" customFormat="1" ht="15" customHeight="1" x14ac:dyDescent="0.25">
      <c r="A88" s="13" t="s">
        <v>310</v>
      </c>
      <c r="B88" s="14">
        <v>43620</v>
      </c>
      <c r="C88" s="13">
        <v>168</v>
      </c>
      <c r="D88" s="13" t="s">
        <v>3269</v>
      </c>
      <c r="E88" s="13" t="s">
        <v>314</v>
      </c>
      <c r="F88" s="37">
        <v>60000</v>
      </c>
      <c r="G88" s="29" t="s">
        <v>7601</v>
      </c>
      <c r="H88" s="14">
        <v>43579</v>
      </c>
      <c r="I88" s="4" t="s">
        <v>1150</v>
      </c>
      <c r="J88" s="71"/>
      <c r="K88" s="116"/>
      <c r="L88" s="116"/>
      <c r="M88" s="116"/>
      <c r="N88" s="116"/>
      <c r="O88" s="117"/>
      <c r="P88" s="117"/>
      <c r="Q88" s="117"/>
      <c r="R88" s="117"/>
      <c r="S88" s="117"/>
    </row>
    <row r="89" spans="1:19" ht="15" customHeight="1" x14ac:dyDescent="0.25">
      <c r="A89" s="68" t="s">
        <v>310</v>
      </c>
      <c r="B89" s="14">
        <v>43620</v>
      </c>
      <c r="C89" s="13">
        <v>169</v>
      </c>
      <c r="D89" s="32" t="s">
        <v>281</v>
      </c>
      <c r="E89" s="32" t="s">
        <v>314</v>
      </c>
      <c r="F89" s="4">
        <v>207618</v>
      </c>
      <c r="G89" s="29" t="s">
        <v>7632</v>
      </c>
      <c r="H89" s="14">
        <v>43598</v>
      </c>
      <c r="I89" s="41" t="s">
        <v>852</v>
      </c>
      <c r="J89" s="35" t="s">
        <v>526</v>
      </c>
      <c r="K89" s="35"/>
      <c r="L89" s="35"/>
    </row>
    <row r="90" spans="1:19" s="129" customFormat="1" x14ac:dyDescent="0.25">
      <c r="A90" s="13" t="s">
        <v>151</v>
      </c>
      <c r="B90" s="14">
        <v>43620</v>
      </c>
      <c r="C90" s="28" t="s">
        <v>1265</v>
      </c>
      <c r="D90" s="13" t="s">
        <v>1836</v>
      </c>
      <c r="E90" s="32" t="s">
        <v>175</v>
      </c>
      <c r="F90" s="4">
        <v>29640</v>
      </c>
      <c r="G90" s="28" t="s">
        <v>1700</v>
      </c>
      <c r="H90" s="14"/>
      <c r="I90" s="4" t="s">
        <v>1835</v>
      </c>
      <c r="J90" s="22" t="s">
        <v>526</v>
      </c>
      <c r="K90" s="136"/>
    </row>
    <row r="91" spans="1:19" ht="15" customHeight="1" x14ac:dyDescent="0.25">
      <c r="A91" s="61" t="s">
        <v>1934</v>
      </c>
      <c r="B91" s="14">
        <v>43620</v>
      </c>
      <c r="C91" s="13">
        <v>491</v>
      </c>
      <c r="D91" s="32" t="s">
        <v>281</v>
      </c>
      <c r="E91" s="32" t="s">
        <v>136</v>
      </c>
      <c r="F91" s="4">
        <v>379264</v>
      </c>
      <c r="G91" s="29" t="s">
        <v>7642</v>
      </c>
      <c r="H91" s="14">
        <v>43598</v>
      </c>
      <c r="I91" s="41" t="s">
        <v>852</v>
      </c>
      <c r="J91" s="35" t="s">
        <v>526</v>
      </c>
      <c r="K91" s="35"/>
      <c r="L91" s="35"/>
    </row>
    <row r="92" spans="1:19" ht="15" customHeight="1" x14ac:dyDescent="0.25">
      <c r="A92" s="68" t="s">
        <v>206</v>
      </c>
      <c r="B92" s="14">
        <v>43620</v>
      </c>
      <c r="C92" s="13">
        <v>94</v>
      </c>
      <c r="D92" s="32" t="s">
        <v>281</v>
      </c>
      <c r="E92" s="32" t="s">
        <v>178</v>
      </c>
      <c r="F92" s="4">
        <v>9995</v>
      </c>
      <c r="G92" s="29" t="s">
        <v>7639</v>
      </c>
      <c r="H92" s="14">
        <v>43598</v>
      </c>
      <c r="I92" s="41" t="s">
        <v>852</v>
      </c>
      <c r="J92" s="35" t="s">
        <v>526</v>
      </c>
      <c r="K92" s="35"/>
      <c r="L92" s="35"/>
    </row>
    <row r="93" spans="1:19" ht="15" customHeight="1" x14ac:dyDescent="0.25">
      <c r="A93" s="68" t="s">
        <v>455</v>
      </c>
      <c r="B93" s="14">
        <v>43620</v>
      </c>
      <c r="C93" s="13">
        <v>361</v>
      </c>
      <c r="D93" s="32" t="s">
        <v>281</v>
      </c>
      <c r="E93" s="32" t="s">
        <v>440</v>
      </c>
      <c r="F93" s="4">
        <v>169229</v>
      </c>
      <c r="G93" s="29" t="s">
        <v>7636</v>
      </c>
      <c r="H93" s="14">
        <v>43600</v>
      </c>
      <c r="I93" s="41" t="s">
        <v>852</v>
      </c>
      <c r="J93" s="35" t="s">
        <v>526</v>
      </c>
      <c r="K93" s="35"/>
      <c r="L93" s="35"/>
    </row>
    <row r="94" spans="1:19" s="115" customFormat="1" ht="15.6" x14ac:dyDescent="0.25">
      <c r="A94" s="13" t="s">
        <v>637</v>
      </c>
      <c r="B94" s="14">
        <v>43620</v>
      </c>
      <c r="C94" s="13">
        <v>595</v>
      </c>
      <c r="D94" s="13" t="s">
        <v>873</v>
      </c>
      <c r="E94" s="13" t="s">
        <v>547</v>
      </c>
      <c r="F94" s="4">
        <v>301531.36</v>
      </c>
      <c r="G94" s="13" t="s">
        <v>874</v>
      </c>
      <c r="H94" s="126">
        <v>43563</v>
      </c>
      <c r="I94" s="29" t="s">
        <v>875</v>
      </c>
      <c r="K94" s="116"/>
      <c r="L94" s="116"/>
      <c r="M94" s="116"/>
      <c r="N94" s="116"/>
      <c r="O94" s="117"/>
      <c r="P94" s="117"/>
      <c r="Q94" s="117"/>
      <c r="R94" s="117"/>
      <c r="S94" s="117"/>
    </row>
    <row r="95" spans="1:19" s="115" customFormat="1" ht="15.6" x14ac:dyDescent="0.25">
      <c r="A95" s="13" t="s">
        <v>639</v>
      </c>
      <c r="B95" s="14">
        <v>43620</v>
      </c>
      <c r="C95" s="13">
        <v>596</v>
      </c>
      <c r="D95" s="13" t="s">
        <v>873</v>
      </c>
      <c r="E95" s="13" t="s">
        <v>547</v>
      </c>
      <c r="F95" s="4">
        <v>393088.27</v>
      </c>
      <c r="G95" s="13" t="s">
        <v>874</v>
      </c>
      <c r="H95" s="126">
        <v>43563</v>
      </c>
      <c r="I95" s="29" t="s">
        <v>875</v>
      </c>
      <c r="K95" s="116"/>
      <c r="L95" s="116"/>
      <c r="M95" s="116"/>
      <c r="N95" s="116"/>
      <c r="O95" s="117"/>
      <c r="P95" s="117"/>
      <c r="Q95" s="117"/>
      <c r="R95" s="117"/>
      <c r="S95" s="117"/>
    </row>
    <row r="96" spans="1:19" x14ac:dyDescent="0.25">
      <c r="A96" s="68" t="s">
        <v>349</v>
      </c>
      <c r="B96" s="14">
        <v>43620</v>
      </c>
      <c r="C96" s="13">
        <v>906</v>
      </c>
      <c r="D96" s="32" t="s">
        <v>1805</v>
      </c>
      <c r="E96" s="32" t="s">
        <v>130</v>
      </c>
      <c r="F96" s="4">
        <v>45000</v>
      </c>
      <c r="G96" s="29" t="s">
        <v>7595</v>
      </c>
      <c r="H96" s="14"/>
      <c r="I96" s="208" t="s">
        <v>6541</v>
      </c>
      <c r="J96" s="21"/>
      <c r="K96" s="35"/>
    </row>
    <row r="97" spans="1:19" x14ac:dyDescent="0.25">
      <c r="A97" s="32" t="s">
        <v>151</v>
      </c>
      <c r="B97" s="14">
        <v>43620</v>
      </c>
      <c r="C97" s="13">
        <v>907</v>
      </c>
      <c r="D97" s="32" t="s">
        <v>437</v>
      </c>
      <c r="E97" s="32" t="s">
        <v>130</v>
      </c>
      <c r="F97" s="4">
        <v>8000</v>
      </c>
      <c r="G97" s="13">
        <v>907</v>
      </c>
      <c r="H97" s="14">
        <v>43619</v>
      </c>
      <c r="I97" s="4" t="s">
        <v>1324</v>
      </c>
      <c r="J97" s="22" t="s">
        <v>526</v>
      </c>
      <c r="K97" s="62"/>
      <c r="L97" s="62"/>
      <c r="M97" s="62"/>
      <c r="N97" s="62"/>
      <c r="O97" s="35"/>
      <c r="P97" s="35"/>
      <c r="Q97" s="35"/>
      <c r="R97" s="35"/>
      <c r="S97" s="35"/>
    </row>
    <row r="98" spans="1:19" x14ac:dyDescent="0.25">
      <c r="A98" s="32" t="s">
        <v>151</v>
      </c>
      <c r="B98" s="14">
        <v>43620</v>
      </c>
      <c r="C98" s="13">
        <v>635</v>
      </c>
      <c r="D98" s="32" t="s">
        <v>437</v>
      </c>
      <c r="E98" s="32" t="s">
        <v>60</v>
      </c>
      <c r="F98" s="4">
        <v>8000</v>
      </c>
      <c r="G98" s="13">
        <v>903</v>
      </c>
      <c r="H98" s="14">
        <v>43619</v>
      </c>
      <c r="I98" s="4" t="s">
        <v>1324</v>
      </c>
      <c r="J98" s="22" t="s">
        <v>526</v>
      </c>
      <c r="K98" s="62"/>
      <c r="L98" s="62"/>
      <c r="M98" s="62"/>
      <c r="N98" s="62"/>
      <c r="O98" s="35"/>
      <c r="P98" s="35"/>
      <c r="Q98" s="35"/>
      <c r="R98" s="35"/>
      <c r="S98" s="35"/>
    </row>
    <row r="99" spans="1:19" x14ac:dyDescent="0.25">
      <c r="A99" s="13" t="s">
        <v>1350</v>
      </c>
      <c r="B99" s="126">
        <v>43620</v>
      </c>
      <c r="C99" s="28" t="s">
        <v>8517</v>
      </c>
      <c r="D99" s="32" t="s">
        <v>432</v>
      </c>
      <c r="E99" s="32" t="s">
        <v>691</v>
      </c>
      <c r="F99" s="4">
        <v>75000</v>
      </c>
      <c r="G99" s="69" t="s">
        <v>8230</v>
      </c>
      <c r="H99" s="14"/>
      <c r="I99" s="4" t="s">
        <v>433</v>
      </c>
      <c r="J99" s="21"/>
      <c r="K99" s="228"/>
    </row>
    <row r="100" spans="1:19" ht="13.8" customHeight="1" x14ac:dyDescent="0.25">
      <c r="A100" s="32" t="s">
        <v>442</v>
      </c>
      <c r="B100" s="14">
        <v>43620</v>
      </c>
      <c r="C100" s="13">
        <v>942</v>
      </c>
      <c r="D100" s="32" t="s">
        <v>181</v>
      </c>
      <c r="E100" s="32" t="s">
        <v>62</v>
      </c>
      <c r="F100" s="4">
        <v>117840</v>
      </c>
      <c r="G100" s="29" t="s">
        <v>7587</v>
      </c>
      <c r="H100" s="14">
        <v>43598</v>
      </c>
      <c r="I100" s="4" t="s">
        <v>102</v>
      </c>
      <c r="J100" s="21"/>
      <c r="K100" s="228"/>
    </row>
    <row r="101" spans="1:19" ht="12.6" customHeight="1" x14ac:dyDescent="0.25">
      <c r="A101" s="13" t="s">
        <v>151</v>
      </c>
      <c r="B101" s="14">
        <v>43620</v>
      </c>
      <c r="C101" s="13">
        <v>941</v>
      </c>
      <c r="D101" s="32" t="s">
        <v>910</v>
      </c>
      <c r="E101" s="32" t="s">
        <v>62</v>
      </c>
      <c r="F101" s="4">
        <v>2920</v>
      </c>
      <c r="G101" s="29" t="s">
        <v>8483</v>
      </c>
      <c r="H101" s="14">
        <v>43585</v>
      </c>
      <c r="I101" s="41" t="s">
        <v>6890</v>
      </c>
      <c r="J101" s="21" t="s">
        <v>771</v>
      </c>
      <c r="K101" s="228"/>
    </row>
    <row r="102" spans="1:19" x14ac:dyDescent="0.25">
      <c r="A102" s="61" t="s">
        <v>358</v>
      </c>
      <c r="B102" s="14">
        <v>43620</v>
      </c>
      <c r="C102" s="13">
        <v>943</v>
      </c>
      <c r="D102" s="13" t="s">
        <v>1688</v>
      </c>
      <c r="E102" s="13" t="s">
        <v>62</v>
      </c>
      <c r="F102" s="37">
        <v>15496</v>
      </c>
      <c r="G102" s="29" t="s">
        <v>8484</v>
      </c>
      <c r="H102" s="14">
        <v>43619</v>
      </c>
      <c r="I102" s="4" t="s">
        <v>8485</v>
      </c>
    </row>
    <row r="103" spans="1:19" x14ac:dyDescent="0.25">
      <c r="A103" s="32" t="s">
        <v>151</v>
      </c>
      <c r="B103" s="14">
        <v>43620</v>
      </c>
      <c r="C103" s="67">
        <v>944</v>
      </c>
      <c r="D103" s="32" t="s">
        <v>8500</v>
      </c>
      <c r="E103" s="17" t="s">
        <v>62</v>
      </c>
      <c r="F103" s="4">
        <v>77231</v>
      </c>
      <c r="G103" s="250" t="s">
        <v>8501</v>
      </c>
      <c r="H103" s="14">
        <v>43620</v>
      </c>
      <c r="I103" s="4" t="s">
        <v>1150</v>
      </c>
      <c r="J103" s="359"/>
      <c r="K103" s="62"/>
    </row>
    <row r="104" spans="1:19" ht="13.95" customHeight="1" x14ac:dyDescent="0.25">
      <c r="A104" s="32" t="s">
        <v>198</v>
      </c>
      <c r="B104" s="14">
        <v>43620</v>
      </c>
      <c r="C104" s="13">
        <v>138</v>
      </c>
      <c r="D104" s="32" t="s">
        <v>369</v>
      </c>
      <c r="E104" s="32" t="s">
        <v>195</v>
      </c>
      <c r="F104" s="4">
        <v>7500</v>
      </c>
      <c r="G104" s="13">
        <v>28</v>
      </c>
      <c r="H104" s="14">
        <v>43585</v>
      </c>
      <c r="I104" s="4" t="s">
        <v>328</v>
      </c>
      <c r="J104" s="170" t="s">
        <v>771</v>
      </c>
      <c r="K104" s="246"/>
    </row>
    <row r="105" spans="1:19" s="428" customFormat="1" x14ac:dyDescent="0.25">
      <c r="A105" s="32" t="s">
        <v>198</v>
      </c>
      <c r="B105" s="14">
        <v>43620</v>
      </c>
      <c r="C105" s="13">
        <v>139</v>
      </c>
      <c r="D105" s="32" t="s">
        <v>1003</v>
      </c>
      <c r="E105" s="32" t="s">
        <v>195</v>
      </c>
      <c r="F105" s="4">
        <v>10000</v>
      </c>
      <c r="G105" s="28" t="s">
        <v>5358</v>
      </c>
      <c r="H105" s="14">
        <v>43586</v>
      </c>
      <c r="I105" s="4" t="s">
        <v>326</v>
      </c>
      <c r="J105" s="170" t="s">
        <v>1386</v>
      </c>
      <c r="K105" s="248"/>
    </row>
    <row r="106" spans="1:19" s="93" customFormat="1" ht="13.95" customHeight="1" x14ac:dyDescent="0.25">
      <c r="A106" s="32" t="s">
        <v>198</v>
      </c>
      <c r="B106" s="14">
        <v>43620</v>
      </c>
      <c r="C106" s="13">
        <v>140</v>
      </c>
      <c r="D106" s="32" t="s">
        <v>329</v>
      </c>
      <c r="E106" s="32" t="s">
        <v>195</v>
      </c>
      <c r="F106" s="4">
        <v>3500</v>
      </c>
      <c r="G106" s="28" t="s">
        <v>859</v>
      </c>
      <c r="H106" s="14">
        <v>43585</v>
      </c>
      <c r="I106" s="4" t="s">
        <v>330</v>
      </c>
      <c r="J106" s="170" t="s">
        <v>771</v>
      </c>
      <c r="K106" s="249"/>
    </row>
    <row r="107" spans="1:19" s="93" customFormat="1" ht="13.95" customHeight="1" x14ac:dyDescent="0.25">
      <c r="A107" s="68" t="s">
        <v>198</v>
      </c>
      <c r="B107" s="14">
        <v>43620</v>
      </c>
      <c r="C107" s="13">
        <v>143</v>
      </c>
      <c r="D107" s="32" t="s">
        <v>73</v>
      </c>
      <c r="E107" s="32" t="s">
        <v>195</v>
      </c>
      <c r="F107" s="4">
        <v>4042.5</v>
      </c>
      <c r="G107" s="28" t="s">
        <v>8203</v>
      </c>
      <c r="H107" s="14">
        <v>43591</v>
      </c>
      <c r="I107" s="4" t="s">
        <v>332</v>
      </c>
      <c r="J107" s="170" t="s">
        <v>1386</v>
      </c>
      <c r="K107" s="249"/>
    </row>
    <row r="108" spans="1:19" s="93" customFormat="1" ht="13.95" customHeight="1" x14ac:dyDescent="0.25">
      <c r="A108" s="68" t="s">
        <v>198</v>
      </c>
      <c r="B108" s="14">
        <v>43620</v>
      </c>
      <c r="C108" s="13">
        <v>144</v>
      </c>
      <c r="D108" s="32" t="s">
        <v>73</v>
      </c>
      <c r="E108" s="32" t="s">
        <v>195</v>
      </c>
      <c r="F108" s="4">
        <v>5197.5</v>
      </c>
      <c r="G108" s="28" t="s">
        <v>8202</v>
      </c>
      <c r="H108" s="14">
        <v>43591</v>
      </c>
      <c r="I108" s="4" t="s">
        <v>331</v>
      </c>
      <c r="J108" s="170" t="s">
        <v>1386</v>
      </c>
      <c r="K108" s="249"/>
    </row>
    <row r="109" spans="1:19" ht="15" customHeight="1" x14ac:dyDescent="0.25">
      <c r="A109" s="68" t="s">
        <v>198</v>
      </c>
      <c r="B109" s="14">
        <v>43620</v>
      </c>
      <c r="C109" s="13">
        <v>142</v>
      </c>
      <c r="D109" s="32" t="s">
        <v>279</v>
      </c>
      <c r="E109" s="32" t="s">
        <v>195</v>
      </c>
      <c r="F109" s="4">
        <v>11513.34</v>
      </c>
      <c r="G109" s="28" t="s">
        <v>8204</v>
      </c>
      <c r="H109" s="14">
        <v>43585</v>
      </c>
      <c r="I109" s="4" t="s">
        <v>335</v>
      </c>
      <c r="J109" s="170" t="s">
        <v>771</v>
      </c>
      <c r="K109" s="246"/>
    </row>
    <row r="110" spans="1:19" ht="15" customHeight="1" x14ac:dyDescent="0.25">
      <c r="A110" s="68" t="s">
        <v>198</v>
      </c>
      <c r="B110" s="14">
        <v>43620</v>
      </c>
      <c r="C110" s="13">
        <v>141</v>
      </c>
      <c r="D110" s="32" t="s">
        <v>279</v>
      </c>
      <c r="E110" s="32" t="s">
        <v>195</v>
      </c>
      <c r="F110" s="4">
        <v>45584.63</v>
      </c>
      <c r="G110" s="28" t="s">
        <v>8205</v>
      </c>
      <c r="H110" s="14">
        <v>43585</v>
      </c>
      <c r="I110" s="4" t="s">
        <v>333</v>
      </c>
      <c r="J110" s="170" t="s">
        <v>771</v>
      </c>
      <c r="K110" s="246"/>
    </row>
    <row r="111" spans="1:19" ht="27.6" x14ac:dyDescent="0.25">
      <c r="A111" s="68" t="s">
        <v>91</v>
      </c>
      <c r="B111" s="14">
        <v>43620</v>
      </c>
      <c r="C111" s="13">
        <v>76</v>
      </c>
      <c r="D111" s="32" t="s">
        <v>373</v>
      </c>
      <c r="E111" s="32" t="s">
        <v>8518</v>
      </c>
      <c r="F111" s="4">
        <v>2500000</v>
      </c>
      <c r="G111" s="70" t="s">
        <v>8519</v>
      </c>
      <c r="H111" s="211">
        <v>41948</v>
      </c>
      <c r="I111" s="17" t="s">
        <v>8520</v>
      </c>
      <c r="J111" s="170"/>
      <c r="K111" s="246"/>
    </row>
    <row r="112" spans="1:19" ht="27.6" x14ac:dyDescent="0.25">
      <c r="A112" s="68" t="s">
        <v>91</v>
      </c>
      <c r="B112" s="14">
        <v>43620</v>
      </c>
      <c r="C112" s="13">
        <v>916</v>
      </c>
      <c r="D112" s="32" t="s">
        <v>373</v>
      </c>
      <c r="E112" s="32" t="s">
        <v>8535</v>
      </c>
      <c r="F112" s="4">
        <v>7682185.2300000004</v>
      </c>
      <c r="G112" s="70" t="s">
        <v>8519</v>
      </c>
      <c r="H112" s="211">
        <v>41948</v>
      </c>
      <c r="I112" s="17" t="s">
        <v>8520</v>
      </c>
      <c r="J112" s="170"/>
      <c r="K112" s="246"/>
    </row>
    <row r="113" spans="1:19" ht="27.6" x14ac:dyDescent="0.25">
      <c r="A113" s="68" t="s">
        <v>91</v>
      </c>
      <c r="B113" s="14">
        <v>43620</v>
      </c>
      <c r="C113" s="13">
        <v>917</v>
      </c>
      <c r="D113" s="32" t="s">
        <v>373</v>
      </c>
      <c r="E113" s="32" t="s">
        <v>8535</v>
      </c>
      <c r="F113" s="4">
        <v>779661.02</v>
      </c>
      <c r="G113" s="70" t="s">
        <v>8519</v>
      </c>
      <c r="H113" s="211">
        <v>41948</v>
      </c>
      <c r="I113" s="17" t="s">
        <v>8520</v>
      </c>
      <c r="J113" s="170"/>
      <c r="K113" s="246"/>
    </row>
    <row r="114" spans="1:19" x14ac:dyDescent="0.25">
      <c r="A114" s="68" t="s">
        <v>151</v>
      </c>
      <c r="B114" s="14">
        <v>43620</v>
      </c>
      <c r="C114" s="13">
        <v>74</v>
      </c>
      <c r="D114" s="32" t="s">
        <v>2899</v>
      </c>
      <c r="E114" s="32" t="s">
        <v>175</v>
      </c>
      <c r="F114" s="209">
        <v>4000</v>
      </c>
      <c r="G114" s="210" t="s">
        <v>8521</v>
      </c>
      <c r="H114" s="211">
        <v>43564</v>
      </c>
      <c r="I114" s="208" t="s">
        <v>4399</v>
      </c>
      <c r="J114" s="21"/>
      <c r="K114" s="228"/>
    </row>
    <row r="115" spans="1:19" ht="15" customHeight="1" x14ac:dyDescent="0.25">
      <c r="A115" s="13" t="s">
        <v>184</v>
      </c>
      <c r="B115" s="14">
        <v>43621</v>
      </c>
      <c r="C115" s="13">
        <v>713</v>
      </c>
      <c r="D115" s="13" t="s">
        <v>817</v>
      </c>
      <c r="E115" s="32" t="s">
        <v>1121</v>
      </c>
      <c r="F115" s="4">
        <v>211038.8</v>
      </c>
      <c r="G115" s="28" t="s">
        <v>11</v>
      </c>
      <c r="H115" s="14">
        <v>43567</v>
      </c>
      <c r="I115" s="4" t="s">
        <v>928</v>
      </c>
      <c r="J115" s="125" t="s">
        <v>7176</v>
      </c>
    </row>
    <row r="116" spans="1:19" x14ac:dyDescent="0.25">
      <c r="A116" s="13" t="s">
        <v>184</v>
      </c>
      <c r="B116" s="14">
        <v>43621</v>
      </c>
      <c r="C116" s="13">
        <v>714</v>
      </c>
      <c r="D116" s="32" t="s">
        <v>4645</v>
      </c>
      <c r="E116" s="32" t="s">
        <v>1121</v>
      </c>
      <c r="F116" s="4">
        <v>375000</v>
      </c>
      <c r="G116" s="28" t="s">
        <v>207</v>
      </c>
      <c r="H116" s="14">
        <v>43517</v>
      </c>
      <c r="I116" s="4" t="s">
        <v>4646</v>
      </c>
      <c r="J116" s="76"/>
    </row>
    <row r="117" spans="1:19" ht="15" customHeight="1" x14ac:dyDescent="0.25">
      <c r="A117" s="13" t="s">
        <v>964</v>
      </c>
      <c r="B117" s="14">
        <v>43621</v>
      </c>
      <c r="C117" s="13">
        <v>715</v>
      </c>
      <c r="D117" s="13" t="s">
        <v>1886</v>
      </c>
      <c r="E117" s="32" t="s">
        <v>1121</v>
      </c>
      <c r="F117" s="4">
        <v>36000</v>
      </c>
      <c r="G117" s="28" t="s">
        <v>8346</v>
      </c>
      <c r="H117" s="14">
        <v>43556</v>
      </c>
      <c r="I117" s="4" t="s">
        <v>1887</v>
      </c>
      <c r="J117" s="76" t="s">
        <v>1386</v>
      </c>
    </row>
    <row r="118" spans="1:19" s="192" customFormat="1" x14ac:dyDescent="0.25">
      <c r="A118" s="147" t="s">
        <v>242</v>
      </c>
      <c r="B118" s="14">
        <v>43621</v>
      </c>
      <c r="C118" s="187">
        <v>716</v>
      </c>
      <c r="D118" s="149" t="s">
        <v>2426</v>
      </c>
      <c r="E118" s="147" t="s">
        <v>1121</v>
      </c>
      <c r="F118" s="158">
        <v>226844.1</v>
      </c>
      <c r="G118" s="150" t="s">
        <v>4737</v>
      </c>
      <c r="H118" s="148">
        <v>43584</v>
      </c>
      <c r="I118" s="149" t="s">
        <v>143</v>
      </c>
      <c r="J118" s="193"/>
      <c r="K118" s="194"/>
      <c r="L118" s="190"/>
    </row>
    <row r="119" spans="1:19" s="129" customFormat="1" ht="27.6" x14ac:dyDescent="0.25">
      <c r="A119" s="13" t="s">
        <v>151</v>
      </c>
      <c r="B119" s="14">
        <v>43621</v>
      </c>
      <c r="C119" s="28" t="s">
        <v>3826</v>
      </c>
      <c r="D119" s="13" t="s">
        <v>711</v>
      </c>
      <c r="E119" s="32" t="s">
        <v>1121</v>
      </c>
      <c r="F119" s="4">
        <f>2550+1100+8300+4200+1500+2800+4250+5700</f>
        <v>30400</v>
      </c>
      <c r="G119" s="28" t="s">
        <v>8487</v>
      </c>
      <c r="H119" s="28" t="s">
        <v>8486</v>
      </c>
      <c r="I119" s="4" t="s">
        <v>712</v>
      </c>
      <c r="J119" s="170"/>
      <c r="K119" s="136"/>
    </row>
    <row r="120" spans="1:19" s="129" customFormat="1" ht="13.95" customHeight="1" x14ac:dyDescent="0.25">
      <c r="A120" s="13" t="s">
        <v>151</v>
      </c>
      <c r="B120" s="14">
        <v>43621</v>
      </c>
      <c r="C120" s="28" t="s">
        <v>8567</v>
      </c>
      <c r="D120" s="13" t="s">
        <v>1846</v>
      </c>
      <c r="E120" s="13" t="s">
        <v>1121</v>
      </c>
      <c r="F120" s="4">
        <v>35020</v>
      </c>
      <c r="G120" s="28" t="s">
        <v>8361</v>
      </c>
      <c r="H120" s="14">
        <v>43616</v>
      </c>
      <c r="I120" s="4" t="s">
        <v>8362</v>
      </c>
      <c r="J120" s="22"/>
      <c r="K120" s="136"/>
    </row>
    <row r="121" spans="1:19" s="129" customFormat="1" ht="13.95" customHeight="1" x14ac:dyDescent="0.25">
      <c r="A121" s="13" t="s">
        <v>151</v>
      </c>
      <c r="B121" s="14">
        <v>43621</v>
      </c>
      <c r="C121" s="28" t="s">
        <v>3827</v>
      </c>
      <c r="D121" s="13" t="s">
        <v>1846</v>
      </c>
      <c r="E121" s="13" t="s">
        <v>1121</v>
      </c>
      <c r="F121" s="4">
        <v>49195</v>
      </c>
      <c r="G121" s="28" t="s">
        <v>8481</v>
      </c>
      <c r="H121" s="14">
        <v>43615</v>
      </c>
      <c r="I121" s="4" t="s">
        <v>8482</v>
      </c>
      <c r="J121" s="22"/>
      <c r="K121" s="136"/>
    </row>
    <row r="122" spans="1:19" s="129" customFormat="1" ht="13.95" customHeight="1" x14ac:dyDescent="0.25">
      <c r="A122" s="13" t="s">
        <v>151</v>
      </c>
      <c r="B122" s="14">
        <v>43621</v>
      </c>
      <c r="C122" s="28" t="s">
        <v>3134</v>
      </c>
      <c r="D122" s="13" t="s">
        <v>8478</v>
      </c>
      <c r="E122" s="13" t="s">
        <v>1121</v>
      </c>
      <c r="F122" s="4">
        <v>186717.32</v>
      </c>
      <c r="G122" s="28" t="s">
        <v>8479</v>
      </c>
      <c r="H122" s="14">
        <v>43616</v>
      </c>
      <c r="I122" s="4" t="s">
        <v>8480</v>
      </c>
      <c r="J122" s="22"/>
      <c r="K122" s="136"/>
    </row>
    <row r="123" spans="1:19" ht="27.6" x14ac:dyDescent="0.25">
      <c r="A123" s="32" t="s">
        <v>151</v>
      </c>
      <c r="B123" s="14">
        <v>43621</v>
      </c>
      <c r="C123" s="67">
        <v>721</v>
      </c>
      <c r="D123" s="32" t="s">
        <v>412</v>
      </c>
      <c r="E123" s="13" t="s">
        <v>1121</v>
      </c>
      <c r="F123" s="4">
        <v>96000</v>
      </c>
      <c r="G123" s="13">
        <v>31</v>
      </c>
      <c r="H123" s="14">
        <v>43586</v>
      </c>
      <c r="I123" s="4" t="s">
        <v>2078</v>
      </c>
      <c r="J123" s="22" t="s">
        <v>1386</v>
      </c>
      <c r="K123" s="245"/>
    </row>
    <row r="124" spans="1:19" ht="27.6" x14ac:dyDescent="0.25">
      <c r="A124" s="32" t="s">
        <v>151</v>
      </c>
      <c r="B124" s="14">
        <v>43621</v>
      </c>
      <c r="C124" s="67">
        <v>721</v>
      </c>
      <c r="D124" s="32" t="s">
        <v>412</v>
      </c>
      <c r="E124" s="13" t="s">
        <v>1121</v>
      </c>
      <c r="F124" s="4">
        <v>90000</v>
      </c>
      <c r="G124" s="13">
        <v>32</v>
      </c>
      <c r="H124" s="14">
        <v>43586</v>
      </c>
      <c r="I124" s="4" t="s">
        <v>2079</v>
      </c>
      <c r="J124" s="22" t="s">
        <v>1386</v>
      </c>
      <c r="K124" s="245"/>
    </row>
    <row r="125" spans="1:19" s="50" customFormat="1" ht="27.6" x14ac:dyDescent="0.25">
      <c r="A125" s="32" t="s">
        <v>91</v>
      </c>
      <c r="B125" s="14">
        <v>43621</v>
      </c>
      <c r="C125" s="13">
        <v>497</v>
      </c>
      <c r="D125" s="13" t="s">
        <v>1232</v>
      </c>
      <c r="E125" s="32" t="s">
        <v>2021</v>
      </c>
      <c r="F125" s="4">
        <v>20000</v>
      </c>
      <c r="G125" s="28" t="s">
        <v>878</v>
      </c>
      <c r="H125" s="14">
        <v>43504</v>
      </c>
      <c r="I125" s="32" t="s">
        <v>1538</v>
      </c>
      <c r="J125" s="21" t="s">
        <v>239</v>
      </c>
      <c r="K125" s="228"/>
      <c r="L125" s="228"/>
      <c r="M125" s="228"/>
      <c r="N125" s="228"/>
    </row>
    <row r="126" spans="1:19" s="50" customFormat="1" ht="27.6" x14ac:dyDescent="0.25">
      <c r="A126" s="32" t="s">
        <v>91</v>
      </c>
      <c r="B126" s="14">
        <v>43621</v>
      </c>
      <c r="C126" s="13">
        <v>497</v>
      </c>
      <c r="D126" s="13" t="s">
        <v>1232</v>
      </c>
      <c r="E126" s="32" t="s">
        <v>2021</v>
      </c>
      <c r="F126" s="4">
        <v>20000</v>
      </c>
      <c r="G126" s="28" t="s">
        <v>6099</v>
      </c>
      <c r="H126" s="14">
        <v>43531</v>
      </c>
      <c r="I126" s="32" t="s">
        <v>1538</v>
      </c>
      <c r="J126" s="21" t="s">
        <v>721</v>
      </c>
      <c r="K126" s="228"/>
      <c r="L126" s="228"/>
      <c r="M126" s="228"/>
      <c r="N126" s="228"/>
    </row>
    <row r="127" spans="1:19" s="50" customFormat="1" ht="27.6" x14ac:dyDescent="0.25">
      <c r="A127" s="32" t="s">
        <v>91</v>
      </c>
      <c r="B127" s="14">
        <v>43621</v>
      </c>
      <c r="C127" s="13">
        <v>497</v>
      </c>
      <c r="D127" s="13" t="s">
        <v>1232</v>
      </c>
      <c r="E127" s="32" t="s">
        <v>2021</v>
      </c>
      <c r="F127" s="4">
        <f>20000</f>
        <v>20000</v>
      </c>
      <c r="G127" s="28" t="s">
        <v>6649</v>
      </c>
      <c r="H127" s="14">
        <v>43564</v>
      </c>
      <c r="I127" s="32" t="s">
        <v>1538</v>
      </c>
      <c r="J127" s="21" t="s">
        <v>366</v>
      </c>
      <c r="K127" s="228"/>
      <c r="L127" s="228"/>
      <c r="M127" s="228"/>
      <c r="N127" s="228"/>
    </row>
    <row r="128" spans="1:19" s="2" customFormat="1" ht="15" customHeight="1" x14ac:dyDescent="0.25">
      <c r="A128" s="61" t="s">
        <v>6</v>
      </c>
      <c r="B128" s="14">
        <v>43621</v>
      </c>
      <c r="C128" s="13">
        <v>266</v>
      </c>
      <c r="D128" s="13" t="s">
        <v>903</v>
      </c>
      <c r="E128" s="13" t="s">
        <v>183</v>
      </c>
      <c r="F128" s="4">
        <v>6000</v>
      </c>
      <c r="G128" s="29" t="s">
        <v>8347</v>
      </c>
      <c r="H128" s="14">
        <v>43614</v>
      </c>
      <c r="I128" s="4" t="s">
        <v>313</v>
      </c>
      <c r="J128" s="341"/>
      <c r="K128" s="31"/>
      <c r="L128" s="31"/>
      <c r="M128" s="31"/>
      <c r="N128" s="31"/>
      <c r="O128" s="34"/>
      <c r="P128" s="34"/>
      <c r="Q128" s="34"/>
      <c r="R128" s="34"/>
      <c r="S128" s="34"/>
    </row>
    <row r="129" spans="1:19" s="2" customFormat="1" ht="15" customHeight="1" x14ac:dyDescent="0.25">
      <c r="A129" s="13" t="s">
        <v>6</v>
      </c>
      <c r="B129" s="14">
        <v>43621</v>
      </c>
      <c r="C129" s="13">
        <v>267</v>
      </c>
      <c r="D129" s="13" t="s">
        <v>807</v>
      </c>
      <c r="E129" s="13" t="s">
        <v>183</v>
      </c>
      <c r="F129" s="4">
        <v>3000</v>
      </c>
      <c r="G129" s="29" t="s">
        <v>8348</v>
      </c>
      <c r="H129" s="14">
        <v>43614</v>
      </c>
      <c r="I129" s="4" t="s">
        <v>8349</v>
      </c>
      <c r="J129" s="341"/>
      <c r="K129" s="31"/>
      <c r="L129" s="31"/>
      <c r="M129" s="31"/>
      <c r="N129" s="31"/>
      <c r="O129" s="34"/>
      <c r="P129" s="34"/>
      <c r="Q129" s="34"/>
      <c r="R129" s="34"/>
      <c r="S129" s="34"/>
    </row>
    <row r="130" spans="1:19" s="2" customFormat="1" x14ac:dyDescent="0.25">
      <c r="A130" s="13" t="s">
        <v>6</v>
      </c>
      <c r="B130" s="14">
        <v>43621</v>
      </c>
      <c r="C130" s="13">
        <v>268</v>
      </c>
      <c r="D130" s="13" t="s">
        <v>7334</v>
      </c>
      <c r="E130" s="13" t="s">
        <v>183</v>
      </c>
      <c r="F130" s="4">
        <v>18000</v>
      </c>
      <c r="G130" s="29" t="s">
        <v>766</v>
      </c>
      <c r="H130" s="14">
        <v>43616</v>
      </c>
      <c r="I130" s="4" t="s">
        <v>105</v>
      </c>
      <c r="J130" s="341"/>
      <c r="K130" s="31"/>
      <c r="L130" s="31"/>
      <c r="M130" s="31"/>
      <c r="N130" s="31"/>
      <c r="O130" s="34"/>
      <c r="P130" s="34"/>
      <c r="Q130" s="34"/>
      <c r="R130" s="34"/>
      <c r="S130" s="34"/>
    </row>
    <row r="131" spans="1:19" s="2" customFormat="1" x14ac:dyDescent="0.25">
      <c r="A131" s="13" t="s">
        <v>6</v>
      </c>
      <c r="B131" s="14">
        <v>43621</v>
      </c>
      <c r="C131" s="13">
        <v>269</v>
      </c>
      <c r="D131" s="32" t="s">
        <v>530</v>
      </c>
      <c r="E131" s="13" t="s">
        <v>183</v>
      </c>
      <c r="F131" s="4">
        <v>12000</v>
      </c>
      <c r="G131" s="29" t="s">
        <v>960</v>
      </c>
      <c r="H131" s="14">
        <v>43606</v>
      </c>
      <c r="I131" s="4" t="s">
        <v>165</v>
      </c>
      <c r="J131" s="341"/>
      <c r="K131" s="31"/>
      <c r="L131" s="31"/>
      <c r="M131" s="31"/>
      <c r="N131" s="31"/>
      <c r="O131" s="34"/>
      <c r="P131" s="34"/>
      <c r="Q131" s="34"/>
      <c r="R131" s="34"/>
      <c r="S131" s="34"/>
    </row>
    <row r="132" spans="1:19" s="2" customFormat="1" x14ac:dyDescent="0.25">
      <c r="A132" s="13" t="s">
        <v>6</v>
      </c>
      <c r="B132" s="14">
        <v>43621</v>
      </c>
      <c r="C132" s="13">
        <v>269</v>
      </c>
      <c r="D132" s="32" t="s">
        <v>530</v>
      </c>
      <c r="E132" s="13" t="s">
        <v>183</v>
      </c>
      <c r="F132" s="4">
        <v>17000</v>
      </c>
      <c r="G132" s="29" t="s">
        <v>8066</v>
      </c>
      <c r="H132" s="14">
        <v>43609</v>
      </c>
      <c r="I132" s="4" t="s">
        <v>105</v>
      </c>
      <c r="J132" s="341"/>
      <c r="K132" s="31"/>
      <c r="L132" s="31"/>
      <c r="M132" s="31"/>
      <c r="N132" s="31"/>
      <c r="O132" s="34"/>
      <c r="P132" s="34"/>
      <c r="Q132" s="34"/>
      <c r="R132" s="34"/>
      <c r="S132" s="34"/>
    </row>
    <row r="133" spans="1:19" s="2" customFormat="1" ht="15" customHeight="1" x14ac:dyDescent="0.25">
      <c r="A133" s="13" t="s">
        <v>6</v>
      </c>
      <c r="B133" s="14">
        <v>43621</v>
      </c>
      <c r="C133" s="13">
        <v>270</v>
      </c>
      <c r="D133" s="32" t="s">
        <v>863</v>
      </c>
      <c r="E133" s="13" t="s">
        <v>183</v>
      </c>
      <c r="F133" s="4">
        <v>106240</v>
      </c>
      <c r="G133" s="29" t="s">
        <v>8522</v>
      </c>
      <c r="H133" s="14">
        <v>43615</v>
      </c>
      <c r="I133" s="4" t="s">
        <v>354</v>
      </c>
      <c r="J133" s="341"/>
      <c r="K133" s="31"/>
      <c r="L133" s="31"/>
      <c r="M133" s="31"/>
      <c r="N133" s="31"/>
      <c r="O133" s="34"/>
      <c r="P133" s="34"/>
      <c r="Q133" s="34"/>
      <c r="R133" s="34"/>
      <c r="S133" s="34"/>
    </row>
    <row r="134" spans="1:19" s="2" customFormat="1" ht="15" customHeight="1" x14ac:dyDescent="0.25">
      <c r="A134" s="61" t="s">
        <v>6</v>
      </c>
      <c r="B134" s="14">
        <v>43621</v>
      </c>
      <c r="C134" s="13">
        <v>271</v>
      </c>
      <c r="D134" s="13" t="s">
        <v>545</v>
      </c>
      <c r="E134" s="13" t="s">
        <v>183</v>
      </c>
      <c r="F134" s="4">
        <v>138750</v>
      </c>
      <c r="G134" s="29" t="s">
        <v>8498</v>
      </c>
      <c r="H134" s="14">
        <v>43618</v>
      </c>
      <c r="I134" s="4" t="s">
        <v>1366</v>
      </c>
      <c r="J134" s="341"/>
      <c r="K134" s="31"/>
      <c r="L134" s="31"/>
      <c r="M134" s="31"/>
      <c r="N134" s="31"/>
      <c r="O134" s="34"/>
      <c r="P134" s="34"/>
      <c r="Q134" s="34"/>
      <c r="R134" s="34"/>
      <c r="S134" s="34"/>
    </row>
    <row r="135" spans="1:19" s="2" customFormat="1" ht="15" customHeight="1" x14ac:dyDescent="0.25">
      <c r="A135" s="13" t="s">
        <v>6</v>
      </c>
      <c r="B135" s="14">
        <v>43621</v>
      </c>
      <c r="C135" s="13">
        <v>272</v>
      </c>
      <c r="D135" s="32" t="s">
        <v>7285</v>
      </c>
      <c r="E135" s="13" t="s">
        <v>183</v>
      </c>
      <c r="F135" s="4">
        <v>90003.8</v>
      </c>
      <c r="G135" s="29" t="s">
        <v>8360</v>
      </c>
      <c r="H135" s="14">
        <v>43617</v>
      </c>
      <c r="I135" s="4" t="s">
        <v>7283</v>
      </c>
      <c r="J135" s="341"/>
      <c r="K135" s="31"/>
      <c r="L135" s="31"/>
      <c r="M135" s="31"/>
      <c r="N135" s="31"/>
      <c r="O135" s="34"/>
      <c r="P135" s="34"/>
      <c r="Q135" s="34"/>
      <c r="R135" s="34"/>
      <c r="S135" s="34"/>
    </row>
    <row r="136" spans="1:19" s="115" customFormat="1" ht="15.6" x14ac:dyDescent="0.25">
      <c r="A136" s="32" t="s">
        <v>6</v>
      </c>
      <c r="B136" s="14">
        <v>43621</v>
      </c>
      <c r="C136" s="13">
        <v>273</v>
      </c>
      <c r="D136" s="32" t="s">
        <v>1657</v>
      </c>
      <c r="E136" s="13" t="s">
        <v>183</v>
      </c>
      <c r="F136" s="4">
        <v>24000</v>
      </c>
      <c r="G136" s="13" t="s">
        <v>8354</v>
      </c>
      <c r="H136" s="14">
        <v>43616</v>
      </c>
      <c r="I136" s="4" t="s">
        <v>1582</v>
      </c>
      <c r="J136" s="258"/>
      <c r="K136" s="116"/>
      <c r="L136" s="116"/>
      <c r="M136" s="116"/>
      <c r="N136" s="116"/>
      <c r="O136" s="117"/>
      <c r="P136" s="117"/>
      <c r="Q136" s="117"/>
      <c r="R136" s="117"/>
      <c r="S136" s="117"/>
    </row>
    <row r="137" spans="1:19" s="2" customFormat="1" ht="15" customHeight="1" x14ac:dyDescent="0.25">
      <c r="A137" s="13" t="s">
        <v>6</v>
      </c>
      <c r="B137" s="14">
        <v>43621</v>
      </c>
      <c r="C137" s="13">
        <v>274</v>
      </c>
      <c r="D137" s="32" t="s">
        <v>8352</v>
      </c>
      <c r="E137" s="13" t="s">
        <v>183</v>
      </c>
      <c r="F137" s="4">
        <v>147175</v>
      </c>
      <c r="G137" s="29" t="s">
        <v>8353</v>
      </c>
      <c r="H137" s="14">
        <v>43582</v>
      </c>
      <c r="I137" s="4" t="s">
        <v>263</v>
      </c>
      <c r="J137" s="341"/>
      <c r="K137" s="31"/>
      <c r="L137" s="31"/>
      <c r="M137" s="31"/>
      <c r="N137" s="31"/>
      <c r="O137" s="34"/>
      <c r="P137" s="34"/>
      <c r="Q137" s="34"/>
      <c r="R137" s="34"/>
      <c r="S137" s="34"/>
    </row>
    <row r="138" spans="1:19" s="97" customFormat="1" x14ac:dyDescent="0.25">
      <c r="A138" s="13" t="s">
        <v>6</v>
      </c>
      <c r="B138" s="14">
        <v>43621</v>
      </c>
      <c r="C138" s="67">
        <v>275</v>
      </c>
      <c r="D138" s="13" t="s">
        <v>776</v>
      </c>
      <c r="E138" s="13" t="s">
        <v>183</v>
      </c>
      <c r="F138" s="4">
        <v>9100</v>
      </c>
      <c r="G138" s="29" t="s">
        <v>476</v>
      </c>
      <c r="H138" s="14">
        <v>43612</v>
      </c>
      <c r="I138" s="4" t="s">
        <v>7200</v>
      </c>
      <c r="J138" s="22"/>
      <c r="K138" s="22"/>
      <c r="L138" s="134"/>
    </row>
    <row r="139" spans="1:19" ht="15" customHeight="1" x14ac:dyDescent="0.25">
      <c r="A139" s="13" t="s">
        <v>184</v>
      </c>
      <c r="B139" s="14">
        <v>43621</v>
      </c>
      <c r="C139" s="67">
        <v>712</v>
      </c>
      <c r="D139" s="13" t="s">
        <v>48</v>
      </c>
      <c r="E139" s="32" t="s">
        <v>1121</v>
      </c>
      <c r="F139" s="4">
        <v>9600</v>
      </c>
      <c r="G139" s="28" t="s">
        <v>2933</v>
      </c>
      <c r="H139" s="14">
        <v>43620</v>
      </c>
      <c r="I139" s="4" t="s">
        <v>1028</v>
      </c>
      <c r="J139" s="76"/>
    </row>
    <row r="140" spans="1:19" ht="15" customHeight="1" x14ac:dyDescent="0.25">
      <c r="A140" s="68" t="s">
        <v>311</v>
      </c>
      <c r="B140" s="14">
        <v>43621</v>
      </c>
      <c r="C140" s="13">
        <v>315</v>
      </c>
      <c r="D140" s="32" t="s">
        <v>281</v>
      </c>
      <c r="E140" s="32" t="s">
        <v>408</v>
      </c>
      <c r="F140" s="4">
        <v>230125</v>
      </c>
      <c r="G140" s="29" t="s">
        <v>7634</v>
      </c>
      <c r="H140" s="14">
        <v>43597</v>
      </c>
      <c r="I140" s="41" t="s">
        <v>852</v>
      </c>
      <c r="J140" s="35" t="s">
        <v>526</v>
      </c>
      <c r="K140" s="35"/>
      <c r="L140" s="35"/>
    </row>
    <row r="141" spans="1:19" s="31" customFormat="1" ht="13.95" customHeight="1" x14ac:dyDescent="0.25">
      <c r="A141" s="13" t="s">
        <v>311</v>
      </c>
      <c r="B141" s="14">
        <v>43621</v>
      </c>
      <c r="C141" s="13">
        <v>313</v>
      </c>
      <c r="D141" s="13" t="s">
        <v>7707</v>
      </c>
      <c r="E141" s="13" t="s">
        <v>408</v>
      </c>
      <c r="F141" s="37">
        <v>79600</v>
      </c>
      <c r="G141" s="29" t="s">
        <v>7708</v>
      </c>
      <c r="H141" s="14">
        <v>43598</v>
      </c>
      <c r="I141" s="4" t="s">
        <v>7709</v>
      </c>
      <c r="J141" s="34" t="s">
        <v>7710</v>
      </c>
      <c r="O141" s="34"/>
      <c r="P141" s="34"/>
      <c r="Q141" s="34"/>
      <c r="R141" s="34"/>
      <c r="S141" s="34"/>
    </row>
    <row r="142" spans="1:19" s="115" customFormat="1" ht="15.6" x14ac:dyDescent="0.25">
      <c r="A142" s="13" t="s">
        <v>311</v>
      </c>
      <c r="B142" s="14">
        <v>43621</v>
      </c>
      <c r="C142" s="13">
        <v>314</v>
      </c>
      <c r="D142" s="13" t="s">
        <v>873</v>
      </c>
      <c r="E142" s="13" t="s">
        <v>408</v>
      </c>
      <c r="F142" s="4">
        <v>206894.8</v>
      </c>
      <c r="G142" s="13" t="s">
        <v>8529</v>
      </c>
      <c r="H142" s="126">
        <v>43593</v>
      </c>
      <c r="I142" s="29" t="s">
        <v>875</v>
      </c>
      <c r="J142" s="385"/>
      <c r="K142" s="116"/>
      <c r="L142" s="116"/>
      <c r="M142" s="116"/>
      <c r="N142" s="116"/>
      <c r="O142" s="117"/>
      <c r="P142" s="117"/>
      <c r="Q142" s="117"/>
      <c r="R142" s="117"/>
      <c r="S142" s="117"/>
    </row>
    <row r="143" spans="1:19" s="62" customFormat="1" ht="13.95" customHeight="1" x14ac:dyDescent="0.25">
      <c r="A143" s="13" t="s">
        <v>311</v>
      </c>
      <c r="B143" s="14">
        <v>43621</v>
      </c>
      <c r="C143" s="13">
        <v>921</v>
      </c>
      <c r="D143" s="13" t="s">
        <v>267</v>
      </c>
      <c r="E143" s="13" t="s">
        <v>130</v>
      </c>
      <c r="F143" s="37">
        <v>85400</v>
      </c>
      <c r="G143" s="29" t="s">
        <v>196</v>
      </c>
      <c r="H143" s="14">
        <v>43555</v>
      </c>
      <c r="I143" s="4" t="s">
        <v>576</v>
      </c>
      <c r="J143" s="71"/>
      <c r="O143" s="35"/>
      <c r="P143" s="35"/>
      <c r="Q143" s="35"/>
      <c r="R143" s="35"/>
      <c r="S143" s="35"/>
    </row>
    <row r="144" spans="1:19" s="62" customFormat="1" ht="13.95" customHeight="1" x14ac:dyDescent="0.25">
      <c r="A144" s="13" t="s">
        <v>311</v>
      </c>
      <c r="B144" s="14">
        <v>43621</v>
      </c>
      <c r="C144" s="13">
        <v>921</v>
      </c>
      <c r="D144" s="13" t="s">
        <v>267</v>
      </c>
      <c r="E144" s="13" t="s">
        <v>130</v>
      </c>
      <c r="F144" s="37">
        <v>85400</v>
      </c>
      <c r="G144" s="29" t="s">
        <v>308</v>
      </c>
      <c r="H144" s="14">
        <v>43585</v>
      </c>
      <c r="I144" s="4" t="s">
        <v>576</v>
      </c>
      <c r="J144" s="71"/>
      <c r="O144" s="35"/>
      <c r="P144" s="35"/>
      <c r="Q144" s="35"/>
      <c r="R144" s="35"/>
      <c r="S144" s="35"/>
    </row>
    <row r="145" spans="1:19" s="62" customFormat="1" ht="13.95" customHeight="1" x14ac:dyDescent="0.25">
      <c r="A145" s="61" t="s">
        <v>311</v>
      </c>
      <c r="B145" s="14">
        <v>43621</v>
      </c>
      <c r="C145" s="13">
        <v>304</v>
      </c>
      <c r="D145" s="13" t="s">
        <v>5528</v>
      </c>
      <c r="E145" s="13" t="s">
        <v>408</v>
      </c>
      <c r="F145" s="37">
        <v>1885303.08</v>
      </c>
      <c r="G145" s="210" t="s">
        <v>8568</v>
      </c>
      <c r="H145" s="211">
        <v>43616</v>
      </c>
      <c r="I145" s="4" t="s">
        <v>8569</v>
      </c>
      <c r="J145" s="71"/>
      <c r="O145" s="35"/>
      <c r="P145" s="35"/>
      <c r="Q145" s="35"/>
      <c r="R145" s="35"/>
      <c r="S145" s="35"/>
    </row>
    <row r="146" spans="1:19" s="62" customFormat="1" ht="13.95" customHeight="1" x14ac:dyDescent="0.25">
      <c r="A146" s="61" t="s">
        <v>455</v>
      </c>
      <c r="B146" s="14">
        <v>43621</v>
      </c>
      <c r="C146" s="13">
        <v>365</v>
      </c>
      <c r="D146" s="13" t="s">
        <v>5528</v>
      </c>
      <c r="E146" s="13" t="s">
        <v>440</v>
      </c>
      <c r="F146" s="37">
        <v>1517027.4</v>
      </c>
      <c r="G146" s="210" t="s">
        <v>8570</v>
      </c>
      <c r="H146" s="211">
        <v>43616</v>
      </c>
      <c r="I146" s="4" t="s">
        <v>8569</v>
      </c>
      <c r="J146" s="71"/>
      <c r="O146" s="35"/>
      <c r="P146" s="35"/>
      <c r="Q146" s="35"/>
      <c r="R146" s="35"/>
      <c r="S146" s="35"/>
    </row>
    <row r="147" spans="1:19" s="50" customFormat="1" ht="27.6" x14ac:dyDescent="0.25">
      <c r="A147" s="13" t="s">
        <v>92</v>
      </c>
      <c r="B147" s="14">
        <v>43621</v>
      </c>
      <c r="C147" s="13">
        <v>920</v>
      </c>
      <c r="D147" s="32" t="s">
        <v>373</v>
      </c>
      <c r="E147" s="218" t="s">
        <v>7168</v>
      </c>
      <c r="F147" s="224">
        <v>2824900</v>
      </c>
      <c r="G147" s="28" t="s">
        <v>4765</v>
      </c>
      <c r="H147" s="14">
        <v>42851</v>
      </c>
      <c r="I147" s="32" t="s">
        <v>4764</v>
      </c>
      <c r="J147" s="325"/>
    </row>
    <row r="148" spans="1:19" x14ac:dyDescent="0.25">
      <c r="A148" s="61" t="s">
        <v>311</v>
      </c>
      <c r="B148" s="14">
        <v>43622</v>
      </c>
      <c r="C148" s="13">
        <v>317</v>
      </c>
      <c r="D148" s="13" t="s">
        <v>8545</v>
      </c>
      <c r="E148" s="13" t="s">
        <v>408</v>
      </c>
      <c r="F148" s="37">
        <v>205520</v>
      </c>
      <c r="G148" s="29" t="s">
        <v>8546</v>
      </c>
      <c r="H148" s="14">
        <v>43615</v>
      </c>
      <c r="I148" s="4" t="s">
        <v>8547</v>
      </c>
      <c r="L148" s="21"/>
      <c r="M148" s="21"/>
      <c r="N148" s="21"/>
      <c r="O148" s="21"/>
    </row>
    <row r="149" spans="1:19" ht="13.95" customHeight="1" x14ac:dyDescent="0.25">
      <c r="A149" s="68" t="s">
        <v>311</v>
      </c>
      <c r="B149" s="14">
        <v>43622</v>
      </c>
      <c r="C149" s="67">
        <v>318</v>
      </c>
      <c r="D149" s="32" t="s">
        <v>595</v>
      </c>
      <c r="E149" s="32" t="s">
        <v>408</v>
      </c>
      <c r="F149" s="4">
        <v>412135.24</v>
      </c>
      <c r="G149" s="28" t="s">
        <v>1376</v>
      </c>
      <c r="H149" s="14">
        <v>43585</v>
      </c>
      <c r="I149" s="41" t="s">
        <v>949</v>
      </c>
      <c r="J149" s="166" t="s">
        <v>771</v>
      </c>
      <c r="K149" s="167"/>
      <c r="L149" s="35"/>
    </row>
    <row r="150" spans="1:19" s="97" customFormat="1" x14ac:dyDescent="0.25">
      <c r="A150" s="61" t="s">
        <v>311</v>
      </c>
      <c r="B150" s="14">
        <v>43622</v>
      </c>
      <c r="C150" s="13">
        <v>570</v>
      </c>
      <c r="D150" s="13" t="s">
        <v>6642</v>
      </c>
      <c r="E150" s="13" t="s">
        <v>958</v>
      </c>
      <c r="F150" s="37">
        <f>2535027.5-2490000-14110</f>
        <v>30917.5</v>
      </c>
      <c r="G150" s="29" t="s">
        <v>1379</v>
      </c>
      <c r="H150" s="14">
        <v>43601</v>
      </c>
      <c r="I150" s="4" t="s">
        <v>5805</v>
      </c>
      <c r="J150" s="71"/>
      <c r="K150" s="22"/>
      <c r="L150" s="134"/>
    </row>
    <row r="151" spans="1:19" s="97" customFormat="1" x14ac:dyDescent="0.25">
      <c r="A151" s="61" t="s">
        <v>311</v>
      </c>
      <c r="B151" s="14">
        <v>43622</v>
      </c>
      <c r="C151" s="13">
        <v>570</v>
      </c>
      <c r="D151" s="13" t="s">
        <v>6642</v>
      </c>
      <c r="E151" s="13" t="s">
        <v>958</v>
      </c>
      <c r="F151" s="37">
        <f>1684799-1676000</f>
        <v>8799</v>
      </c>
      <c r="G151" s="29" t="s">
        <v>1384</v>
      </c>
      <c r="H151" s="14">
        <v>43601</v>
      </c>
      <c r="I151" s="4" t="s">
        <v>5805</v>
      </c>
      <c r="J151" s="71"/>
      <c r="K151" s="22"/>
      <c r="L151" s="134"/>
    </row>
    <row r="152" spans="1:19" x14ac:dyDescent="0.25">
      <c r="A152" s="61" t="s">
        <v>311</v>
      </c>
      <c r="B152" s="14">
        <v>43622</v>
      </c>
      <c r="C152" s="13">
        <v>570</v>
      </c>
      <c r="D152" s="13" t="s">
        <v>6642</v>
      </c>
      <c r="E152" s="13" t="s">
        <v>958</v>
      </c>
      <c r="F152" s="37">
        <f>802101.6+813494.4+872774+877374.4-3352000</f>
        <v>13744.399999999907</v>
      </c>
      <c r="G152" s="29" t="s">
        <v>114</v>
      </c>
      <c r="H152" s="14">
        <v>43566</v>
      </c>
      <c r="I152" s="4" t="s">
        <v>5805</v>
      </c>
      <c r="J152" s="21"/>
      <c r="K152" s="228"/>
    </row>
    <row r="153" spans="1:19" s="97" customFormat="1" x14ac:dyDescent="0.25">
      <c r="A153" s="61" t="s">
        <v>311</v>
      </c>
      <c r="B153" s="14">
        <v>43622</v>
      </c>
      <c r="C153" s="13">
        <v>571</v>
      </c>
      <c r="D153" s="13" t="s">
        <v>243</v>
      </c>
      <c r="E153" s="13" t="s">
        <v>958</v>
      </c>
      <c r="F153" s="37">
        <v>73801.440000000002</v>
      </c>
      <c r="G153" s="29" t="s">
        <v>7132</v>
      </c>
      <c r="H153" s="14">
        <v>43600</v>
      </c>
      <c r="I153" s="4" t="s">
        <v>5805</v>
      </c>
      <c r="J153" s="133"/>
      <c r="K153" s="22"/>
      <c r="L153" s="134"/>
    </row>
    <row r="154" spans="1:19" x14ac:dyDescent="0.25">
      <c r="A154" s="61" t="s">
        <v>311</v>
      </c>
      <c r="B154" s="14">
        <v>43622</v>
      </c>
      <c r="C154" s="13">
        <v>572</v>
      </c>
      <c r="D154" s="13" t="s">
        <v>1032</v>
      </c>
      <c r="E154" s="13" t="s">
        <v>958</v>
      </c>
      <c r="F154" s="37">
        <v>195300</v>
      </c>
      <c r="G154" s="29" t="s">
        <v>5004</v>
      </c>
      <c r="H154" s="14">
        <v>43515</v>
      </c>
      <c r="I154" s="4" t="s">
        <v>1906</v>
      </c>
      <c r="J154" s="22" t="s">
        <v>4998</v>
      </c>
      <c r="K154" s="21" t="s">
        <v>4999</v>
      </c>
      <c r="L154" s="21"/>
      <c r="M154" s="21"/>
      <c r="N154" s="21"/>
      <c r="O154" s="21"/>
    </row>
    <row r="155" spans="1:19" x14ac:dyDescent="0.25">
      <c r="A155" s="61" t="s">
        <v>311</v>
      </c>
      <c r="B155" s="14">
        <v>43622</v>
      </c>
      <c r="C155" s="13">
        <v>572</v>
      </c>
      <c r="D155" s="13" t="s">
        <v>1032</v>
      </c>
      <c r="E155" s="13" t="s">
        <v>958</v>
      </c>
      <c r="F155" s="37">
        <v>203700</v>
      </c>
      <c r="G155" s="29" t="s">
        <v>5005</v>
      </c>
      <c r="H155" s="14">
        <v>43523</v>
      </c>
      <c r="I155" s="4" t="s">
        <v>1906</v>
      </c>
      <c r="J155" s="22" t="s">
        <v>4998</v>
      </c>
      <c r="K155" s="21" t="s">
        <v>4999</v>
      </c>
      <c r="L155" s="21"/>
      <c r="M155" s="21"/>
      <c r="N155" s="21"/>
      <c r="O155" s="21"/>
    </row>
    <row r="156" spans="1:19" s="97" customFormat="1" x14ac:dyDescent="0.25">
      <c r="A156" s="211" t="s">
        <v>311</v>
      </c>
      <c r="B156" s="14">
        <v>43622</v>
      </c>
      <c r="C156" s="13">
        <v>573</v>
      </c>
      <c r="D156" s="13" t="s">
        <v>6977</v>
      </c>
      <c r="E156" s="13" t="s">
        <v>958</v>
      </c>
      <c r="F156" s="37">
        <f>32001.41+94939.2</f>
        <v>126940.61</v>
      </c>
      <c r="G156" s="210" t="s">
        <v>3406</v>
      </c>
      <c r="H156" s="211">
        <v>43518</v>
      </c>
      <c r="I156" s="208" t="s">
        <v>6979</v>
      </c>
      <c r="J156" s="133"/>
      <c r="K156" s="22"/>
      <c r="L156" s="134"/>
    </row>
    <row r="157" spans="1:19" s="97" customFormat="1" x14ac:dyDescent="0.25">
      <c r="A157" s="61" t="s">
        <v>311</v>
      </c>
      <c r="B157" s="14">
        <v>43622</v>
      </c>
      <c r="C157" s="13">
        <v>574</v>
      </c>
      <c r="D157" s="13" t="s">
        <v>1065</v>
      </c>
      <c r="E157" s="13" t="s">
        <v>958</v>
      </c>
      <c r="F157" s="4">
        <v>37421.040000000001</v>
      </c>
      <c r="G157" s="29" t="s">
        <v>5333</v>
      </c>
      <c r="H157" s="14">
        <v>43572</v>
      </c>
      <c r="I157" s="4" t="s">
        <v>6861</v>
      </c>
      <c r="J157" s="133"/>
      <c r="K157" s="22"/>
      <c r="L157" s="134"/>
    </row>
    <row r="158" spans="1:19" s="97" customFormat="1" x14ac:dyDescent="0.25">
      <c r="A158" s="61" t="s">
        <v>311</v>
      </c>
      <c r="B158" s="14">
        <v>43622</v>
      </c>
      <c r="C158" s="13">
        <v>575</v>
      </c>
      <c r="D158" s="13" t="s">
        <v>304</v>
      </c>
      <c r="E158" s="13" t="s">
        <v>958</v>
      </c>
      <c r="F158" s="4">
        <v>24605</v>
      </c>
      <c r="G158" s="29" t="s">
        <v>7511</v>
      </c>
      <c r="H158" s="14">
        <v>43592</v>
      </c>
      <c r="I158" s="4" t="s">
        <v>7512</v>
      </c>
      <c r="J158" s="133"/>
      <c r="K158" s="22"/>
      <c r="L158" s="134"/>
    </row>
    <row r="159" spans="1:19" s="97" customFormat="1" x14ac:dyDescent="0.25">
      <c r="A159" s="61" t="s">
        <v>311</v>
      </c>
      <c r="B159" s="14">
        <v>43622</v>
      </c>
      <c r="C159" s="13">
        <v>575</v>
      </c>
      <c r="D159" s="13" t="s">
        <v>304</v>
      </c>
      <c r="E159" s="13" t="s">
        <v>958</v>
      </c>
      <c r="F159" s="37">
        <v>12680</v>
      </c>
      <c r="G159" s="29" t="s">
        <v>8427</v>
      </c>
      <c r="H159" s="14">
        <v>43605</v>
      </c>
      <c r="I159" s="4" t="s">
        <v>7487</v>
      </c>
      <c r="J159" s="133"/>
      <c r="K159" s="22"/>
      <c r="L159" s="134"/>
    </row>
    <row r="160" spans="1:19" x14ac:dyDescent="0.25">
      <c r="A160" s="32" t="s">
        <v>311</v>
      </c>
      <c r="B160" s="14">
        <v>43622</v>
      </c>
      <c r="C160" s="13">
        <v>576</v>
      </c>
      <c r="D160" s="13" t="s">
        <v>5009</v>
      </c>
      <c r="E160" s="13" t="s">
        <v>958</v>
      </c>
      <c r="F160" s="37">
        <v>24300</v>
      </c>
      <c r="G160" s="29" t="s">
        <v>6981</v>
      </c>
      <c r="H160" s="14">
        <v>43518</v>
      </c>
      <c r="I160" s="4" t="s">
        <v>6982</v>
      </c>
      <c r="L160" s="21"/>
      <c r="M160" s="21"/>
      <c r="N160" s="21"/>
      <c r="O160" s="21"/>
    </row>
    <row r="161" spans="1:19" x14ac:dyDescent="0.25">
      <c r="A161" s="68" t="s">
        <v>311</v>
      </c>
      <c r="B161" s="14">
        <v>43622</v>
      </c>
      <c r="C161" s="13">
        <v>577</v>
      </c>
      <c r="D161" s="218" t="s">
        <v>4870</v>
      </c>
      <c r="E161" s="218" t="s">
        <v>958</v>
      </c>
      <c r="F161" s="224">
        <v>9600</v>
      </c>
      <c r="G161" s="70" t="s">
        <v>6444</v>
      </c>
      <c r="H161" s="211">
        <v>43528</v>
      </c>
      <c r="I161" s="32" t="s">
        <v>164</v>
      </c>
    </row>
    <row r="162" spans="1:19" ht="27.6" x14ac:dyDescent="0.25">
      <c r="A162" s="61" t="s">
        <v>6786</v>
      </c>
      <c r="B162" s="14">
        <v>43622</v>
      </c>
      <c r="C162" s="13">
        <v>578</v>
      </c>
      <c r="D162" s="13" t="s">
        <v>2115</v>
      </c>
      <c r="E162" s="13" t="s">
        <v>958</v>
      </c>
      <c r="F162" s="37">
        <v>391625</v>
      </c>
      <c r="G162" s="29" t="s">
        <v>1510</v>
      </c>
      <c r="H162" s="14">
        <v>43555</v>
      </c>
      <c r="I162" s="4" t="s">
        <v>6787</v>
      </c>
    </row>
    <row r="163" spans="1:19" x14ac:dyDescent="0.25">
      <c r="A163" s="61" t="s">
        <v>311</v>
      </c>
      <c r="B163" s="14">
        <v>43622</v>
      </c>
      <c r="C163" s="13">
        <v>579</v>
      </c>
      <c r="D163" s="13" t="s">
        <v>149</v>
      </c>
      <c r="E163" s="13" t="s">
        <v>958</v>
      </c>
      <c r="F163" s="37">
        <v>17500</v>
      </c>
      <c r="G163" s="29" t="s">
        <v>7054</v>
      </c>
      <c r="H163" s="14">
        <v>43555</v>
      </c>
      <c r="I163" s="4" t="s">
        <v>7046</v>
      </c>
    </row>
    <row r="164" spans="1:19" x14ac:dyDescent="0.25">
      <c r="A164" s="61" t="s">
        <v>311</v>
      </c>
      <c r="B164" s="14">
        <v>43622</v>
      </c>
      <c r="C164" s="13">
        <v>579</v>
      </c>
      <c r="D164" s="13" t="s">
        <v>149</v>
      </c>
      <c r="E164" s="13" t="s">
        <v>958</v>
      </c>
      <c r="F164" s="37">
        <v>17500</v>
      </c>
      <c r="G164" s="29" t="s">
        <v>8075</v>
      </c>
      <c r="H164" s="14">
        <v>43585</v>
      </c>
      <c r="I164" s="4" t="s">
        <v>8070</v>
      </c>
    </row>
    <row r="165" spans="1:19" x14ac:dyDescent="0.25">
      <c r="A165" s="61" t="s">
        <v>311</v>
      </c>
      <c r="B165" s="14">
        <v>43622</v>
      </c>
      <c r="C165" s="13">
        <v>580</v>
      </c>
      <c r="D165" s="13" t="s">
        <v>149</v>
      </c>
      <c r="E165" s="13" t="s">
        <v>958</v>
      </c>
      <c r="F165" s="37">
        <v>4000</v>
      </c>
      <c r="G165" s="29" t="s">
        <v>7061</v>
      </c>
      <c r="H165" s="14">
        <v>43571</v>
      </c>
      <c r="I165" s="4" t="s">
        <v>7056</v>
      </c>
    </row>
    <row r="166" spans="1:19" x14ac:dyDescent="0.25">
      <c r="A166" s="13" t="s">
        <v>311</v>
      </c>
      <c r="B166" s="14">
        <v>43622</v>
      </c>
      <c r="C166" s="13">
        <v>580</v>
      </c>
      <c r="D166" s="13" t="s">
        <v>149</v>
      </c>
      <c r="E166" s="13" t="s">
        <v>958</v>
      </c>
      <c r="F166" s="4">
        <v>5000</v>
      </c>
      <c r="G166" s="28" t="s">
        <v>8080</v>
      </c>
      <c r="H166" s="14">
        <v>43600</v>
      </c>
      <c r="I166" s="4" t="s">
        <v>8078</v>
      </c>
    </row>
    <row r="167" spans="1:19" x14ac:dyDescent="0.25">
      <c r="A167" s="61" t="s">
        <v>460</v>
      </c>
      <c r="B167" s="14">
        <v>43622</v>
      </c>
      <c r="C167" s="13">
        <v>499</v>
      </c>
      <c r="D167" s="13" t="s">
        <v>6346</v>
      </c>
      <c r="E167" s="32" t="s">
        <v>144</v>
      </c>
      <c r="F167" s="4">
        <v>39092</v>
      </c>
      <c r="G167" s="86" t="s">
        <v>6347</v>
      </c>
      <c r="H167" s="211"/>
      <c r="I167" s="326"/>
      <c r="K167" s="62"/>
    </row>
    <row r="168" spans="1:19" x14ac:dyDescent="0.25">
      <c r="A168" s="61" t="s">
        <v>460</v>
      </c>
      <c r="B168" s="14">
        <v>43622</v>
      </c>
      <c r="C168" s="13">
        <v>500</v>
      </c>
      <c r="D168" s="13" t="s">
        <v>6561</v>
      </c>
      <c r="E168" s="32" t="s">
        <v>144</v>
      </c>
      <c r="F168" s="4">
        <v>279489</v>
      </c>
      <c r="G168" s="86" t="s">
        <v>6562</v>
      </c>
      <c r="H168" s="211"/>
      <c r="I168" s="326"/>
      <c r="K168" s="62"/>
    </row>
    <row r="169" spans="1:19" x14ac:dyDescent="0.25">
      <c r="A169" s="61" t="s">
        <v>460</v>
      </c>
      <c r="B169" s="14">
        <v>43622</v>
      </c>
      <c r="C169" s="13">
        <v>501</v>
      </c>
      <c r="D169" s="13" t="s">
        <v>6710</v>
      </c>
      <c r="E169" s="32" t="s">
        <v>144</v>
      </c>
      <c r="F169" s="4">
        <v>35114</v>
      </c>
      <c r="G169" s="86" t="s">
        <v>6711</v>
      </c>
      <c r="H169" s="211"/>
      <c r="I169" s="326"/>
      <c r="K169" s="62"/>
    </row>
    <row r="170" spans="1:19" x14ac:dyDescent="0.25">
      <c r="A170" s="61" t="s">
        <v>460</v>
      </c>
      <c r="B170" s="14">
        <v>43622</v>
      </c>
      <c r="C170" s="13">
        <v>502</v>
      </c>
      <c r="D170" s="13" t="s">
        <v>6766</v>
      </c>
      <c r="E170" s="32" t="s">
        <v>144</v>
      </c>
      <c r="F170" s="4">
        <v>42864</v>
      </c>
      <c r="G170" s="86" t="s">
        <v>6767</v>
      </c>
      <c r="H170" s="211"/>
      <c r="I170" s="326"/>
      <c r="K170" s="62"/>
    </row>
    <row r="171" spans="1:19" s="129" customFormat="1" ht="13.95" customHeight="1" x14ac:dyDescent="0.25">
      <c r="A171" s="13" t="s">
        <v>151</v>
      </c>
      <c r="B171" s="14">
        <v>43622</v>
      </c>
      <c r="C171" s="28" t="s">
        <v>0</v>
      </c>
      <c r="D171" s="13" t="s">
        <v>1078</v>
      </c>
      <c r="E171" s="13" t="s">
        <v>22</v>
      </c>
      <c r="F171" s="4">
        <v>13189.62</v>
      </c>
      <c r="G171" s="28" t="s">
        <v>6157</v>
      </c>
      <c r="H171" s="14">
        <v>43553</v>
      </c>
      <c r="I171" s="4" t="s">
        <v>4069</v>
      </c>
      <c r="J171" s="22"/>
      <c r="K171" s="136"/>
    </row>
    <row r="172" spans="1:19" s="129" customFormat="1" ht="13.95" customHeight="1" x14ac:dyDescent="0.25">
      <c r="A172" s="13" t="s">
        <v>151</v>
      </c>
      <c r="B172" s="14">
        <v>43622</v>
      </c>
      <c r="C172" s="28" t="s">
        <v>0</v>
      </c>
      <c r="D172" s="13" t="s">
        <v>1078</v>
      </c>
      <c r="E172" s="13" t="s">
        <v>22</v>
      </c>
      <c r="F172" s="4">
        <v>15559.23</v>
      </c>
      <c r="G172" s="28" t="s">
        <v>8538</v>
      </c>
      <c r="H172" s="14">
        <v>43585</v>
      </c>
      <c r="I172" s="4" t="s">
        <v>3328</v>
      </c>
      <c r="J172" s="22"/>
      <c r="K172" s="136"/>
    </row>
    <row r="173" spans="1:19" x14ac:dyDescent="0.25">
      <c r="A173" s="13" t="s">
        <v>151</v>
      </c>
      <c r="B173" s="14">
        <v>43622</v>
      </c>
      <c r="C173" s="13">
        <v>162</v>
      </c>
      <c r="D173" s="13" t="s">
        <v>606</v>
      </c>
      <c r="E173" s="32" t="s">
        <v>22</v>
      </c>
      <c r="F173" s="4">
        <v>1500</v>
      </c>
      <c r="G173" s="28" t="s">
        <v>8523</v>
      </c>
      <c r="H173" s="14">
        <v>43620</v>
      </c>
      <c r="I173" s="4" t="s">
        <v>6955</v>
      </c>
      <c r="J173" s="125"/>
    </row>
    <row r="174" spans="1:19" s="115" customFormat="1" ht="15.6" x14ac:dyDescent="0.25">
      <c r="A174" s="13" t="s">
        <v>310</v>
      </c>
      <c r="B174" s="14">
        <v>43622</v>
      </c>
      <c r="C174" s="13">
        <v>175</v>
      </c>
      <c r="D174" s="13" t="s">
        <v>873</v>
      </c>
      <c r="E174" s="13" t="s">
        <v>314</v>
      </c>
      <c r="F174" s="4">
        <v>529419</v>
      </c>
      <c r="G174" s="13" t="s">
        <v>7402</v>
      </c>
      <c r="H174" s="126">
        <v>43564</v>
      </c>
      <c r="I174" s="29" t="s">
        <v>875</v>
      </c>
      <c r="J174" s="258"/>
      <c r="K174" s="116"/>
      <c r="L174" s="116"/>
      <c r="M174" s="116"/>
      <c r="N174" s="116"/>
      <c r="O174" s="117"/>
      <c r="P174" s="117"/>
      <c r="Q174" s="117"/>
      <c r="R174" s="117"/>
      <c r="S174" s="117"/>
    </row>
    <row r="175" spans="1:19" x14ac:dyDescent="0.25">
      <c r="A175" s="61" t="s">
        <v>637</v>
      </c>
      <c r="B175" s="14">
        <v>43622</v>
      </c>
      <c r="C175" s="13">
        <v>939</v>
      </c>
      <c r="D175" s="13" t="s">
        <v>1430</v>
      </c>
      <c r="E175" s="13" t="s">
        <v>130</v>
      </c>
      <c r="F175" s="37">
        <v>207700</v>
      </c>
      <c r="G175" s="29" t="s">
        <v>7670</v>
      </c>
      <c r="H175" s="14">
        <v>43585</v>
      </c>
      <c r="I175" s="4" t="s">
        <v>182</v>
      </c>
    </row>
    <row r="176" spans="1:19" x14ac:dyDescent="0.25">
      <c r="A176" s="61" t="s">
        <v>1316</v>
      </c>
      <c r="B176" s="14">
        <v>43622</v>
      </c>
      <c r="C176" s="13">
        <v>939</v>
      </c>
      <c r="D176" s="13" t="s">
        <v>1430</v>
      </c>
      <c r="E176" s="13" t="s">
        <v>130</v>
      </c>
      <c r="F176" s="37">
        <v>184920</v>
      </c>
      <c r="G176" s="29" t="s">
        <v>7671</v>
      </c>
      <c r="H176" s="14">
        <v>43585</v>
      </c>
      <c r="I176" s="4" t="s">
        <v>182</v>
      </c>
    </row>
    <row r="177" spans="1:12" x14ac:dyDescent="0.25">
      <c r="A177" s="61" t="s">
        <v>956</v>
      </c>
      <c r="B177" s="14">
        <v>43622</v>
      </c>
      <c r="C177" s="13">
        <v>939</v>
      </c>
      <c r="D177" s="13" t="s">
        <v>1430</v>
      </c>
      <c r="E177" s="13" t="s">
        <v>130</v>
      </c>
      <c r="F177" s="37">
        <v>18090</v>
      </c>
      <c r="G177" s="29" t="s">
        <v>7672</v>
      </c>
      <c r="H177" s="14">
        <v>43585</v>
      </c>
      <c r="I177" s="4" t="s">
        <v>182</v>
      </c>
    </row>
    <row r="178" spans="1:12" x14ac:dyDescent="0.25">
      <c r="A178" s="61" t="s">
        <v>659</v>
      </c>
      <c r="B178" s="14">
        <v>43622</v>
      </c>
      <c r="C178" s="13">
        <v>939</v>
      </c>
      <c r="D178" s="13" t="s">
        <v>1430</v>
      </c>
      <c r="E178" s="13" t="s">
        <v>130</v>
      </c>
      <c r="F178" s="37">
        <v>18090</v>
      </c>
      <c r="G178" s="29" t="s">
        <v>7673</v>
      </c>
      <c r="H178" s="14">
        <v>43585</v>
      </c>
      <c r="I178" s="4" t="s">
        <v>182</v>
      </c>
    </row>
    <row r="179" spans="1:12" x14ac:dyDescent="0.25">
      <c r="A179" s="61" t="s">
        <v>261</v>
      </c>
      <c r="B179" s="14">
        <v>43622</v>
      </c>
      <c r="C179" s="13">
        <v>939</v>
      </c>
      <c r="D179" s="13" t="s">
        <v>1430</v>
      </c>
      <c r="E179" s="13" t="s">
        <v>130</v>
      </c>
      <c r="F179" s="37">
        <v>36180</v>
      </c>
      <c r="G179" s="29" t="s">
        <v>7674</v>
      </c>
      <c r="H179" s="14">
        <v>43585</v>
      </c>
      <c r="I179" s="4" t="s">
        <v>182</v>
      </c>
    </row>
    <row r="180" spans="1:12" x14ac:dyDescent="0.25">
      <c r="A180" s="61" t="s">
        <v>311</v>
      </c>
      <c r="B180" s="14">
        <v>43622</v>
      </c>
      <c r="C180" s="13">
        <v>939</v>
      </c>
      <c r="D180" s="13" t="s">
        <v>1430</v>
      </c>
      <c r="E180" s="13" t="s">
        <v>130</v>
      </c>
      <c r="F180" s="37">
        <v>429470</v>
      </c>
      <c r="G180" s="29" t="s">
        <v>7675</v>
      </c>
      <c r="H180" s="14">
        <v>43585</v>
      </c>
      <c r="I180" s="4" t="s">
        <v>182</v>
      </c>
    </row>
    <row r="181" spans="1:12" x14ac:dyDescent="0.25">
      <c r="A181" s="61" t="s">
        <v>310</v>
      </c>
      <c r="B181" s="14">
        <v>43622</v>
      </c>
      <c r="C181" s="13">
        <v>939</v>
      </c>
      <c r="D181" s="13" t="s">
        <v>1430</v>
      </c>
      <c r="E181" s="13" t="s">
        <v>130</v>
      </c>
      <c r="F181" s="37">
        <v>126630</v>
      </c>
      <c r="G181" s="29" t="s">
        <v>7676</v>
      </c>
      <c r="H181" s="14">
        <v>43585</v>
      </c>
      <c r="I181" s="4" t="s">
        <v>182</v>
      </c>
    </row>
    <row r="182" spans="1:12" x14ac:dyDescent="0.25">
      <c r="A182" s="61" t="s">
        <v>455</v>
      </c>
      <c r="B182" s="14">
        <v>43622</v>
      </c>
      <c r="C182" s="13">
        <v>939</v>
      </c>
      <c r="D182" s="13" t="s">
        <v>1430</v>
      </c>
      <c r="E182" s="13" t="s">
        <v>130</v>
      </c>
      <c r="F182" s="37">
        <v>162810</v>
      </c>
      <c r="G182" s="29" t="s">
        <v>7677</v>
      </c>
      <c r="H182" s="14">
        <v>43585</v>
      </c>
      <c r="I182" s="4" t="s">
        <v>182</v>
      </c>
    </row>
    <row r="183" spans="1:12" x14ac:dyDescent="0.25">
      <c r="A183" s="61" t="s">
        <v>1350</v>
      </c>
      <c r="B183" s="14">
        <v>43622</v>
      </c>
      <c r="C183" s="13">
        <v>939</v>
      </c>
      <c r="D183" s="13" t="s">
        <v>1430</v>
      </c>
      <c r="E183" s="13" t="s">
        <v>130</v>
      </c>
      <c r="F183" s="37">
        <v>108540</v>
      </c>
      <c r="G183" s="29" t="s">
        <v>7678</v>
      </c>
      <c r="H183" s="14">
        <v>43585</v>
      </c>
      <c r="I183" s="4" t="s">
        <v>182</v>
      </c>
    </row>
    <row r="184" spans="1:12" ht="13.95" customHeight="1" x14ac:dyDescent="0.25">
      <c r="A184" s="68" t="s">
        <v>455</v>
      </c>
      <c r="B184" s="14">
        <v>43622</v>
      </c>
      <c r="C184" s="13">
        <v>581</v>
      </c>
      <c r="D184" s="32" t="s">
        <v>2144</v>
      </c>
      <c r="E184" s="32" t="s">
        <v>958</v>
      </c>
      <c r="F184" s="4">
        <v>2049462</v>
      </c>
      <c r="G184" s="86" t="s">
        <v>7299</v>
      </c>
      <c r="H184" s="211"/>
      <c r="I184" s="41" t="s">
        <v>7298</v>
      </c>
      <c r="J184" s="21"/>
      <c r="K184" s="228"/>
    </row>
    <row r="185" spans="1:12" s="97" customFormat="1" x14ac:dyDescent="0.25">
      <c r="A185" s="61" t="s">
        <v>455</v>
      </c>
      <c r="B185" s="14">
        <v>43622</v>
      </c>
      <c r="C185" s="13">
        <v>582</v>
      </c>
      <c r="D185" s="13" t="s">
        <v>589</v>
      </c>
      <c r="E185" s="13" t="s">
        <v>958</v>
      </c>
      <c r="F185" s="4">
        <f>830458-567000</f>
        <v>263458</v>
      </c>
      <c r="G185" s="29" t="s">
        <v>6486</v>
      </c>
      <c r="H185" s="14">
        <v>43560</v>
      </c>
      <c r="I185" s="4" t="s">
        <v>423</v>
      </c>
      <c r="J185" s="133"/>
      <c r="K185" s="22"/>
      <c r="L185" s="134"/>
    </row>
    <row r="186" spans="1:12" s="97" customFormat="1" ht="27.6" x14ac:dyDescent="0.25">
      <c r="A186" s="13" t="s">
        <v>455</v>
      </c>
      <c r="B186" s="14">
        <v>43622</v>
      </c>
      <c r="C186" s="13">
        <v>583</v>
      </c>
      <c r="D186" s="13" t="s">
        <v>7763</v>
      </c>
      <c r="E186" s="13" t="s">
        <v>958</v>
      </c>
      <c r="F186" s="4">
        <v>900000</v>
      </c>
      <c r="G186" s="28" t="s">
        <v>7764</v>
      </c>
      <c r="H186" s="14">
        <v>43592</v>
      </c>
      <c r="I186" s="4" t="s">
        <v>421</v>
      </c>
      <c r="J186" s="133"/>
      <c r="K186" s="22"/>
      <c r="L186" s="134"/>
    </row>
    <row r="187" spans="1:12" s="466" customFormat="1" x14ac:dyDescent="0.25">
      <c r="A187" s="61" t="s">
        <v>455</v>
      </c>
      <c r="B187" s="14">
        <v>43622</v>
      </c>
      <c r="C187" s="13">
        <v>584</v>
      </c>
      <c r="D187" s="13" t="s">
        <v>243</v>
      </c>
      <c r="E187" s="13" t="s">
        <v>958</v>
      </c>
      <c r="F187" s="4">
        <v>869549.98</v>
      </c>
      <c r="G187" s="28" t="s">
        <v>4875</v>
      </c>
      <c r="H187" s="14">
        <v>43563</v>
      </c>
      <c r="I187" s="4" t="s">
        <v>1207</v>
      </c>
      <c r="J187" s="464"/>
      <c r="K187" s="144"/>
      <c r="L187" s="465"/>
    </row>
    <row r="188" spans="1:12" x14ac:dyDescent="0.25">
      <c r="A188" s="32" t="s">
        <v>455</v>
      </c>
      <c r="B188" s="14">
        <v>43622</v>
      </c>
      <c r="C188" s="13">
        <v>585</v>
      </c>
      <c r="D188" s="13" t="s">
        <v>149</v>
      </c>
      <c r="E188" s="13" t="s">
        <v>958</v>
      </c>
      <c r="F188" s="4">
        <v>4000</v>
      </c>
      <c r="G188" s="28" t="s">
        <v>5900</v>
      </c>
      <c r="H188" s="14">
        <v>43542</v>
      </c>
      <c r="I188" s="4" t="s">
        <v>5899</v>
      </c>
    </row>
    <row r="189" spans="1:12" x14ac:dyDescent="0.25">
      <c r="A189" s="32" t="s">
        <v>310</v>
      </c>
      <c r="B189" s="14">
        <v>43622</v>
      </c>
      <c r="C189" s="13">
        <v>585</v>
      </c>
      <c r="D189" s="13" t="s">
        <v>149</v>
      </c>
      <c r="E189" s="13" t="s">
        <v>958</v>
      </c>
      <c r="F189" s="37">
        <v>6500</v>
      </c>
      <c r="G189" s="29" t="s">
        <v>5901</v>
      </c>
      <c r="H189" s="14">
        <v>43542</v>
      </c>
      <c r="I189" s="4" t="s">
        <v>5899</v>
      </c>
    </row>
    <row r="190" spans="1:12" x14ac:dyDescent="0.25">
      <c r="A190" s="32" t="s">
        <v>1285</v>
      </c>
      <c r="B190" s="14">
        <v>43622</v>
      </c>
      <c r="C190" s="13">
        <v>952</v>
      </c>
      <c r="D190" s="32" t="s">
        <v>528</v>
      </c>
      <c r="E190" s="32" t="s">
        <v>62</v>
      </c>
      <c r="F190" s="4">
        <v>3000000</v>
      </c>
      <c r="G190" s="69" t="s">
        <v>1287</v>
      </c>
      <c r="H190" s="14"/>
      <c r="I190" s="41" t="s">
        <v>273</v>
      </c>
      <c r="J190" s="21"/>
      <c r="K190" s="228"/>
    </row>
    <row r="191" spans="1:12" ht="16.2" customHeight="1" x14ac:dyDescent="0.25">
      <c r="A191" s="68" t="s">
        <v>536</v>
      </c>
      <c r="B191" s="14">
        <v>43622</v>
      </c>
      <c r="C191" s="13">
        <v>953</v>
      </c>
      <c r="D191" s="13" t="s">
        <v>456</v>
      </c>
      <c r="E191" s="32" t="s">
        <v>62</v>
      </c>
      <c r="F191" s="4">
        <v>2400000</v>
      </c>
      <c r="G191" s="86" t="s">
        <v>8503</v>
      </c>
      <c r="H191" s="14"/>
      <c r="I191" s="4" t="s">
        <v>361</v>
      </c>
      <c r="J191" s="71"/>
      <c r="K191" s="62"/>
      <c r="L191" s="62"/>
    </row>
    <row r="192" spans="1:12" ht="13.95" customHeight="1" x14ac:dyDescent="0.25">
      <c r="A192" s="13" t="s">
        <v>527</v>
      </c>
      <c r="B192" s="242">
        <v>43622</v>
      </c>
      <c r="C192" s="13">
        <v>951</v>
      </c>
      <c r="D192" s="13" t="s">
        <v>7288</v>
      </c>
      <c r="E192" s="13" t="s">
        <v>62</v>
      </c>
      <c r="F192" s="4">
        <v>5000000</v>
      </c>
      <c r="G192" s="86" t="s">
        <v>8229</v>
      </c>
      <c r="H192" s="14"/>
      <c r="I192" s="4" t="s">
        <v>361</v>
      </c>
      <c r="K192" s="228"/>
    </row>
    <row r="193" spans="1:12" ht="14.1" customHeight="1" x14ac:dyDescent="0.25">
      <c r="A193" s="32" t="s">
        <v>358</v>
      </c>
      <c r="B193" s="14">
        <v>43622</v>
      </c>
      <c r="C193" s="13">
        <v>964</v>
      </c>
      <c r="D193" s="32" t="s">
        <v>541</v>
      </c>
      <c r="E193" s="13" t="s">
        <v>62</v>
      </c>
      <c r="F193" s="4">
        <v>1000000</v>
      </c>
      <c r="G193" s="86" t="s">
        <v>1961</v>
      </c>
      <c r="H193" s="211"/>
      <c r="I193" s="208" t="s">
        <v>1963</v>
      </c>
      <c r="J193" s="21"/>
      <c r="K193" s="228"/>
    </row>
    <row r="194" spans="1:12" ht="13.95" customHeight="1" x14ac:dyDescent="0.25">
      <c r="A194" s="61" t="s">
        <v>358</v>
      </c>
      <c r="B194" s="14">
        <v>43622</v>
      </c>
      <c r="C194" s="13">
        <v>954</v>
      </c>
      <c r="D194" s="32" t="s">
        <v>8506</v>
      </c>
      <c r="E194" s="32" t="s">
        <v>62</v>
      </c>
      <c r="F194" s="4">
        <v>900000</v>
      </c>
      <c r="G194" s="86" t="s">
        <v>8507</v>
      </c>
      <c r="H194" s="211"/>
      <c r="I194" s="4" t="s">
        <v>8508</v>
      </c>
      <c r="J194" s="21"/>
      <c r="K194" s="228"/>
    </row>
    <row r="195" spans="1:12" s="97" customFormat="1" x14ac:dyDescent="0.25">
      <c r="A195" s="68" t="s">
        <v>160</v>
      </c>
      <c r="B195" s="14">
        <v>43622</v>
      </c>
      <c r="C195" s="13">
        <v>966</v>
      </c>
      <c r="D195" s="13" t="s">
        <v>982</v>
      </c>
      <c r="E195" s="13" t="s">
        <v>62</v>
      </c>
      <c r="F195" s="4">
        <v>500000</v>
      </c>
      <c r="G195" s="29" t="s">
        <v>1296</v>
      </c>
      <c r="H195" s="14">
        <v>41319</v>
      </c>
      <c r="I195" s="4" t="s">
        <v>1093</v>
      </c>
      <c r="J195" s="133"/>
      <c r="K195" s="22"/>
      <c r="L195" s="134"/>
    </row>
    <row r="196" spans="1:12" s="97" customFormat="1" x14ac:dyDescent="0.25">
      <c r="A196" s="32" t="s">
        <v>442</v>
      </c>
      <c r="B196" s="14">
        <v>43622</v>
      </c>
      <c r="C196" s="13">
        <v>955</v>
      </c>
      <c r="D196" s="13" t="s">
        <v>157</v>
      </c>
      <c r="E196" s="13" t="s">
        <v>62</v>
      </c>
      <c r="F196" s="4">
        <v>636778.9</v>
      </c>
      <c r="G196" s="29" t="s">
        <v>4897</v>
      </c>
      <c r="H196" s="14">
        <v>43530</v>
      </c>
      <c r="I196" s="4" t="s">
        <v>305</v>
      </c>
      <c r="J196" s="133"/>
      <c r="K196" s="22"/>
      <c r="L196" s="134"/>
    </row>
    <row r="197" spans="1:12" s="97" customFormat="1" x14ac:dyDescent="0.25">
      <c r="A197" s="61" t="s">
        <v>442</v>
      </c>
      <c r="B197" s="14">
        <v>43622</v>
      </c>
      <c r="C197" s="13">
        <v>956</v>
      </c>
      <c r="D197" s="13" t="s">
        <v>7839</v>
      </c>
      <c r="E197" s="13" t="s">
        <v>62</v>
      </c>
      <c r="F197" s="4">
        <v>51600</v>
      </c>
      <c r="G197" s="29" t="s">
        <v>480</v>
      </c>
      <c r="H197" s="14">
        <v>43568</v>
      </c>
      <c r="I197" s="4" t="s">
        <v>7840</v>
      </c>
      <c r="J197" s="133"/>
      <c r="K197" s="22"/>
      <c r="L197" s="134"/>
    </row>
    <row r="198" spans="1:12" s="97" customFormat="1" x14ac:dyDescent="0.25">
      <c r="A198" s="61" t="s">
        <v>92</v>
      </c>
      <c r="B198" s="14">
        <v>43622</v>
      </c>
      <c r="C198" s="13">
        <v>957</v>
      </c>
      <c r="D198" s="13" t="s">
        <v>100</v>
      </c>
      <c r="E198" s="13" t="s">
        <v>62</v>
      </c>
      <c r="F198" s="4">
        <v>50000</v>
      </c>
      <c r="G198" s="29" t="s">
        <v>7824</v>
      </c>
      <c r="H198" s="14">
        <v>43579</v>
      </c>
      <c r="I198" s="4" t="s">
        <v>572</v>
      </c>
      <c r="J198" s="133"/>
      <c r="K198" s="22"/>
      <c r="L198" s="134"/>
    </row>
    <row r="199" spans="1:12" s="97" customFormat="1" x14ac:dyDescent="0.25">
      <c r="A199" s="61" t="s">
        <v>91</v>
      </c>
      <c r="B199" s="14">
        <v>43622</v>
      </c>
      <c r="C199" s="13">
        <v>958</v>
      </c>
      <c r="D199" s="13" t="s">
        <v>280</v>
      </c>
      <c r="E199" s="13" t="s">
        <v>62</v>
      </c>
      <c r="F199" s="4">
        <v>126980</v>
      </c>
      <c r="G199" s="29" t="s">
        <v>1247</v>
      </c>
      <c r="H199" s="14">
        <v>43577</v>
      </c>
      <c r="I199" s="4" t="s">
        <v>7155</v>
      </c>
      <c r="J199" s="133"/>
      <c r="K199" s="22"/>
      <c r="L199" s="134"/>
    </row>
    <row r="200" spans="1:12" s="97" customFormat="1" x14ac:dyDescent="0.25">
      <c r="A200" s="61" t="s">
        <v>442</v>
      </c>
      <c r="B200" s="14">
        <v>43622</v>
      </c>
      <c r="C200" s="13">
        <v>959</v>
      </c>
      <c r="D200" s="13" t="s">
        <v>814</v>
      </c>
      <c r="E200" s="13" t="s">
        <v>62</v>
      </c>
      <c r="F200" s="4">
        <v>67700</v>
      </c>
      <c r="G200" s="29" t="s">
        <v>7143</v>
      </c>
      <c r="H200" s="14">
        <v>43573</v>
      </c>
      <c r="I200" s="4" t="s">
        <v>719</v>
      </c>
      <c r="J200" s="133"/>
      <c r="K200" s="22"/>
      <c r="L200" s="134"/>
    </row>
    <row r="201" spans="1:12" s="97" customFormat="1" x14ac:dyDescent="0.25">
      <c r="A201" s="61" t="s">
        <v>91</v>
      </c>
      <c r="B201" s="14">
        <v>43622</v>
      </c>
      <c r="C201" s="13">
        <v>960</v>
      </c>
      <c r="D201" s="13" t="s">
        <v>304</v>
      </c>
      <c r="E201" s="13" t="s">
        <v>62</v>
      </c>
      <c r="F201" s="4">
        <v>73098.399999999994</v>
      </c>
      <c r="G201" s="28" t="s">
        <v>7141</v>
      </c>
      <c r="H201" s="14">
        <v>43579</v>
      </c>
      <c r="I201" s="4" t="s">
        <v>7142</v>
      </c>
      <c r="J201" s="133"/>
      <c r="K201" s="22"/>
      <c r="L201" s="134"/>
    </row>
    <row r="202" spans="1:12" s="97" customFormat="1" x14ac:dyDescent="0.25">
      <c r="A202" s="32" t="s">
        <v>442</v>
      </c>
      <c r="B202" s="14">
        <v>43622</v>
      </c>
      <c r="C202" s="13">
        <v>961</v>
      </c>
      <c r="D202" s="13" t="s">
        <v>203</v>
      </c>
      <c r="E202" s="13" t="s">
        <v>62</v>
      </c>
      <c r="F202" s="4">
        <v>61140</v>
      </c>
      <c r="G202" s="28" t="s">
        <v>3176</v>
      </c>
      <c r="H202" s="14">
        <v>43563</v>
      </c>
      <c r="I202" s="4" t="s">
        <v>6824</v>
      </c>
      <c r="J202" s="133"/>
      <c r="K202" s="22"/>
      <c r="L202" s="134"/>
    </row>
    <row r="203" spans="1:12" s="93" customFormat="1" x14ac:dyDescent="0.25">
      <c r="A203" s="61" t="s">
        <v>92</v>
      </c>
      <c r="B203" s="14">
        <v>43622</v>
      </c>
      <c r="C203" s="13">
        <v>965</v>
      </c>
      <c r="D203" s="13" t="s">
        <v>1491</v>
      </c>
      <c r="E203" s="13" t="s">
        <v>62</v>
      </c>
      <c r="F203" s="4">
        <v>100000</v>
      </c>
      <c r="G203" s="29" t="s">
        <v>6816</v>
      </c>
      <c r="H203" s="14">
        <v>43567</v>
      </c>
      <c r="I203" s="4" t="s">
        <v>555</v>
      </c>
      <c r="J203" s="133"/>
      <c r="K203" s="22"/>
      <c r="L203" s="92"/>
    </row>
    <row r="204" spans="1:12" s="93" customFormat="1" x14ac:dyDescent="0.25">
      <c r="A204" s="61" t="s">
        <v>442</v>
      </c>
      <c r="B204" s="14">
        <v>43622</v>
      </c>
      <c r="C204" s="13">
        <v>962</v>
      </c>
      <c r="D204" s="13" t="s">
        <v>516</v>
      </c>
      <c r="E204" s="13" t="s">
        <v>62</v>
      </c>
      <c r="F204" s="4">
        <v>44553.4</v>
      </c>
      <c r="G204" s="29" t="s">
        <v>6812</v>
      </c>
      <c r="H204" s="14">
        <v>43567</v>
      </c>
      <c r="I204" s="4" t="s">
        <v>6813</v>
      </c>
      <c r="J204" s="130"/>
      <c r="K204" s="16"/>
      <c r="L204" s="92"/>
    </row>
    <row r="205" spans="1:12" x14ac:dyDescent="0.25">
      <c r="A205" s="61" t="s">
        <v>442</v>
      </c>
      <c r="B205" s="14">
        <v>43622</v>
      </c>
      <c r="C205" s="13">
        <v>963</v>
      </c>
      <c r="D205" s="13" t="s">
        <v>692</v>
      </c>
      <c r="E205" s="13" t="s">
        <v>62</v>
      </c>
      <c r="F205" s="37">
        <v>148500</v>
      </c>
      <c r="G205" s="29" t="s">
        <v>6175</v>
      </c>
      <c r="H205" s="14">
        <v>43583</v>
      </c>
      <c r="I205" s="4" t="s">
        <v>419</v>
      </c>
    </row>
    <row r="206" spans="1:12" x14ac:dyDescent="0.25">
      <c r="A206" s="61" t="s">
        <v>659</v>
      </c>
      <c r="B206" s="14">
        <v>43622</v>
      </c>
      <c r="C206" s="13">
        <v>1009</v>
      </c>
      <c r="D206" s="13" t="s">
        <v>5888</v>
      </c>
      <c r="E206" s="13" t="s">
        <v>808</v>
      </c>
      <c r="F206" s="4">
        <v>2000000</v>
      </c>
      <c r="G206" s="174" t="s">
        <v>5762</v>
      </c>
      <c r="H206" s="14"/>
      <c r="I206" s="4" t="s">
        <v>24</v>
      </c>
    </row>
    <row r="207" spans="1:12" x14ac:dyDescent="0.25">
      <c r="A207" s="61" t="s">
        <v>659</v>
      </c>
      <c r="B207" s="14">
        <v>43622</v>
      </c>
      <c r="C207" s="13">
        <v>1024</v>
      </c>
      <c r="D207" s="32" t="s">
        <v>2144</v>
      </c>
      <c r="E207" s="13" t="s">
        <v>808</v>
      </c>
      <c r="F207" s="4">
        <v>450000</v>
      </c>
      <c r="G207" s="174" t="s">
        <v>5967</v>
      </c>
      <c r="H207" s="14"/>
      <c r="I207" s="4" t="s">
        <v>24</v>
      </c>
    </row>
    <row r="208" spans="1:12" s="97" customFormat="1" x14ac:dyDescent="0.25">
      <c r="A208" s="61" t="s">
        <v>1316</v>
      </c>
      <c r="B208" s="14">
        <v>43622</v>
      </c>
      <c r="C208" s="13">
        <v>1010</v>
      </c>
      <c r="D208" s="13" t="s">
        <v>304</v>
      </c>
      <c r="E208" s="13" t="s">
        <v>808</v>
      </c>
      <c r="F208" s="4">
        <v>286404</v>
      </c>
      <c r="G208" s="29" t="s">
        <v>8094</v>
      </c>
      <c r="H208" s="14">
        <v>43599</v>
      </c>
      <c r="I208" s="4" t="s">
        <v>1826</v>
      </c>
      <c r="J208" s="133"/>
      <c r="K208" s="22"/>
      <c r="L208" s="134"/>
    </row>
    <row r="209" spans="1:12" s="97" customFormat="1" x14ac:dyDescent="0.25">
      <c r="A209" s="61" t="s">
        <v>1148</v>
      </c>
      <c r="B209" s="14">
        <v>43622</v>
      </c>
      <c r="C209" s="13">
        <v>1030</v>
      </c>
      <c r="D209" s="13" t="s">
        <v>740</v>
      </c>
      <c r="E209" s="13" t="s">
        <v>808</v>
      </c>
      <c r="F209" s="4">
        <v>142000</v>
      </c>
      <c r="G209" s="29" t="s">
        <v>7747</v>
      </c>
      <c r="H209" s="14">
        <v>43563</v>
      </c>
      <c r="I209" s="4" t="s">
        <v>2535</v>
      </c>
      <c r="J209" s="133"/>
      <c r="K209" s="22"/>
      <c r="L209" s="134"/>
    </row>
    <row r="210" spans="1:12" s="97" customFormat="1" x14ac:dyDescent="0.25">
      <c r="A210" s="61" t="s">
        <v>659</v>
      </c>
      <c r="B210" s="14">
        <v>43622</v>
      </c>
      <c r="C210" s="13">
        <v>1030</v>
      </c>
      <c r="D210" s="13" t="s">
        <v>740</v>
      </c>
      <c r="E210" s="13" t="s">
        <v>808</v>
      </c>
      <c r="F210" s="4">
        <v>24620</v>
      </c>
      <c r="G210" s="28" t="s">
        <v>7447</v>
      </c>
      <c r="H210" s="14">
        <v>43572</v>
      </c>
      <c r="I210" s="4" t="s">
        <v>1876</v>
      </c>
      <c r="J210" s="133"/>
      <c r="K210" s="22"/>
      <c r="L210" s="134"/>
    </row>
    <row r="211" spans="1:12" s="97" customFormat="1" x14ac:dyDescent="0.25">
      <c r="A211" s="61" t="s">
        <v>1147</v>
      </c>
      <c r="B211" s="14">
        <v>43622</v>
      </c>
      <c r="C211" s="13">
        <v>1030</v>
      </c>
      <c r="D211" s="13" t="s">
        <v>740</v>
      </c>
      <c r="E211" s="13" t="s">
        <v>808</v>
      </c>
      <c r="F211" s="4">
        <v>922175</v>
      </c>
      <c r="G211" s="28" t="s">
        <v>7078</v>
      </c>
      <c r="H211" s="14">
        <v>43573</v>
      </c>
      <c r="I211" s="4" t="s">
        <v>7079</v>
      </c>
      <c r="J211" s="133"/>
      <c r="K211" s="22"/>
      <c r="L211" s="134"/>
    </row>
    <row r="212" spans="1:12" s="97" customFormat="1" x14ac:dyDescent="0.25">
      <c r="A212" s="32" t="s">
        <v>1147</v>
      </c>
      <c r="B212" s="14">
        <v>43622</v>
      </c>
      <c r="C212" s="13">
        <v>1025</v>
      </c>
      <c r="D212" s="13" t="s">
        <v>257</v>
      </c>
      <c r="E212" s="13" t="s">
        <v>808</v>
      </c>
      <c r="F212" s="4">
        <v>867132</v>
      </c>
      <c r="G212" s="28" t="s">
        <v>5639</v>
      </c>
      <c r="H212" s="14">
        <v>43542</v>
      </c>
      <c r="I212" s="4" t="s">
        <v>1349</v>
      </c>
      <c r="J212" s="133"/>
      <c r="K212" s="22"/>
      <c r="L212" s="134"/>
    </row>
    <row r="213" spans="1:12" s="97" customFormat="1" x14ac:dyDescent="0.25">
      <c r="A213" s="61" t="s">
        <v>659</v>
      </c>
      <c r="B213" s="14">
        <v>43622</v>
      </c>
      <c r="C213" s="13">
        <v>1025</v>
      </c>
      <c r="D213" s="13" t="s">
        <v>257</v>
      </c>
      <c r="E213" s="13" t="s">
        <v>808</v>
      </c>
      <c r="F213" s="4">
        <v>901620</v>
      </c>
      <c r="G213" s="28" t="s">
        <v>5926</v>
      </c>
      <c r="H213" s="14">
        <v>43550</v>
      </c>
      <c r="I213" s="4" t="s">
        <v>5927</v>
      </c>
      <c r="J213" s="133"/>
      <c r="K213" s="22"/>
      <c r="L213" s="134"/>
    </row>
    <row r="214" spans="1:12" s="97" customFormat="1" x14ac:dyDescent="0.25">
      <c r="A214" s="32" t="s">
        <v>1147</v>
      </c>
      <c r="B214" s="14">
        <v>43622</v>
      </c>
      <c r="C214" s="13">
        <v>1025</v>
      </c>
      <c r="D214" s="13" t="s">
        <v>257</v>
      </c>
      <c r="E214" s="13" t="s">
        <v>808</v>
      </c>
      <c r="F214" s="4">
        <v>865338.5</v>
      </c>
      <c r="G214" s="28" t="s">
        <v>6482</v>
      </c>
      <c r="H214" s="14">
        <v>43559</v>
      </c>
      <c r="I214" s="4" t="s">
        <v>2722</v>
      </c>
      <c r="J214" s="133"/>
      <c r="K214" s="22"/>
      <c r="L214" s="134"/>
    </row>
    <row r="215" spans="1:12" s="97" customFormat="1" x14ac:dyDescent="0.25">
      <c r="A215" s="61" t="s">
        <v>659</v>
      </c>
      <c r="B215" s="14">
        <v>43622</v>
      </c>
      <c r="C215" s="13">
        <v>1031</v>
      </c>
      <c r="D215" s="13" t="s">
        <v>539</v>
      </c>
      <c r="E215" s="13" t="s">
        <v>808</v>
      </c>
      <c r="F215" s="4">
        <v>760550</v>
      </c>
      <c r="G215" s="29" t="s">
        <v>582</v>
      </c>
      <c r="H215" s="14">
        <v>43579</v>
      </c>
      <c r="I215" s="4" t="s">
        <v>423</v>
      </c>
      <c r="J215" s="133"/>
      <c r="K215" s="22"/>
      <c r="L215" s="134"/>
    </row>
    <row r="216" spans="1:12" s="97" customFormat="1" x14ac:dyDescent="0.25">
      <c r="A216" s="61" t="s">
        <v>659</v>
      </c>
      <c r="B216" s="14">
        <v>43622</v>
      </c>
      <c r="C216" s="13">
        <v>1031</v>
      </c>
      <c r="D216" s="13" t="s">
        <v>539</v>
      </c>
      <c r="E216" s="13" t="s">
        <v>808</v>
      </c>
      <c r="F216" s="4">
        <v>839680</v>
      </c>
      <c r="G216" s="29" t="s">
        <v>7459</v>
      </c>
      <c r="H216" s="14">
        <v>43580</v>
      </c>
      <c r="I216" s="4" t="s">
        <v>423</v>
      </c>
      <c r="J216" s="133"/>
      <c r="K216" s="22"/>
      <c r="L216" s="134"/>
    </row>
    <row r="217" spans="1:12" s="97" customFormat="1" x14ac:dyDescent="0.25">
      <c r="A217" s="61" t="s">
        <v>1316</v>
      </c>
      <c r="B217" s="14">
        <v>43622</v>
      </c>
      <c r="C217" s="13">
        <v>1011</v>
      </c>
      <c r="D217" s="13" t="s">
        <v>8564</v>
      </c>
      <c r="E217" s="13" t="s">
        <v>808</v>
      </c>
      <c r="F217" s="4">
        <v>568000</v>
      </c>
      <c r="G217" s="29" t="s">
        <v>8565</v>
      </c>
      <c r="H217" s="14">
        <v>43615</v>
      </c>
      <c r="I217" s="4" t="s">
        <v>5076</v>
      </c>
      <c r="J217" s="133"/>
      <c r="K217" s="22"/>
      <c r="L217" s="134"/>
    </row>
    <row r="218" spans="1:12" s="97" customFormat="1" x14ac:dyDescent="0.25">
      <c r="A218" s="61" t="s">
        <v>659</v>
      </c>
      <c r="B218" s="14">
        <v>43622</v>
      </c>
      <c r="C218" s="13">
        <v>1012</v>
      </c>
      <c r="D218" s="13" t="s">
        <v>254</v>
      </c>
      <c r="E218" s="13" t="s">
        <v>808</v>
      </c>
      <c r="F218" s="4">
        <v>870899.97</v>
      </c>
      <c r="G218" s="29" t="s">
        <v>7092</v>
      </c>
      <c r="H218" s="14">
        <v>43571</v>
      </c>
      <c r="I218" s="4" t="s">
        <v>7093</v>
      </c>
      <c r="J218" s="133"/>
      <c r="K218" s="22"/>
      <c r="L218" s="134"/>
    </row>
    <row r="219" spans="1:12" s="97" customFormat="1" x14ac:dyDescent="0.25">
      <c r="A219" s="61" t="s">
        <v>1148</v>
      </c>
      <c r="B219" s="14">
        <v>43622</v>
      </c>
      <c r="C219" s="13">
        <v>1032</v>
      </c>
      <c r="D219" s="13" t="s">
        <v>589</v>
      </c>
      <c r="E219" s="13" t="s">
        <v>808</v>
      </c>
      <c r="F219" s="4">
        <v>818970</v>
      </c>
      <c r="G219" s="29" t="s">
        <v>7097</v>
      </c>
      <c r="H219" s="14">
        <v>43573</v>
      </c>
      <c r="I219" s="4" t="s">
        <v>2175</v>
      </c>
      <c r="J219" s="133"/>
      <c r="K219" s="22"/>
      <c r="L219" s="134"/>
    </row>
    <row r="220" spans="1:12" s="97" customFormat="1" x14ac:dyDescent="0.25">
      <c r="A220" s="14" t="s">
        <v>1148</v>
      </c>
      <c r="B220" s="14">
        <v>43622</v>
      </c>
      <c r="C220" s="13">
        <v>1032</v>
      </c>
      <c r="D220" s="13" t="s">
        <v>589</v>
      </c>
      <c r="E220" s="13" t="s">
        <v>808</v>
      </c>
      <c r="F220" s="4">
        <v>841534</v>
      </c>
      <c r="G220" s="29" t="s">
        <v>7098</v>
      </c>
      <c r="H220" s="14">
        <v>43573</v>
      </c>
      <c r="I220" s="4" t="s">
        <v>7099</v>
      </c>
      <c r="J220" s="133"/>
      <c r="K220" s="22"/>
      <c r="L220" s="134"/>
    </row>
    <row r="221" spans="1:12" s="97" customFormat="1" x14ac:dyDescent="0.25">
      <c r="A221" s="14" t="s">
        <v>1148</v>
      </c>
      <c r="B221" s="14">
        <v>43622</v>
      </c>
      <c r="C221" s="13">
        <v>1032</v>
      </c>
      <c r="D221" s="13" t="s">
        <v>589</v>
      </c>
      <c r="E221" s="13" t="s">
        <v>808</v>
      </c>
      <c r="F221" s="4">
        <v>813348</v>
      </c>
      <c r="G221" s="29" t="s">
        <v>7100</v>
      </c>
      <c r="H221" s="14">
        <v>43573</v>
      </c>
      <c r="I221" s="4" t="s">
        <v>2722</v>
      </c>
      <c r="J221" s="133"/>
      <c r="K221" s="22"/>
      <c r="L221" s="134"/>
    </row>
    <row r="222" spans="1:12" s="97" customFormat="1" x14ac:dyDescent="0.25">
      <c r="A222" s="61" t="s">
        <v>1147</v>
      </c>
      <c r="B222" s="14">
        <v>43622</v>
      </c>
      <c r="C222" s="13">
        <v>1032</v>
      </c>
      <c r="D222" s="13" t="s">
        <v>589</v>
      </c>
      <c r="E222" s="13" t="s">
        <v>808</v>
      </c>
      <c r="F222" s="4">
        <v>580000</v>
      </c>
      <c r="G222" s="29" t="s">
        <v>7107</v>
      </c>
      <c r="H222" s="14">
        <v>43577</v>
      </c>
      <c r="I222" s="4" t="s">
        <v>1118</v>
      </c>
      <c r="J222" s="133"/>
      <c r="K222" s="22"/>
      <c r="L222" s="134"/>
    </row>
    <row r="223" spans="1:12" s="97" customFormat="1" x14ac:dyDescent="0.25">
      <c r="A223" s="61" t="s">
        <v>1147</v>
      </c>
      <c r="B223" s="14">
        <v>43622</v>
      </c>
      <c r="C223" s="13">
        <v>1013</v>
      </c>
      <c r="D223" s="13" t="s">
        <v>243</v>
      </c>
      <c r="E223" s="13" t="s">
        <v>808</v>
      </c>
      <c r="F223" s="4">
        <v>836766.71999999997</v>
      </c>
      <c r="G223" s="29" t="s">
        <v>3405</v>
      </c>
      <c r="H223" s="14">
        <v>43560</v>
      </c>
      <c r="I223" s="4" t="s">
        <v>2722</v>
      </c>
      <c r="J223" s="133"/>
      <c r="K223" s="22"/>
      <c r="L223" s="134"/>
    </row>
    <row r="224" spans="1:12" s="97" customFormat="1" x14ac:dyDescent="0.25">
      <c r="A224" s="61" t="s">
        <v>1148</v>
      </c>
      <c r="B224" s="14">
        <v>43622</v>
      </c>
      <c r="C224" s="13">
        <v>1026</v>
      </c>
      <c r="D224" s="13" t="s">
        <v>249</v>
      </c>
      <c r="E224" s="13" t="s">
        <v>808</v>
      </c>
      <c r="F224" s="4">
        <v>765096.6</v>
      </c>
      <c r="G224" s="29" t="s">
        <v>502</v>
      </c>
      <c r="H224" s="14">
        <v>43570</v>
      </c>
      <c r="I224" s="4" t="s">
        <v>1349</v>
      </c>
      <c r="J224" s="133"/>
      <c r="K224" s="22"/>
      <c r="L224" s="134"/>
    </row>
    <row r="225" spans="1:12" s="97" customFormat="1" x14ac:dyDescent="0.25">
      <c r="A225" s="61" t="s">
        <v>1147</v>
      </c>
      <c r="B225" s="14">
        <v>43622</v>
      </c>
      <c r="C225" s="13">
        <v>1026</v>
      </c>
      <c r="D225" s="13" t="s">
        <v>249</v>
      </c>
      <c r="E225" s="13" t="s">
        <v>808</v>
      </c>
      <c r="F225" s="4">
        <v>733746.9</v>
      </c>
      <c r="G225" s="29" t="s">
        <v>8563</v>
      </c>
      <c r="H225" s="14">
        <v>43573</v>
      </c>
      <c r="I225" s="4" t="s">
        <v>1207</v>
      </c>
      <c r="J225" s="133"/>
      <c r="K225" s="22"/>
      <c r="L225" s="134"/>
    </row>
    <row r="226" spans="1:12" s="97" customFormat="1" x14ac:dyDescent="0.25">
      <c r="A226" s="61" t="s">
        <v>1147</v>
      </c>
      <c r="B226" s="14">
        <v>43622</v>
      </c>
      <c r="C226" s="13">
        <v>1028</v>
      </c>
      <c r="D226" s="13" t="s">
        <v>5709</v>
      </c>
      <c r="E226" s="13" t="s">
        <v>808</v>
      </c>
      <c r="F226" s="4">
        <v>50000</v>
      </c>
      <c r="G226" s="29" t="s">
        <v>7166</v>
      </c>
      <c r="H226" s="14">
        <v>43578</v>
      </c>
      <c r="I226" s="4" t="s">
        <v>5048</v>
      </c>
      <c r="J226" s="133"/>
      <c r="K226" s="22"/>
      <c r="L226" s="134"/>
    </row>
    <row r="227" spans="1:12" s="97" customFormat="1" x14ac:dyDescent="0.25">
      <c r="A227" s="61" t="s">
        <v>659</v>
      </c>
      <c r="B227" s="14">
        <v>43622</v>
      </c>
      <c r="C227" s="13">
        <v>1029</v>
      </c>
      <c r="D227" s="13" t="s">
        <v>5047</v>
      </c>
      <c r="E227" s="13" t="s">
        <v>808</v>
      </c>
      <c r="F227" s="4">
        <v>50000</v>
      </c>
      <c r="G227" s="29" t="s">
        <v>2814</v>
      </c>
      <c r="H227" s="14">
        <v>43578</v>
      </c>
      <c r="I227" s="4" t="s">
        <v>5048</v>
      </c>
      <c r="J227" s="133"/>
      <c r="K227" s="22"/>
      <c r="L227" s="134"/>
    </row>
    <row r="228" spans="1:12" s="97" customFormat="1" x14ac:dyDescent="0.25">
      <c r="A228" s="61" t="s">
        <v>1149</v>
      </c>
      <c r="B228" s="14">
        <v>43622</v>
      </c>
      <c r="C228" s="13">
        <v>1014</v>
      </c>
      <c r="D228" s="13" t="s">
        <v>869</v>
      </c>
      <c r="E228" s="13" t="s">
        <v>808</v>
      </c>
      <c r="F228" s="4">
        <v>51853.46</v>
      </c>
      <c r="G228" s="28" t="s">
        <v>7531</v>
      </c>
      <c r="H228" s="14">
        <v>43581</v>
      </c>
      <c r="I228" s="4" t="s">
        <v>6211</v>
      </c>
      <c r="J228" s="133"/>
      <c r="K228" s="22"/>
      <c r="L228" s="134"/>
    </row>
    <row r="229" spans="1:12" s="97" customFormat="1" x14ac:dyDescent="0.25">
      <c r="A229" s="61" t="s">
        <v>659</v>
      </c>
      <c r="B229" s="14">
        <v>43622</v>
      </c>
      <c r="C229" s="13">
        <v>1015</v>
      </c>
      <c r="D229" s="13" t="s">
        <v>868</v>
      </c>
      <c r="E229" s="13" t="s">
        <v>808</v>
      </c>
      <c r="F229" s="4">
        <v>76103.94</v>
      </c>
      <c r="G229" s="29" t="s">
        <v>8561</v>
      </c>
      <c r="H229" s="14">
        <v>43556</v>
      </c>
      <c r="I229" s="4" t="s">
        <v>8562</v>
      </c>
      <c r="J229" s="133"/>
      <c r="K229" s="22"/>
      <c r="L229" s="134"/>
    </row>
    <row r="230" spans="1:12" s="97" customFormat="1" x14ac:dyDescent="0.25">
      <c r="A230" s="61" t="s">
        <v>659</v>
      </c>
      <c r="B230" s="14">
        <v>43622</v>
      </c>
      <c r="C230" s="13">
        <v>1016</v>
      </c>
      <c r="D230" s="13" t="s">
        <v>4936</v>
      </c>
      <c r="E230" s="13" t="s">
        <v>808</v>
      </c>
      <c r="F230" s="4">
        <v>89810.83</v>
      </c>
      <c r="G230" s="29" t="s">
        <v>6467</v>
      </c>
      <c r="H230" s="14">
        <v>43577</v>
      </c>
      <c r="I230" s="4" t="s">
        <v>268</v>
      </c>
      <c r="J230" s="133"/>
      <c r="K230" s="22"/>
      <c r="L230" s="134"/>
    </row>
    <row r="231" spans="1:12" s="93" customFormat="1" x14ac:dyDescent="0.25">
      <c r="A231" s="61" t="s">
        <v>659</v>
      </c>
      <c r="B231" s="14">
        <v>43622</v>
      </c>
      <c r="C231" s="13">
        <v>1017</v>
      </c>
      <c r="D231" s="13" t="s">
        <v>70</v>
      </c>
      <c r="E231" s="13" t="s">
        <v>808</v>
      </c>
      <c r="F231" s="4">
        <v>7269.5</v>
      </c>
      <c r="G231" s="29" t="s">
        <v>6814</v>
      </c>
      <c r="H231" s="14">
        <v>43571</v>
      </c>
      <c r="I231" s="4" t="s">
        <v>6815</v>
      </c>
      <c r="J231" s="130"/>
      <c r="K231" s="16"/>
      <c r="L231" s="92"/>
    </row>
    <row r="232" spans="1:12" s="93" customFormat="1" x14ac:dyDescent="0.25">
      <c r="A232" s="61" t="s">
        <v>1316</v>
      </c>
      <c r="B232" s="14">
        <v>43622</v>
      </c>
      <c r="C232" s="13">
        <v>1018</v>
      </c>
      <c r="D232" s="13" t="s">
        <v>516</v>
      </c>
      <c r="E232" s="13" t="s">
        <v>808</v>
      </c>
      <c r="F232" s="4">
        <v>70485</v>
      </c>
      <c r="G232" s="29" t="s">
        <v>7112</v>
      </c>
      <c r="H232" s="14">
        <v>43572</v>
      </c>
      <c r="I232" s="4" t="s">
        <v>7113</v>
      </c>
      <c r="J232" s="130"/>
      <c r="K232" s="16"/>
      <c r="L232" s="92"/>
    </row>
    <row r="233" spans="1:12" ht="27.6" x14ac:dyDescent="0.25">
      <c r="A233" s="61" t="s">
        <v>7653</v>
      </c>
      <c r="B233" s="14">
        <v>43622</v>
      </c>
      <c r="C233" s="13">
        <v>1019</v>
      </c>
      <c r="D233" s="13" t="s">
        <v>381</v>
      </c>
      <c r="E233" s="13" t="s">
        <v>808</v>
      </c>
      <c r="F233" s="37">
        <v>50000</v>
      </c>
      <c r="G233" s="29" t="s">
        <v>3362</v>
      </c>
      <c r="H233" s="14">
        <v>43585</v>
      </c>
      <c r="I233" s="4" t="s">
        <v>95</v>
      </c>
    </row>
    <row r="234" spans="1:12" x14ac:dyDescent="0.25">
      <c r="A234" s="61" t="s">
        <v>1316</v>
      </c>
      <c r="B234" s="14">
        <v>43622</v>
      </c>
      <c r="C234" s="13">
        <v>1035</v>
      </c>
      <c r="D234" s="13" t="s">
        <v>282</v>
      </c>
      <c r="E234" s="13" t="s">
        <v>808</v>
      </c>
      <c r="F234" s="37">
        <v>2860</v>
      </c>
      <c r="G234" s="29" t="s">
        <v>6519</v>
      </c>
      <c r="H234" s="14">
        <v>43573</v>
      </c>
      <c r="I234" s="4" t="s">
        <v>283</v>
      </c>
    </row>
    <row r="235" spans="1:12" x14ac:dyDescent="0.25">
      <c r="A235" s="61" t="s">
        <v>1148</v>
      </c>
      <c r="B235" s="14">
        <v>43622</v>
      </c>
      <c r="C235" s="13">
        <v>1035</v>
      </c>
      <c r="D235" s="13" t="s">
        <v>282</v>
      </c>
      <c r="E235" s="13" t="s">
        <v>808</v>
      </c>
      <c r="F235" s="37">
        <v>7865</v>
      </c>
      <c r="G235" s="29" t="s">
        <v>7416</v>
      </c>
      <c r="H235" s="14">
        <v>43580</v>
      </c>
      <c r="I235" s="4" t="s">
        <v>283</v>
      </c>
    </row>
    <row r="236" spans="1:12" x14ac:dyDescent="0.25">
      <c r="A236" s="61" t="s">
        <v>1316</v>
      </c>
      <c r="B236" s="14">
        <v>43622</v>
      </c>
      <c r="C236" s="13">
        <v>1035</v>
      </c>
      <c r="D236" s="13" t="s">
        <v>282</v>
      </c>
      <c r="E236" s="13" t="s">
        <v>808</v>
      </c>
      <c r="F236" s="37">
        <v>2860</v>
      </c>
      <c r="G236" s="29" t="s">
        <v>7417</v>
      </c>
      <c r="H236" s="14">
        <v>43580</v>
      </c>
      <c r="I236" s="4" t="s">
        <v>283</v>
      </c>
    </row>
    <row r="237" spans="1:12" x14ac:dyDescent="0.25">
      <c r="A237" s="61" t="s">
        <v>659</v>
      </c>
      <c r="B237" s="14">
        <v>43622</v>
      </c>
      <c r="C237" s="13">
        <v>1035</v>
      </c>
      <c r="D237" s="13" t="s">
        <v>282</v>
      </c>
      <c r="E237" s="13" t="s">
        <v>808</v>
      </c>
      <c r="F237" s="37">
        <v>1430</v>
      </c>
      <c r="G237" s="29" t="s">
        <v>7418</v>
      </c>
      <c r="H237" s="14">
        <v>43580</v>
      </c>
      <c r="I237" s="4" t="s">
        <v>283</v>
      </c>
    </row>
    <row r="238" spans="1:12" ht="27.6" x14ac:dyDescent="0.25">
      <c r="A238" s="61" t="s">
        <v>1806</v>
      </c>
      <c r="B238" s="14">
        <v>43622</v>
      </c>
      <c r="C238" s="13">
        <v>1020</v>
      </c>
      <c r="D238" s="13" t="s">
        <v>80</v>
      </c>
      <c r="E238" s="13" t="s">
        <v>808</v>
      </c>
      <c r="F238" s="37">
        <v>136980</v>
      </c>
      <c r="G238" s="29" t="s">
        <v>7424</v>
      </c>
      <c r="H238" s="14">
        <v>43585</v>
      </c>
      <c r="I238" s="4" t="s">
        <v>2157</v>
      </c>
    </row>
    <row r="239" spans="1:12" x14ac:dyDescent="0.25">
      <c r="A239" s="61" t="s">
        <v>659</v>
      </c>
      <c r="B239" s="14">
        <v>43622</v>
      </c>
      <c r="C239" s="13">
        <v>1027</v>
      </c>
      <c r="D239" s="13" t="s">
        <v>250</v>
      </c>
      <c r="E239" s="13" t="s">
        <v>808</v>
      </c>
      <c r="F239" s="4">
        <f>686375-500000</f>
        <v>186375</v>
      </c>
      <c r="G239" s="28" t="s">
        <v>6097</v>
      </c>
      <c r="H239" s="14">
        <v>43555</v>
      </c>
      <c r="I239" s="4" t="s">
        <v>402</v>
      </c>
    </row>
    <row r="240" spans="1:12" x14ac:dyDescent="0.25">
      <c r="A240" s="61" t="s">
        <v>659</v>
      </c>
      <c r="B240" s="14">
        <v>43622</v>
      </c>
      <c r="C240" s="13">
        <v>1021</v>
      </c>
      <c r="D240" s="13" t="s">
        <v>29</v>
      </c>
      <c r="E240" s="13" t="s">
        <v>808</v>
      </c>
      <c r="F240" s="37">
        <v>121300</v>
      </c>
      <c r="G240" s="29" t="s">
        <v>3122</v>
      </c>
      <c r="H240" s="14">
        <v>43549</v>
      </c>
      <c r="I240" s="4" t="s">
        <v>87</v>
      </c>
    </row>
    <row r="241" spans="1:12" x14ac:dyDescent="0.25">
      <c r="A241" s="61" t="s">
        <v>659</v>
      </c>
      <c r="B241" s="14">
        <v>43622</v>
      </c>
      <c r="C241" s="13">
        <v>1022</v>
      </c>
      <c r="D241" s="218" t="s">
        <v>764</v>
      </c>
      <c r="E241" s="13" t="s">
        <v>808</v>
      </c>
      <c r="F241" s="224">
        <v>16500</v>
      </c>
      <c r="G241" s="28" t="s">
        <v>6451</v>
      </c>
      <c r="H241" s="14">
        <v>43563</v>
      </c>
      <c r="I241" s="32" t="s">
        <v>6452</v>
      </c>
    </row>
    <row r="242" spans="1:12" x14ac:dyDescent="0.25">
      <c r="A242" s="32" t="s">
        <v>1148</v>
      </c>
      <c r="B242" s="14">
        <v>43622</v>
      </c>
      <c r="C242" s="13">
        <v>1023</v>
      </c>
      <c r="D242" s="13" t="s">
        <v>2115</v>
      </c>
      <c r="E242" s="13" t="s">
        <v>808</v>
      </c>
      <c r="F242" s="4">
        <v>270000</v>
      </c>
      <c r="G242" s="28" t="s">
        <v>85</v>
      </c>
      <c r="H242" s="14">
        <v>43555</v>
      </c>
      <c r="I242" s="4" t="s">
        <v>164</v>
      </c>
    </row>
    <row r="243" spans="1:12" x14ac:dyDescent="0.25">
      <c r="A243" s="61" t="s">
        <v>5258</v>
      </c>
      <c r="B243" s="14">
        <v>43622</v>
      </c>
      <c r="C243" s="13">
        <v>1034</v>
      </c>
      <c r="D243" s="13" t="s">
        <v>149</v>
      </c>
      <c r="E243" s="13" t="s">
        <v>808</v>
      </c>
      <c r="F243" s="37">
        <v>14800</v>
      </c>
      <c r="G243" s="29" t="s">
        <v>5904</v>
      </c>
      <c r="H243" s="14">
        <v>43543</v>
      </c>
      <c r="I243" s="4" t="s">
        <v>5903</v>
      </c>
    </row>
    <row r="244" spans="1:12" x14ac:dyDescent="0.25">
      <c r="A244" s="61" t="s">
        <v>1316</v>
      </c>
      <c r="B244" s="14">
        <v>43622</v>
      </c>
      <c r="C244" s="13">
        <v>1034</v>
      </c>
      <c r="D244" s="13" t="s">
        <v>149</v>
      </c>
      <c r="E244" s="13" t="s">
        <v>808</v>
      </c>
      <c r="F244" s="37">
        <v>11100</v>
      </c>
      <c r="G244" s="29" t="s">
        <v>5905</v>
      </c>
      <c r="H244" s="14">
        <v>43543</v>
      </c>
      <c r="I244" s="4" t="s">
        <v>5903</v>
      </c>
    </row>
    <row r="245" spans="1:12" x14ac:dyDescent="0.25">
      <c r="A245" s="61" t="s">
        <v>1316</v>
      </c>
      <c r="B245" s="14">
        <v>43622</v>
      </c>
      <c r="C245" s="13">
        <v>1034</v>
      </c>
      <c r="D245" s="13" t="s">
        <v>149</v>
      </c>
      <c r="E245" s="13" t="s">
        <v>808</v>
      </c>
      <c r="F245" s="37">
        <v>11100</v>
      </c>
      <c r="G245" s="29" t="s">
        <v>5906</v>
      </c>
      <c r="H245" s="14">
        <v>43543</v>
      </c>
      <c r="I245" s="4" t="s">
        <v>5903</v>
      </c>
    </row>
    <row r="246" spans="1:12" s="50" customFormat="1" ht="27.6" x14ac:dyDescent="0.25">
      <c r="A246" s="13" t="s">
        <v>92</v>
      </c>
      <c r="B246" s="14">
        <v>43622</v>
      </c>
      <c r="C246" s="13">
        <v>944</v>
      </c>
      <c r="D246" s="32" t="s">
        <v>373</v>
      </c>
      <c r="E246" s="218" t="s">
        <v>7168</v>
      </c>
      <c r="F246" s="224">
        <v>2672800</v>
      </c>
      <c r="G246" s="28" t="s">
        <v>4765</v>
      </c>
      <c r="H246" s="14">
        <v>42851</v>
      </c>
      <c r="I246" s="32" t="s">
        <v>4764</v>
      </c>
      <c r="J246" s="325"/>
    </row>
    <row r="247" spans="1:12" ht="15" customHeight="1" x14ac:dyDescent="0.25">
      <c r="A247" s="13" t="s">
        <v>184</v>
      </c>
      <c r="B247" s="14">
        <v>43623</v>
      </c>
      <c r="C247" s="13">
        <v>723</v>
      </c>
      <c r="D247" s="13" t="s">
        <v>1215</v>
      </c>
      <c r="E247" s="32" t="s">
        <v>1121</v>
      </c>
      <c r="F247" s="4">
        <v>45900</v>
      </c>
      <c r="G247" s="28" t="s">
        <v>1342</v>
      </c>
      <c r="H247" s="14">
        <v>43612</v>
      </c>
      <c r="I247" s="4" t="s">
        <v>3482</v>
      </c>
      <c r="J247" s="76" t="s">
        <v>526</v>
      </c>
    </row>
    <row r="248" spans="1:12" ht="15" customHeight="1" x14ac:dyDescent="0.25">
      <c r="A248" s="13" t="s">
        <v>964</v>
      </c>
      <c r="B248" s="14">
        <v>43623</v>
      </c>
      <c r="C248" s="13">
        <v>724</v>
      </c>
      <c r="D248" s="13" t="s">
        <v>321</v>
      </c>
      <c r="E248" s="32" t="s">
        <v>1121</v>
      </c>
      <c r="F248" s="4">
        <v>40000</v>
      </c>
      <c r="G248" s="28" t="s">
        <v>1133</v>
      </c>
      <c r="H248" s="14">
        <v>43614</v>
      </c>
      <c r="I248" s="4" t="s">
        <v>3670</v>
      </c>
      <c r="J248" s="76" t="s">
        <v>1386</v>
      </c>
      <c r="L248" s="76"/>
    </row>
    <row r="249" spans="1:12" ht="15" customHeight="1" x14ac:dyDescent="0.25">
      <c r="A249" s="13" t="s">
        <v>964</v>
      </c>
      <c r="B249" s="14">
        <v>43623</v>
      </c>
      <c r="C249" s="13">
        <v>725</v>
      </c>
      <c r="D249" s="13" t="s">
        <v>321</v>
      </c>
      <c r="E249" s="32" t="s">
        <v>1121</v>
      </c>
      <c r="F249" s="4">
        <v>90000</v>
      </c>
      <c r="G249" s="28" t="s">
        <v>1299</v>
      </c>
      <c r="H249" s="14">
        <v>43614</v>
      </c>
      <c r="I249" s="4" t="s">
        <v>3671</v>
      </c>
      <c r="J249" s="76" t="s">
        <v>526</v>
      </c>
      <c r="L249" s="76"/>
    </row>
    <row r="250" spans="1:12" s="129" customFormat="1" x14ac:dyDescent="0.25">
      <c r="A250" s="13" t="s">
        <v>151</v>
      </c>
      <c r="B250" s="14">
        <v>43623</v>
      </c>
      <c r="C250" s="28" t="s">
        <v>4076</v>
      </c>
      <c r="D250" s="13" t="s">
        <v>711</v>
      </c>
      <c r="E250" s="32" t="s">
        <v>1121</v>
      </c>
      <c r="F250" s="4">
        <f>1300+3800+1200</f>
        <v>6300</v>
      </c>
      <c r="G250" s="28" t="s">
        <v>8534</v>
      </c>
      <c r="H250" s="28" t="s">
        <v>8533</v>
      </c>
      <c r="I250" s="4" t="s">
        <v>712</v>
      </c>
      <c r="J250" s="170"/>
      <c r="K250" s="136"/>
    </row>
    <row r="251" spans="1:12" x14ac:dyDescent="0.25">
      <c r="A251" s="32" t="s">
        <v>151</v>
      </c>
      <c r="B251" s="14">
        <v>43623</v>
      </c>
      <c r="C251" s="13">
        <v>727</v>
      </c>
      <c r="D251" s="32" t="s">
        <v>3055</v>
      </c>
      <c r="E251" s="32" t="s">
        <v>1121</v>
      </c>
      <c r="F251" s="4">
        <v>20000</v>
      </c>
      <c r="G251" s="13">
        <v>2224847</v>
      </c>
      <c r="H251" s="14">
        <v>43621</v>
      </c>
      <c r="I251" s="14" t="s">
        <v>8531</v>
      </c>
      <c r="J251" s="170"/>
      <c r="K251" s="167"/>
      <c r="L251" s="35"/>
    </row>
    <row r="252" spans="1:12" ht="27.6" x14ac:dyDescent="0.25">
      <c r="A252" s="32" t="s">
        <v>129</v>
      </c>
      <c r="B252" s="14">
        <v>43623</v>
      </c>
      <c r="C252" s="67">
        <v>950</v>
      </c>
      <c r="D252" s="32" t="s">
        <v>373</v>
      </c>
      <c r="E252" s="32" t="s">
        <v>1427</v>
      </c>
      <c r="F252" s="4">
        <v>1389392.72</v>
      </c>
      <c r="G252" s="28" t="s">
        <v>1405</v>
      </c>
      <c r="H252" s="14">
        <v>43152</v>
      </c>
      <c r="I252" s="4" t="s">
        <v>362</v>
      </c>
      <c r="J252" s="166" t="s">
        <v>366</v>
      </c>
      <c r="K252" s="167"/>
      <c r="L252" s="35"/>
    </row>
    <row r="253" spans="1:12" s="97" customFormat="1" x14ac:dyDescent="0.25">
      <c r="A253" s="13" t="s">
        <v>1255</v>
      </c>
      <c r="B253" s="14">
        <v>43623</v>
      </c>
      <c r="C253" s="13">
        <v>431</v>
      </c>
      <c r="D253" s="13" t="s">
        <v>590</v>
      </c>
      <c r="E253" s="13" t="s">
        <v>691</v>
      </c>
      <c r="F253" s="4">
        <v>1078000</v>
      </c>
      <c r="G253" s="29" t="s">
        <v>1323</v>
      </c>
      <c r="H253" s="14">
        <v>42746</v>
      </c>
      <c r="I253" s="4" t="s">
        <v>159</v>
      </c>
      <c r="J253" s="133"/>
      <c r="K253" s="22"/>
      <c r="L253" s="134"/>
    </row>
    <row r="254" spans="1:12" s="97" customFormat="1" x14ac:dyDescent="0.25">
      <c r="A254" s="61" t="s">
        <v>1350</v>
      </c>
      <c r="B254" s="14">
        <v>43623</v>
      </c>
      <c r="C254" s="13">
        <v>424</v>
      </c>
      <c r="D254" s="13" t="s">
        <v>254</v>
      </c>
      <c r="E254" s="13" t="s">
        <v>691</v>
      </c>
      <c r="F254" s="4">
        <v>858410</v>
      </c>
      <c r="G254" s="29" t="s">
        <v>7094</v>
      </c>
      <c r="H254" s="14">
        <v>43573</v>
      </c>
      <c r="I254" s="4" t="s">
        <v>7095</v>
      </c>
      <c r="J254" s="133"/>
      <c r="K254" s="22"/>
      <c r="L254" s="134"/>
    </row>
    <row r="255" spans="1:12" x14ac:dyDescent="0.25">
      <c r="A255" s="61" t="s">
        <v>1350</v>
      </c>
      <c r="B255" s="14">
        <v>43623</v>
      </c>
      <c r="C255" s="13">
        <v>429</v>
      </c>
      <c r="D255" s="13" t="s">
        <v>944</v>
      </c>
      <c r="E255" s="13" t="s">
        <v>691</v>
      </c>
      <c r="F255" s="37">
        <f>195750-150000</f>
        <v>45750</v>
      </c>
      <c r="G255" s="29" t="s">
        <v>176</v>
      </c>
      <c r="H255" s="14">
        <v>43555</v>
      </c>
      <c r="I255" s="4" t="s">
        <v>402</v>
      </c>
    </row>
    <row r="256" spans="1:12" x14ac:dyDescent="0.25">
      <c r="A256" s="61" t="s">
        <v>637</v>
      </c>
      <c r="B256" s="14">
        <v>43623</v>
      </c>
      <c r="C256" s="13">
        <v>425</v>
      </c>
      <c r="D256" s="13" t="s">
        <v>1099</v>
      </c>
      <c r="E256" s="13" t="s">
        <v>691</v>
      </c>
      <c r="F256" s="37">
        <v>42229.8</v>
      </c>
      <c r="G256" s="29" t="s">
        <v>7017</v>
      </c>
      <c r="H256" s="14">
        <v>43549</v>
      </c>
      <c r="I256" s="4" t="s">
        <v>461</v>
      </c>
    </row>
    <row r="257" spans="1:19" x14ac:dyDescent="0.25">
      <c r="A257" s="61" t="s">
        <v>637</v>
      </c>
      <c r="B257" s="14">
        <v>43623</v>
      </c>
      <c r="C257" s="13">
        <v>426</v>
      </c>
      <c r="D257" s="13" t="s">
        <v>282</v>
      </c>
      <c r="E257" s="13" t="s">
        <v>691</v>
      </c>
      <c r="F257" s="37">
        <v>32890</v>
      </c>
      <c r="G257" s="29" t="s">
        <v>7415</v>
      </c>
      <c r="H257" s="14">
        <v>43580</v>
      </c>
      <c r="I257" s="4" t="s">
        <v>283</v>
      </c>
    </row>
    <row r="258" spans="1:19" x14ac:dyDescent="0.25">
      <c r="A258" s="61" t="s">
        <v>1350</v>
      </c>
      <c r="B258" s="14">
        <v>43623</v>
      </c>
      <c r="C258" s="13">
        <v>430</v>
      </c>
      <c r="D258" s="13" t="s">
        <v>4870</v>
      </c>
      <c r="E258" s="13" t="s">
        <v>691</v>
      </c>
      <c r="F258" s="37">
        <f>105000-70000</f>
        <v>35000</v>
      </c>
      <c r="G258" s="29" t="s">
        <v>7432</v>
      </c>
      <c r="H258" s="14">
        <v>43561</v>
      </c>
      <c r="I258" s="4" t="s">
        <v>6781</v>
      </c>
    </row>
    <row r="259" spans="1:19" x14ac:dyDescent="0.25">
      <c r="A259" s="61" t="s">
        <v>1350</v>
      </c>
      <c r="B259" s="14">
        <v>43623</v>
      </c>
      <c r="C259" s="13">
        <v>428</v>
      </c>
      <c r="D259" s="13" t="s">
        <v>1985</v>
      </c>
      <c r="E259" s="13" t="s">
        <v>691</v>
      </c>
      <c r="F259" s="37">
        <v>74000</v>
      </c>
      <c r="G259" s="29" t="s">
        <v>11</v>
      </c>
      <c r="H259" s="14">
        <v>43554</v>
      </c>
      <c r="I259" s="4" t="s">
        <v>122</v>
      </c>
    </row>
    <row r="260" spans="1:19" x14ac:dyDescent="0.25">
      <c r="A260" s="61" t="s">
        <v>1350</v>
      </c>
      <c r="B260" s="14">
        <v>43623</v>
      </c>
      <c r="C260" s="13">
        <v>428</v>
      </c>
      <c r="D260" s="13" t="s">
        <v>1985</v>
      </c>
      <c r="E260" s="13" t="s">
        <v>691</v>
      </c>
      <c r="F260" s="37">
        <v>88800</v>
      </c>
      <c r="G260" s="29" t="s">
        <v>4094</v>
      </c>
      <c r="H260" s="14">
        <v>43567</v>
      </c>
      <c r="I260" s="4" t="s">
        <v>122</v>
      </c>
    </row>
    <row r="261" spans="1:19" x14ac:dyDescent="0.25">
      <c r="A261" s="61" t="s">
        <v>1350</v>
      </c>
      <c r="B261" s="14">
        <v>43623</v>
      </c>
      <c r="C261" s="13">
        <v>427</v>
      </c>
      <c r="D261" s="13" t="s">
        <v>431</v>
      </c>
      <c r="E261" s="13" t="s">
        <v>691</v>
      </c>
      <c r="F261" s="4">
        <v>20400</v>
      </c>
      <c r="G261" s="28" t="s">
        <v>1155</v>
      </c>
      <c r="H261" s="14">
        <v>43579</v>
      </c>
      <c r="I261" s="4" t="s">
        <v>95</v>
      </c>
    </row>
    <row r="262" spans="1:19" x14ac:dyDescent="0.25">
      <c r="A262" s="13" t="s">
        <v>151</v>
      </c>
      <c r="B262" s="14">
        <v>43623</v>
      </c>
      <c r="C262" s="13">
        <v>163</v>
      </c>
      <c r="D262" s="13" t="s">
        <v>606</v>
      </c>
      <c r="E262" s="32" t="s">
        <v>22</v>
      </c>
      <c r="F262" s="4">
        <f>500+2300+2750</f>
        <v>5550</v>
      </c>
      <c r="G262" s="28" t="s">
        <v>8603</v>
      </c>
      <c r="H262" s="14">
        <v>43621</v>
      </c>
      <c r="I262" s="4" t="s">
        <v>8604</v>
      </c>
      <c r="J262" s="125"/>
    </row>
    <row r="263" spans="1:19" x14ac:dyDescent="0.25">
      <c r="A263" s="13" t="s">
        <v>91</v>
      </c>
      <c r="B263" s="14">
        <v>43623</v>
      </c>
      <c r="C263" s="13">
        <v>951</v>
      </c>
      <c r="D263" s="32" t="s">
        <v>1980</v>
      </c>
      <c r="E263" s="32" t="s">
        <v>130</v>
      </c>
      <c r="F263" s="4">
        <v>1000000</v>
      </c>
      <c r="G263" s="69" t="s">
        <v>5423</v>
      </c>
      <c r="H263" s="14"/>
      <c r="I263" s="41" t="s">
        <v>5424</v>
      </c>
      <c r="K263" s="62"/>
    </row>
    <row r="264" spans="1:19" ht="13.95" customHeight="1" x14ac:dyDescent="0.25">
      <c r="A264" s="13" t="s">
        <v>236</v>
      </c>
      <c r="B264" s="14">
        <v>43623</v>
      </c>
      <c r="C264" s="13">
        <v>648</v>
      </c>
      <c r="D264" s="32" t="s">
        <v>228</v>
      </c>
      <c r="E264" s="32" t="s">
        <v>60</v>
      </c>
      <c r="F264" s="4">
        <v>110000</v>
      </c>
      <c r="G264" s="86" t="s">
        <v>2462</v>
      </c>
      <c r="H264" s="14"/>
      <c r="I264" s="41" t="s">
        <v>3285</v>
      </c>
      <c r="J264" s="21"/>
      <c r="K264" s="228"/>
    </row>
    <row r="265" spans="1:19" ht="13.95" customHeight="1" x14ac:dyDescent="0.25">
      <c r="A265" s="68" t="s">
        <v>310</v>
      </c>
      <c r="B265" s="14">
        <v>43623</v>
      </c>
      <c r="C265" s="13">
        <v>587</v>
      </c>
      <c r="D265" s="32" t="s">
        <v>4487</v>
      </c>
      <c r="E265" s="32" t="s">
        <v>958</v>
      </c>
      <c r="F265" s="4">
        <v>1000000</v>
      </c>
      <c r="G265" s="86" t="s">
        <v>4486</v>
      </c>
      <c r="H265" s="211"/>
      <c r="I265" s="84" t="s">
        <v>273</v>
      </c>
      <c r="J265" s="21"/>
      <c r="K265" s="228"/>
    </row>
    <row r="266" spans="1:19" ht="13.95" customHeight="1" x14ac:dyDescent="0.25">
      <c r="A266" s="68" t="s">
        <v>310</v>
      </c>
      <c r="B266" s="14">
        <v>43623</v>
      </c>
      <c r="C266" s="13">
        <v>586</v>
      </c>
      <c r="D266" s="13" t="s">
        <v>510</v>
      </c>
      <c r="E266" s="32" t="s">
        <v>958</v>
      </c>
      <c r="F266" s="4">
        <v>5000000</v>
      </c>
      <c r="G266" s="86" t="s">
        <v>4467</v>
      </c>
      <c r="H266" s="14"/>
      <c r="I266" s="4" t="s">
        <v>237</v>
      </c>
      <c r="J266" s="71"/>
      <c r="K266" s="62"/>
      <c r="L266" s="62"/>
    </row>
    <row r="267" spans="1:19" s="97" customFormat="1" x14ac:dyDescent="0.25">
      <c r="A267" s="61" t="s">
        <v>455</v>
      </c>
      <c r="B267" s="14">
        <v>43623</v>
      </c>
      <c r="C267" s="13">
        <v>588</v>
      </c>
      <c r="D267" s="13" t="s">
        <v>1206</v>
      </c>
      <c r="E267" s="13" t="s">
        <v>958</v>
      </c>
      <c r="F267" s="4">
        <v>864000</v>
      </c>
      <c r="G267" s="29" t="s">
        <v>1548</v>
      </c>
      <c r="H267" s="14">
        <v>43556</v>
      </c>
      <c r="I267" s="4" t="s">
        <v>2722</v>
      </c>
      <c r="J267" s="133"/>
      <c r="K267" s="22"/>
      <c r="L267" s="134"/>
    </row>
    <row r="268" spans="1:19" s="97" customFormat="1" x14ac:dyDescent="0.25">
      <c r="A268" s="61" t="s">
        <v>455</v>
      </c>
      <c r="B268" s="14">
        <v>43623</v>
      </c>
      <c r="C268" s="13">
        <v>589</v>
      </c>
      <c r="D268" s="13" t="s">
        <v>589</v>
      </c>
      <c r="E268" s="13" t="s">
        <v>958</v>
      </c>
      <c r="F268" s="4">
        <v>640000</v>
      </c>
      <c r="G268" s="29" t="s">
        <v>7110</v>
      </c>
      <c r="H268" s="14">
        <v>43579</v>
      </c>
      <c r="I268" s="4" t="s">
        <v>1207</v>
      </c>
      <c r="J268" s="133"/>
      <c r="K268" s="22"/>
      <c r="L268" s="134"/>
    </row>
    <row r="269" spans="1:19" s="62" customFormat="1" ht="15" customHeight="1" x14ac:dyDescent="0.25">
      <c r="A269" s="32" t="s">
        <v>455</v>
      </c>
      <c r="B269" s="14">
        <v>43623</v>
      </c>
      <c r="C269" s="13">
        <v>590</v>
      </c>
      <c r="D269" s="13" t="s">
        <v>1032</v>
      </c>
      <c r="E269" s="13" t="s">
        <v>958</v>
      </c>
      <c r="F269" s="37">
        <v>362250</v>
      </c>
      <c r="G269" s="486" t="s">
        <v>5052</v>
      </c>
      <c r="H269" s="14">
        <v>43504</v>
      </c>
      <c r="I269" s="4" t="s">
        <v>1906</v>
      </c>
      <c r="J269" s="133"/>
      <c r="K269" s="22"/>
      <c r="M269" s="444"/>
      <c r="O269" s="35"/>
      <c r="P269" s="35"/>
      <c r="Q269" s="35"/>
      <c r="R269" s="35"/>
      <c r="S269" s="35"/>
    </row>
    <row r="270" spans="1:19" s="97" customFormat="1" x14ac:dyDescent="0.25">
      <c r="A270" s="61" t="s">
        <v>310</v>
      </c>
      <c r="B270" s="14">
        <v>43623</v>
      </c>
      <c r="C270" s="13">
        <v>591</v>
      </c>
      <c r="D270" s="13" t="s">
        <v>280</v>
      </c>
      <c r="E270" s="13" t="s">
        <v>958</v>
      </c>
      <c r="F270" s="4">
        <v>18480</v>
      </c>
      <c r="G270" s="29" t="s">
        <v>3387</v>
      </c>
      <c r="H270" s="14">
        <v>43579</v>
      </c>
      <c r="I270" s="4" t="s">
        <v>1492</v>
      </c>
      <c r="J270" s="133"/>
      <c r="K270" s="22"/>
      <c r="L270" s="134"/>
    </row>
    <row r="271" spans="1:19" s="97" customFormat="1" x14ac:dyDescent="0.25">
      <c r="A271" s="14" t="s">
        <v>310</v>
      </c>
      <c r="B271" s="14">
        <v>43623</v>
      </c>
      <c r="C271" s="13">
        <v>592</v>
      </c>
      <c r="D271" s="13" t="s">
        <v>304</v>
      </c>
      <c r="E271" s="13" t="s">
        <v>958</v>
      </c>
      <c r="F271" s="4">
        <v>43450</v>
      </c>
      <c r="G271" s="29" t="s">
        <v>7503</v>
      </c>
      <c r="H271" s="14">
        <v>43581</v>
      </c>
      <c r="I271" s="4" t="s">
        <v>1492</v>
      </c>
      <c r="J271" s="133"/>
      <c r="K271" s="22"/>
      <c r="L271" s="134"/>
    </row>
    <row r="272" spans="1:19" s="97" customFormat="1" x14ac:dyDescent="0.25">
      <c r="A272" s="61" t="s">
        <v>455</v>
      </c>
      <c r="B272" s="14">
        <v>43623</v>
      </c>
      <c r="C272" s="13">
        <v>593</v>
      </c>
      <c r="D272" s="13" t="s">
        <v>4936</v>
      </c>
      <c r="E272" s="13" t="s">
        <v>958</v>
      </c>
      <c r="F272" s="4">
        <v>98001.98</v>
      </c>
      <c r="G272" s="29" t="s">
        <v>6839</v>
      </c>
      <c r="H272" s="14">
        <v>43572</v>
      </c>
      <c r="I272" s="4" t="s">
        <v>572</v>
      </c>
      <c r="J272" s="133"/>
      <c r="K272" s="22"/>
      <c r="L272" s="134"/>
    </row>
    <row r="273" spans="1:19" s="97" customFormat="1" x14ac:dyDescent="0.25">
      <c r="A273" s="61" t="s">
        <v>310</v>
      </c>
      <c r="B273" s="14">
        <v>43623</v>
      </c>
      <c r="C273" s="13">
        <v>593</v>
      </c>
      <c r="D273" s="13" t="s">
        <v>4936</v>
      </c>
      <c r="E273" s="13" t="s">
        <v>958</v>
      </c>
      <c r="F273" s="4">
        <v>80748.800000000003</v>
      </c>
      <c r="G273" s="29" t="s">
        <v>7497</v>
      </c>
      <c r="H273" s="14">
        <v>43581</v>
      </c>
      <c r="I273" s="4" t="s">
        <v>572</v>
      </c>
      <c r="J273" s="133"/>
      <c r="K273" s="22"/>
      <c r="L273" s="134"/>
    </row>
    <row r="274" spans="1:19" s="97" customFormat="1" x14ac:dyDescent="0.25">
      <c r="A274" s="61" t="s">
        <v>455</v>
      </c>
      <c r="B274" s="14">
        <v>43623</v>
      </c>
      <c r="C274" s="13">
        <v>594</v>
      </c>
      <c r="D274" s="13" t="s">
        <v>6177</v>
      </c>
      <c r="E274" s="13" t="s">
        <v>958</v>
      </c>
      <c r="F274" s="4">
        <v>110789</v>
      </c>
      <c r="G274" s="29" t="s">
        <v>6838</v>
      </c>
      <c r="H274" s="14">
        <v>43572</v>
      </c>
      <c r="I274" s="4" t="s">
        <v>5049</v>
      </c>
      <c r="J274" s="133"/>
      <c r="K274" s="22"/>
      <c r="L274" s="134"/>
    </row>
    <row r="275" spans="1:19" s="93" customFormat="1" x14ac:dyDescent="0.25">
      <c r="A275" s="61" t="s">
        <v>310</v>
      </c>
      <c r="B275" s="14">
        <v>43623</v>
      </c>
      <c r="C275" s="13">
        <v>595</v>
      </c>
      <c r="D275" s="13" t="s">
        <v>157</v>
      </c>
      <c r="E275" s="13" t="s">
        <v>958</v>
      </c>
      <c r="F275" s="4">
        <v>158578.79999999999</v>
      </c>
      <c r="G275" s="29" t="s">
        <v>6820</v>
      </c>
      <c r="H275" s="14">
        <v>43572</v>
      </c>
      <c r="I275" s="4" t="s">
        <v>6821</v>
      </c>
      <c r="J275" s="133"/>
      <c r="K275" s="22"/>
      <c r="L275" s="92"/>
    </row>
    <row r="276" spans="1:19" s="93" customFormat="1" x14ac:dyDescent="0.25">
      <c r="A276" s="61" t="s">
        <v>455</v>
      </c>
      <c r="B276" s="14">
        <v>43623</v>
      </c>
      <c r="C276" s="13">
        <v>595</v>
      </c>
      <c r="D276" s="13" t="s">
        <v>157</v>
      </c>
      <c r="E276" s="13" t="s">
        <v>958</v>
      </c>
      <c r="F276" s="4">
        <v>71749.600000000006</v>
      </c>
      <c r="G276" s="29" t="s">
        <v>6822</v>
      </c>
      <c r="H276" s="14">
        <v>43572</v>
      </c>
      <c r="I276" s="4" t="s">
        <v>6823</v>
      </c>
      <c r="J276" s="133"/>
      <c r="K276" s="22"/>
      <c r="L276" s="92"/>
    </row>
    <row r="277" spans="1:19" s="97" customFormat="1" x14ac:dyDescent="0.25">
      <c r="A277" s="61" t="s">
        <v>310</v>
      </c>
      <c r="B277" s="14">
        <v>43623</v>
      </c>
      <c r="C277" s="13">
        <v>595</v>
      </c>
      <c r="D277" s="13" t="s">
        <v>157</v>
      </c>
      <c r="E277" s="13" t="s">
        <v>958</v>
      </c>
      <c r="F277" s="4">
        <v>5042.8</v>
      </c>
      <c r="G277" s="29" t="s">
        <v>7490</v>
      </c>
      <c r="H277" s="14">
        <v>43585</v>
      </c>
      <c r="I277" s="4" t="s">
        <v>7491</v>
      </c>
      <c r="J277" s="133"/>
      <c r="K277" s="22"/>
      <c r="L277" s="134"/>
    </row>
    <row r="278" spans="1:19" s="97" customFormat="1" x14ac:dyDescent="0.25">
      <c r="A278" s="211" t="s">
        <v>455</v>
      </c>
      <c r="B278" s="14">
        <v>43623</v>
      </c>
      <c r="C278" s="13">
        <v>595</v>
      </c>
      <c r="D278" s="13" t="s">
        <v>157</v>
      </c>
      <c r="E278" s="13" t="s">
        <v>958</v>
      </c>
      <c r="F278" s="37">
        <v>4314.8</v>
      </c>
      <c r="G278" s="29" t="s">
        <v>8414</v>
      </c>
      <c r="H278" s="14">
        <v>43612</v>
      </c>
      <c r="I278" s="32" t="s">
        <v>8415</v>
      </c>
      <c r="J278" s="133"/>
      <c r="K278" s="22"/>
      <c r="L278" s="134"/>
    </row>
    <row r="279" spans="1:19" s="93" customFormat="1" x14ac:dyDescent="0.25">
      <c r="A279" s="61" t="s">
        <v>455</v>
      </c>
      <c r="B279" s="14">
        <v>43623</v>
      </c>
      <c r="C279" s="13">
        <v>596</v>
      </c>
      <c r="D279" s="13" t="s">
        <v>1491</v>
      </c>
      <c r="E279" s="13" t="s">
        <v>958</v>
      </c>
      <c r="F279" s="4">
        <f>412858-100000</f>
        <v>312858</v>
      </c>
      <c r="G279" s="29" t="s">
        <v>7479</v>
      </c>
      <c r="H279" s="14">
        <v>43572</v>
      </c>
      <c r="I279" s="4" t="s">
        <v>7478</v>
      </c>
      <c r="J279" s="133"/>
      <c r="K279" s="22"/>
      <c r="L279" s="92"/>
    </row>
    <row r="280" spans="1:19" s="62" customFormat="1" x14ac:dyDescent="0.25">
      <c r="A280" s="32" t="s">
        <v>455</v>
      </c>
      <c r="B280" s="14">
        <v>43623</v>
      </c>
      <c r="C280" s="13">
        <v>597</v>
      </c>
      <c r="D280" s="13" t="s">
        <v>666</v>
      </c>
      <c r="E280" s="13" t="s">
        <v>958</v>
      </c>
      <c r="F280" s="37">
        <f>205500-28942.4</f>
        <v>176557.6</v>
      </c>
      <c r="G280" s="189" t="s">
        <v>320</v>
      </c>
      <c r="H280" s="14">
        <v>43483</v>
      </c>
      <c r="I280" s="4" t="s">
        <v>5126</v>
      </c>
      <c r="J280" s="133"/>
      <c r="K280" s="22"/>
      <c r="L280" s="446"/>
      <c r="M280" s="71"/>
      <c r="N280" s="71"/>
      <c r="O280" s="71"/>
      <c r="P280" s="35"/>
      <c r="Q280" s="35"/>
      <c r="R280" s="35"/>
      <c r="S280" s="35"/>
    </row>
    <row r="281" spans="1:19" s="62" customFormat="1" x14ac:dyDescent="0.25">
      <c r="A281" s="32" t="s">
        <v>455</v>
      </c>
      <c r="B281" s="14">
        <v>43623</v>
      </c>
      <c r="C281" s="13">
        <v>598</v>
      </c>
      <c r="D281" s="32" t="s">
        <v>666</v>
      </c>
      <c r="E281" s="32" t="s">
        <v>958</v>
      </c>
      <c r="F281" s="4">
        <v>19880</v>
      </c>
      <c r="G281" s="28" t="s">
        <v>859</v>
      </c>
      <c r="H281" s="14">
        <v>43507</v>
      </c>
      <c r="I281" s="32" t="s">
        <v>5127</v>
      </c>
      <c r="J281" s="133"/>
      <c r="K281" s="22"/>
      <c r="L281" s="170"/>
      <c r="M281" s="71"/>
      <c r="N281" s="71"/>
      <c r="O281" s="71"/>
      <c r="P281" s="35"/>
      <c r="Q281" s="35"/>
      <c r="R281" s="35"/>
      <c r="S281" s="35"/>
    </row>
    <row r="282" spans="1:19" s="62" customFormat="1" x14ac:dyDescent="0.25">
      <c r="A282" s="32" t="s">
        <v>455</v>
      </c>
      <c r="B282" s="14">
        <v>43623</v>
      </c>
      <c r="C282" s="13">
        <v>598</v>
      </c>
      <c r="D282" s="32" t="s">
        <v>666</v>
      </c>
      <c r="E282" s="32" t="s">
        <v>958</v>
      </c>
      <c r="F282" s="4">
        <v>35800</v>
      </c>
      <c r="G282" s="28" t="s">
        <v>114</v>
      </c>
      <c r="H282" s="14">
        <v>43508</v>
      </c>
      <c r="I282" s="32" t="s">
        <v>5128</v>
      </c>
      <c r="J282" s="133"/>
      <c r="K282" s="22"/>
      <c r="L282" s="170"/>
      <c r="M282" s="71"/>
      <c r="N282" s="71"/>
      <c r="O282" s="71"/>
      <c r="P282" s="35"/>
      <c r="Q282" s="35"/>
      <c r="R282" s="35"/>
      <c r="S282" s="35"/>
    </row>
    <row r="283" spans="1:19" s="97" customFormat="1" x14ac:dyDescent="0.25">
      <c r="A283" s="61" t="s">
        <v>659</v>
      </c>
      <c r="B283" s="14">
        <v>43623</v>
      </c>
      <c r="C283" s="13">
        <v>1052</v>
      </c>
      <c r="D283" s="13" t="s">
        <v>539</v>
      </c>
      <c r="E283" s="13" t="s">
        <v>808</v>
      </c>
      <c r="F283" s="4">
        <v>869097</v>
      </c>
      <c r="G283" s="29" t="s">
        <v>1603</v>
      </c>
      <c r="H283" s="14">
        <v>43581</v>
      </c>
      <c r="I283" s="4" t="s">
        <v>735</v>
      </c>
      <c r="J283" s="133"/>
      <c r="K283" s="22"/>
      <c r="L283" s="134"/>
    </row>
    <row r="284" spans="1:19" s="97" customFormat="1" x14ac:dyDescent="0.25">
      <c r="A284" s="61" t="s">
        <v>659</v>
      </c>
      <c r="B284" s="14">
        <v>43623</v>
      </c>
      <c r="C284" s="13">
        <v>1052</v>
      </c>
      <c r="D284" s="13" t="s">
        <v>539</v>
      </c>
      <c r="E284" s="13" t="s">
        <v>808</v>
      </c>
      <c r="F284" s="4">
        <v>780066</v>
      </c>
      <c r="G284" s="29" t="s">
        <v>3151</v>
      </c>
      <c r="H284" s="14">
        <v>43584</v>
      </c>
      <c r="I284" s="4" t="s">
        <v>423</v>
      </c>
      <c r="J284" s="133"/>
      <c r="K284" s="22"/>
      <c r="L284" s="134"/>
    </row>
    <row r="285" spans="1:19" s="97" customFormat="1" x14ac:dyDescent="0.25">
      <c r="A285" s="61" t="s">
        <v>1149</v>
      </c>
      <c r="B285" s="14">
        <v>43623</v>
      </c>
      <c r="C285" s="13">
        <v>1051</v>
      </c>
      <c r="D285" s="13" t="s">
        <v>243</v>
      </c>
      <c r="E285" s="13" t="s">
        <v>808</v>
      </c>
      <c r="F285" s="4">
        <v>845026.56</v>
      </c>
      <c r="G285" s="28" t="s">
        <v>7111</v>
      </c>
      <c r="H285" s="14">
        <v>43573</v>
      </c>
      <c r="I285" s="4" t="s">
        <v>421</v>
      </c>
      <c r="J285" s="133"/>
      <c r="K285" s="22"/>
      <c r="L285" s="134"/>
    </row>
    <row r="286" spans="1:19" s="97" customFormat="1" x14ac:dyDescent="0.25">
      <c r="A286" s="61" t="s">
        <v>1316</v>
      </c>
      <c r="B286" s="14">
        <v>43623</v>
      </c>
      <c r="C286" s="13">
        <v>1043</v>
      </c>
      <c r="D286" s="13" t="s">
        <v>2142</v>
      </c>
      <c r="E286" s="13" t="s">
        <v>808</v>
      </c>
      <c r="F286" s="4">
        <v>25045.8</v>
      </c>
      <c r="G286" s="28" t="s">
        <v>5200</v>
      </c>
      <c r="H286" s="14">
        <v>43578</v>
      </c>
      <c r="I286" s="4" t="s">
        <v>5400</v>
      </c>
      <c r="J286" s="133"/>
      <c r="K286" s="22"/>
      <c r="L286" s="134"/>
    </row>
    <row r="287" spans="1:19" s="97" customFormat="1" x14ac:dyDescent="0.25">
      <c r="A287" s="61" t="s">
        <v>1149</v>
      </c>
      <c r="B287" s="14">
        <v>43623</v>
      </c>
      <c r="C287" s="13">
        <v>1055</v>
      </c>
      <c r="D287" s="13" t="s">
        <v>869</v>
      </c>
      <c r="E287" s="13" t="s">
        <v>808</v>
      </c>
      <c r="F287" s="4">
        <v>61072.87</v>
      </c>
      <c r="G287" s="29" t="s">
        <v>7533</v>
      </c>
      <c r="H287" s="14">
        <v>43585</v>
      </c>
      <c r="I287" s="4" t="s">
        <v>268</v>
      </c>
      <c r="J287" s="133"/>
      <c r="K287" s="22"/>
      <c r="L287" s="134"/>
    </row>
    <row r="288" spans="1:19" s="97" customFormat="1" x14ac:dyDescent="0.25">
      <c r="A288" s="61" t="s">
        <v>1147</v>
      </c>
      <c r="B288" s="14">
        <v>43623</v>
      </c>
      <c r="C288" s="13">
        <v>1055</v>
      </c>
      <c r="D288" s="13" t="s">
        <v>869</v>
      </c>
      <c r="E288" s="13" t="s">
        <v>808</v>
      </c>
      <c r="F288" s="4">
        <v>67968.66</v>
      </c>
      <c r="G288" s="28" t="s">
        <v>7534</v>
      </c>
      <c r="H288" s="14">
        <v>43585</v>
      </c>
      <c r="I288" s="4" t="s">
        <v>6211</v>
      </c>
      <c r="J288" s="133"/>
      <c r="K288" s="22"/>
      <c r="L288" s="134"/>
    </row>
    <row r="289" spans="1:12" s="97" customFormat="1" x14ac:dyDescent="0.25">
      <c r="A289" s="61" t="s">
        <v>1148</v>
      </c>
      <c r="B289" s="14">
        <v>43623</v>
      </c>
      <c r="C289" s="13">
        <v>1055</v>
      </c>
      <c r="D289" s="13" t="s">
        <v>869</v>
      </c>
      <c r="E289" s="13" t="s">
        <v>808</v>
      </c>
      <c r="F289" s="4">
        <v>39791.620000000003</v>
      </c>
      <c r="G289" s="28" t="s">
        <v>7535</v>
      </c>
      <c r="H289" s="14">
        <v>43591</v>
      </c>
      <c r="I289" s="4" t="s">
        <v>268</v>
      </c>
      <c r="J289" s="133"/>
      <c r="K289" s="22"/>
      <c r="L289" s="134"/>
    </row>
    <row r="290" spans="1:12" s="97" customFormat="1" x14ac:dyDescent="0.25">
      <c r="A290" s="61" t="s">
        <v>659</v>
      </c>
      <c r="B290" s="14">
        <v>43623</v>
      </c>
      <c r="C290" s="13">
        <v>1055</v>
      </c>
      <c r="D290" s="13" t="s">
        <v>869</v>
      </c>
      <c r="E290" s="13" t="s">
        <v>808</v>
      </c>
      <c r="F290" s="4">
        <v>83645.06</v>
      </c>
      <c r="G290" s="29" t="s">
        <v>7538</v>
      </c>
      <c r="H290" s="14">
        <v>43592</v>
      </c>
      <c r="I290" s="4" t="s">
        <v>268</v>
      </c>
      <c r="J290" s="133"/>
      <c r="K290" s="22"/>
      <c r="L290" s="134"/>
    </row>
    <row r="291" spans="1:12" s="97" customFormat="1" x14ac:dyDescent="0.25">
      <c r="A291" s="32" t="s">
        <v>659</v>
      </c>
      <c r="B291" s="14">
        <v>43623</v>
      </c>
      <c r="C291" s="13">
        <v>1041</v>
      </c>
      <c r="D291" s="13" t="s">
        <v>1065</v>
      </c>
      <c r="E291" s="13" t="s">
        <v>808</v>
      </c>
      <c r="F291" s="4">
        <v>12684</v>
      </c>
      <c r="G291" s="28" t="s">
        <v>6100</v>
      </c>
      <c r="H291" s="14">
        <v>43578</v>
      </c>
      <c r="I291" s="4" t="s">
        <v>7160</v>
      </c>
      <c r="J291" s="133"/>
      <c r="K291" s="22"/>
      <c r="L291" s="134"/>
    </row>
    <row r="292" spans="1:12" s="97" customFormat="1" x14ac:dyDescent="0.25">
      <c r="A292" s="61" t="s">
        <v>659</v>
      </c>
      <c r="B292" s="14">
        <v>43623</v>
      </c>
      <c r="C292" s="13">
        <v>1048</v>
      </c>
      <c r="D292" s="13" t="s">
        <v>814</v>
      </c>
      <c r="E292" s="13" t="s">
        <v>808</v>
      </c>
      <c r="F292" s="4">
        <v>49009.8</v>
      </c>
      <c r="G292" s="29" t="s">
        <v>7147</v>
      </c>
      <c r="H292" s="14">
        <v>43578</v>
      </c>
      <c r="I292" s="4" t="s">
        <v>142</v>
      </c>
      <c r="J292" s="133"/>
      <c r="K292" s="22"/>
      <c r="L292" s="134"/>
    </row>
    <row r="293" spans="1:12" s="97" customFormat="1" x14ac:dyDescent="0.25">
      <c r="A293" s="61" t="s">
        <v>659</v>
      </c>
      <c r="B293" s="14">
        <v>43623</v>
      </c>
      <c r="C293" s="13">
        <v>1049</v>
      </c>
      <c r="D293" s="13" t="s">
        <v>304</v>
      </c>
      <c r="E293" s="13" t="s">
        <v>808</v>
      </c>
      <c r="F293" s="4">
        <v>14879</v>
      </c>
      <c r="G293" s="29" t="s">
        <v>7506</v>
      </c>
      <c r="H293" s="14">
        <v>43584</v>
      </c>
      <c r="I293" s="4" t="s">
        <v>7507</v>
      </c>
      <c r="J293" s="133"/>
      <c r="K293" s="22"/>
      <c r="L293" s="134"/>
    </row>
    <row r="294" spans="1:12" s="97" customFormat="1" x14ac:dyDescent="0.25">
      <c r="A294" s="61" t="s">
        <v>659</v>
      </c>
      <c r="B294" s="14">
        <v>43623</v>
      </c>
      <c r="C294" s="13">
        <v>1059</v>
      </c>
      <c r="D294" s="13" t="s">
        <v>3438</v>
      </c>
      <c r="E294" s="13" t="s">
        <v>808</v>
      </c>
      <c r="F294" s="4">
        <v>18150</v>
      </c>
      <c r="G294" s="28" t="s">
        <v>50</v>
      </c>
      <c r="H294" s="14">
        <v>43572</v>
      </c>
      <c r="I294" s="4" t="s">
        <v>6837</v>
      </c>
      <c r="J294" s="133"/>
      <c r="K294" s="22"/>
      <c r="L294" s="134"/>
    </row>
    <row r="295" spans="1:12" s="97" customFormat="1" x14ac:dyDescent="0.25">
      <c r="A295" s="61" t="s">
        <v>1147</v>
      </c>
      <c r="B295" s="14">
        <v>43623</v>
      </c>
      <c r="C295" s="13">
        <v>1059</v>
      </c>
      <c r="D295" s="13" t="s">
        <v>3438</v>
      </c>
      <c r="E295" s="13" t="s">
        <v>808</v>
      </c>
      <c r="F295" s="4">
        <v>17600</v>
      </c>
      <c r="G295" s="29" t="s">
        <v>1428</v>
      </c>
      <c r="H295" s="14">
        <v>43573</v>
      </c>
      <c r="I295" s="4" t="s">
        <v>3441</v>
      </c>
      <c r="J295" s="133"/>
      <c r="K295" s="22"/>
      <c r="L295" s="134"/>
    </row>
    <row r="296" spans="1:12" s="97" customFormat="1" x14ac:dyDescent="0.25">
      <c r="A296" s="32" t="s">
        <v>659</v>
      </c>
      <c r="B296" s="14">
        <v>43623</v>
      </c>
      <c r="C296" s="13">
        <v>1050</v>
      </c>
      <c r="D296" s="13" t="s">
        <v>157</v>
      </c>
      <c r="E296" s="13" t="s">
        <v>808</v>
      </c>
      <c r="F296" s="4">
        <v>38236.6</v>
      </c>
      <c r="G296" s="29" t="s">
        <v>7130</v>
      </c>
      <c r="H296" s="14">
        <v>43574</v>
      </c>
      <c r="I296" s="4" t="s">
        <v>7131</v>
      </c>
      <c r="J296" s="133"/>
      <c r="K296" s="22"/>
      <c r="L296" s="134"/>
    </row>
    <row r="297" spans="1:12" s="93" customFormat="1" x14ac:dyDescent="0.25">
      <c r="A297" s="61" t="s">
        <v>1148</v>
      </c>
      <c r="B297" s="14">
        <v>43623</v>
      </c>
      <c r="C297" s="13">
        <v>1054</v>
      </c>
      <c r="D297" s="13" t="s">
        <v>516</v>
      </c>
      <c r="E297" s="13" t="s">
        <v>808</v>
      </c>
      <c r="F297" s="4">
        <v>147013.20000000001</v>
      </c>
      <c r="G297" s="28" t="s">
        <v>7114</v>
      </c>
      <c r="H297" s="14">
        <v>43572</v>
      </c>
      <c r="I297" s="4" t="s">
        <v>7115</v>
      </c>
      <c r="J297" s="130"/>
      <c r="K297" s="16"/>
      <c r="L297" s="92"/>
    </row>
    <row r="298" spans="1:12" s="93" customFormat="1" x14ac:dyDescent="0.25">
      <c r="A298" s="61" t="s">
        <v>1149</v>
      </c>
      <c r="B298" s="14">
        <v>43623</v>
      </c>
      <c r="C298" s="13">
        <v>1054</v>
      </c>
      <c r="D298" s="13" t="s">
        <v>516</v>
      </c>
      <c r="E298" s="13" t="s">
        <v>808</v>
      </c>
      <c r="F298" s="4">
        <v>143853.20000000001</v>
      </c>
      <c r="G298" s="28" t="s">
        <v>1108</v>
      </c>
      <c r="H298" s="14">
        <v>43579</v>
      </c>
      <c r="I298" s="4" t="s">
        <v>7118</v>
      </c>
      <c r="J298" s="130"/>
      <c r="K298" s="16"/>
      <c r="L298" s="92"/>
    </row>
    <row r="299" spans="1:12" x14ac:dyDescent="0.25">
      <c r="A299" s="13" t="s">
        <v>209</v>
      </c>
      <c r="B299" s="14">
        <v>43623</v>
      </c>
      <c r="C299" s="13">
        <v>120</v>
      </c>
      <c r="D299" s="13" t="s">
        <v>210</v>
      </c>
      <c r="E299" s="13" t="s">
        <v>134</v>
      </c>
      <c r="F299" s="37">
        <v>10871.74</v>
      </c>
      <c r="G299" s="67" t="s">
        <v>8664</v>
      </c>
      <c r="H299" s="14">
        <v>43621</v>
      </c>
      <c r="I299" s="4" t="s">
        <v>8665</v>
      </c>
      <c r="J299" s="518"/>
      <c r="K299" s="228"/>
    </row>
    <row r="300" spans="1:12" x14ac:dyDescent="0.25">
      <c r="A300" s="13" t="s">
        <v>209</v>
      </c>
      <c r="B300" s="14">
        <v>43623</v>
      </c>
      <c r="C300" s="13">
        <v>121</v>
      </c>
      <c r="D300" s="13" t="s">
        <v>210</v>
      </c>
      <c r="E300" s="13" t="s">
        <v>134</v>
      </c>
      <c r="F300" s="37">
        <v>55450.2</v>
      </c>
      <c r="G300" s="67" t="s">
        <v>8666</v>
      </c>
      <c r="H300" s="14">
        <v>43622</v>
      </c>
      <c r="I300" s="4" t="s">
        <v>8667</v>
      </c>
      <c r="J300" s="392"/>
      <c r="K300" s="228"/>
    </row>
    <row r="301" spans="1:12" ht="27.6" x14ac:dyDescent="0.25">
      <c r="A301" s="68" t="s">
        <v>151</v>
      </c>
      <c r="B301" s="14">
        <v>43623</v>
      </c>
      <c r="C301" s="13">
        <v>26</v>
      </c>
      <c r="D301" s="32" t="s">
        <v>2899</v>
      </c>
      <c r="E301" s="32" t="s">
        <v>8699</v>
      </c>
      <c r="F301" s="209">
        <v>4500</v>
      </c>
      <c r="G301" s="210" t="s">
        <v>8700</v>
      </c>
      <c r="H301" s="211">
        <v>43622</v>
      </c>
      <c r="I301" s="208" t="s">
        <v>4399</v>
      </c>
      <c r="J301" s="21"/>
      <c r="K301" s="228"/>
    </row>
    <row r="302" spans="1:12" s="192" customFormat="1" x14ac:dyDescent="0.25">
      <c r="A302" s="147" t="s">
        <v>242</v>
      </c>
      <c r="B302" s="14">
        <v>43623</v>
      </c>
      <c r="C302" s="195">
        <v>725</v>
      </c>
      <c r="D302" s="149" t="s">
        <v>490</v>
      </c>
      <c r="E302" s="147" t="s">
        <v>1121</v>
      </c>
      <c r="F302" s="158">
        <v>928966.92</v>
      </c>
      <c r="G302" s="150" t="s">
        <v>7386</v>
      </c>
      <c r="H302" s="148">
        <v>43573</v>
      </c>
      <c r="I302" s="149" t="s">
        <v>143</v>
      </c>
      <c r="J302" s="519"/>
      <c r="K302" s="194"/>
      <c r="L302" s="190"/>
    </row>
    <row r="303" spans="1:12" s="97" customFormat="1" x14ac:dyDescent="0.25">
      <c r="A303" s="61" t="s">
        <v>1147</v>
      </c>
      <c r="B303" s="14">
        <v>43626</v>
      </c>
      <c r="C303" s="13">
        <v>1057</v>
      </c>
      <c r="D303" s="13" t="s">
        <v>5709</v>
      </c>
      <c r="E303" s="13" t="s">
        <v>808</v>
      </c>
      <c r="F303" s="4">
        <v>300000</v>
      </c>
      <c r="G303" s="29" t="s">
        <v>7166</v>
      </c>
      <c r="H303" s="14">
        <v>43578</v>
      </c>
      <c r="I303" s="4" t="s">
        <v>5048</v>
      </c>
      <c r="J303" s="133"/>
      <c r="K303" s="22"/>
      <c r="L303" s="134"/>
    </row>
    <row r="304" spans="1:12" ht="15" customHeight="1" x14ac:dyDescent="0.25">
      <c r="A304" s="68" t="s">
        <v>358</v>
      </c>
      <c r="B304" s="14">
        <v>43626</v>
      </c>
      <c r="C304" s="13">
        <v>967</v>
      </c>
      <c r="D304" s="13" t="s">
        <v>969</v>
      </c>
      <c r="E304" s="32" t="s">
        <v>62</v>
      </c>
      <c r="F304" s="4">
        <v>2500000</v>
      </c>
      <c r="G304" s="86" t="s">
        <v>4762</v>
      </c>
      <c r="H304" s="14"/>
      <c r="I304" s="4" t="s">
        <v>4763</v>
      </c>
      <c r="J304" s="133"/>
      <c r="K304" s="22"/>
      <c r="L304" s="62"/>
    </row>
    <row r="305" spans="1:12" ht="13.95" customHeight="1" x14ac:dyDescent="0.25">
      <c r="A305" s="32" t="s">
        <v>442</v>
      </c>
      <c r="B305" s="14">
        <v>43626</v>
      </c>
      <c r="C305" s="13">
        <v>968</v>
      </c>
      <c r="D305" s="32" t="s">
        <v>844</v>
      </c>
      <c r="E305" s="32" t="s">
        <v>62</v>
      </c>
      <c r="F305" s="4">
        <v>1000000</v>
      </c>
      <c r="G305" s="174" t="s">
        <v>845</v>
      </c>
      <c r="H305" s="14"/>
      <c r="I305" s="41" t="s">
        <v>503</v>
      </c>
      <c r="J305" s="133"/>
      <c r="K305" s="22"/>
    </row>
    <row r="306" spans="1:12" ht="13.95" customHeight="1" x14ac:dyDescent="0.25">
      <c r="A306" s="32" t="s">
        <v>442</v>
      </c>
      <c r="B306" s="14">
        <v>43626</v>
      </c>
      <c r="C306" s="13">
        <v>969</v>
      </c>
      <c r="D306" s="13" t="s">
        <v>920</v>
      </c>
      <c r="E306" s="32" t="s">
        <v>62</v>
      </c>
      <c r="F306" s="4">
        <v>1000000</v>
      </c>
      <c r="G306" s="69" t="s">
        <v>1013</v>
      </c>
      <c r="H306" s="14"/>
      <c r="I306" s="4" t="s">
        <v>1011</v>
      </c>
      <c r="J306" s="21"/>
      <c r="K306" s="228"/>
    </row>
    <row r="307" spans="1:12" s="97" customFormat="1" x14ac:dyDescent="0.25">
      <c r="A307" s="61" t="s">
        <v>442</v>
      </c>
      <c r="B307" s="14">
        <v>43626</v>
      </c>
      <c r="C307" s="13">
        <v>970</v>
      </c>
      <c r="D307" s="13" t="s">
        <v>6805</v>
      </c>
      <c r="E307" s="13" t="s">
        <v>62</v>
      </c>
      <c r="F307" s="4">
        <v>944000</v>
      </c>
      <c r="G307" s="29" t="s">
        <v>4931</v>
      </c>
      <c r="H307" s="14">
        <v>43567</v>
      </c>
      <c r="I307" s="4" t="s">
        <v>423</v>
      </c>
      <c r="J307" s="133"/>
      <c r="K307" s="22"/>
      <c r="L307" s="134"/>
    </row>
    <row r="308" spans="1:12" s="96" customFormat="1" x14ac:dyDescent="0.25">
      <c r="A308" s="13" t="s">
        <v>91</v>
      </c>
      <c r="B308" s="14">
        <v>43626</v>
      </c>
      <c r="C308" s="13">
        <v>971</v>
      </c>
      <c r="D308" s="13" t="s">
        <v>8649</v>
      </c>
      <c r="E308" s="13" t="s">
        <v>62</v>
      </c>
      <c r="F308" s="262">
        <f>410708-2880</f>
        <v>407828</v>
      </c>
      <c r="G308" s="29" t="s">
        <v>8650</v>
      </c>
      <c r="H308" s="14">
        <v>43622</v>
      </c>
      <c r="I308" s="4" t="s">
        <v>8651</v>
      </c>
      <c r="J308" s="97"/>
      <c r="K308" s="97"/>
      <c r="L308" s="97"/>
    </row>
    <row r="309" spans="1:12" s="62" customFormat="1" ht="15" customHeight="1" x14ac:dyDescent="0.25">
      <c r="A309" s="13" t="s">
        <v>8</v>
      </c>
      <c r="B309" s="14">
        <v>43626</v>
      </c>
      <c r="C309" s="13">
        <v>1046</v>
      </c>
      <c r="D309" s="13" t="s">
        <v>1765</v>
      </c>
      <c r="E309" s="13" t="s">
        <v>808</v>
      </c>
      <c r="F309" s="4">
        <v>1000000</v>
      </c>
      <c r="G309" s="69" t="s">
        <v>1766</v>
      </c>
      <c r="H309" s="14"/>
      <c r="I309" s="4" t="s">
        <v>1204</v>
      </c>
      <c r="J309" s="71"/>
    </row>
    <row r="310" spans="1:12" ht="13.95" customHeight="1" x14ac:dyDescent="0.25">
      <c r="A310" s="61" t="s">
        <v>1148</v>
      </c>
      <c r="B310" s="14">
        <v>43626</v>
      </c>
      <c r="C310" s="13">
        <v>1047</v>
      </c>
      <c r="D310" s="32" t="s">
        <v>588</v>
      </c>
      <c r="E310" s="32" t="s">
        <v>808</v>
      </c>
      <c r="F310" s="4">
        <v>2000000</v>
      </c>
      <c r="G310" s="86" t="s">
        <v>3714</v>
      </c>
      <c r="H310" s="211"/>
      <c r="I310" s="4" t="s">
        <v>82</v>
      </c>
      <c r="J310" s="21"/>
      <c r="K310" s="228"/>
    </row>
    <row r="311" spans="1:12" s="96" customFormat="1" x14ac:dyDescent="0.25">
      <c r="A311" s="13" t="s">
        <v>160</v>
      </c>
      <c r="B311" s="14">
        <v>43626</v>
      </c>
      <c r="C311" s="13">
        <v>1045</v>
      </c>
      <c r="D311" s="13" t="s">
        <v>590</v>
      </c>
      <c r="E311" s="13" t="s">
        <v>808</v>
      </c>
      <c r="F311" s="262">
        <v>500000</v>
      </c>
      <c r="G311" s="29" t="s">
        <v>1198</v>
      </c>
      <c r="H311" s="14">
        <v>42996</v>
      </c>
      <c r="I311" s="4" t="s">
        <v>159</v>
      </c>
      <c r="J311" s="97"/>
      <c r="K311" s="97"/>
      <c r="L311" s="97"/>
    </row>
    <row r="312" spans="1:12" s="97" customFormat="1" x14ac:dyDescent="0.25">
      <c r="A312" s="14" t="s">
        <v>1147</v>
      </c>
      <c r="B312" s="14">
        <v>43626</v>
      </c>
      <c r="C312" s="13">
        <v>1044</v>
      </c>
      <c r="D312" s="13" t="s">
        <v>1377</v>
      </c>
      <c r="E312" s="13" t="s">
        <v>808</v>
      </c>
      <c r="F312" s="4">
        <v>880000</v>
      </c>
      <c r="G312" s="29" t="s">
        <v>3141</v>
      </c>
      <c r="H312" s="14">
        <v>43543</v>
      </c>
      <c r="I312" s="4" t="s">
        <v>1349</v>
      </c>
      <c r="J312" s="133"/>
      <c r="K312" s="22"/>
      <c r="L312" s="134"/>
    </row>
    <row r="313" spans="1:12" s="97" customFormat="1" x14ac:dyDescent="0.25">
      <c r="A313" s="61" t="s">
        <v>659</v>
      </c>
      <c r="B313" s="14">
        <v>43626</v>
      </c>
      <c r="C313" s="13">
        <v>1042</v>
      </c>
      <c r="D313" s="13" t="s">
        <v>5047</v>
      </c>
      <c r="E313" s="13" t="s">
        <v>808</v>
      </c>
      <c r="F313" s="4">
        <f>238792-100000-50000</f>
        <v>88792</v>
      </c>
      <c r="G313" s="29" t="s">
        <v>2814</v>
      </c>
      <c r="H313" s="14">
        <v>43578</v>
      </c>
      <c r="I313" s="4" t="s">
        <v>5048</v>
      </c>
      <c r="J313" s="133"/>
      <c r="K313" s="22"/>
      <c r="L313" s="134"/>
    </row>
    <row r="314" spans="1:12" x14ac:dyDescent="0.25">
      <c r="A314" s="13" t="s">
        <v>188</v>
      </c>
      <c r="B314" s="14">
        <v>43626</v>
      </c>
      <c r="C314" s="13">
        <v>1056</v>
      </c>
      <c r="D314" s="32" t="s">
        <v>228</v>
      </c>
      <c r="E314" s="32" t="s">
        <v>808</v>
      </c>
      <c r="F314" s="4">
        <v>2890000</v>
      </c>
      <c r="G314" s="86" t="s">
        <v>4963</v>
      </c>
      <c r="H314" s="14"/>
      <c r="I314" s="41" t="s">
        <v>4964</v>
      </c>
      <c r="J314" s="21"/>
      <c r="K314" s="228"/>
    </row>
    <row r="315" spans="1:12" ht="27.6" x14ac:dyDescent="0.25">
      <c r="A315" s="68" t="s">
        <v>91</v>
      </c>
      <c r="B315" s="14">
        <v>43626</v>
      </c>
      <c r="C315" s="13">
        <v>1190</v>
      </c>
      <c r="D315" s="32" t="s">
        <v>8524</v>
      </c>
      <c r="E315" s="32" t="s">
        <v>8792</v>
      </c>
      <c r="F315" s="4">
        <v>150000</v>
      </c>
      <c r="G315" s="210" t="s">
        <v>8525</v>
      </c>
      <c r="H315" s="211">
        <v>43619</v>
      </c>
      <c r="I315" s="4" t="s">
        <v>8526</v>
      </c>
      <c r="J315" s="21"/>
      <c r="K315" s="228"/>
    </row>
    <row r="316" spans="1:12" x14ac:dyDescent="0.25">
      <c r="A316" s="68" t="s">
        <v>188</v>
      </c>
      <c r="B316" s="14">
        <v>43626</v>
      </c>
      <c r="C316" s="13">
        <v>141</v>
      </c>
      <c r="D316" s="32" t="s">
        <v>8524</v>
      </c>
      <c r="E316" s="32" t="s">
        <v>483</v>
      </c>
      <c r="F316" s="4">
        <v>135000</v>
      </c>
      <c r="G316" s="210" t="s">
        <v>8527</v>
      </c>
      <c r="H316" s="211">
        <v>43619</v>
      </c>
      <c r="I316" s="4" t="s">
        <v>7600</v>
      </c>
      <c r="J316" s="21"/>
      <c r="K316" s="228"/>
    </row>
    <row r="317" spans="1:12" ht="27.6" x14ac:dyDescent="0.25">
      <c r="A317" s="68" t="s">
        <v>261</v>
      </c>
      <c r="B317" s="14">
        <v>43626</v>
      </c>
      <c r="C317" s="13">
        <v>1058</v>
      </c>
      <c r="D317" s="32" t="s">
        <v>3005</v>
      </c>
      <c r="E317" s="32" t="s">
        <v>8793</v>
      </c>
      <c r="F317" s="4">
        <v>3007.92</v>
      </c>
      <c r="G317" s="210" t="s">
        <v>8557</v>
      </c>
      <c r="H317" s="211">
        <v>43566</v>
      </c>
      <c r="I317" s="4" t="s">
        <v>8558</v>
      </c>
      <c r="J317" s="21"/>
      <c r="K317" s="228"/>
    </row>
    <row r="318" spans="1:12" ht="27.6" x14ac:dyDescent="0.25">
      <c r="A318" s="68" t="s">
        <v>261</v>
      </c>
      <c r="B318" s="14">
        <v>43626</v>
      </c>
      <c r="C318" s="13">
        <v>1059</v>
      </c>
      <c r="D318" s="32" t="s">
        <v>3005</v>
      </c>
      <c r="E318" s="32" t="s">
        <v>8793</v>
      </c>
      <c r="F318" s="4">
        <v>87746.44</v>
      </c>
      <c r="G318" s="210" t="s">
        <v>8559</v>
      </c>
      <c r="H318" s="211">
        <v>43608</v>
      </c>
      <c r="I318" s="4" t="s">
        <v>8560</v>
      </c>
      <c r="J318" s="21"/>
      <c r="K318" s="228"/>
    </row>
    <row r="319" spans="1:12" ht="15" customHeight="1" x14ac:dyDescent="0.25">
      <c r="A319" s="13" t="s">
        <v>964</v>
      </c>
      <c r="B319" s="14">
        <v>43626</v>
      </c>
      <c r="C319" s="13">
        <v>731</v>
      </c>
      <c r="D319" s="13" t="s">
        <v>1886</v>
      </c>
      <c r="E319" s="32" t="s">
        <v>1121</v>
      </c>
      <c r="F319" s="4">
        <v>36000</v>
      </c>
      <c r="G319" s="28" t="s">
        <v>8264</v>
      </c>
      <c r="H319" s="14">
        <v>43593</v>
      </c>
      <c r="I319" s="4" t="s">
        <v>1887</v>
      </c>
      <c r="J319" s="76" t="s">
        <v>526</v>
      </c>
    </row>
    <row r="320" spans="1:12" x14ac:dyDescent="0.25">
      <c r="A320" s="32" t="s">
        <v>151</v>
      </c>
      <c r="B320" s="14">
        <v>43626</v>
      </c>
      <c r="C320" s="13">
        <v>730</v>
      </c>
      <c r="D320" s="13" t="s">
        <v>401</v>
      </c>
      <c r="E320" s="13" t="s">
        <v>1121</v>
      </c>
      <c r="F320" s="4">
        <v>12066.88</v>
      </c>
      <c r="G320" s="28" t="s">
        <v>8536</v>
      </c>
      <c r="H320" s="14">
        <v>43585</v>
      </c>
      <c r="I320" s="4" t="s">
        <v>8537</v>
      </c>
      <c r="J320" s="76"/>
      <c r="K320" s="246"/>
    </row>
    <row r="321" spans="1:12" s="192" customFormat="1" x14ac:dyDescent="0.25">
      <c r="A321" s="147" t="s">
        <v>242</v>
      </c>
      <c r="B321" s="14">
        <v>43626</v>
      </c>
      <c r="C321" s="195">
        <v>503</v>
      </c>
      <c r="D321" s="149" t="s">
        <v>388</v>
      </c>
      <c r="E321" s="147" t="s">
        <v>144</v>
      </c>
      <c r="F321" s="158">
        <v>600000</v>
      </c>
      <c r="G321" s="150" t="s">
        <v>4098</v>
      </c>
      <c r="H321" s="148">
        <v>43592</v>
      </c>
      <c r="I321" s="149" t="s">
        <v>143</v>
      </c>
      <c r="J321" s="193" t="s">
        <v>8710</v>
      </c>
      <c r="K321" s="194"/>
      <c r="L321" s="190"/>
    </row>
    <row r="322" spans="1:12" ht="13.95" customHeight="1" x14ac:dyDescent="0.25">
      <c r="A322" s="13" t="s">
        <v>311</v>
      </c>
      <c r="B322" s="14">
        <v>43626</v>
      </c>
      <c r="C322" s="13">
        <v>599</v>
      </c>
      <c r="D322" s="32" t="s">
        <v>667</v>
      </c>
      <c r="E322" s="32" t="s">
        <v>958</v>
      </c>
      <c r="F322" s="4">
        <v>3500000</v>
      </c>
      <c r="G322" s="69" t="s">
        <v>8683</v>
      </c>
      <c r="H322" s="14"/>
      <c r="I322" s="41" t="s">
        <v>978</v>
      </c>
      <c r="J322" s="133" t="s">
        <v>6392</v>
      </c>
      <c r="K322" s="62"/>
    </row>
    <row r="323" spans="1:12" ht="13.95" customHeight="1" x14ac:dyDescent="0.25">
      <c r="A323" s="68" t="s">
        <v>311</v>
      </c>
      <c r="B323" s="14">
        <v>43626</v>
      </c>
      <c r="C323" s="13">
        <v>600</v>
      </c>
      <c r="D323" s="32" t="s">
        <v>8162</v>
      </c>
      <c r="E323" s="32" t="s">
        <v>958</v>
      </c>
      <c r="F323" s="4">
        <v>7000000</v>
      </c>
      <c r="G323" s="86" t="s">
        <v>8164</v>
      </c>
      <c r="H323" s="211"/>
      <c r="I323" s="208" t="s">
        <v>8682</v>
      </c>
      <c r="J323" s="133" t="s">
        <v>6392</v>
      </c>
      <c r="K323" s="228"/>
    </row>
    <row r="324" spans="1:12" ht="13.95" customHeight="1" x14ac:dyDescent="0.25">
      <c r="A324" s="68" t="s">
        <v>311</v>
      </c>
      <c r="B324" s="14">
        <v>43626</v>
      </c>
      <c r="C324" s="13">
        <v>601</v>
      </c>
      <c r="D324" s="32" t="s">
        <v>7231</v>
      </c>
      <c r="E324" s="32" t="s">
        <v>958</v>
      </c>
      <c r="F324" s="4">
        <v>13000000</v>
      </c>
      <c r="G324" s="86" t="s">
        <v>8680</v>
      </c>
      <c r="H324" s="211"/>
      <c r="I324" s="208" t="s">
        <v>8681</v>
      </c>
      <c r="J324" s="133" t="s">
        <v>6392</v>
      </c>
      <c r="K324" s="228"/>
    </row>
    <row r="325" spans="1:12" ht="13.95" customHeight="1" x14ac:dyDescent="0.25">
      <c r="A325" s="68" t="s">
        <v>311</v>
      </c>
      <c r="B325" s="14">
        <v>43626</v>
      </c>
      <c r="C325" s="13">
        <v>602</v>
      </c>
      <c r="D325" s="32" t="s">
        <v>1029</v>
      </c>
      <c r="E325" s="32" t="s">
        <v>958</v>
      </c>
      <c r="F325" s="4">
        <v>2000000</v>
      </c>
      <c r="G325" s="86" t="s">
        <v>8678</v>
      </c>
      <c r="H325" s="211"/>
      <c r="I325" s="208" t="s">
        <v>8679</v>
      </c>
      <c r="J325" s="133" t="s">
        <v>6392</v>
      </c>
      <c r="K325" s="228"/>
    </row>
    <row r="326" spans="1:12" ht="13.95" customHeight="1" x14ac:dyDescent="0.25">
      <c r="A326" s="68" t="s">
        <v>311</v>
      </c>
      <c r="B326" s="14">
        <v>43626</v>
      </c>
      <c r="C326" s="13">
        <v>603</v>
      </c>
      <c r="D326" s="13" t="s">
        <v>3301</v>
      </c>
      <c r="E326" s="32" t="s">
        <v>958</v>
      </c>
      <c r="F326" s="4">
        <v>5000000</v>
      </c>
      <c r="G326" s="86" t="s">
        <v>8684</v>
      </c>
      <c r="H326" s="211"/>
      <c r="I326" s="4" t="s">
        <v>8685</v>
      </c>
      <c r="J326" s="133" t="s">
        <v>6392</v>
      </c>
      <c r="K326" s="228"/>
    </row>
    <row r="327" spans="1:12" s="97" customFormat="1" x14ac:dyDescent="0.25">
      <c r="A327" s="13" t="s">
        <v>311</v>
      </c>
      <c r="B327" s="14">
        <v>43626</v>
      </c>
      <c r="C327" s="13">
        <v>606</v>
      </c>
      <c r="D327" s="13" t="s">
        <v>15</v>
      </c>
      <c r="E327" s="13" t="s">
        <v>958</v>
      </c>
      <c r="F327" s="4">
        <v>3442867.2</v>
      </c>
      <c r="G327" s="29" t="s">
        <v>8686</v>
      </c>
      <c r="H327" s="14">
        <v>42548</v>
      </c>
      <c r="I327" s="4" t="s">
        <v>159</v>
      </c>
      <c r="J327" s="133" t="s">
        <v>6392</v>
      </c>
      <c r="K327" s="22"/>
      <c r="L327" s="134"/>
    </row>
    <row r="328" spans="1:12" s="97" customFormat="1" x14ac:dyDescent="0.25">
      <c r="A328" s="61" t="s">
        <v>311</v>
      </c>
      <c r="B328" s="14">
        <v>43626</v>
      </c>
      <c r="C328" s="13">
        <v>607</v>
      </c>
      <c r="D328" s="13" t="s">
        <v>280</v>
      </c>
      <c r="E328" s="13" t="s">
        <v>958</v>
      </c>
      <c r="F328" s="37">
        <v>92600</v>
      </c>
      <c r="G328" s="29" t="s">
        <v>1567</v>
      </c>
      <c r="H328" s="14">
        <v>43612</v>
      </c>
      <c r="I328" s="4" t="s">
        <v>5049</v>
      </c>
      <c r="J328" s="133" t="s">
        <v>6392</v>
      </c>
      <c r="K328" s="22"/>
      <c r="L328" s="134"/>
    </row>
    <row r="329" spans="1:12" s="97" customFormat="1" x14ac:dyDescent="0.25">
      <c r="A329" s="61" t="s">
        <v>311</v>
      </c>
      <c r="B329" s="14">
        <v>43626</v>
      </c>
      <c r="C329" s="13">
        <v>607</v>
      </c>
      <c r="D329" s="13" t="s">
        <v>280</v>
      </c>
      <c r="E329" s="13" t="s">
        <v>958</v>
      </c>
      <c r="F329" s="37">
        <v>251884</v>
      </c>
      <c r="G329" s="29" t="s">
        <v>6617</v>
      </c>
      <c r="H329" s="14">
        <v>43605</v>
      </c>
      <c r="I329" s="4" t="s">
        <v>8440</v>
      </c>
      <c r="J329" s="133" t="s">
        <v>6392</v>
      </c>
      <c r="K329" s="22"/>
      <c r="L329" s="134"/>
    </row>
    <row r="330" spans="1:12" s="97" customFormat="1" x14ac:dyDescent="0.25">
      <c r="A330" s="61" t="s">
        <v>311</v>
      </c>
      <c r="B330" s="14">
        <v>43626</v>
      </c>
      <c r="C330" s="13">
        <v>607</v>
      </c>
      <c r="D330" s="13" t="s">
        <v>280</v>
      </c>
      <c r="E330" s="13" t="s">
        <v>958</v>
      </c>
      <c r="F330" s="37">
        <v>27144</v>
      </c>
      <c r="G330" s="29" t="s">
        <v>7429</v>
      </c>
      <c r="H330" s="14">
        <v>43613</v>
      </c>
      <c r="I330" s="4" t="s">
        <v>1550</v>
      </c>
      <c r="J330" s="133" t="s">
        <v>6392</v>
      </c>
      <c r="K330" s="22"/>
      <c r="L330" s="134"/>
    </row>
    <row r="331" spans="1:12" s="97" customFormat="1" x14ac:dyDescent="0.25">
      <c r="A331" s="61" t="s">
        <v>310</v>
      </c>
      <c r="B331" s="14">
        <v>43626</v>
      </c>
      <c r="C331" s="13">
        <v>607</v>
      </c>
      <c r="D331" s="13" t="s">
        <v>280</v>
      </c>
      <c r="E331" s="13" t="s">
        <v>958</v>
      </c>
      <c r="F331" s="37">
        <v>277800</v>
      </c>
      <c r="G331" s="29" t="s">
        <v>3207</v>
      </c>
      <c r="H331" s="14">
        <v>43600</v>
      </c>
      <c r="I331" s="4" t="s">
        <v>5049</v>
      </c>
      <c r="J331" s="133" t="s">
        <v>6392</v>
      </c>
      <c r="K331" s="22"/>
      <c r="L331" s="134"/>
    </row>
    <row r="332" spans="1:12" s="97" customFormat="1" x14ac:dyDescent="0.25">
      <c r="A332" s="61" t="s">
        <v>311</v>
      </c>
      <c r="B332" s="14">
        <v>43626</v>
      </c>
      <c r="C332" s="13">
        <v>608</v>
      </c>
      <c r="D332" s="13" t="s">
        <v>7839</v>
      </c>
      <c r="E332" s="13" t="s">
        <v>958</v>
      </c>
      <c r="F332" s="37">
        <v>375000</v>
      </c>
      <c r="G332" s="29" t="s">
        <v>1454</v>
      </c>
      <c r="H332" s="14">
        <v>43602</v>
      </c>
      <c r="I332" s="4" t="s">
        <v>6866</v>
      </c>
      <c r="J332" s="133" t="s">
        <v>6392</v>
      </c>
      <c r="K332" s="22"/>
      <c r="L332" s="134"/>
    </row>
    <row r="333" spans="1:12" s="97" customFormat="1" x14ac:dyDescent="0.25">
      <c r="A333" s="61" t="s">
        <v>455</v>
      </c>
      <c r="B333" s="14">
        <v>43626</v>
      </c>
      <c r="C333" s="13">
        <v>609</v>
      </c>
      <c r="D333" s="13" t="s">
        <v>4936</v>
      </c>
      <c r="E333" s="13" t="s">
        <v>958</v>
      </c>
      <c r="F333" s="4">
        <v>428210.31</v>
      </c>
      <c r="G333" s="29" t="s">
        <v>7499</v>
      </c>
      <c r="H333" s="14">
        <v>43591</v>
      </c>
      <c r="I333" s="4" t="s">
        <v>6209</v>
      </c>
      <c r="J333" s="133" t="s">
        <v>6392</v>
      </c>
      <c r="K333" s="22"/>
      <c r="L333" s="134"/>
    </row>
    <row r="334" spans="1:12" s="97" customFormat="1" x14ac:dyDescent="0.25">
      <c r="A334" s="61" t="s">
        <v>311</v>
      </c>
      <c r="B334" s="14">
        <v>43626</v>
      </c>
      <c r="C334" s="13">
        <v>610</v>
      </c>
      <c r="D334" s="13" t="s">
        <v>244</v>
      </c>
      <c r="E334" s="13" t="s">
        <v>958</v>
      </c>
      <c r="F334" s="37">
        <v>610039.76</v>
      </c>
      <c r="G334" s="29" t="s">
        <v>7948</v>
      </c>
      <c r="H334" s="14">
        <v>43605</v>
      </c>
      <c r="I334" s="4" t="s">
        <v>3433</v>
      </c>
      <c r="J334" s="133" t="s">
        <v>6392</v>
      </c>
      <c r="K334" s="22"/>
      <c r="L334" s="134"/>
    </row>
    <row r="335" spans="1:12" s="97" customFormat="1" x14ac:dyDescent="0.25">
      <c r="A335" s="13" t="s">
        <v>311</v>
      </c>
      <c r="B335" s="14">
        <v>43626</v>
      </c>
      <c r="C335" s="13">
        <v>611</v>
      </c>
      <c r="D335" s="13" t="s">
        <v>869</v>
      </c>
      <c r="E335" s="13" t="s">
        <v>958</v>
      </c>
      <c r="F335" s="4">
        <v>329826.82</v>
      </c>
      <c r="G335" s="28" t="s">
        <v>8465</v>
      </c>
      <c r="H335" s="14">
        <v>43615</v>
      </c>
      <c r="I335" s="4" t="s">
        <v>572</v>
      </c>
      <c r="J335" s="133" t="s">
        <v>6392</v>
      </c>
      <c r="K335" s="22"/>
      <c r="L335" s="134"/>
    </row>
    <row r="336" spans="1:12" s="97" customFormat="1" x14ac:dyDescent="0.25">
      <c r="A336" s="61" t="s">
        <v>311</v>
      </c>
      <c r="B336" s="14">
        <v>43626</v>
      </c>
      <c r="C336" s="13">
        <v>611</v>
      </c>
      <c r="D336" s="13" t="s">
        <v>869</v>
      </c>
      <c r="E336" s="13" t="s">
        <v>958</v>
      </c>
      <c r="F336" s="37">
        <v>756614.3</v>
      </c>
      <c r="G336" s="29" t="s">
        <v>8458</v>
      </c>
      <c r="H336" s="14">
        <v>43605</v>
      </c>
      <c r="I336" s="4" t="s">
        <v>572</v>
      </c>
      <c r="J336" s="133" t="s">
        <v>6392</v>
      </c>
      <c r="K336" s="22"/>
      <c r="L336" s="134"/>
    </row>
    <row r="337" spans="1:12" s="97" customFormat="1" x14ac:dyDescent="0.25">
      <c r="A337" s="61" t="s">
        <v>311</v>
      </c>
      <c r="B337" s="14">
        <v>43626</v>
      </c>
      <c r="C337" s="13">
        <v>612</v>
      </c>
      <c r="D337" s="13" t="s">
        <v>157</v>
      </c>
      <c r="E337" s="13" t="s">
        <v>958</v>
      </c>
      <c r="F337" s="37">
        <v>116021.8</v>
      </c>
      <c r="G337" s="29" t="s">
        <v>8412</v>
      </c>
      <c r="H337" s="14">
        <v>43609</v>
      </c>
      <c r="I337" s="4" t="s">
        <v>8413</v>
      </c>
      <c r="J337" s="133" t="s">
        <v>6392</v>
      </c>
      <c r="K337" s="22"/>
      <c r="L337" s="134"/>
    </row>
    <row r="338" spans="1:12" s="97" customFormat="1" x14ac:dyDescent="0.25">
      <c r="A338" s="61" t="s">
        <v>311</v>
      </c>
      <c r="B338" s="14">
        <v>43626</v>
      </c>
      <c r="C338" s="13">
        <v>612</v>
      </c>
      <c r="D338" s="13" t="s">
        <v>157</v>
      </c>
      <c r="E338" s="13" t="s">
        <v>958</v>
      </c>
      <c r="F338" s="4">
        <v>95521.8</v>
      </c>
      <c r="G338" s="29" t="s">
        <v>7784</v>
      </c>
      <c r="H338" s="14">
        <v>43595</v>
      </c>
      <c r="I338" s="4" t="s">
        <v>7785</v>
      </c>
      <c r="J338" s="133" t="s">
        <v>6392</v>
      </c>
      <c r="K338" s="22"/>
      <c r="L338" s="134"/>
    </row>
    <row r="339" spans="1:12" s="97" customFormat="1" x14ac:dyDescent="0.25">
      <c r="A339" s="61" t="s">
        <v>455</v>
      </c>
      <c r="B339" s="14">
        <v>43626</v>
      </c>
      <c r="C339" s="13">
        <v>613</v>
      </c>
      <c r="D339" s="13" t="s">
        <v>868</v>
      </c>
      <c r="E339" s="13" t="s">
        <v>958</v>
      </c>
      <c r="F339" s="101">
        <v>1226672</v>
      </c>
      <c r="G339" s="29" t="s">
        <v>8447</v>
      </c>
      <c r="H339" s="14">
        <v>43612</v>
      </c>
      <c r="I339" s="4" t="s">
        <v>6528</v>
      </c>
      <c r="J339" s="133" t="s">
        <v>6392</v>
      </c>
      <c r="K339" s="22"/>
      <c r="L339" s="134"/>
    </row>
    <row r="340" spans="1:12" s="97" customFormat="1" x14ac:dyDescent="0.25">
      <c r="A340" s="61" t="s">
        <v>311</v>
      </c>
      <c r="B340" s="14">
        <v>43626</v>
      </c>
      <c r="C340" s="13">
        <v>613</v>
      </c>
      <c r="D340" s="13" t="s">
        <v>868</v>
      </c>
      <c r="E340" s="13" t="s">
        <v>958</v>
      </c>
      <c r="F340" s="37">
        <v>135532</v>
      </c>
      <c r="G340" s="29" t="s">
        <v>8446</v>
      </c>
      <c r="H340" s="14">
        <v>43609</v>
      </c>
      <c r="I340" s="4" t="s">
        <v>1314</v>
      </c>
      <c r="J340" s="133" t="s">
        <v>6392</v>
      </c>
      <c r="K340" s="22"/>
      <c r="L340" s="134"/>
    </row>
    <row r="341" spans="1:12" s="93" customFormat="1" x14ac:dyDescent="0.25">
      <c r="A341" s="61" t="s">
        <v>310</v>
      </c>
      <c r="B341" s="14">
        <v>43626</v>
      </c>
      <c r="C341" s="13">
        <v>614</v>
      </c>
      <c r="D341" s="13" t="s">
        <v>1491</v>
      </c>
      <c r="E341" s="13" t="s">
        <v>958</v>
      </c>
      <c r="F341" s="4">
        <v>554456.5</v>
      </c>
      <c r="G341" s="29" t="s">
        <v>1855</v>
      </c>
      <c r="H341" s="14">
        <v>43572</v>
      </c>
      <c r="I341" s="4" t="s">
        <v>7478</v>
      </c>
      <c r="J341" s="133" t="s">
        <v>6392</v>
      </c>
      <c r="K341" s="16"/>
      <c r="L341" s="92"/>
    </row>
    <row r="342" spans="1:12" x14ac:dyDescent="0.25">
      <c r="A342" s="61" t="s">
        <v>311</v>
      </c>
      <c r="B342" s="14">
        <v>43626</v>
      </c>
      <c r="C342" s="13">
        <v>615</v>
      </c>
      <c r="D342" s="13" t="s">
        <v>944</v>
      </c>
      <c r="E342" s="13" t="s">
        <v>958</v>
      </c>
      <c r="F342" s="37">
        <v>78750</v>
      </c>
      <c r="G342" s="29" t="s">
        <v>1685</v>
      </c>
      <c r="H342" s="14">
        <v>43598</v>
      </c>
      <c r="I342" s="4" t="s">
        <v>402</v>
      </c>
      <c r="J342" s="133" t="s">
        <v>6392</v>
      </c>
    </row>
    <row r="343" spans="1:12" x14ac:dyDescent="0.25">
      <c r="A343" s="68" t="s">
        <v>311</v>
      </c>
      <c r="B343" s="14">
        <v>43626</v>
      </c>
      <c r="C343" s="13">
        <v>615</v>
      </c>
      <c r="D343" s="13" t="s">
        <v>944</v>
      </c>
      <c r="E343" s="218" t="s">
        <v>958</v>
      </c>
      <c r="F343" s="4">
        <v>254250</v>
      </c>
      <c r="G343" s="29" t="s">
        <v>6446</v>
      </c>
      <c r="H343" s="14">
        <v>43606</v>
      </c>
      <c r="I343" s="4" t="s">
        <v>402</v>
      </c>
      <c r="J343" s="133" t="s">
        <v>6392</v>
      </c>
    </row>
    <row r="344" spans="1:12" x14ac:dyDescent="0.25">
      <c r="A344" s="61" t="s">
        <v>311</v>
      </c>
      <c r="B344" s="14">
        <v>43626</v>
      </c>
      <c r="C344" s="13">
        <v>616</v>
      </c>
      <c r="D344" s="13" t="s">
        <v>4870</v>
      </c>
      <c r="E344" s="13" t="s">
        <v>958</v>
      </c>
      <c r="F344" s="37">
        <v>1000000</v>
      </c>
      <c r="G344" s="29" t="s">
        <v>6407</v>
      </c>
      <c r="H344" s="14">
        <v>43525</v>
      </c>
      <c r="I344" s="4" t="s">
        <v>6283</v>
      </c>
      <c r="J344" s="133" t="s">
        <v>6392</v>
      </c>
    </row>
    <row r="345" spans="1:12" x14ac:dyDescent="0.25">
      <c r="A345" s="61" t="s">
        <v>311</v>
      </c>
      <c r="B345" s="14">
        <v>43626</v>
      </c>
      <c r="C345" s="13">
        <v>617</v>
      </c>
      <c r="D345" s="13" t="s">
        <v>1099</v>
      </c>
      <c r="E345" s="13" t="s">
        <v>958</v>
      </c>
      <c r="F345" s="37">
        <v>43256.4</v>
      </c>
      <c r="G345" s="29" t="s">
        <v>7018</v>
      </c>
      <c r="H345" s="14">
        <v>43553</v>
      </c>
      <c r="I345" s="4" t="s">
        <v>14</v>
      </c>
      <c r="J345" s="133" t="s">
        <v>6392</v>
      </c>
    </row>
    <row r="346" spans="1:12" x14ac:dyDescent="0.25">
      <c r="A346" s="61" t="s">
        <v>311</v>
      </c>
      <c r="B346" s="14">
        <v>43626</v>
      </c>
      <c r="C346" s="13">
        <v>618</v>
      </c>
      <c r="D346" s="13" t="s">
        <v>29</v>
      </c>
      <c r="E346" s="13" t="s">
        <v>958</v>
      </c>
      <c r="F346" s="37">
        <v>161400</v>
      </c>
      <c r="G346" s="29" t="s">
        <v>919</v>
      </c>
      <c r="H346" s="14">
        <v>43555</v>
      </c>
      <c r="I346" s="4" t="s">
        <v>511</v>
      </c>
      <c r="J346" s="133" t="s">
        <v>6392</v>
      </c>
    </row>
    <row r="347" spans="1:12" x14ac:dyDescent="0.25">
      <c r="A347" s="61" t="s">
        <v>311</v>
      </c>
      <c r="B347" s="14">
        <v>43626</v>
      </c>
      <c r="C347" s="13">
        <v>618</v>
      </c>
      <c r="D347" s="13" t="s">
        <v>29</v>
      </c>
      <c r="E347" s="13" t="s">
        <v>958</v>
      </c>
      <c r="F347" s="37">
        <v>464400</v>
      </c>
      <c r="G347" s="29" t="s">
        <v>2002</v>
      </c>
      <c r="H347" s="14">
        <v>43578</v>
      </c>
      <c r="I347" s="4" t="s">
        <v>511</v>
      </c>
      <c r="J347" s="133" t="s">
        <v>6392</v>
      </c>
    </row>
    <row r="348" spans="1:12" x14ac:dyDescent="0.25">
      <c r="A348" s="61" t="s">
        <v>311</v>
      </c>
      <c r="B348" s="14">
        <v>43626</v>
      </c>
      <c r="C348" s="13">
        <v>619</v>
      </c>
      <c r="D348" s="13" t="s">
        <v>1985</v>
      </c>
      <c r="E348" s="13" t="s">
        <v>958</v>
      </c>
      <c r="F348" s="37">
        <v>44400</v>
      </c>
      <c r="G348" s="29" t="s">
        <v>1428</v>
      </c>
      <c r="H348" s="14">
        <v>43585</v>
      </c>
      <c r="I348" s="4" t="s">
        <v>122</v>
      </c>
      <c r="J348" s="133" t="s">
        <v>6392</v>
      </c>
    </row>
    <row r="349" spans="1:12" x14ac:dyDescent="0.25">
      <c r="A349" s="61" t="s">
        <v>311</v>
      </c>
      <c r="B349" s="14">
        <v>43626</v>
      </c>
      <c r="C349" s="13">
        <v>619</v>
      </c>
      <c r="D349" s="13" t="s">
        <v>1985</v>
      </c>
      <c r="E349" s="13" t="s">
        <v>958</v>
      </c>
      <c r="F349" s="37">
        <v>8800</v>
      </c>
      <c r="G349" s="29" t="s">
        <v>700</v>
      </c>
      <c r="H349" s="14">
        <v>43585</v>
      </c>
      <c r="I349" s="4" t="s">
        <v>122</v>
      </c>
      <c r="J349" s="133" t="s">
        <v>6392</v>
      </c>
    </row>
    <row r="350" spans="1:12" x14ac:dyDescent="0.25">
      <c r="A350" s="61" t="s">
        <v>311</v>
      </c>
      <c r="B350" s="14">
        <v>43626</v>
      </c>
      <c r="C350" s="13">
        <v>620</v>
      </c>
      <c r="D350" s="13" t="s">
        <v>4874</v>
      </c>
      <c r="E350" s="13" t="s">
        <v>958</v>
      </c>
      <c r="F350" s="4">
        <f>555000</f>
        <v>555000</v>
      </c>
      <c r="G350" s="28" t="s">
        <v>3121</v>
      </c>
      <c r="H350" s="14">
        <v>43555</v>
      </c>
      <c r="I350" s="4" t="s">
        <v>419</v>
      </c>
      <c r="J350" s="133" t="s">
        <v>6392</v>
      </c>
    </row>
    <row r="351" spans="1:12" x14ac:dyDescent="0.25">
      <c r="A351" s="61" t="s">
        <v>311</v>
      </c>
      <c r="B351" s="14">
        <v>43626</v>
      </c>
      <c r="C351" s="13">
        <v>620</v>
      </c>
      <c r="D351" s="13" t="s">
        <v>4874</v>
      </c>
      <c r="E351" s="13" t="s">
        <v>958</v>
      </c>
      <c r="F351" s="37">
        <v>156000</v>
      </c>
      <c r="G351" s="29" t="s">
        <v>3519</v>
      </c>
      <c r="H351" s="14">
        <v>43570</v>
      </c>
      <c r="I351" s="4" t="s">
        <v>419</v>
      </c>
      <c r="J351" s="133" t="s">
        <v>6392</v>
      </c>
    </row>
    <row r="352" spans="1:12" x14ac:dyDescent="0.25">
      <c r="A352" s="61" t="s">
        <v>311</v>
      </c>
      <c r="B352" s="14">
        <v>43626</v>
      </c>
      <c r="C352" s="13">
        <v>620</v>
      </c>
      <c r="D352" s="13" t="s">
        <v>4874</v>
      </c>
      <c r="E352" s="13" t="s">
        <v>958</v>
      </c>
      <c r="F352" s="37">
        <v>198400</v>
      </c>
      <c r="G352" s="29" t="s">
        <v>6178</v>
      </c>
      <c r="H352" s="14">
        <v>43577</v>
      </c>
      <c r="I352" s="4" t="s">
        <v>95</v>
      </c>
      <c r="J352" s="133" t="s">
        <v>6392</v>
      </c>
    </row>
    <row r="353" spans="1:19" x14ac:dyDescent="0.25">
      <c r="A353" s="61" t="s">
        <v>311</v>
      </c>
      <c r="B353" s="14">
        <v>43626</v>
      </c>
      <c r="C353" s="13">
        <v>620</v>
      </c>
      <c r="D353" s="13" t="s">
        <v>4874</v>
      </c>
      <c r="E353" s="13" t="s">
        <v>958</v>
      </c>
      <c r="F353" s="37">
        <v>235200</v>
      </c>
      <c r="G353" s="29" t="s">
        <v>7952</v>
      </c>
      <c r="H353" s="14">
        <v>43585</v>
      </c>
      <c r="I353" s="4" t="s">
        <v>95</v>
      </c>
      <c r="J353" s="133" t="s">
        <v>6392</v>
      </c>
    </row>
    <row r="354" spans="1:19" x14ac:dyDescent="0.25">
      <c r="A354" s="61" t="s">
        <v>311</v>
      </c>
      <c r="B354" s="14">
        <v>43626</v>
      </c>
      <c r="C354" s="13">
        <v>620</v>
      </c>
      <c r="D354" s="13" t="s">
        <v>4874</v>
      </c>
      <c r="E354" s="13" t="s">
        <v>958</v>
      </c>
      <c r="F354" s="37">
        <v>49600</v>
      </c>
      <c r="G354" s="29" t="s">
        <v>2002</v>
      </c>
      <c r="H354" s="14">
        <v>43598</v>
      </c>
      <c r="I354" s="4" t="s">
        <v>95</v>
      </c>
      <c r="J354" s="133" t="s">
        <v>6392</v>
      </c>
    </row>
    <row r="355" spans="1:19" x14ac:dyDescent="0.25">
      <c r="A355" s="61" t="s">
        <v>311</v>
      </c>
      <c r="B355" s="14">
        <v>43626</v>
      </c>
      <c r="C355" s="13">
        <v>621</v>
      </c>
      <c r="D355" s="13" t="s">
        <v>1688</v>
      </c>
      <c r="E355" s="13" t="s">
        <v>958</v>
      </c>
      <c r="F355" s="37">
        <v>70272</v>
      </c>
      <c r="G355" s="29" t="s">
        <v>6493</v>
      </c>
      <c r="H355" s="14">
        <v>43567</v>
      </c>
      <c r="I355" s="4" t="s">
        <v>7695</v>
      </c>
      <c r="J355" s="133" t="s">
        <v>6392</v>
      </c>
    </row>
    <row r="356" spans="1:19" x14ac:dyDescent="0.25">
      <c r="A356" s="13" t="s">
        <v>311</v>
      </c>
      <c r="B356" s="14">
        <v>43626</v>
      </c>
      <c r="C356" s="13">
        <v>622</v>
      </c>
      <c r="D356" s="13" t="s">
        <v>6788</v>
      </c>
      <c r="E356" s="13" t="s">
        <v>958</v>
      </c>
      <c r="F356" s="37">
        <v>13125</v>
      </c>
      <c r="G356" s="29" t="s">
        <v>7696</v>
      </c>
      <c r="H356" s="14">
        <v>43570</v>
      </c>
      <c r="I356" s="4" t="s">
        <v>354</v>
      </c>
      <c r="J356" s="133" t="s">
        <v>6392</v>
      </c>
    </row>
    <row r="357" spans="1:19" x14ac:dyDescent="0.25">
      <c r="A357" s="61" t="s">
        <v>311</v>
      </c>
      <c r="B357" s="14">
        <v>43626</v>
      </c>
      <c r="C357" s="13">
        <v>623</v>
      </c>
      <c r="D357" s="13" t="s">
        <v>2115</v>
      </c>
      <c r="E357" s="13" t="s">
        <v>958</v>
      </c>
      <c r="F357" s="37">
        <v>658450</v>
      </c>
      <c r="G357" s="29" t="s">
        <v>376</v>
      </c>
      <c r="H357" s="14">
        <v>43585</v>
      </c>
      <c r="I357" s="4" t="s">
        <v>2385</v>
      </c>
      <c r="J357" s="133" t="s">
        <v>6392</v>
      </c>
    </row>
    <row r="358" spans="1:19" s="50" customFormat="1" ht="27.6" x14ac:dyDescent="0.25">
      <c r="A358" s="13" t="s">
        <v>92</v>
      </c>
      <c r="B358" s="14">
        <v>43626</v>
      </c>
      <c r="C358" s="13">
        <v>954</v>
      </c>
      <c r="D358" s="32" t="s">
        <v>373</v>
      </c>
      <c r="E358" s="218" t="s">
        <v>7168</v>
      </c>
      <c r="F358" s="224">
        <v>4172700</v>
      </c>
      <c r="G358" s="28" t="s">
        <v>4765</v>
      </c>
      <c r="H358" s="14">
        <v>42851</v>
      </c>
      <c r="I358" s="32" t="s">
        <v>4764</v>
      </c>
      <c r="J358" s="325"/>
    </row>
    <row r="359" spans="1:19" s="115" customFormat="1" ht="15.6" x14ac:dyDescent="0.25">
      <c r="A359" s="61" t="s">
        <v>651</v>
      </c>
      <c r="B359" s="14">
        <v>43626</v>
      </c>
      <c r="C359" s="13">
        <v>613</v>
      </c>
      <c r="D359" s="13" t="s">
        <v>813</v>
      </c>
      <c r="E359" s="13" t="s">
        <v>547</v>
      </c>
      <c r="F359" s="37">
        <v>6500000</v>
      </c>
      <c r="G359" s="29" t="s">
        <v>810</v>
      </c>
      <c r="H359" s="14">
        <v>42340</v>
      </c>
      <c r="I359" s="41" t="s">
        <v>1560</v>
      </c>
      <c r="J359" s="258"/>
      <c r="K359" s="116"/>
      <c r="L359" s="116"/>
      <c r="M359" s="116"/>
      <c r="N359" s="116"/>
      <c r="O359" s="117"/>
      <c r="P359" s="117"/>
      <c r="Q359" s="117"/>
      <c r="R359" s="117"/>
      <c r="S359" s="117"/>
    </row>
    <row r="360" spans="1:19" ht="13.95" customHeight="1" x14ac:dyDescent="0.25">
      <c r="A360" s="68" t="s">
        <v>184</v>
      </c>
      <c r="B360" s="14">
        <v>43626</v>
      </c>
      <c r="C360" s="13">
        <v>733</v>
      </c>
      <c r="D360" s="32" t="s">
        <v>1263</v>
      </c>
      <c r="E360" s="32" t="s">
        <v>1121</v>
      </c>
      <c r="F360" s="4">
        <v>30580</v>
      </c>
      <c r="G360" s="210" t="s">
        <v>8794</v>
      </c>
      <c r="H360" s="211">
        <v>43620</v>
      </c>
      <c r="I360" s="208" t="s">
        <v>8718</v>
      </c>
      <c r="J360" s="21"/>
      <c r="K360" s="228"/>
    </row>
    <row r="361" spans="1:19" x14ac:dyDescent="0.25">
      <c r="A361" s="13" t="s">
        <v>637</v>
      </c>
      <c r="B361" s="126">
        <v>43627</v>
      </c>
      <c r="C361" s="13">
        <v>452</v>
      </c>
      <c r="D361" s="13" t="s">
        <v>470</v>
      </c>
      <c r="E361" s="13" t="s">
        <v>691</v>
      </c>
      <c r="F361" s="4">
        <v>5000000</v>
      </c>
      <c r="G361" s="69" t="s">
        <v>1818</v>
      </c>
      <c r="H361" s="14"/>
      <c r="I361" s="208" t="s">
        <v>237</v>
      </c>
      <c r="J361" s="62"/>
      <c r="K361" s="62"/>
      <c r="L361" s="35"/>
      <c r="M361" s="35"/>
      <c r="N361" s="35"/>
      <c r="O361" s="35"/>
      <c r="P361" s="35"/>
    </row>
    <row r="362" spans="1:19" x14ac:dyDescent="0.25">
      <c r="A362" s="13" t="s">
        <v>637</v>
      </c>
      <c r="B362" s="126">
        <v>43627</v>
      </c>
      <c r="C362" s="13">
        <v>442</v>
      </c>
      <c r="D362" s="13" t="s">
        <v>541</v>
      </c>
      <c r="E362" s="13" t="s">
        <v>691</v>
      </c>
      <c r="F362" s="4">
        <v>1000000</v>
      </c>
      <c r="G362" s="69" t="s">
        <v>4153</v>
      </c>
      <c r="H362" s="14"/>
      <c r="I362" s="208" t="s">
        <v>4152</v>
      </c>
      <c r="J362" s="62"/>
      <c r="K362" s="62"/>
      <c r="L362" s="35"/>
      <c r="M362" s="35"/>
      <c r="N362" s="35"/>
      <c r="O362" s="35"/>
      <c r="P362" s="35"/>
    </row>
    <row r="363" spans="1:19" s="50" customFormat="1" x14ac:dyDescent="0.25">
      <c r="A363" s="68" t="s">
        <v>660</v>
      </c>
      <c r="B363" s="126">
        <v>43627</v>
      </c>
      <c r="C363" s="13">
        <v>453</v>
      </c>
      <c r="D363" s="218" t="s">
        <v>385</v>
      </c>
      <c r="E363" s="218" t="s">
        <v>691</v>
      </c>
      <c r="F363" s="4">
        <v>500000</v>
      </c>
      <c r="G363" s="28" t="s">
        <v>1541</v>
      </c>
      <c r="H363" s="14"/>
      <c r="I363" s="127" t="s">
        <v>1542</v>
      </c>
    </row>
    <row r="364" spans="1:19" ht="13.95" customHeight="1" x14ac:dyDescent="0.25">
      <c r="A364" s="68" t="s">
        <v>637</v>
      </c>
      <c r="B364" s="126">
        <v>43627</v>
      </c>
      <c r="C364" s="13">
        <v>443</v>
      </c>
      <c r="D364" s="32" t="s">
        <v>8162</v>
      </c>
      <c r="E364" s="32" t="s">
        <v>691</v>
      </c>
      <c r="F364" s="4">
        <v>3500000</v>
      </c>
      <c r="G364" s="86" t="s">
        <v>8163</v>
      </c>
      <c r="H364" s="211"/>
      <c r="I364" s="208" t="s">
        <v>252</v>
      </c>
      <c r="J364" s="21"/>
      <c r="K364" s="228"/>
    </row>
    <row r="365" spans="1:19" x14ac:dyDescent="0.25">
      <c r="A365" s="68" t="s">
        <v>637</v>
      </c>
      <c r="B365" s="126">
        <v>43627</v>
      </c>
      <c r="C365" s="13" t="s">
        <v>8900</v>
      </c>
      <c r="D365" s="32" t="s">
        <v>837</v>
      </c>
      <c r="E365" s="32" t="s">
        <v>691</v>
      </c>
      <c r="F365" s="4">
        <v>26640.44</v>
      </c>
      <c r="G365" s="210" t="s">
        <v>8652</v>
      </c>
      <c r="H365" s="211"/>
      <c r="I365" s="208" t="s">
        <v>838</v>
      </c>
      <c r="J365" s="228"/>
      <c r="K365" s="228"/>
    </row>
    <row r="366" spans="1:19" x14ac:dyDescent="0.25">
      <c r="A366" s="68" t="s">
        <v>637</v>
      </c>
      <c r="B366" s="126">
        <v>43627</v>
      </c>
      <c r="C366" s="13" t="s">
        <v>8901</v>
      </c>
      <c r="D366" s="32" t="s">
        <v>837</v>
      </c>
      <c r="E366" s="32" t="s">
        <v>691</v>
      </c>
      <c r="F366" s="4">
        <v>573359.56000000006</v>
      </c>
      <c r="G366" s="210" t="s">
        <v>207</v>
      </c>
      <c r="H366" s="211"/>
      <c r="I366" s="208" t="s">
        <v>838</v>
      </c>
      <c r="J366" s="228"/>
      <c r="K366" s="228"/>
    </row>
    <row r="367" spans="1:19" x14ac:dyDescent="0.25">
      <c r="A367" s="32" t="s">
        <v>1350</v>
      </c>
      <c r="B367" s="126">
        <v>43627</v>
      </c>
      <c r="C367" s="13" t="s">
        <v>8902</v>
      </c>
      <c r="D367" s="32" t="s">
        <v>7304</v>
      </c>
      <c r="E367" s="13" t="s">
        <v>691</v>
      </c>
      <c r="F367" s="4">
        <v>570000</v>
      </c>
      <c r="G367" s="69" t="s">
        <v>7305</v>
      </c>
      <c r="H367" s="211"/>
      <c r="I367" s="4" t="s">
        <v>202</v>
      </c>
      <c r="J367" s="228"/>
      <c r="K367" s="228"/>
    </row>
    <row r="368" spans="1:19" x14ac:dyDescent="0.25">
      <c r="A368" s="13" t="s">
        <v>1350</v>
      </c>
      <c r="B368" s="126">
        <v>43627</v>
      </c>
      <c r="C368" s="13">
        <v>439</v>
      </c>
      <c r="D368" s="32" t="s">
        <v>3662</v>
      </c>
      <c r="E368" s="13" t="s">
        <v>691</v>
      </c>
      <c r="F368" s="4">
        <v>600652.80000000005</v>
      </c>
      <c r="G368" s="29" t="s">
        <v>8471</v>
      </c>
      <c r="H368" s="14">
        <v>43615</v>
      </c>
      <c r="I368" s="4" t="s">
        <v>3664</v>
      </c>
      <c r="J368" s="62"/>
      <c r="K368" s="62"/>
      <c r="L368" s="35"/>
      <c r="M368" s="35"/>
      <c r="N368" s="35"/>
      <c r="O368" s="35"/>
      <c r="P368" s="35"/>
    </row>
    <row r="369" spans="1:19" x14ac:dyDescent="0.25">
      <c r="A369" s="13" t="s">
        <v>1350</v>
      </c>
      <c r="B369" s="126">
        <v>43627</v>
      </c>
      <c r="C369" s="13">
        <v>440</v>
      </c>
      <c r="D369" s="32" t="s">
        <v>3250</v>
      </c>
      <c r="E369" s="13" t="s">
        <v>691</v>
      </c>
      <c r="F369" s="4">
        <v>107000</v>
      </c>
      <c r="G369" s="29" t="s">
        <v>8472</v>
      </c>
      <c r="H369" s="14">
        <v>43619</v>
      </c>
      <c r="I369" s="4" t="s">
        <v>8473</v>
      </c>
      <c r="J369" s="62"/>
      <c r="K369" s="62"/>
      <c r="L369" s="35"/>
      <c r="M369" s="35"/>
      <c r="N369" s="35"/>
      <c r="O369" s="35"/>
      <c r="P369" s="35"/>
    </row>
    <row r="370" spans="1:19" x14ac:dyDescent="0.25">
      <c r="A370" s="13" t="s">
        <v>659</v>
      </c>
      <c r="B370" s="126">
        <v>43627</v>
      </c>
      <c r="C370" s="13">
        <v>441</v>
      </c>
      <c r="D370" s="32" t="s">
        <v>6985</v>
      </c>
      <c r="E370" s="13" t="s">
        <v>691</v>
      </c>
      <c r="F370" s="4">
        <v>126000</v>
      </c>
      <c r="G370" s="29" t="s">
        <v>4084</v>
      </c>
      <c r="H370" s="14">
        <v>43609</v>
      </c>
      <c r="I370" s="4" t="s">
        <v>641</v>
      </c>
      <c r="J370" s="62"/>
      <c r="K370" s="62"/>
      <c r="L370" s="35"/>
      <c r="M370" s="35"/>
      <c r="N370" s="35"/>
      <c r="O370" s="35"/>
      <c r="P370" s="35"/>
    </row>
    <row r="371" spans="1:19" s="97" customFormat="1" x14ac:dyDescent="0.25">
      <c r="A371" s="32" t="s">
        <v>1350</v>
      </c>
      <c r="B371" s="126">
        <v>43627</v>
      </c>
      <c r="C371" s="13">
        <v>444</v>
      </c>
      <c r="D371" s="13" t="s">
        <v>1082</v>
      </c>
      <c r="E371" s="13" t="s">
        <v>691</v>
      </c>
      <c r="F371" s="4">
        <v>879199.92</v>
      </c>
      <c r="G371" s="28" t="s">
        <v>299</v>
      </c>
      <c r="H371" s="14">
        <v>43556</v>
      </c>
      <c r="I371" s="4" t="s">
        <v>443</v>
      </c>
      <c r="J371" s="133"/>
      <c r="K371" s="22"/>
      <c r="L371" s="134"/>
    </row>
    <row r="372" spans="1:19" s="97" customFormat="1" x14ac:dyDescent="0.25">
      <c r="A372" s="61" t="s">
        <v>637</v>
      </c>
      <c r="B372" s="126">
        <v>43627</v>
      </c>
      <c r="C372" s="13">
        <v>445</v>
      </c>
      <c r="D372" s="13" t="s">
        <v>869</v>
      </c>
      <c r="E372" s="13" t="s">
        <v>691</v>
      </c>
      <c r="F372" s="4">
        <v>12992.54</v>
      </c>
      <c r="G372" s="28" t="s">
        <v>7532</v>
      </c>
      <c r="H372" s="14">
        <v>43584</v>
      </c>
      <c r="I372" s="4" t="s">
        <v>2544</v>
      </c>
      <c r="J372" s="133"/>
      <c r="K372" s="22"/>
      <c r="L372" s="134"/>
    </row>
    <row r="373" spans="1:19" s="97" customFormat="1" x14ac:dyDescent="0.25">
      <c r="A373" s="61" t="s">
        <v>637</v>
      </c>
      <c r="B373" s="126">
        <v>43627</v>
      </c>
      <c r="C373" s="13">
        <v>446</v>
      </c>
      <c r="D373" s="13" t="s">
        <v>868</v>
      </c>
      <c r="E373" s="13" t="s">
        <v>691</v>
      </c>
      <c r="F373" s="4">
        <v>38364</v>
      </c>
      <c r="G373" s="29" t="s">
        <v>7157</v>
      </c>
      <c r="H373" s="14">
        <v>43574</v>
      </c>
      <c r="I373" s="4" t="s">
        <v>1314</v>
      </c>
      <c r="J373" s="133"/>
      <c r="K373" s="22"/>
      <c r="L373" s="134"/>
    </row>
    <row r="374" spans="1:19" s="97" customFormat="1" x14ac:dyDescent="0.25">
      <c r="A374" s="61" t="s">
        <v>1350</v>
      </c>
      <c r="B374" s="126">
        <v>43627</v>
      </c>
      <c r="C374" s="13">
        <v>446</v>
      </c>
      <c r="D374" s="13" t="s">
        <v>868</v>
      </c>
      <c r="E374" s="13" t="s">
        <v>691</v>
      </c>
      <c r="F374" s="4">
        <v>9805</v>
      </c>
      <c r="G374" s="29" t="s">
        <v>7158</v>
      </c>
      <c r="H374" s="14">
        <v>43577</v>
      </c>
      <c r="I374" s="4" t="s">
        <v>6852</v>
      </c>
      <c r="J374" s="133"/>
      <c r="K374" s="22"/>
      <c r="L374" s="134"/>
    </row>
    <row r="375" spans="1:19" s="97" customFormat="1" x14ac:dyDescent="0.25">
      <c r="A375" s="61" t="s">
        <v>637</v>
      </c>
      <c r="B375" s="126">
        <v>43627</v>
      </c>
      <c r="C375" s="13">
        <v>446</v>
      </c>
      <c r="D375" s="13" t="s">
        <v>868</v>
      </c>
      <c r="E375" s="13" t="s">
        <v>691</v>
      </c>
      <c r="F375" s="4">
        <v>22108.77</v>
      </c>
      <c r="G375" s="29" t="s">
        <v>7526</v>
      </c>
      <c r="H375" s="14">
        <v>43584</v>
      </c>
      <c r="I375" s="4" t="s">
        <v>345</v>
      </c>
      <c r="J375" s="133"/>
      <c r="K375" s="22"/>
      <c r="L375" s="134"/>
    </row>
    <row r="376" spans="1:19" s="97" customFormat="1" x14ac:dyDescent="0.25">
      <c r="A376" s="61" t="s">
        <v>637</v>
      </c>
      <c r="B376" s="126">
        <v>43627</v>
      </c>
      <c r="C376" s="13">
        <v>447</v>
      </c>
      <c r="D376" s="13" t="s">
        <v>814</v>
      </c>
      <c r="E376" s="13" t="s">
        <v>691</v>
      </c>
      <c r="F376" s="4">
        <v>10450</v>
      </c>
      <c r="G376" s="29" t="s">
        <v>7516</v>
      </c>
      <c r="H376" s="14">
        <v>43584</v>
      </c>
      <c r="I376" s="4" t="s">
        <v>5049</v>
      </c>
      <c r="J376" s="133"/>
      <c r="K376" s="22"/>
      <c r="L376" s="134"/>
    </row>
    <row r="377" spans="1:19" s="97" customFormat="1" x14ac:dyDescent="0.25">
      <c r="A377" s="14" t="s">
        <v>1350</v>
      </c>
      <c r="B377" s="126">
        <v>43627</v>
      </c>
      <c r="C377" s="13">
        <v>448</v>
      </c>
      <c r="D377" s="13" t="s">
        <v>304</v>
      </c>
      <c r="E377" s="13" t="s">
        <v>691</v>
      </c>
      <c r="F377" s="4">
        <v>12240</v>
      </c>
      <c r="G377" s="29" t="s">
        <v>7502</v>
      </c>
      <c r="H377" s="14">
        <v>43580</v>
      </c>
      <c r="I377" s="4" t="s">
        <v>7487</v>
      </c>
      <c r="J377" s="133"/>
      <c r="K377" s="22"/>
      <c r="L377" s="134"/>
    </row>
    <row r="378" spans="1:19" s="97" customFormat="1" x14ac:dyDescent="0.25">
      <c r="A378" s="61" t="s">
        <v>637</v>
      </c>
      <c r="B378" s="126">
        <v>43627</v>
      </c>
      <c r="C378" s="13">
        <v>449</v>
      </c>
      <c r="D378" s="13" t="s">
        <v>203</v>
      </c>
      <c r="E378" s="13" t="s">
        <v>691</v>
      </c>
      <c r="F378" s="4">
        <v>29600</v>
      </c>
      <c r="G378" s="29" t="s">
        <v>7132</v>
      </c>
      <c r="H378" s="14">
        <v>43570</v>
      </c>
      <c r="I378" s="4" t="s">
        <v>7133</v>
      </c>
      <c r="J378" s="133"/>
      <c r="K378" s="22"/>
      <c r="L378" s="134"/>
    </row>
    <row r="379" spans="1:19" s="93" customFormat="1" x14ac:dyDescent="0.25">
      <c r="A379" s="61" t="s">
        <v>1350</v>
      </c>
      <c r="B379" s="126">
        <v>43627</v>
      </c>
      <c r="C379" s="13">
        <v>450</v>
      </c>
      <c r="D379" s="13" t="s">
        <v>1491</v>
      </c>
      <c r="E379" s="13" t="s">
        <v>691</v>
      </c>
      <c r="F379" s="4">
        <v>126592.84</v>
      </c>
      <c r="G379" s="29" t="s">
        <v>7480</v>
      </c>
      <c r="H379" s="14">
        <v>43578</v>
      </c>
      <c r="I379" s="4" t="s">
        <v>7478</v>
      </c>
      <c r="J379" s="130"/>
      <c r="K379" s="16"/>
      <c r="L379" s="92"/>
    </row>
    <row r="380" spans="1:19" s="93" customFormat="1" x14ac:dyDescent="0.25">
      <c r="A380" s="61" t="s">
        <v>637</v>
      </c>
      <c r="B380" s="126">
        <v>43627</v>
      </c>
      <c r="C380" s="13">
        <v>451</v>
      </c>
      <c r="D380" s="13" t="s">
        <v>516</v>
      </c>
      <c r="E380" s="13" t="s">
        <v>691</v>
      </c>
      <c r="F380" s="4">
        <v>13497.2</v>
      </c>
      <c r="G380" s="28" t="s">
        <v>7116</v>
      </c>
      <c r="H380" s="14">
        <v>43574</v>
      </c>
      <c r="I380" s="4" t="s">
        <v>7117</v>
      </c>
      <c r="J380" s="130"/>
      <c r="K380" s="16"/>
      <c r="L380" s="92"/>
    </row>
    <row r="381" spans="1:19" s="2" customFormat="1" x14ac:dyDescent="0.25">
      <c r="A381" s="13" t="s">
        <v>6</v>
      </c>
      <c r="B381" s="14">
        <v>43627</v>
      </c>
      <c r="C381" s="13">
        <v>276</v>
      </c>
      <c r="D381" s="32" t="s">
        <v>530</v>
      </c>
      <c r="E381" s="13" t="s">
        <v>183</v>
      </c>
      <c r="F381" s="4">
        <v>12000</v>
      </c>
      <c r="G381" s="29" t="s">
        <v>1794</v>
      </c>
      <c r="H381" s="14">
        <v>43612</v>
      </c>
      <c r="I381" s="4" t="s">
        <v>165</v>
      </c>
      <c r="J381" s="341"/>
      <c r="K381" s="31"/>
      <c r="L381" s="31"/>
      <c r="M381" s="31"/>
      <c r="N381" s="31"/>
      <c r="O381" s="34"/>
      <c r="P381" s="34"/>
      <c r="Q381" s="34"/>
      <c r="R381" s="34"/>
      <c r="S381" s="34"/>
    </row>
    <row r="382" spans="1:19" s="2" customFormat="1" x14ac:dyDescent="0.25">
      <c r="A382" s="13" t="s">
        <v>6</v>
      </c>
      <c r="B382" s="14">
        <v>43627</v>
      </c>
      <c r="C382" s="13">
        <v>276</v>
      </c>
      <c r="D382" s="32" t="s">
        <v>530</v>
      </c>
      <c r="E382" s="13" t="s">
        <v>183</v>
      </c>
      <c r="F382" s="4">
        <v>25500</v>
      </c>
      <c r="G382" s="29" t="s">
        <v>3499</v>
      </c>
      <c r="H382" s="14">
        <v>43598</v>
      </c>
      <c r="I382" s="4" t="s">
        <v>165</v>
      </c>
      <c r="J382" s="341"/>
      <c r="K382" s="31"/>
      <c r="L382" s="31"/>
      <c r="M382" s="31"/>
      <c r="N382" s="31"/>
      <c r="O382" s="34"/>
      <c r="P382" s="34"/>
      <c r="Q382" s="34"/>
      <c r="R382" s="34"/>
      <c r="S382" s="34"/>
    </row>
    <row r="383" spans="1:19" s="2" customFormat="1" x14ac:dyDescent="0.25">
      <c r="A383" s="13" t="s">
        <v>6</v>
      </c>
      <c r="B383" s="14">
        <v>43627</v>
      </c>
      <c r="C383" s="13">
        <v>276</v>
      </c>
      <c r="D383" s="32" t="s">
        <v>530</v>
      </c>
      <c r="E383" s="13" t="s">
        <v>183</v>
      </c>
      <c r="F383" s="4">
        <v>67500</v>
      </c>
      <c r="G383" s="29" t="s">
        <v>8717</v>
      </c>
      <c r="H383" s="14">
        <v>43613</v>
      </c>
      <c r="I383" s="4" t="s">
        <v>208</v>
      </c>
      <c r="J383" s="341"/>
      <c r="K383" s="31"/>
      <c r="L383" s="31"/>
      <c r="M383" s="31"/>
      <c r="N383" s="31"/>
      <c r="O383" s="34"/>
      <c r="P383" s="34"/>
      <c r="Q383" s="34"/>
      <c r="R383" s="34"/>
      <c r="S383" s="34"/>
    </row>
    <row r="384" spans="1:19" s="2" customFormat="1" ht="15" customHeight="1" x14ac:dyDescent="0.25">
      <c r="A384" s="13" t="s">
        <v>6</v>
      </c>
      <c r="B384" s="14">
        <v>43627</v>
      </c>
      <c r="C384" s="13">
        <v>277</v>
      </c>
      <c r="D384" s="32" t="s">
        <v>8352</v>
      </c>
      <c r="E384" s="13" t="s">
        <v>183</v>
      </c>
      <c r="F384" s="4">
        <v>111250</v>
      </c>
      <c r="G384" s="29" t="s">
        <v>8716</v>
      </c>
      <c r="H384" s="14">
        <v>43616</v>
      </c>
      <c r="I384" s="4" t="s">
        <v>263</v>
      </c>
      <c r="J384" s="341"/>
      <c r="K384" s="31"/>
      <c r="L384" s="31"/>
      <c r="M384" s="31"/>
      <c r="N384" s="31"/>
      <c r="O384" s="34"/>
      <c r="P384" s="34"/>
      <c r="Q384" s="34"/>
      <c r="R384" s="34"/>
      <c r="S384" s="34"/>
    </row>
    <row r="385" spans="1:19" s="2" customFormat="1" ht="15" customHeight="1" x14ac:dyDescent="0.25">
      <c r="A385" s="61" t="s">
        <v>6</v>
      </c>
      <c r="B385" s="14">
        <v>43627</v>
      </c>
      <c r="C385" s="13">
        <v>278</v>
      </c>
      <c r="D385" s="13" t="s">
        <v>225</v>
      </c>
      <c r="E385" s="13" t="s">
        <v>183</v>
      </c>
      <c r="F385" s="4">
        <v>6000</v>
      </c>
      <c r="G385" s="29" t="s">
        <v>8449</v>
      </c>
      <c r="H385" s="14">
        <v>43616</v>
      </c>
      <c r="I385" s="4" t="s">
        <v>1441</v>
      </c>
      <c r="J385" s="341" t="s">
        <v>526</v>
      </c>
      <c r="K385" s="31"/>
      <c r="L385" s="31"/>
      <c r="M385" s="31"/>
      <c r="N385" s="31"/>
      <c r="O385" s="34"/>
      <c r="P385" s="34"/>
      <c r="Q385" s="34"/>
      <c r="R385" s="34"/>
      <c r="S385" s="34"/>
    </row>
    <row r="386" spans="1:19" s="2" customFormat="1" x14ac:dyDescent="0.25">
      <c r="A386" s="13" t="s">
        <v>6</v>
      </c>
      <c r="B386" s="14">
        <v>43627</v>
      </c>
      <c r="C386" s="13">
        <v>279</v>
      </c>
      <c r="D386" s="13" t="s">
        <v>8766</v>
      </c>
      <c r="E386" s="13" t="s">
        <v>183</v>
      </c>
      <c r="F386" s="4">
        <v>19212</v>
      </c>
      <c r="G386" s="29" t="s">
        <v>132</v>
      </c>
      <c r="H386" s="14">
        <v>43619</v>
      </c>
      <c r="I386" s="4" t="s">
        <v>8767</v>
      </c>
      <c r="J386" s="341"/>
      <c r="K386" s="31"/>
      <c r="L386" s="31"/>
      <c r="M386" s="31"/>
      <c r="N386" s="31"/>
      <c r="O386" s="34"/>
      <c r="P386" s="34"/>
      <c r="Q386" s="34"/>
      <c r="R386" s="34"/>
      <c r="S386" s="34"/>
    </row>
    <row r="387" spans="1:19" s="2" customFormat="1" x14ac:dyDescent="0.25">
      <c r="A387" s="13" t="s">
        <v>6</v>
      </c>
      <c r="B387" s="14">
        <v>43627</v>
      </c>
      <c r="C387" s="13">
        <v>280</v>
      </c>
      <c r="D387" s="13" t="s">
        <v>8768</v>
      </c>
      <c r="E387" s="13" t="s">
        <v>183</v>
      </c>
      <c r="F387" s="4">
        <v>16781.04</v>
      </c>
      <c r="G387" s="29" t="s">
        <v>8769</v>
      </c>
      <c r="H387" s="14">
        <v>43621</v>
      </c>
      <c r="I387" s="4" t="s">
        <v>8770</v>
      </c>
      <c r="J387" s="341"/>
      <c r="K387" s="31"/>
      <c r="L387" s="31"/>
      <c r="M387" s="31"/>
      <c r="N387" s="31"/>
      <c r="O387" s="34"/>
      <c r="P387" s="34"/>
      <c r="Q387" s="34"/>
      <c r="R387" s="34"/>
      <c r="S387" s="34"/>
    </row>
    <row r="388" spans="1:19" s="2" customFormat="1" x14ac:dyDescent="0.25">
      <c r="A388" s="61" t="s">
        <v>6</v>
      </c>
      <c r="B388" s="14">
        <v>43627</v>
      </c>
      <c r="C388" s="13">
        <v>281</v>
      </c>
      <c r="D388" s="32" t="s">
        <v>3901</v>
      </c>
      <c r="E388" s="13" t="s">
        <v>183</v>
      </c>
      <c r="F388" s="4">
        <v>51500</v>
      </c>
      <c r="G388" s="29" t="s">
        <v>8771</v>
      </c>
      <c r="H388" s="14">
        <v>43615</v>
      </c>
      <c r="I388" s="4" t="s">
        <v>8772</v>
      </c>
      <c r="J388" s="341"/>
      <c r="K388" s="31"/>
      <c r="L388" s="31"/>
      <c r="M388" s="31"/>
      <c r="N388" s="31"/>
      <c r="O388" s="34"/>
      <c r="P388" s="34"/>
      <c r="Q388" s="34"/>
      <c r="R388" s="34"/>
      <c r="S388" s="34"/>
    </row>
    <row r="389" spans="1:19" s="2" customFormat="1" ht="15" customHeight="1" x14ac:dyDescent="0.25">
      <c r="A389" s="13" t="s">
        <v>6</v>
      </c>
      <c r="B389" s="14">
        <v>43627</v>
      </c>
      <c r="C389" s="13">
        <v>282</v>
      </c>
      <c r="D389" s="13" t="s">
        <v>1394</v>
      </c>
      <c r="E389" s="13" t="s">
        <v>183</v>
      </c>
      <c r="F389" s="4">
        <v>309600</v>
      </c>
      <c r="G389" s="29" t="s">
        <v>5200</v>
      </c>
      <c r="H389" s="14">
        <v>43621</v>
      </c>
      <c r="I389" s="4" t="s">
        <v>7987</v>
      </c>
      <c r="J389" s="341"/>
      <c r="K389" s="31"/>
      <c r="L389" s="31"/>
      <c r="M389" s="31"/>
      <c r="N389" s="31"/>
      <c r="O389" s="34"/>
      <c r="P389" s="34"/>
      <c r="Q389" s="34"/>
      <c r="R389" s="34"/>
      <c r="S389" s="34"/>
    </row>
    <row r="390" spans="1:19" s="2" customFormat="1" ht="15" customHeight="1" x14ac:dyDescent="0.25">
      <c r="A390" s="13" t="s">
        <v>6</v>
      </c>
      <c r="B390" s="14">
        <v>43627</v>
      </c>
      <c r="C390" s="13">
        <v>283</v>
      </c>
      <c r="D390" s="13" t="s">
        <v>896</v>
      </c>
      <c r="E390" s="13" t="s">
        <v>183</v>
      </c>
      <c r="F390" s="4">
        <v>250000</v>
      </c>
      <c r="G390" s="29" t="s">
        <v>8764</v>
      </c>
      <c r="H390" s="14">
        <v>43607</v>
      </c>
      <c r="I390" s="4" t="s">
        <v>8765</v>
      </c>
      <c r="J390" s="341"/>
      <c r="K390" s="31"/>
      <c r="L390" s="31"/>
      <c r="M390" s="31"/>
      <c r="N390" s="31"/>
      <c r="O390" s="34"/>
      <c r="P390" s="34"/>
      <c r="Q390" s="34"/>
      <c r="R390" s="34"/>
      <c r="S390" s="34"/>
    </row>
    <row r="391" spans="1:19" ht="16.5" customHeight="1" x14ac:dyDescent="0.25">
      <c r="A391" s="13" t="s">
        <v>184</v>
      </c>
      <c r="B391" s="14">
        <v>43627</v>
      </c>
      <c r="C391" s="67">
        <v>735</v>
      </c>
      <c r="D391" s="32" t="s">
        <v>1359</v>
      </c>
      <c r="E391" s="32" t="s">
        <v>1121</v>
      </c>
      <c r="F391" s="208">
        <v>177962.4</v>
      </c>
      <c r="G391" s="25" t="s">
        <v>7910</v>
      </c>
      <c r="H391" s="212">
        <v>43617</v>
      </c>
      <c r="I391" s="208" t="s">
        <v>6572</v>
      </c>
      <c r="J391" s="76" t="s">
        <v>526</v>
      </c>
      <c r="K391" s="260"/>
      <c r="L391" s="62"/>
    </row>
    <row r="392" spans="1:19" ht="15" customHeight="1" x14ac:dyDescent="0.25">
      <c r="A392" s="13" t="s">
        <v>184</v>
      </c>
      <c r="B392" s="14">
        <v>43627</v>
      </c>
      <c r="C392" s="67">
        <v>736</v>
      </c>
      <c r="D392" s="13" t="s">
        <v>238</v>
      </c>
      <c r="E392" s="32" t="s">
        <v>1121</v>
      </c>
      <c r="F392" s="4">
        <v>2125</v>
      </c>
      <c r="G392" s="28" t="s">
        <v>1342</v>
      </c>
      <c r="H392" s="14">
        <v>43609</v>
      </c>
      <c r="I392" s="4" t="s">
        <v>179</v>
      </c>
      <c r="J392" s="125"/>
    </row>
    <row r="393" spans="1:19" ht="15" customHeight="1" x14ac:dyDescent="0.25">
      <c r="A393" s="13" t="s">
        <v>184</v>
      </c>
      <c r="B393" s="14">
        <v>43627</v>
      </c>
      <c r="C393" s="13">
        <v>734</v>
      </c>
      <c r="D393" s="32" t="s">
        <v>1969</v>
      </c>
      <c r="E393" s="32" t="s">
        <v>1121</v>
      </c>
      <c r="F393" s="4">
        <v>10000</v>
      </c>
      <c r="G393" s="28" t="s">
        <v>8780</v>
      </c>
      <c r="H393" s="14">
        <v>43626</v>
      </c>
      <c r="I393" s="4" t="s">
        <v>1970</v>
      </c>
      <c r="J393" s="76"/>
    </row>
    <row r="394" spans="1:19" x14ac:dyDescent="0.25">
      <c r="A394" s="13" t="s">
        <v>184</v>
      </c>
      <c r="B394" s="14">
        <v>43627</v>
      </c>
      <c r="C394" s="13">
        <v>737</v>
      </c>
      <c r="D394" s="32" t="s">
        <v>747</v>
      </c>
      <c r="E394" s="32" t="s">
        <v>1121</v>
      </c>
      <c r="F394" s="4">
        <v>255500</v>
      </c>
      <c r="G394" s="28" t="s">
        <v>8726</v>
      </c>
      <c r="H394" s="14">
        <v>43614</v>
      </c>
      <c r="I394" s="4" t="s">
        <v>770</v>
      </c>
      <c r="J394" s="76" t="s">
        <v>526</v>
      </c>
    </row>
    <row r="395" spans="1:19" x14ac:dyDescent="0.25">
      <c r="A395" s="13" t="s">
        <v>184</v>
      </c>
      <c r="B395" s="14">
        <v>43627</v>
      </c>
      <c r="C395" s="13">
        <v>737</v>
      </c>
      <c r="D395" s="32" t="s">
        <v>747</v>
      </c>
      <c r="E395" s="32" t="s">
        <v>1121</v>
      </c>
      <c r="F395" s="4">
        <v>259000</v>
      </c>
      <c r="G395" s="28" t="s">
        <v>8725</v>
      </c>
      <c r="H395" s="14">
        <v>43614</v>
      </c>
      <c r="I395" s="4" t="s">
        <v>2867</v>
      </c>
      <c r="J395" s="76" t="s">
        <v>526</v>
      </c>
    </row>
    <row r="396" spans="1:19" ht="15" customHeight="1" x14ac:dyDescent="0.25">
      <c r="A396" s="13" t="s">
        <v>184</v>
      </c>
      <c r="B396" s="14">
        <v>43627</v>
      </c>
      <c r="C396" s="13">
        <v>738</v>
      </c>
      <c r="D396" s="32" t="s">
        <v>747</v>
      </c>
      <c r="E396" s="32" t="s">
        <v>1121</v>
      </c>
      <c r="F396" s="4">
        <v>302833</v>
      </c>
      <c r="G396" s="28" t="s">
        <v>8724</v>
      </c>
      <c r="H396" s="14">
        <v>43614</v>
      </c>
      <c r="I396" s="4" t="s">
        <v>356</v>
      </c>
      <c r="J396" s="76" t="s">
        <v>526</v>
      </c>
    </row>
    <row r="397" spans="1:19" ht="15" customHeight="1" x14ac:dyDescent="0.25">
      <c r="A397" s="13" t="s">
        <v>184</v>
      </c>
      <c r="B397" s="14">
        <v>43627</v>
      </c>
      <c r="C397" s="13">
        <v>738</v>
      </c>
      <c r="D397" s="32" t="s">
        <v>747</v>
      </c>
      <c r="E397" s="32" t="s">
        <v>1121</v>
      </c>
      <c r="F397" s="4">
        <v>18000</v>
      </c>
      <c r="G397" s="28" t="s">
        <v>8720</v>
      </c>
      <c r="H397" s="14">
        <v>43614</v>
      </c>
      <c r="I397" s="4" t="s">
        <v>8721</v>
      </c>
      <c r="J397" s="76" t="s">
        <v>526</v>
      </c>
    </row>
    <row r="398" spans="1:19" x14ac:dyDescent="0.25">
      <c r="A398" s="13" t="s">
        <v>184</v>
      </c>
      <c r="B398" s="14">
        <v>43627</v>
      </c>
      <c r="C398" s="13">
        <v>739</v>
      </c>
      <c r="D398" s="32" t="s">
        <v>7887</v>
      </c>
      <c r="E398" s="32" t="s">
        <v>1121</v>
      </c>
      <c r="F398" s="4">
        <v>1144.3</v>
      </c>
      <c r="G398" s="28" t="s">
        <v>8733</v>
      </c>
      <c r="H398" s="14">
        <v>43616</v>
      </c>
      <c r="I398" s="4" t="s">
        <v>7889</v>
      </c>
      <c r="J398" s="22" t="s">
        <v>1386</v>
      </c>
      <c r="K398" s="63"/>
      <c r="L398" s="62"/>
    </row>
    <row r="399" spans="1:19" x14ac:dyDescent="0.25">
      <c r="A399" s="13" t="s">
        <v>184</v>
      </c>
      <c r="B399" s="14">
        <v>43627</v>
      </c>
      <c r="C399" s="13">
        <v>740</v>
      </c>
      <c r="D399" s="32" t="s">
        <v>8734</v>
      </c>
      <c r="E399" s="32" t="s">
        <v>1121</v>
      </c>
      <c r="F399" s="4">
        <v>1054.9100000000001</v>
      </c>
      <c r="G399" s="28" t="s">
        <v>8735</v>
      </c>
      <c r="H399" s="14">
        <v>43616</v>
      </c>
      <c r="I399" s="4" t="s">
        <v>7889</v>
      </c>
      <c r="J399" s="22" t="s">
        <v>1386</v>
      </c>
      <c r="K399" s="63"/>
      <c r="L399" s="62"/>
    </row>
    <row r="400" spans="1:19" x14ac:dyDescent="0.25">
      <c r="A400" s="13" t="s">
        <v>184</v>
      </c>
      <c r="B400" s="14">
        <v>43627</v>
      </c>
      <c r="C400" s="13">
        <v>741</v>
      </c>
      <c r="D400" s="32" t="s">
        <v>1546</v>
      </c>
      <c r="E400" s="32" t="s">
        <v>1121</v>
      </c>
      <c r="F400" s="4">
        <v>22557.200000000001</v>
      </c>
      <c r="G400" s="28" t="s">
        <v>8737</v>
      </c>
      <c r="H400" s="14">
        <v>43616</v>
      </c>
      <c r="I400" s="4" t="s">
        <v>915</v>
      </c>
      <c r="J400" s="22" t="s">
        <v>1386</v>
      </c>
      <c r="K400" s="63"/>
      <c r="L400" s="62"/>
    </row>
    <row r="401" spans="1:13" x14ac:dyDescent="0.25">
      <c r="A401" s="13" t="s">
        <v>184</v>
      </c>
      <c r="B401" s="14">
        <v>43627</v>
      </c>
      <c r="C401" s="13">
        <v>742</v>
      </c>
      <c r="D401" s="32" t="s">
        <v>914</v>
      </c>
      <c r="E401" s="32" t="s">
        <v>1121</v>
      </c>
      <c r="F401" s="4">
        <v>70702</v>
      </c>
      <c r="G401" s="28" t="s">
        <v>8736</v>
      </c>
      <c r="H401" s="14">
        <v>43616</v>
      </c>
      <c r="I401" s="4" t="s">
        <v>1260</v>
      </c>
      <c r="J401" s="22" t="s">
        <v>1386</v>
      </c>
      <c r="K401" s="63"/>
      <c r="L401" s="62"/>
    </row>
    <row r="402" spans="1:13" x14ac:dyDescent="0.25">
      <c r="A402" s="13" t="s">
        <v>964</v>
      </c>
      <c r="B402" s="14">
        <v>43627</v>
      </c>
      <c r="C402" s="13">
        <v>743</v>
      </c>
      <c r="D402" s="13" t="s">
        <v>8691</v>
      </c>
      <c r="E402" s="32" t="s">
        <v>1121</v>
      </c>
      <c r="F402" s="4">
        <v>200000</v>
      </c>
      <c r="G402" s="29" t="s">
        <v>2961</v>
      </c>
      <c r="H402" s="14">
        <v>43713</v>
      </c>
      <c r="I402" s="4" t="s">
        <v>8692</v>
      </c>
      <c r="J402" s="21" t="s">
        <v>2865</v>
      </c>
      <c r="K402" s="50"/>
    </row>
    <row r="403" spans="1:13" x14ac:dyDescent="0.25">
      <c r="A403" s="13" t="s">
        <v>964</v>
      </c>
      <c r="B403" s="14">
        <v>43627</v>
      </c>
      <c r="C403" s="13">
        <v>744</v>
      </c>
      <c r="D403" s="13" t="s">
        <v>1245</v>
      </c>
      <c r="E403" s="32" t="s">
        <v>1121</v>
      </c>
      <c r="F403" s="4">
        <v>21176.09</v>
      </c>
      <c r="G403" s="29" t="s">
        <v>8763</v>
      </c>
      <c r="H403" s="14">
        <v>43621</v>
      </c>
      <c r="I403" s="4" t="s">
        <v>1246</v>
      </c>
      <c r="J403" s="21" t="s">
        <v>1386</v>
      </c>
      <c r="K403" s="50"/>
    </row>
    <row r="404" spans="1:13" s="192" customFormat="1" x14ac:dyDescent="0.25">
      <c r="A404" s="147" t="s">
        <v>242</v>
      </c>
      <c r="B404" s="14">
        <v>43627</v>
      </c>
      <c r="C404" s="195">
        <v>745</v>
      </c>
      <c r="D404" s="149" t="s">
        <v>490</v>
      </c>
      <c r="E404" s="147" t="s">
        <v>1121</v>
      </c>
      <c r="F404" s="158">
        <v>420502.68</v>
      </c>
      <c r="G404" s="150" t="s">
        <v>8499</v>
      </c>
      <c r="H404" s="148">
        <v>43592</v>
      </c>
      <c r="I404" s="149" t="s">
        <v>143</v>
      </c>
      <c r="J404" s="193"/>
      <c r="K404" s="194"/>
      <c r="L404" s="190"/>
    </row>
    <row r="405" spans="1:13" s="192" customFormat="1" x14ac:dyDescent="0.25">
      <c r="A405" s="147" t="s">
        <v>242</v>
      </c>
      <c r="B405" s="14">
        <v>43627</v>
      </c>
      <c r="C405" s="195">
        <v>746</v>
      </c>
      <c r="D405" s="149" t="s">
        <v>784</v>
      </c>
      <c r="E405" s="147" t="s">
        <v>1121</v>
      </c>
      <c r="F405" s="158">
        <v>262651.2</v>
      </c>
      <c r="G405" s="150" t="s">
        <v>727</v>
      </c>
      <c r="H405" s="148">
        <v>43616</v>
      </c>
      <c r="I405" s="149" t="s">
        <v>143</v>
      </c>
      <c r="J405" s="193"/>
      <c r="K405" s="194"/>
      <c r="L405" s="190"/>
    </row>
    <row r="406" spans="1:13" s="192" customFormat="1" x14ac:dyDescent="0.25">
      <c r="A406" s="147" t="s">
        <v>242</v>
      </c>
      <c r="B406" s="14">
        <v>43627</v>
      </c>
      <c r="C406" s="195">
        <v>746</v>
      </c>
      <c r="D406" s="149" t="s">
        <v>784</v>
      </c>
      <c r="E406" s="147" t="s">
        <v>1121</v>
      </c>
      <c r="F406" s="158">
        <v>439947.08</v>
      </c>
      <c r="G406" s="150" t="s">
        <v>1211</v>
      </c>
      <c r="H406" s="148">
        <v>43616</v>
      </c>
      <c r="I406" s="149" t="s">
        <v>143</v>
      </c>
      <c r="J406" s="193"/>
      <c r="K406" s="194"/>
      <c r="L406" s="190"/>
    </row>
    <row r="407" spans="1:13" s="192" customFormat="1" x14ac:dyDescent="0.25">
      <c r="A407" s="147" t="s">
        <v>242</v>
      </c>
      <c r="B407" s="14">
        <v>43627</v>
      </c>
      <c r="C407" s="187">
        <v>747</v>
      </c>
      <c r="D407" s="149" t="s">
        <v>388</v>
      </c>
      <c r="E407" s="147" t="s">
        <v>1121</v>
      </c>
      <c r="F407" s="158">
        <v>903027.44</v>
      </c>
      <c r="G407" s="150" t="s">
        <v>3120</v>
      </c>
      <c r="H407" s="148">
        <v>43592</v>
      </c>
      <c r="I407" s="149" t="s">
        <v>143</v>
      </c>
      <c r="J407" s="193"/>
      <c r="K407" s="194"/>
      <c r="L407" s="190"/>
    </row>
    <row r="408" spans="1:13" s="129" customFormat="1" ht="27.6" x14ac:dyDescent="0.25">
      <c r="A408" s="13" t="s">
        <v>151</v>
      </c>
      <c r="B408" s="14">
        <v>43627</v>
      </c>
      <c r="C408" s="28" t="s">
        <v>8903</v>
      </c>
      <c r="D408" s="13" t="s">
        <v>711</v>
      </c>
      <c r="E408" s="32" t="s">
        <v>1121</v>
      </c>
      <c r="F408" s="4">
        <f>4350+2800+4650+1100+1000+1400</f>
        <v>15300</v>
      </c>
      <c r="G408" s="28" t="s">
        <v>8706</v>
      </c>
      <c r="H408" s="28" t="s">
        <v>8161</v>
      </c>
      <c r="I408" s="4" t="s">
        <v>712</v>
      </c>
      <c r="J408" s="170" t="s">
        <v>8940</v>
      </c>
      <c r="K408" s="136"/>
    </row>
    <row r="409" spans="1:13" s="129" customFormat="1" ht="13.95" customHeight="1" x14ac:dyDescent="0.25">
      <c r="A409" s="13" t="s">
        <v>151</v>
      </c>
      <c r="B409" s="14">
        <v>43627</v>
      </c>
      <c r="C409" s="28" t="s">
        <v>8904</v>
      </c>
      <c r="D409" s="13" t="s">
        <v>1846</v>
      </c>
      <c r="E409" s="32" t="s">
        <v>1121</v>
      </c>
      <c r="F409" s="4">
        <v>9360</v>
      </c>
      <c r="G409" s="28" t="s">
        <v>8751</v>
      </c>
      <c r="H409" s="14">
        <v>43622</v>
      </c>
      <c r="I409" s="4" t="s">
        <v>8752</v>
      </c>
      <c r="J409" s="22"/>
      <c r="K409" s="136"/>
    </row>
    <row r="410" spans="1:13" ht="16.5" customHeight="1" x14ac:dyDescent="0.25">
      <c r="A410" s="13" t="s">
        <v>184</v>
      </c>
      <c r="B410" s="14">
        <v>43627</v>
      </c>
      <c r="C410" s="67">
        <v>505</v>
      </c>
      <c r="D410" s="32" t="s">
        <v>2147</v>
      </c>
      <c r="E410" s="32" t="s">
        <v>144</v>
      </c>
      <c r="F410" s="4">
        <v>89250</v>
      </c>
      <c r="G410" s="28" t="s">
        <v>8740</v>
      </c>
      <c r="H410" s="14">
        <v>43616</v>
      </c>
      <c r="I410" s="4" t="s">
        <v>2148</v>
      </c>
      <c r="J410" s="263"/>
      <c r="K410" s="63"/>
      <c r="L410" s="62"/>
    </row>
    <row r="411" spans="1:13" x14ac:dyDescent="0.25">
      <c r="A411" s="32" t="s">
        <v>212</v>
      </c>
      <c r="B411" s="14">
        <v>43627</v>
      </c>
      <c r="C411" s="13">
        <v>526</v>
      </c>
      <c r="D411" s="32" t="s">
        <v>212</v>
      </c>
      <c r="E411" s="32" t="s">
        <v>136</v>
      </c>
      <c r="F411" s="4">
        <v>1000000</v>
      </c>
      <c r="G411" s="28" t="s">
        <v>8795</v>
      </c>
      <c r="H411" s="14">
        <v>42027</v>
      </c>
      <c r="I411" s="41" t="s">
        <v>277</v>
      </c>
      <c r="K411" s="63"/>
      <c r="L411" s="62"/>
    </row>
    <row r="412" spans="1:13" s="129" customFormat="1" x14ac:dyDescent="0.25">
      <c r="A412" s="13" t="s">
        <v>2320</v>
      </c>
      <c r="B412" s="14">
        <v>43627</v>
      </c>
      <c r="C412" s="13">
        <v>525</v>
      </c>
      <c r="D412" s="13" t="s">
        <v>210</v>
      </c>
      <c r="E412" s="13" t="s">
        <v>136</v>
      </c>
      <c r="F412" s="37">
        <v>129841.9</v>
      </c>
      <c r="G412" s="29" t="s">
        <v>8659</v>
      </c>
      <c r="H412" s="14">
        <v>43621</v>
      </c>
      <c r="I412" s="4" t="s">
        <v>1728</v>
      </c>
      <c r="J412" s="35" t="s">
        <v>1386</v>
      </c>
      <c r="K412" s="136"/>
    </row>
    <row r="413" spans="1:13" x14ac:dyDescent="0.25">
      <c r="A413" s="68" t="s">
        <v>311</v>
      </c>
      <c r="B413" s="14">
        <v>43627</v>
      </c>
      <c r="C413" s="13">
        <v>325</v>
      </c>
      <c r="D413" s="32" t="s">
        <v>1135</v>
      </c>
      <c r="E413" s="32" t="s">
        <v>408</v>
      </c>
      <c r="F413" s="4">
        <v>48862.8</v>
      </c>
      <c r="G413" s="210" t="s">
        <v>8758</v>
      </c>
      <c r="H413" s="211">
        <v>43619</v>
      </c>
      <c r="I413" s="208" t="s">
        <v>8759</v>
      </c>
      <c r="J413" s="21"/>
      <c r="K413" s="228"/>
    </row>
    <row r="414" spans="1:13" x14ac:dyDescent="0.25">
      <c r="A414" s="32" t="s">
        <v>311</v>
      </c>
      <c r="B414" s="14">
        <v>43627</v>
      </c>
      <c r="C414" s="13">
        <v>326</v>
      </c>
      <c r="D414" s="32" t="s">
        <v>485</v>
      </c>
      <c r="E414" s="32" t="s">
        <v>408</v>
      </c>
      <c r="F414" s="4">
        <v>62705.760000000002</v>
      </c>
      <c r="G414" s="29" t="s">
        <v>8707</v>
      </c>
      <c r="H414" s="14">
        <v>43623</v>
      </c>
      <c r="I414" s="4" t="s">
        <v>1728</v>
      </c>
      <c r="J414" s="35" t="s">
        <v>1386</v>
      </c>
      <c r="K414" s="22"/>
      <c r="L414" s="63"/>
      <c r="M414" s="62"/>
    </row>
    <row r="415" spans="1:13" x14ac:dyDescent="0.25">
      <c r="A415" s="68" t="s">
        <v>455</v>
      </c>
      <c r="B415" s="14">
        <v>43627</v>
      </c>
      <c r="C415" s="13">
        <v>381</v>
      </c>
      <c r="D415" s="32" t="s">
        <v>485</v>
      </c>
      <c r="E415" s="32" t="s">
        <v>440</v>
      </c>
      <c r="F415" s="4">
        <v>62935.26</v>
      </c>
      <c r="G415" s="29" t="s">
        <v>8677</v>
      </c>
      <c r="H415" s="14">
        <v>43622</v>
      </c>
      <c r="I415" s="4" t="s">
        <v>1728</v>
      </c>
      <c r="J415" s="22" t="s">
        <v>1386</v>
      </c>
      <c r="K415" s="22"/>
      <c r="L415" s="63"/>
      <c r="M415" s="62"/>
    </row>
    <row r="416" spans="1:13" ht="27.6" x14ac:dyDescent="0.25">
      <c r="A416" s="32" t="s">
        <v>55</v>
      </c>
      <c r="B416" s="14">
        <v>43627</v>
      </c>
      <c r="C416" s="67">
        <v>969</v>
      </c>
      <c r="D416" s="32" t="s">
        <v>373</v>
      </c>
      <c r="E416" s="32" t="s">
        <v>1427</v>
      </c>
      <c r="F416" s="4">
        <v>84564.31</v>
      </c>
      <c r="G416" s="28" t="s">
        <v>7236</v>
      </c>
      <c r="H416" s="14">
        <v>43546</v>
      </c>
      <c r="I416" s="4" t="s">
        <v>7237</v>
      </c>
      <c r="J416" s="166" t="s">
        <v>771</v>
      </c>
      <c r="K416" s="167"/>
      <c r="L416" s="35"/>
    </row>
    <row r="417" spans="1:12" ht="27.6" x14ac:dyDescent="0.25">
      <c r="A417" s="32" t="s">
        <v>55</v>
      </c>
      <c r="B417" s="14">
        <v>43627</v>
      </c>
      <c r="C417" s="67">
        <v>970</v>
      </c>
      <c r="D417" s="32" t="s">
        <v>373</v>
      </c>
      <c r="E417" s="32" t="s">
        <v>1427</v>
      </c>
      <c r="F417" s="4">
        <v>44943.74</v>
      </c>
      <c r="G417" s="28" t="s">
        <v>7240</v>
      </c>
      <c r="H417" s="14">
        <v>43546</v>
      </c>
      <c r="I417" s="4" t="s">
        <v>7238</v>
      </c>
      <c r="J417" s="166" t="s">
        <v>771</v>
      </c>
      <c r="K417" s="167"/>
      <c r="L417" s="35"/>
    </row>
    <row r="418" spans="1:12" x14ac:dyDescent="0.25">
      <c r="A418" s="13" t="s">
        <v>151</v>
      </c>
      <c r="B418" s="126">
        <v>43627</v>
      </c>
      <c r="C418" s="13">
        <v>968</v>
      </c>
      <c r="D418" s="13" t="s">
        <v>4503</v>
      </c>
      <c r="E418" s="32" t="s">
        <v>130</v>
      </c>
      <c r="F418" s="4">
        <v>4000</v>
      </c>
      <c r="G418" s="28" t="s">
        <v>67</v>
      </c>
      <c r="H418" s="14">
        <v>43622</v>
      </c>
      <c r="I418" s="4" t="s">
        <v>8762</v>
      </c>
      <c r="J418" s="125"/>
    </row>
    <row r="419" spans="1:12" ht="27.6" x14ac:dyDescent="0.25">
      <c r="A419" s="13" t="s">
        <v>151</v>
      </c>
      <c r="B419" s="126">
        <v>43627</v>
      </c>
      <c r="C419" s="13">
        <v>967</v>
      </c>
      <c r="D419" s="13" t="s">
        <v>2974</v>
      </c>
      <c r="E419" s="13" t="s">
        <v>130</v>
      </c>
      <c r="F419" s="37">
        <v>0.85</v>
      </c>
      <c r="G419" s="29" t="s">
        <v>8661</v>
      </c>
      <c r="H419" s="14">
        <v>43601</v>
      </c>
      <c r="I419" s="4" t="s">
        <v>1747</v>
      </c>
    </row>
    <row r="420" spans="1:12" ht="27.6" x14ac:dyDescent="0.25">
      <c r="A420" s="13" t="s">
        <v>151</v>
      </c>
      <c r="B420" s="126">
        <v>43627</v>
      </c>
      <c r="C420" s="13">
        <v>633</v>
      </c>
      <c r="D420" s="13" t="s">
        <v>2974</v>
      </c>
      <c r="E420" s="13" t="s">
        <v>130</v>
      </c>
      <c r="F420" s="37">
        <v>1.46</v>
      </c>
      <c r="G420" s="29" t="s">
        <v>8662</v>
      </c>
      <c r="H420" s="14">
        <v>43601</v>
      </c>
      <c r="I420" s="4" t="s">
        <v>1747</v>
      </c>
    </row>
    <row r="421" spans="1:12" ht="27.6" x14ac:dyDescent="0.25">
      <c r="A421" s="13" t="s">
        <v>151</v>
      </c>
      <c r="B421" s="126">
        <v>43627</v>
      </c>
      <c r="C421" s="13">
        <v>965</v>
      </c>
      <c r="D421" s="13" t="s">
        <v>2974</v>
      </c>
      <c r="E421" s="13" t="s">
        <v>130</v>
      </c>
      <c r="F421" s="37">
        <v>0.65</v>
      </c>
      <c r="G421" s="29" t="s">
        <v>8663</v>
      </c>
      <c r="H421" s="14">
        <v>43601</v>
      </c>
      <c r="I421" s="4" t="s">
        <v>1747</v>
      </c>
    </row>
    <row r="422" spans="1:12" x14ac:dyDescent="0.25">
      <c r="A422" s="61" t="s">
        <v>91</v>
      </c>
      <c r="B422" s="14">
        <v>43627</v>
      </c>
      <c r="C422" s="13">
        <v>964</v>
      </c>
      <c r="D422" s="13" t="s">
        <v>971</v>
      </c>
      <c r="E422" s="13" t="s">
        <v>130</v>
      </c>
      <c r="F422" s="37">
        <v>343040</v>
      </c>
      <c r="G422" s="29" t="s">
        <v>3432</v>
      </c>
      <c r="H422" s="14">
        <v>43555</v>
      </c>
      <c r="I422" s="4" t="s">
        <v>182</v>
      </c>
    </row>
    <row r="423" spans="1:12" x14ac:dyDescent="0.25">
      <c r="A423" s="13" t="s">
        <v>151</v>
      </c>
      <c r="B423" s="126">
        <v>43627</v>
      </c>
      <c r="C423" s="13">
        <v>454</v>
      </c>
      <c r="D423" s="13" t="s">
        <v>7869</v>
      </c>
      <c r="E423" s="32" t="s">
        <v>691</v>
      </c>
      <c r="F423" s="4">
        <v>18050</v>
      </c>
      <c r="G423" s="28" t="s">
        <v>8708</v>
      </c>
      <c r="H423" s="14">
        <v>43616</v>
      </c>
      <c r="I423" s="4" t="s">
        <v>8709</v>
      </c>
      <c r="J423" s="125"/>
    </row>
    <row r="424" spans="1:12" ht="13.95" customHeight="1" x14ac:dyDescent="0.25">
      <c r="A424" s="32" t="s">
        <v>550</v>
      </c>
      <c r="B424" s="14">
        <v>43627</v>
      </c>
      <c r="C424" s="13">
        <v>972</v>
      </c>
      <c r="D424" s="32" t="s">
        <v>452</v>
      </c>
      <c r="E424" s="32" t="s">
        <v>62</v>
      </c>
      <c r="F424" s="4">
        <v>2000000</v>
      </c>
      <c r="G424" s="86" t="s">
        <v>453</v>
      </c>
      <c r="H424" s="211"/>
      <c r="I424" s="208" t="s">
        <v>671</v>
      </c>
      <c r="J424" s="21"/>
      <c r="K424" s="228"/>
    </row>
    <row r="425" spans="1:12" ht="13.95" customHeight="1" x14ac:dyDescent="0.25">
      <c r="A425" s="13" t="s">
        <v>527</v>
      </c>
      <c r="B425" s="242">
        <v>43627</v>
      </c>
      <c r="C425" s="13">
        <v>973</v>
      </c>
      <c r="D425" s="13" t="s">
        <v>7288</v>
      </c>
      <c r="E425" s="13" t="s">
        <v>62</v>
      </c>
      <c r="F425" s="4">
        <v>5000000</v>
      </c>
      <c r="G425" s="86" t="s">
        <v>8229</v>
      </c>
      <c r="H425" s="14"/>
      <c r="I425" s="4" t="s">
        <v>361</v>
      </c>
      <c r="K425" s="228"/>
    </row>
    <row r="426" spans="1:12" ht="13.95" customHeight="1" x14ac:dyDescent="0.25">
      <c r="A426" s="61" t="s">
        <v>442</v>
      </c>
      <c r="B426" s="14">
        <v>43627</v>
      </c>
      <c r="C426" s="13">
        <v>974</v>
      </c>
      <c r="D426" s="13" t="s">
        <v>432</v>
      </c>
      <c r="E426" s="32" t="s">
        <v>62</v>
      </c>
      <c r="F426" s="4">
        <v>1000000</v>
      </c>
      <c r="G426" s="86" t="s">
        <v>1939</v>
      </c>
      <c r="H426" s="211"/>
      <c r="I426" s="4" t="s">
        <v>788</v>
      </c>
      <c r="J426" s="21"/>
      <c r="K426" s="228"/>
    </row>
    <row r="427" spans="1:12" ht="13.95" customHeight="1" x14ac:dyDescent="0.25">
      <c r="A427" s="61" t="s">
        <v>1316</v>
      </c>
      <c r="B427" s="14">
        <v>43627</v>
      </c>
      <c r="C427" s="13">
        <v>1060</v>
      </c>
      <c r="D427" s="13" t="s">
        <v>432</v>
      </c>
      <c r="E427" s="32" t="s">
        <v>808</v>
      </c>
      <c r="F427" s="4">
        <v>2000000</v>
      </c>
      <c r="G427" s="86" t="s">
        <v>4008</v>
      </c>
      <c r="H427" s="211"/>
      <c r="I427" s="4" t="s">
        <v>24</v>
      </c>
      <c r="J427" s="21"/>
      <c r="K427" s="228"/>
    </row>
    <row r="428" spans="1:12" s="97" customFormat="1" x14ac:dyDescent="0.25">
      <c r="A428" s="61" t="s">
        <v>1147</v>
      </c>
      <c r="B428" s="14">
        <v>43627</v>
      </c>
      <c r="C428" s="13">
        <v>1061</v>
      </c>
      <c r="D428" s="13" t="s">
        <v>740</v>
      </c>
      <c r="E428" s="13" t="s">
        <v>808</v>
      </c>
      <c r="F428" s="4">
        <v>300000</v>
      </c>
      <c r="G428" s="28" t="s">
        <v>7752</v>
      </c>
      <c r="H428" s="14">
        <v>43574</v>
      </c>
      <c r="I428" s="4" t="s">
        <v>1207</v>
      </c>
      <c r="J428" s="133"/>
      <c r="K428" s="22"/>
      <c r="L428" s="134"/>
    </row>
    <row r="429" spans="1:12" s="97" customFormat="1" x14ac:dyDescent="0.25">
      <c r="A429" s="61" t="s">
        <v>1149</v>
      </c>
      <c r="B429" s="14">
        <v>43627</v>
      </c>
      <c r="C429" s="13">
        <v>1062</v>
      </c>
      <c r="D429" s="13" t="s">
        <v>487</v>
      </c>
      <c r="E429" s="13" t="s">
        <v>808</v>
      </c>
      <c r="F429" s="4">
        <v>270000</v>
      </c>
      <c r="G429" s="29" t="s">
        <v>2955</v>
      </c>
      <c r="H429" s="14">
        <v>43543</v>
      </c>
      <c r="I429" s="4" t="s">
        <v>421</v>
      </c>
      <c r="J429" s="133"/>
      <c r="K429" s="22"/>
      <c r="L429" s="134"/>
    </row>
    <row r="430" spans="1:12" s="97" customFormat="1" x14ac:dyDescent="0.25">
      <c r="A430" s="61" t="s">
        <v>1147</v>
      </c>
      <c r="B430" s="14">
        <v>43627</v>
      </c>
      <c r="C430" s="13">
        <v>1063</v>
      </c>
      <c r="D430" s="13" t="s">
        <v>539</v>
      </c>
      <c r="E430" s="13" t="s">
        <v>808</v>
      </c>
      <c r="F430" s="4">
        <v>812717</v>
      </c>
      <c r="G430" s="29" t="s">
        <v>7460</v>
      </c>
      <c r="H430" s="14">
        <v>43584</v>
      </c>
      <c r="I430" s="4" t="s">
        <v>765</v>
      </c>
      <c r="J430" s="133"/>
      <c r="K430" s="22"/>
      <c r="L430" s="134"/>
    </row>
    <row r="431" spans="1:12" s="97" customFormat="1" x14ac:dyDescent="0.25">
      <c r="A431" s="61" t="s">
        <v>1148</v>
      </c>
      <c r="B431" s="14">
        <v>43627</v>
      </c>
      <c r="C431" s="13">
        <v>1063</v>
      </c>
      <c r="D431" s="13" t="s">
        <v>539</v>
      </c>
      <c r="E431" s="13" t="s">
        <v>808</v>
      </c>
      <c r="F431" s="4">
        <v>781050</v>
      </c>
      <c r="G431" s="29" t="s">
        <v>7754</v>
      </c>
      <c r="H431" s="14">
        <v>43600</v>
      </c>
      <c r="I431" s="4" t="s">
        <v>421</v>
      </c>
      <c r="J431" s="133"/>
      <c r="K431" s="22"/>
      <c r="L431" s="134"/>
    </row>
    <row r="432" spans="1:12" s="97" customFormat="1" x14ac:dyDescent="0.25">
      <c r="A432" s="61" t="s">
        <v>1148</v>
      </c>
      <c r="B432" s="14">
        <v>43627</v>
      </c>
      <c r="C432" s="13">
        <v>1064</v>
      </c>
      <c r="D432" s="13" t="s">
        <v>276</v>
      </c>
      <c r="E432" s="13" t="s">
        <v>808</v>
      </c>
      <c r="F432" s="4">
        <v>350000</v>
      </c>
      <c r="G432" s="29" t="s">
        <v>2152</v>
      </c>
      <c r="H432" s="14">
        <v>43563</v>
      </c>
      <c r="I432" s="4" t="s">
        <v>421</v>
      </c>
      <c r="J432" s="133"/>
      <c r="K432" s="22"/>
      <c r="L432" s="134"/>
    </row>
    <row r="433" spans="1:19" s="97" customFormat="1" x14ac:dyDescent="0.25">
      <c r="A433" s="61" t="s">
        <v>1148</v>
      </c>
      <c r="B433" s="14">
        <v>43627</v>
      </c>
      <c r="C433" s="13">
        <v>1065</v>
      </c>
      <c r="D433" s="13" t="s">
        <v>6642</v>
      </c>
      <c r="E433" s="13" t="s">
        <v>808</v>
      </c>
      <c r="F433" s="4">
        <v>790336</v>
      </c>
      <c r="G433" s="29" t="s">
        <v>4931</v>
      </c>
      <c r="H433" s="14">
        <v>43600</v>
      </c>
      <c r="I433" s="4" t="s">
        <v>421</v>
      </c>
      <c r="J433" s="133"/>
      <c r="K433" s="22"/>
      <c r="L433" s="134"/>
    </row>
    <row r="434" spans="1:19" s="97" customFormat="1" x14ac:dyDescent="0.25">
      <c r="A434" s="61" t="s">
        <v>1147</v>
      </c>
      <c r="B434" s="14">
        <v>43627</v>
      </c>
      <c r="C434" s="13">
        <v>1066</v>
      </c>
      <c r="D434" s="13" t="s">
        <v>589</v>
      </c>
      <c r="E434" s="13" t="s">
        <v>808</v>
      </c>
      <c r="F434" s="4">
        <f>820040-580000</f>
        <v>240040</v>
      </c>
      <c r="G434" s="29" t="s">
        <v>7107</v>
      </c>
      <c r="H434" s="14">
        <v>43577</v>
      </c>
      <c r="I434" s="4" t="s">
        <v>1118</v>
      </c>
      <c r="J434" s="133"/>
      <c r="K434" s="22"/>
      <c r="L434" s="134"/>
    </row>
    <row r="435" spans="1:19" s="97" customFormat="1" x14ac:dyDescent="0.25">
      <c r="A435" s="61" t="s">
        <v>1148</v>
      </c>
      <c r="B435" s="14">
        <v>43627</v>
      </c>
      <c r="C435" s="13">
        <v>1066</v>
      </c>
      <c r="D435" s="13" t="s">
        <v>589</v>
      </c>
      <c r="E435" s="13" t="s">
        <v>808</v>
      </c>
      <c r="F435" s="4">
        <v>425804</v>
      </c>
      <c r="G435" s="29" t="s">
        <v>7469</v>
      </c>
      <c r="H435" s="14">
        <v>43580</v>
      </c>
      <c r="I435" s="4" t="s">
        <v>7470</v>
      </c>
      <c r="J435" s="133"/>
      <c r="K435" s="22"/>
      <c r="L435" s="134"/>
    </row>
    <row r="436" spans="1:19" s="97" customFormat="1" x14ac:dyDescent="0.25">
      <c r="A436" s="61" t="s">
        <v>1148</v>
      </c>
      <c r="B436" s="14">
        <v>43627</v>
      </c>
      <c r="C436" s="13">
        <v>1067</v>
      </c>
      <c r="D436" s="13" t="s">
        <v>8111</v>
      </c>
      <c r="E436" s="13" t="s">
        <v>808</v>
      </c>
      <c r="F436" s="4">
        <v>869055</v>
      </c>
      <c r="G436" s="29" t="s">
        <v>8114</v>
      </c>
      <c r="H436" s="14">
        <v>43601</v>
      </c>
      <c r="I436" s="4" t="s">
        <v>8115</v>
      </c>
      <c r="J436" s="133"/>
      <c r="K436" s="22"/>
      <c r="L436" s="134"/>
    </row>
    <row r="437" spans="1:19" s="97" customFormat="1" x14ac:dyDescent="0.25">
      <c r="A437" s="61" t="s">
        <v>1149</v>
      </c>
      <c r="B437" s="14">
        <v>43627</v>
      </c>
      <c r="C437" s="13">
        <v>1068</v>
      </c>
      <c r="D437" s="13" t="s">
        <v>243</v>
      </c>
      <c r="E437" s="13" t="s">
        <v>808</v>
      </c>
      <c r="F437" s="4">
        <v>847215.55</v>
      </c>
      <c r="G437" s="29" t="s">
        <v>898</v>
      </c>
      <c r="H437" s="14">
        <v>43574</v>
      </c>
      <c r="I437" s="4" t="s">
        <v>421</v>
      </c>
      <c r="J437" s="133"/>
      <c r="K437" s="22"/>
      <c r="L437" s="134"/>
    </row>
    <row r="438" spans="1:19" s="97" customFormat="1" x14ac:dyDescent="0.25">
      <c r="A438" s="61" t="s">
        <v>659</v>
      </c>
      <c r="B438" s="14">
        <v>43627</v>
      </c>
      <c r="C438" s="13">
        <v>1070</v>
      </c>
      <c r="D438" s="13" t="s">
        <v>448</v>
      </c>
      <c r="E438" s="13" t="s">
        <v>808</v>
      </c>
      <c r="F438" s="4">
        <v>300000</v>
      </c>
      <c r="G438" s="29" t="s">
        <v>4931</v>
      </c>
      <c r="H438" s="14">
        <v>43522</v>
      </c>
      <c r="I438" s="4" t="s">
        <v>63</v>
      </c>
      <c r="J438" s="133"/>
      <c r="K438" s="22"/>
      <c r="L438" s="134"/>
    </row>
    <row r="439" spans="1:19" x14ac:dyDescent="0.25">
      <c r="A439" s="61" t="s">
        <v>659</v>
      </c>
      <c r="B439" s="14">
        <v>43627</v>
      </c>
      <c r="C439" s="13">
        <v>1069</v>
      </c>
      <c r="D439" s="13" t="s">
        <v>5888</v>
      </c>
      <c r="E439" s="13" t="s">
        <v>808</v>
      </c>
      <c r="F439" s="4">
        <v>150000</v>
      </c>
      <c r="G439" s="29" t="s">
        <v>199</v>
      </c>
      <c r="H439" s="14">
        <v>43570</v>
      </c>
      <c r="I439" s="4" t="s">
        <v>402</v>
      </c>
    </row>
    <row r="440" spans="1:19" s="115" customFormat="1" ht="15" customHeight="1" x14ac:dyDescent="0.25">
      <c r="A440" s="13" t="s">
        <v>151</v>
      </c>
      <c r="B440" s="14">
        <v>43627</v>
      </c>
      <c r="C440" s="13">
        <v>150</v>
      </c>
      <c r="D440" s="13" t="s">
        <v>1443</v>
      </c>
      <c r="E440" s="13" t="s">
        <v>195</v>
      </c>
      <c r="F440" s="4">
        <v>40000</v>
      </c>
      <c r="G440" s="29" t="s">
        <v>42</v>
      </c>
      <c r="H440" s="126">
        <v>43627</v>
      </c>
      <c r="I440" s="4" t="s">
        <v>1444</v>
      </c>
      <c r="J440" s="454"/>
      <c r="K440" s="116"/>
      <c r="L440" s="116"/>
      <c r="M440" s="116"/>
      <c r="N440" s="116"/>
      <c r="O440" s="117"/>
      <c r="P440" s="117"/>
      <c r="Q440" s="117"/>
      <c r="R440" s="117"/>
      <c r="S440" s="117"/>
    </row>
    <row r="441" spans="1:19" x14ac:dyDescent="0.25">
      <c r="A441" s="68" t="s">
        <v>151</v>
      </c>
      <c r="B441" s="14">
        <v>43627</v>
      </c>
      <c r="C441" s="13">
        <v>45</v>
      </c>
      <c r="D441" s="32" t="s">
        <v>2899</v>
      </c>
      <c r="E441" s="32" t="s">
        <v>482</v>
      </c>
      <c r="F441" s="209">
        <v>1500</v>
      </c>
      <c r="G441" s="210" t="s">
        <v>8905</v>
      </c>
      <c r="H441" s="211">
        <v>43622</v>
      </c>
      <c r="I441" s="208" t="s">
        <v>8906</v>
      </c>
      <c r="J441" s="21"/>
      <c r="K441" s="228"/>
    </row>
    <row r="442" spans="1:19" s="192" customFormat="1" x14ac:dyDescent="0.25">
      <c r="A442" s="147" t="s">
        <v>242</v>
      </c>
      <c r="B442" s="14">
        <v>43627</v>
      </c>
      <c r="C442" s="195">
        <v>504</v>
      </c>
      <c r="D442" s="149" t="s">
        <v>388</v>
      </c>
      <c r="E442" s="147" t="s">
        <v>144</v>
      </c>
      <c r="F442" s="158">
        <f>1465814.45-600000</f>
        <v>865814.45</v>
      </c>
      <c r="G442" s="150" t="s">
        <v>4098</v>
      </c>
      <c r="H442" s="148">
        <v>43592</v>
      </c>
      <c r="I442" s="149" t="s">
        <v>143</v>
      </c>
      <c r="J442" s="193" t="s">
        <v>8710</v>
      </c>
      <c r="K442" s="194"/>
      <c r="L442" s="190"/>
    </row>
    <row r="443" spans="1:19" ht="27.6" x14ac:dyDescent="0.25">
      <c r="A443" s="61" t="s">
        <v>460</v>
      </c>
      <c r="B443" s="14">
        <v>43629</v>
      </c>
      <c r="C443" s="13">
        <v>108</v>
      </c>
      <c r="D443" s="14" t="s">
        <v>6348</v>
      </c>
      <c r="E443" s="32" t="s">
        <v>2058</v>
      </c>
      <c r="F443" s="4">
        <v>114847</v>
      </c>
      <c r="G443" s="86" t="s">
        <v>6349</v>
      </c>
      <c r="H443" s="211"/>
      <c r="I443" s="326"/>
      <c r="K443" s="62"/>
    </row>
    <row r="444" spans="1:19" ht="27.6" x14ac:dyDescent="0.25">
      <c r="A444" s="61" t="s">
        <v>460</v>
      </c>
      <c r="B444" s="14">
        <v>43629</v>
      </c>
      <c r="C444" s="13">
        <v>109</v>
      </c>
      <c r="D444" s="14" t="s">
        <v>6393</v>
      </c>
      <c r="E444" s="32" t="s">
        <v>2058</v>
      </c>
      <c r="F444" s="4">
        <v>101099</v>
      </c>
      <c r="G444" s="86" t="s">
        <v>6394</v>
      </c>
      <c r="H444" s="211"/>
      <c r="I444" s="326"/>
      <c r="K444" s="62"/>
    </row>
    <row r="445" spans="1:19" ht="13.95" customHeight="1" x14ac:dyDescent="0.25">
      <c r="A445" s="61" t="s">
        <v>442</v>
      </c>
      <c r="B445" s="14">
        <v>43629</v>
      </c>
      <c r="C445" s="28" t="s">
        <v>8960</v>
      </c>
      <c r="D445" s="13" t="s">
        <v>7849</v>
      </c>
      <c r="E445" s="13" t="s">
        <v>494</v>
      </c>
      <c r="F445" s="4">
        <v>180000</v>
      </c>
      <c r="G445" s="28" t="s">
        <v>8777</v>
      </c>
      <c r="H445" s="14">
        <v>43620</v>
      </c>
      <c r="I445" s="4" t="s">
        <v>7851</v>
      </c>
    </row>
    <row r="446" spans="1:19" s="129" customFormat="1" ht="13.95" customHeight="1" x14ac:dyDescent="0.25">
      <c r="A446" s="13" t="s">
        <v>151</v>
      </c>
      <c r="B446" s="14">
        <v>43629</v>
      </c>
      <c r="C446" s="28" t="s">
        <v>859</v>
      </c>
      <c r="D446" s="13" t="s">
        <v>1846</v>
      </c>
      <c r="E446" s="32" t="s">
        <v>22</v>
      </c>
      <c r="F446" s="4">
        <v>23412</v>
      </c>
      <c r="G446" s="28" t="s">
        <v>8747</v>
      </c>
      <c r="H446" s="14">
        <v>43622</v>
      </c>
      <c r="I446" s="4" t="s">
        <v>8748</v>
      </c>
      <c r="J446" s="22"/>
      <c r="K446" s="136"/>
    </row>
    <row r="447" spans="1:19" s="129" customFormat="1" ht="13.95" customHeight="1" x14ac:dyDescent="0.25">
      <c r="A447" s="13" t="s">
        <v>151</v>
      </c>
      <c r="B447" s="14">
        <v>43629</v>
      </c>
      <c r="C447" s="28" t="s">
        <v>859</v>
      </c>
      <c r="D447" s="13" t="s">
        <v>1846</v>
      </c>
      <c r="E447" s="32" t="s">
        <v>22</v>
      </c>
      <c r="F447" s="4">
        <v>16527</v>
      </c>
      <c r="G447" s="28" t="s">
        <v>8749</v>
      </c>
      <c r="H447" s="14">
        <v>43622</v>
      </c>
      <c r="I447" s="4" t="s">
        <v>8750</v>
      </c>
      <c r="J447" s="22"/>
      <c r="K447" s="136"/>
    </row>
    <row r="448" spans="1:19" s="129" customFormat="1" ht="13.95" customHeight="1" x14ac:dyDescent="0.25">
      <c r="A448" s="13" t="s">
        <v>151</v>
      </c>
      <c r="B448" s="14">
        <v>43629</v>
      </c>
      <c r="C448" s="28" t="s">
        <v>859</v>
      </c>
      <c r="D448" s="13" t="s">
        <v>1846</v>
      </c>
      <c r="E448" s="32" t="s">
        <v>22</v>
      </c>
      <c r="F448" s="4">
        <v>133016</v>
      </c>
      <c r="G448" s="28" t="s">
        <v>8753</v>
      </c>
      <c r="H448" s="14">
        <v>43622</v>
      </c>
      <c r="I448" s="4" t="s">
        <v>8754</v>
      </c>
      <c r="J448" s="22"/>
      <c r="K448" s="136"/>
    </row>
    <row r="449" spans="1:19" s="129" customFormat="1" x14ac:dyDescent="0.25">
      <c r="A449" s="13" t="s">
        <v>151</v>
      </c>
      <c r="B449" s="14">
        <v>43629</v>
      </c>
      <c r="C449" s="28" t="s">
        <v>139</v>
      </c>
      <c r="D449" s="13" t="s">
        <v>8182</v>
      </c>
      <c r="E449" s="32" t="s">
        <v>22</v>
      </c>
      <c r="F449" s="37">
        <v>9845</v>
      </c>
      <c r="G449" s="28" t="s">
        <v>8704</v>
      </c>
      <c r="H449" s="14">
        <v>43626</v>
      </c>
      <c r="I449" s="4" t="s">
        <v>8705</v>
      </c>
      <c r="J449" s="170" t="s">
        <v>526</v>
      </c>
      <c r="K449" s="136"/>
    </row>
    <row r="450" spans="1:19" s="129" customFormat="1" x14ac:dyDescent="0.25">
      <c r="A450" s="13" t="s">
        <v>151</v>
      </c>
      <c r="B450" s="14">
        <v>43629</v>
      </c>
      <c r="C450" s="28" t="s">
        <v>170</v>
      </c>
      <c r="D450" s="13" t="s">
        <v>3911</v>
      </c>
      <c r="E450" s="32" t="s">
        <v>22</v>
      </c>
      <c r="F450" s="37">
        <v>1600</v>
      </c>
      <c r="G450" s="28" t="s">
        <v>1976</v>
      </c>
      <c r="H450" s="14">
        <v>43626</v>
      </c>
      <c r="I450" s="4" t="s">
        <v>8776</v>
      </c>
      <c r="J450" s="170" t="s">
        <v>526</v>
      </c>
      <c r="K450" s="136"/>
    </row>
    <row r="451" spans="1:19" x14ac:dyDescent="0.25">
      <c r="A451" s="32" t="s">
        <v>660</v>
      </c>
      <c r="B451" s="14">
        <v>43629</v>
      </c>
      <c r="C451" s="67">
        <v>68</v>
      </c>
      <c r="D451" s="32" t="s">
        <v>595</v>
      </c>
      <c r="E451" s="32" t="s">
        <v>488</v>
      </c>
      <c r="F451" s="4">
        <v>177805.92</v>
      </c>
      <c r="G451" s="29" t="s">
        <v>8126</v>
      </c>
      <c r="H451" s="14">
        <v>43585</v>
      </c>
      <c r="I451" s="41" t="s">
        <v>949</v>
      </c>
      <c r="J451" s="35" t="s">
        <v>771</v>
      </c>
      <c r="K451" s="167"/>
      <c r="L451" s="35"/>
    </row>
    <row r="452" spans="1:19" x14ac:dyDescent="0.25">
      <c r="A452" s="32" t="s">
        <v>659</v>
      </c>
      <c r="B452" s="14">
        <v>43629</v>
      </c>
      <c r="C452" s="67">
        <v>67</v>
      </c>
      <c r="D452" s="32" t="s">
        <v>595</v>
      </c>
      <c r="E452" s="32" t="s">
        <v>488</v>
      </c>
      <c r="F452" s="4">
        <v>221960.32000000001</v>
      </c>
      <c r="G452" s="29" t="s">
        <v>387</v>
      </c>
      <c r="H452" s="14">
        <v>43585</v>
      </c>
      <c r="I452" s="41" t="s">
        <v>949</v>
      </c>
      <c r="J452" s="35" t="s">
        <v>771</v>
      </c>
      <c r="K452" s="167"/>
      <c r="L452" s="35"/>
    </row>
    <row r="453" spans="1:19" ht="13.95" customHeight="1" x14ac:dyDescent="0.25">
      <c r="A453" s="68" t="s">
        <v>310</v>
      </c>
      <c r="B453" s="14">
        <v>43629</v>
      </c>
      <c r="C453" s="13">
        <v>631</v>
      </c>
      <c r="D453" s="13" t="s">
        <v>510</v>
      </c>
      <c r="E453" s="32" t="s">
        <v>958</v>
      </c>
      <c r="F453" s="4">
        <v>5000000</v>
      </c>
      <c r="G453" s="86" t="s">
        <v>4467</v>
      </c>
      <c r="H453" s="14"/>
      <c r="I453" s="4" t="s">
        <v>237</v>
      </c>
      <c r="J453" s="71"/>
      <c r="K453" s="62"/>
      <c r="L453" s="62"/>
    </row>
    <row r="454" spans="1:19" s="97" customFormat="1" x14ac:dyDescent="0.25">
      <c r="A454" s="61" t="s">
        <v>455</v>
      </c>
      <c r="B454" s="14">
        <v>43629</v>
      </c>
      <c r="C454" s="13">
        <v>628</v>
      </c>
      <c r="D454" s="13" t="s">
        <v>589</v>
      </c>
      <c r="E454" s="13" t="s">
        <v>958</v>
      </c>
      <c r="F454" s="4">
        <f>834150-640000</f>
        <v>194150</v>
      </c>
      <c r="G454" s="29" t="s">
        <v>7110</v>
      </c>
      <c r="H454" s="14">
        <v>43579</v>
      </c>
      <c r="I454" s="4" t="s">
        <v>1207</v>
      </c>
      <c r="J454" s="133"/>
      <c r="K454" s="22"/>
      <c r="L454" s="134"/>
    </row>
    <row r="455" spans="1:19" s="97" customFormat="1" ht="27.6" x14ac:dyDescent="0.25">
      <c r="A455" s="13" t="s">
        <v>455</v>
      </c>
      <c r="B455" s="14">
        <v>43629</v>
      </c>
      <c r="C455" s="13">
        <v>629</v>
      </c>
      <c r="D455" s="13" t="s">
        <v>7763</v>
      </c>
      <c r="E455" s="13" t="s">
        <v>958</v>
      </c>
      <c r="F455" s="4">
        <f>2418000-350000-900000</f>
        <v>1168000</v>
      </c>
      <c r="G455" s="28" t="s">
        <v>7764</v>
      </c>
      <c r="H455" s="14">
        <v>43592</v>
      </c>
      <c r="I455" s="4" t="s">
        <v>421</v>
      </c>
      <c r="J455" s="133"/>
      <c r="K455" s="22"/>
      <c r="L455" s="134"/>
    </row>
    <row r="456" spans="1:19" s="62" customFormat="1" x14ac:dyDescent="0.25">
      <c r="A456" s="32" t="s">
        <v>455</v>
      </c>
      <c r="B456" s="14">
        <v>43629</v>
      </c>
      <c r="C456" s="13">
        <v>630</v>
      </c>
      <c r="D456" s="32" t="s">
        <v>5033</v>
      </c>
      <c r="E456" s="32" t="s">
        <v>958</v>
      </c>
      <c r="F456" s="4">
        <f>45850.4-1078.75</f>
        <v>44771.65</v>
      </c>
      <c r="G456" s="28" t="s">
        <v>6694</v>
      </c>
      <c r="H456" s="14">
        <v>43423</v>
      </c>
      <c r="I456" s="32" t="s">
        <v>824</v>
      </c>
      <c r="J456" s="133"/>
      <c r="K456" s="22"/>
      <c r="L456" s="443"/>
      <c r="M456" s="476"/>
      <c r="O456" s="35"/>
      <c r="P456" s="35"/>
      <c r="Q456" s="35"/>
      <c r="R456" s="35"/>
      <c r="S456" s="35"/>
    </row>
    <row r="457" spans="1:19" s="97" customFormat="1" x14ac:dyDescent="0.25">
      <c r="A457" s="32" t="s">
        <v>455</v>
      </c>
      <c r="B457" s="14">
        <v>43629</v>
      </c>
      <c r="C457" s="13">
        <v>630</v>
      </c>
      <c r="D457" s="13" t="s">
        <v>5033</v>
      </c>
      <c r="E457" s="13" t="s">
        <v>958</v>
      </c>
      <c r="F457" s="37">
        <v>53394.74</v>
      </c>
      <c r="G457" s="29" t="s">
        <v>1451</v>
      </c>
      <c r="H457" s="14">
        <v>43528</v>
      </c>
      <c r="I457" s="4" t="s">
        <v>8658</v>
      </c>
      <c r="J457" s="133"/>
      <c r="K457" s="22"/>
      <c r="L457" s="134"/>
    </row>
    <row r="458" spans="1:19" s="97" customFormat="1" x14ac:dyDescent="0.25">
      <c r="A458" s="32" t="s">
        <v>311</v>
      </c>
      <c r="B458" s="14">
        <v>43629</v>
      </c>
      <c r="C458" s="13">
        <v>625</v>
      </c>
      <c r="D458" s="13" t="s">
        <v>1387</v>
      </c>
      <c r="E458" s="13" t="s">
        <v>958</v>
      </c>
      <c r="F458" s="37">
        <v>4380</v>
      </c>
      <c r="G458" s="29" t="s">
        <v>720</v>
      </c>
      <c r="H458" s="14">
        <v>43621</v>
      </c>
      <c r="I458" s="4" t="s">
        <v>8773</v>
      </c>
      <c r="J458" s="133"/>
      <c r="K458" s="22"/>
      <c r="L458" s="134"/>
    </row>
    <row r="459" spans="1:19" x14ac:dyDescent="0.25">
      <c r="A459" s="61" t="s">
        <v>455</v>
      </c>
      <c r="B459" s="14">
        <v>43629</v>
      </c>
      <c r="C459" s="13">
        <v>627</v>
      </c>
      <c r="D459" s="13" t="s">
        <v>5345</v>
      </c>
      <c r="E459" s="13" t="s">
        <v>958</v>
      </c>
      <c r="F459" s="4">
        <f>127600-60000</f>
        <v>67600</v>
      </c>
      <c r="G459" s="28" t="s">
        <v>199</v>
      </c>
      <c r="H459" s="14">
        <v>43555</v>
      </c>
      <c r="I459" s="4" t="s">
        <v>5346</v>
      </c>
    </row>
    <row r="460" spans="1:19" x14ac:dyDescent="0.25">
      <c r="A460" s="61" t="s">
        <v>455</v>
      </c>
      <c r="B460" s="14">
        <v>43629</v>
      </c>
      <c r="C460" s="13">
        <v>626</v>
      </c>
      <c r="D460" s="13" t="s">
        <v>29</v>
      </c>
      <c r="E460" s="13" t="s">
        <v>958</v>
      </c>
      <c r="F460" s="4">
        <v>49500</v>
      </c>
      <c r="G460" s="29" t="s">
        <v>5031</v>
      </c>
      <c r="H460" s="14">
        <v>43552</v>
      </c>
      <c r="I460" s="4" t="s">
        <v>419</v>
      </c>
    </row>
    <row r="461" spans="1:19" ht="13.95" customHeight="1" x14ac:dyDescent="0.25">
      <c r="A461" s="61" t="s">
        <v>91</v>
      </c>
      <c r="B461" s="14">
        <v>43629</v>
      </c>
      <c r="C461" s="13">
        <v>976</v>
      </c>
      <c r="D461" s="32" t="s">
        <v>667</v>
      </c>
      <c r="E461" s="32" t="s">
        <v>62</v>
      </c>
      <c r="F461" s="4">
        <v>72000</v>
      </c>
      <c r="G461" s="210" t="s">
        <v>113</v>
      </c>
      <c r="H461" s="211">
        <v>43621</v>
      </c>
      <c r="I461" s="208" t="s">
        <v>8746</v>
      </c>
      <c r="J461" s="21"/>
      <c r="K461" s="228"/>
    </row>
    <row r="462" spans="1:19" ht="13.95" customHeight="1" x14ac:dyDescent="0.25">
      <c r="A462" s="61" t="s">
        <v>91</v>
      </c>
      <c r="B462" s="14">
        <v>43629</v>
      </c>
      <c r="C462" s="13">
        <v>975</v>
      </c>
      <c r="D462" s="32" t="s">
        <v>588</v>
      </c>
      <c r="E462" s="32" t="s">
        <v>62</v>
      </c>
      <c r="F462" s="4">
        <v>2000000</v>
      </c>
      <c r="G462" s="86" t="s">
        <v>5963</v>
      </c>
      <c r="H462" s="211"/>
      <c r="I462" s="4" t="s">
        <v>82</v>
      </c>
      <c r="J462" s="21"/>
      <c r="K462" s="228"/>
    </row>
    <row r="463" spans="1:19" s="97" customFormat="1" x14ac:dyDescent="0.25">
      <c r="A463" s="61" t="s">
        <v>442</v>
      </c>
      <c r="B463" s="14">
        <v>43629</v>
      </c>
      <c r="C463" s="13">
        <v>977</v>
      </c>
      <c r="D463" s="13" t="s">
        <v>254</v>
      </c>
      <c r="E463" s="13" t="s">
        <v>62</v>
      </c>
      <c r="F463" s="4">
        <v>955999.92</v>
      </c>
      <c r="G463" s="29" t="s">
        <v>7463</v>
      </c>
      <c r="H463" s="14">
        <v>43580</v>
      </c>
      <c r="I463" s="4" t="s">
        <v>443</v>
      </c>
      <c r="J463" s="133"/>
      <c r="K463" s="22"/>
      <c r="L463" s="134"/>
    </row>
    <row r="464" spans="1:19" ht="13.95" customHeight="1" x14ac:dyDescent="0.25">
      <c r="A464" s="61" t="s">
        <v>442</v>
      </c>
      <c r="B464" s="14">
        <v>43629</v>
      </c>
      <c r="C464" s="13">
        <v>978</v>
      </c>
      <c r="D464" s="32" t="s">
        <v>8760</v>
      </c>
      <c r="E464" s="32" t="s">
        <v>62</v>
      </c>
      <c r="F464" s="4">
        <v>82800</v>
      </c>
      <c r="G464" s="210" t="s">
        <v>1893</v>
      </c>
      <c r="H464" s="211">
        <v>43616</v>
      </c>
      <c r="I464" s="208" t="s">
        <v>8761</v>
      </c>
      <c r="J464" s="21"/>
      <c r="K464" s="228"/>
    </row>
    <row r="465" spans="1:12" ht="13.95" customHeight="1" x14ac:dyDescent="0.25">
      <c r="A465" s="61" t="s">
        <v>442</v>
      </c>
      <c r="B465" s="14">
        <v>43629</v>
      </c>
      <c r="C465" s="13">
        <v>979</v>
      </c>
      <c r="D465" s="32" t="s">
        <v>8755</v>
      </c>
      <c r="E465" s="32" t="s">
        <v>62</v>
      </c>
      <c r="F465" s="4">
        <v>3000</v>
      </c>
      <c r="G465" s="210" t="s">
        <v>8756</v>
      </c>
      <c r="H465" s="211">
        <v>43620</v>
      </c>
      <c r="I465" s="208" t="s">
        <v>8757</v>
      </c>
      <c r="J465" s="21"/>
      <c r="K465" s="228"/>
    </row>
    <row r="466" spans="1:12" s="97" customFormat="1" x14ac:dyDescent="0.25">
      <c r="A466" s="61" t="s">
        <v>92</v>
      </c>
      <c r="B466" s="14">
        <v>43629</v>
      </c>
      <c r="C466" s="13">
        <v>980</v>
      </c>
      <c r="D466" s="13" t="s">
        <v>1387</v>
      </c>
      <c r="E466" s="13" t="s">
        <v>62</v>
      </c>
      <c r="F466" s="37">
        <v>2190</v>
      </c>
      <c r="G466" s="29" t="s">
        <v>919</v>
      </c>
      <c r="H466" s="14">
        <v>43621</v>
      </c>
      <c r="I466" s="4" t="s">
        <v>8774</v>
      </c>
      <c r="J466" s="133"/>
      <c r="K466" s="22"/>
      <c r="L466" s="134"/>
    </row>
    <row r="467" spans="1:12" x14ac:dyDescent="0.25">
      <c r="A467" s="61" t="s">
        <v>55</v>
      </c>
      <c r="B467" s="14">
        <v>43629</v>
      </c>
      <c r="C467" s="13">
        <v>981</v>
      </c>
      <c r="D467" s="13" t="s">
        <v>282</v>
      </c>
      <c r="E467" s="13" t="s">
        <v>62</v>
      </c>
      <c r="F467" s="37">
        <v>715</v>
      </c>
      <c r="G467" s="29" t="s">
        <v>3868</v>
      </c>
      <c r="H467" s="14">
        <v>43580</v>
      </c>
      <c r="I467" s="4" t="s">
        <v>283</v>
      </c>
    </row>
    <row r="468" spans="1:12" x14ac:dyDescent="0.25">
      <c r="A468" s="61" t="s">
        <v>442</v>
      </c>
      <c r="B468" s="14">
        <v>43629</v>
      </c>
      <c r="C468" s="13">
        <v>981</v>
      </c>
      <c r="D468" s="13" t="s">
        <v>282</v>
      </c>
      <c r="E468" s="13" t="s">
        <v>62</v>
      </c>
      <c r="F468" s="37">
        <v>40040</v>
      </c>
      <c r="G468" s="29" t="s">
        <v>5155</v>
      </c>
      <c r="H468" s="14">
        <v>43580</v>
      </c>
      <c r="I468" s="4" t="s">
        <v>283</v>
      </c>
    </row>
    <row r="469" spans="1:12" x14ac:dyDescent="0.25">
      <c r="A469" s="61" t="s">
        <v>91</v>
      </c>
      <c r="B469" s="14">
        <v>43629</v>
      </c>
      <c r="C469" s="13">
        <v>981</v>
      </c>
      <c r="D469" s="13" t="s">
        <v>282</v>
      </c>
      <c r="E469" s="13" t="s">
        <v>62</v>
      </c>
      <c r="F469" s="37">
        <v>7865</v>
      </c>
      <c r="G469" s="29" t="s">
        <v>7420</v>
      </c>
      <c r="H469" s="14">
        <v>43580</v>
      </c>
      <c r="I469" s="4" t="s">
        <v>283</v>
      </c>
    </row>
    <row r="470" spans="1:12" x14ac:dyDescent="0.25">
      <c r="A470" s="61" t="s">
        <v>92</v>
      </c>
      <c r="B470" s="14">
        <v>43629</v>
      </c>
      <c r="C470" s="13">
        <v>981</v>
      </c>
      <c r="D470" s="13" t="s">
        <v>282</v>
      </c>
      <c r="E470" s="13" t="s">
        <v>62</v>
      </c>
      <c r="F470" s="37">
        <v>16445</v>
      </c>
      <c r="G470" s="29" t="s">
        <v>7421</v>
      </c>
      <c r="H470" s="14">
        <v>43580</v>
      </c>
      <c r="I470" s="4" t="s">
        <v>283</v>
      </c>
    </row>
    <row r="471" spans="1:12" x14ac:dyDescent="0.25">
      <c r="A471" s="61" t="s">
        <v>358</v>
      </c>
      <c r="B471" s="14">
        <v>43629</v>
      </c>
      <c r="C471" s="13">
        <v>981</v>
      </c>
      <c r="D471" s="13" t="s">
        <v>282</v>
      </c>
      <c r="E471" s="13" t="s">
        <v>62</v>
      </c>
      <c r="F471" s="37">
        <v>5005</v>
      </c>
      <c r="G471" s="29" t="s">
        <v>7422</v>
      </c>
      <c r="H471" s="14">
        <v>43580</v>
      </c>
      <c r="I471" s="4" t="s">
        <v>283</v>
      </c>
    </row>
    <row r="472" spans="1:12" x14ac:dyDescent="0.25">
      <c r="A472" s="61" t="s">
        <v>442</v>
      </c>
      <c r="B472" s="14">
        <v>43629</v>
      </c>
      <c r="C472" s="13">
        <v>982</v>
      </c>
      <c r="D472" s="13" t="s">
        <v>971</v>
      </c>
      <c r="E472" s="13" t="s">
        <v>62</v>
      </c>
      <c r="F472" s="37">
        <v>36000</v>
      </c>
      <c r="G472" s="29" t="s">
        <v>478</v>
      </c>
      <c r="H472" s="14">
        <v>43555</v>
      </c>
      <c r="I472" s="4" t="s">
        <v>6779</v>
      </c>
    </row>
    <row r="473" spans="1:12" x14ac:dyDescent="0.25">
      <c r="A473" s="61" t="s">
        <v>442</v>
      </c>
      <c r="B473" s="14">
        <v>43629</v>
      </c>
      <c r="C473" s="13">
        <v>983</v>
      </c>
      <c r="D473" s="13" t="s">
        <v>29</v>
      </c>
      <c r="E473" s="13" t="s">
        <v>62</v>
      </c>
      <c r="F473" s="4">
        <v>7400</v>
      </c>
      <c r="G473" s="28" t="s">
        <v>6445</v>
      </c>
      <c r="H473" s="14">
        <v>43549</v>
      </c>
      <c r="I473" s="4" t="s">
        <v>87</v>
      </c>
    </row>
    <row r="474" spans="1:12" ht="27.6" x14ac:dyDescent="0.25">
      <c r="A474" s="61" t="s">
        <v>6102</v>
      </c>
      <c r="B474" s="14">
        <v>43629</v>
      </c>
      <c r="C474" s="13">
        <v>984</v>
      </c>
      <c r="D474" s="13" t="s">
        <v>29</v>
      </c>
      <c r="E474" s="13" t="s">
        <v>62</v>
      </c>
      <c r="F474" s="37">
        <v>107100</v>
      </c>
      <c r="G474" s="29" t="s">
        <v>1498</v>
      </c>
      <c r="H474" s="14">
        <v>43555</v>
      </c>
      <c r="I474" s="4" t="s">
        <v>95</v>
      </c>
    </row>
    <row r="475" spans="1:12" s="97" customFormat="1" x14ac:dyDescent="0.25">
      <c r="A475" s="61" t="s">
        <v>1147</v>
      </c>
      <c r="B475" s="14">
        <v>43629</v>
      </c>
      <c r="C475" s="13">
        <v>1071</v>
      </c>
      <c r="D475" s="13" t="s">
        <v>5709</v>
      </c>
      <c r="E475" s="13" t="s">
        <v>808</v>
      </c>
      <c r="F475" s="4">
        <f>1075248-100000-50000-300000</f>
        <v>625248</v>
      </c>
      <c r="G475" s="29" t="s">
        <v>7166</v>
      </c>
      <c r="H475" s="14">
        <v>43578</v>
      </c>
      <c r="I475" s="4" t="s">
        <v>5048</v>
      </c>
      <c r="J475" s="133"/>
      <c r="K475" s="22"/>
      <c r="L475" s="134"/>
    </row>
    <row r="476" spans="1:12" s="97" customFormat="1" x14ac:dyDescent="0.25">
      <c r="A476" s="61" t="s">
        <v>1147</v>
      </c>
      <c r="B476" s="14">
        <v>43629</v>
      </c>
      <c r="C476" s="13">
        <v>1072</v>
      </c>
      <c r="D476" s="13" t="s">
        <v>5709</v>
      </c>
      <c r="E476" s="13" t="s">
        <v>808</v>
      </c>
      <c r="F476" s="4">
        <v>725884.2</v>
      </c>
      <c r="G476" s="29" t="s">
        <v>8778</v>
      </c>
      <c r="H476" s="14">
        <v>43626</v>
      </c>
      <c r="I476" s="4" t="s">
        <v>8779</v>
      </c>
      <c r="J476" s="133"/>
      <c r="K476" s="22"/>
      <c r="L476" s="134"/>
    </row>
    <row r="477" spans="1:12" s="97" customFormat="1" x14ac:dyDescent="0.25">
      <c r="A477" s="32" t="s">
        <v>659</v>
      </c>
      <c r="B477" s="14">
        <v>43629</v>
      </c>
      <c r="C477" s="13">
        <v>1073</v>
      </c>
      <c r="D477" s="13" t="s">
        <v>8781</v>
      </c>
      <c r="E477" s="13" t="s">
        <v>808</v>
      </c>
      <c r="F477" s="37">
        <v>10800</v>
      </c>
      <c r="G477" s="29" t="s">
        <v>766</v>
      </c>
      <c r="H477" s="14">
        <v>43626</v>
      </c>
      <c r="I477" s="4" t="s">
        <v>8782</v>
      </c>
      <c r="J477" s="133"/>
      <c r="K477" s="22"/>
      <c r="L477" s="134"/>
    </row>
    <row r="478" spans="1:12" s="97" customFormat="1" x14ac:dyDescent="0.25">
      <c r="A478" s="32" t="s">
        <v>659</v>
      </c>
      <c r="B478" s="14">
        <v>43629</v>
      </c>
      <c r="C478" s="13">
        <v>1074</v>
      </c>
      <c r="D478" s="13" t="s">
        <v>8783</v>
      </c>
      <c r="E478" s="13" t="s">
        <v>808</v>
      </c>
      <c r="F478" s="37">
        <v>9950</v>
      </c>
      <c r="G478" s="29" t="s">
        <v>5924</v>
      </c>
      <c r="H478" s="14">
        <v>43626</v>
      </c>
      <c r="I478" s="4" t="s">
        <v>8784</v>
      </c>
      <c r="J478" s="133"/>
      <c r="K478" s="22"/>
      <c r="L478" s="134"/>
    </row>
    <row r="479" spans="1:12" s="97" customFormat="1" x14ac:dyDescent="0.25">
      <c r="A479" s="32" t="s">
        <v>659</v>
      </c>
      <c r="B479" s="14">
        <v>43629</v>
      </c>
      <c r="C479" s="13">
        <v>1075</v>
      </c>
      <c r="D479" s="13" t="s">
        <v>2439</v>
      </c>
      <c r="E479" s="13" t="s">
        <v>808</v>
      </c>
      <c r="F479" s="37">
        <v>47290</v>
      </c>
      <c r="G479" s="29" t="s">
        <v>8785</v>
      </c>
      <c r="H479" s="14">
        <v>43626</v>
      </c>
      <c r="I479" s="4" t="s">
        <v>8786</v>
      </c>
      <c r="J479" s="133"/>
      <c r="K479" s="22"/>
      <c r="L479" s="134"/>
    </row>
    <row r="480" spans="1:12" x14ac:dyDescent="0.25">
      <c r="A480" s="61" t="s">
        <v>659</v>
      </c>
      <c r="B480" s="14">
        <v>43629</v>
      </c>
      <c r="C480" s="13">
        <v>1076</v>
      </c>
      <c r="D480" s="13" t="s">
        <v>8787</v>
      </c>
      <c r="E480" s="13" t="s">
        <v>808</v>
      </c>
      <c r="F480" s="37">
        <v>587400</v>
      </c>
      <c r="G480" s="28" t="s">
        <v>8788</v>
      </c>
      <c r="H480" s="14">
        <v>43528</v>
      </c>
      <c r="I480" s="4" t="s">
        <v>8791</v>
      </c>
      <c r="J480" s="22" t="s">
        <v>8790</v>
      </c>
    </row>
    <row r="481" spans="1:11" x14ac:dyDescent="0.25">
      <c r="A481" s="61" t="s">
        <v>659</v>
      </c>
      <c r="B481" s="14">
        <v>43629</v>
      </c>
      <c r="C481" s="13">
        <v>1077</v>
      </c>
      <c r="D481" s="13" t="s">
        <v>250</v>
      </c>
      <c r="E481" s="13" t="s">
        <v>808</v>
      </c>
      <c r="F481" s="4">
        <v>336656.25</v>
      </c>
      <c r="G481" s="28" t="s">
        <v>6098</v>
      </c>
      <c r="H481" s="14">
        <v>43555</v>
      </c>
      <c r="I481" s="4" t="s">
        <v>4088</v>
      </c>
    </row>
    <row r="482" spans="1:11" x14ac:dyDescent="0.25">
      <c r="A482" s="61" t="s">
        <v>659</v>
      </c>
      <c r="B482" s="14">
        <v>43629</v>
      </c>
      <c r="C482" s="13">
        <v>1078</v>
      </c>
      <c r="D482" s="13" t="s">
        <v>29</v>
      </c>
      <c r="E482" s="13" t="s">
        <v>808</v>
      </c>
      <c r="F482" s="4">
        <v>26250</v>
      </c>
      <c r="G482" s="28" t="s">
        <v>5383</v>
      </c>
      <c r="H482" s="14">
        <v>43552</v>
      </c>
      <c r="I482" s="4" t="s">
        <v>87</v>
      </c>
    </row>
    <row r="483" spans="1:11" x14ac:dyDescent="0.25">
      <c r="A483" s="61" t="s">
        <v>1148</v>
      </c>
      <c r="B483" s="14">
        <v>43629</v>
      </c>
      <c r="C483" s="13">
        <v>1078</v>
      </c>
      <c r="D483" s="13" t="s">
        <v>29</v>
      </c>
      <c r="E483" s="13" t="s">
        <v>808</v>
      </c>
      <c r="F483" s="37">
        <v>19800</v>
      </c>
      <c r="G483" s="29" t="s">
        <v>6446</v>
      </c>
      <c r="H483" s="14">
        <v>43554</v>
      </c>
      <c r="I483" s="4" t="s">
        <v>87</v>
      </c>
    </row>
    <row r="484" spans="1:11" x14ac:dyDescent="0.25">
      <c r="A484" s="61" t="s">
        <v>1148</v>
      </c>
      <c r="B484" s="14">
        <v>43629</v>
      </c>
      <c r="C484" s="13">
        <v>1078</v>
      </c>
      <c r="D484" s="13" t="s">
        <v>29</v>
      </c>
      <c r="E484" s="13" t="s">
        <v>808</v>
      </c>
      <c r="F484" s="37">
        <v>95400</v>
      </c>
      <c r="G484" s="29" t="s">
        <v>3207</v>
      </c>
      <c r="H484" s="14">
        <v>43554</v>
      </c>
      <c r="I484" s="4" t="s">
        <v>511</v>
      </c>
    </row>
    <row r="485" spans="1:11" x14ac:dyDescent="0.25">
      <c r="A485" s="61" t="s">
        <v>659</v>
      </c>
      <c r="B485" s="14">
        <v>43629</v>
      </c>
      <c r="C485" s="13">
        <v>1078</v>
      </c>
      <c r="D485" s="13" t="s">
        <v>29</v>
      </c>
      <c r="E485" s="13" t="s">
        <v>808</v>
      </c>
      <c r="F485" s="37">
        <v>20125</v>
      </c>
      <c r="G485" s="29" t="s">
        <v>6101</v>
      </c>
      <c r="H485" s="14">
        <v>43554</v>
      </c>
      <c r="I485" s="4" t="s">
        <v>87</v>
      </c>
    </row>
    <row r="486" spans="1:11" x14ac:dyDescent="0.25">
      <c r="A486" s="61" t="s">
        <v>1147</v>
      </c>
      <c r="B486" s="14">
        <v>43629</v>
      </c>
      <c r="C486" s="13">
        <v>1078</v>
      </c>
      <c r="D486" s="13" t="s">
        <v>29</v>
      </c>
      <c r="E486" s="13" t="s">
        <v>808</v>
      </c>
      <c r="F486" s="37">
        <v>36750</v>
      </c>
      <c r="G486" s="29" t="s">
        <v>6447</v>
      </c>
      <c r="H486" s="14">
        <v>43555</v>
      </c>
      <c r="I486" s="4" t="s">
        <v>87</v>
      </c>
    </row>
    <row r="487" spans="1:11" x14ac:dyDescent="0.25">
      <c r="A487" s="32" t="s">
        <v>1148</v>
      </c>
      <c r="B487" s="14">
        <v>43629</v>
      </c>
      <c r="C487" s="13">
        <v>1079</v>
      </c>
      <c r="D487" s="13" t="s">
        <v>2115</v>
      </c>
      <c r="E487" s="13" t="s">
        <v>808</v>
      </c>
      <c r="F487" s="4">
        <f>767900-167900-270000</f>
        <v>330000</v>
      </c>
      <c r="G487" s="28" t="s">
        <v>85</v>
      </c>
      <c r="H487" s="14">
        <v>43555</v>
      </c>
      <c r="I487" s="4" t="s">
        <v>164</v>
      </c>
    </row>
    <row r="488" spans="1:11" x14ac:dyDescent="0.25">
      <c r="A488" s="61" t="s">
        <v>261</v>
      </c>
      <c r="B488" s="14">
        <v>43629</v>
      </c>
      <c r="C488" s="13">
        <v>1080</v>
      </c>
      <c r="D488" s="13" t="s">
        <v>149</v>
      </c>
      <c r="E488" s="13" t="s">
        <v>808</v>
      </c>
      <c r="F488" s="4">
        <v>2500</v>
      </c>
      <c r="G488" s="28" t="s">
        <v>7040</v>
      </c>
      <c r="H488" s="14">
        <v>43543</v>
      </c>
      <c r="I488" s="4" t="s">
        <v>5899</v>
      </c>
    </row>
    <row r="489" spans="1:11" x14ac:dyDescent="0.25">
      <c r="A489" s="61" t="s">
        <v>261</v>
      </c>
      <c r="B489" s="14">
        <v>43629</v>
      </c>
      <c r="C489" s="13">
        <v>1080</v>
      </c>
      <c r="D489" s="13" t="s">
        <v>149</v>
      </c>
      <c r="E489" s="13" t="s">
        <v>808</v>
      </c>
      <c r="F489" s="37">
        <v>11100</v>
      </c>
      <c r="G489" s="29" t="s">
        <v>7041</v>
      </c>
      <c r="H489" s="14">
        <v>43543</v>
      </c>
      <c r="I489" s="4" t="s">
        <v>5903</v>
      </c>
    </row>
    <row r="490" spans="1:11" x14ac:dyDescent="0.25">
      <c r="A490" s="32" t="s">
        <v>1316</v>
      </c>
      <c r="B490" s="14">
        <v>43629</v>
      </c>
      <c r="C490" s="13">
        <v>1080</v>
      </c>
      <c r="D490" s="13" t="s">
        <v>149</v>
      </c>
      <c r="E490" s="13" t="s">
        <v>808</v>
      </c>
      <c r="F490" s="37">
        <v>500</v>
      </c>
      <c r="G490" s="29" t="s">
        <v>5907</v>
      </c>
      <c r="H490" s="14">
        <v>43545</v>
      </c>
      <c r="I490" s="4" t="s">
        <v>5899</v>
      </c>
    </row>
    <row r="491" spans="1:11" x14ac:dyDescent="0.25">
      <c r="A491" s="61" t="s">
        <v>659</v>
      </c>
      <c r="B491" s="14">
        <v>43629</v>
      </c>
      <c r="C491" s="13">
        <v>1080</v>
      </c>
      <c r="D491" s="13" t="s">
        <v>149</v>
      </c>
      <c r="E491" s="13" t="s">
        <v>808</v>
      </c>
      <c r="F491" s="37">
        <v>1500</v>
      </c>
      <c r="G491" s="29" t="s">
        <v>7042</v>
      </c>
      <c r="H491" s="14">
        <v>43545</v>
      </c>
      <c r="I491" s="4" t="s">
        <v>5899</v>
      </c>
    </row>
    <row r="492" spans="1:11" x14ac:dyDescent="0.25">
      <c r="A492" s="61" t="s">
        <v>659</v>
      </c>
      <c r="B492" s="14">
        <v>43629</v>
      </c>
      <c r="C492" s="13">
        <v>1080</v>
      </c>
      <c r="D492" s="13" t="s">
        <v>149</v>
      </c>
      <c r="E492" s="13" t="s">
        <v>808</v>
      </c>
      <c r="F492" s="37">
        <v>11100</v>
      </c>
      <c r="G492" s="29" t="s">
        <v>7043</v>
      </c>
      <c r="H492" s="14">
        <v>43545</v>
      </c>
      <c r="I492" s="4" t="s">
        <v>5903</v>
      </c>
    </row>
    <row r="493" spans="1:11" ht="13.95" customHeight="1" x14ac:dyDescent="0.25">
      <c r="A493" s="13" t="s">
        <v>91</v>
      </c>
      <c r="B493" s="14">
        <v>43629</v>
      </c>
      <c r="C493" s="13">
        <v>982</v>
      </c>
      <c r="D493" s="32" t="s">
        <v>4521</v>
      </c>
      <c r="E493" s="32" t="s">
        <v>130</v>
      </c>
      <c r="F493" s="4">
        <f>2628000-847000-500000</f>
        <v>1281000</v>
      </c>
      <c r="G493" s="86" t="s">
        <v>4522</v>
      </c>
      <c r="H493" s="211"/>
      <c r="I493" s="208" t="s">
        <v>4523</v>
      </c>
      <c r="J493" s="21"/>
      <c r="K493" s="228"/>
    </row>
    <row r="494" spans="1:11" ht="15.6" customHeight="1" x14ac:dyDescent="0.25">
      <c r="A494" s="13" t="s">
        <v>1596</v>
      </c>
      <c r="B494" s="14">
        <v>43629</v>
      </c>
      <c r="C494" s="13">
        <v>980</v>
      </c>
      <c r="D494" s="32" t="s">
        <v>285</v>
      </c>
      <c r="E494" s="32" t="s">
        <v>130</v>
      </c>
      <c r="F494" s="4">
        <v>9724750</v>
      </c>
      <c r="G494" s="69" t="s">
        <v>1597</v>
      </c>
      <c r="H494" s="14"/>
      <c r="I494" s="41" t="s">
        <v>190</v>
      </c>
      <c r="K494" s="62"/>
    </row>
    <row r="495" spans="1:11" ht="13.95" customHeight="1" x14ac:dyDescent="0.25">
      <c r="A495" s="13" t="s">
        <v>55</v>
      </c>
      <c r="B495" s="14">
        <v>43629</v>
      </c>
      <c r="C495" s="13">
        <v>981</v>
      </c>
      <c r="D495" s="32" t="s">
        <v>285</v>
      </c>
      <c r="E495" s="32" t="s">
        <v>130</v>
      </c>
      <c r="F495" s="4">
        <v>127782.76</v>
      </c>
      <c r="G495" s="69" t="s">
        <v>2076</v>
      </c>
      <c r="H495" s="14"/>
      <c r="I495" s="41" t="s">
        <v>1819</v>
      </c>
      <c r="K495" s="62"/>
    </row>
    <row r="496" spans="1:11" ht="15.6" customHeight="1" x14ac:dyDescent="0.25">
      <c r="A496" s="13" t="s">
        <v>1148</v>
      </c>
      <c r="B496" s="14">
        <v>43629</v>
      </c>
      <c r="C496" s="13">
        <v>1081</v>
      </c>
      <c r="D496" s="32" t="s">
        <v>285</v>
      </c>
      <c r="E496" s="32" t="s">
        <v>808</v>
      </c>
      <c r="F496" s="4">
        <v>147840.29999999999</v>
      </c>
      <c r="G496" s="69" t="s">
        <v>5952</v>
      </c>
      <c r="H496" s="14"/>
      <c r="I496" s="41" t="s">
        <v>5953</v>
      </c>
      <c r="K496" s="62"/>
    </row>
    <row r="497" spans="1:12" s="96" customFormat="1" x14ac:dyDescent="0.25">
      <c r="A497" s="13" t="s">
        <v>160</v>
      </c>
      <c r="B497" s="14">
        <v>43629</v>
      </c>
      <c r="C497" s="13">
        <v>1082</v>
      </c>
      <c r="D497" s="13" t="s">
        <v>590</v>
      </c>
      <c r="E497" s="13" t="s">
        <v>808</v>
      </c>
      <c r="F497" s="262">
        <v>365034</v>
      </c>
      <c r="G497" s="29" t="s">
        <v>1198</v>
      </c>
      <c r="H497" s="14">
        <v>42996</v>
      </c>
      <c r="I497" s="4" t="s">
        <v>159</v>
      </c>
      <c r="J497" s="97"/>
      <c r="K497" s="97"/>
      <c r="L497" s="97"/>
    </row>
    <row r="498" spans="1:12" s="97" customFormat="1" x14ac:dyDescent="0.25">
      <c r="A498" s="61" t="s">
        <v>1316</v>
      </c>
      <c r="B498" s="14">
        <v>43629</v>
      </c>
      <c r="C498" s="13">
        <v>1083</v>
      </c>
      <c r="D498" s="13" t="s">
        <v>2697</v>
      </c>
      <c r="E498" s="13" t="s">
        <v>808</v>
      </c>
      <c r="F498" s="4">
        <v>848562</v>
      </c>
      <c r="G498" s="28" t="s">
        <v>8608</v>
      </c>
      <c r="H498" s="14">
        <v>43586</v>
      </c>
      <c r="I498" s="4" t="s">
        <v>1826</v>
      </c>
      <c r="J498" s="133"/>
      <c r="K498" s="22"/>
      <c r="L498" s="134"/>
    </row>
    <row r="499" spans="1:12" x14ac:dyDescent="0.25">
      <c r="A499" s="61" t="s">
        <v>1316</v>
      </c>
      <c r="B499" s="14">
        <v>43629</v>
      </c>
      <c r="C499" s="13">
        <v>1084</v>
      </c>
      <c r="D499" s="13" t="s">
        <v>304</v>
      </c>
      <c r="E499" s="13" t="s">
        <v>808</v>
      </c>
      <c r="F499" s="37">
        <v>286404</v>
      </c>
      <c r="G499" s="29" t="s">
        <v>8283</v>
      </c>
      <c r="H499" s="14">
        <v>43608</v>
      </c>
      <c r="I499" s="4" t="s">
        <v>1826</v>
      </c>
      <c r="J499" s="76"/>
    </row>
    <row r="500" spans="1:12" s="97" customFormat="1" x14ac:dyDescent="0.25">
      <c r="A500" s="61" t="s">
        <v>659</v>
      </c>
      <c r="B500" s="14">
        <v>43629</v>
      </c>
      <c r="C500" s="13">
        <v>1085</v>
      </c>
      <c r="D500" s="13" t="s">
        <v>3438</v>
      </c>
      <c r="E500" s="13" t="s">
        <v>808</v>
      </c>
      <c r="F500" s="4">
        <v>42041.9</v>
      </c>
      <c r="G500" s="29" t="s">
        <v>1272</v>
      </c>
      <c r="H500" s="14">
        <v>43592</v>
      </c>
      <c r="I500" s="4" t="s">
        <v>7794</v>
      </c>
      <c r="J500" s="133"/>
      <c r="K500" s="22"/>
      <c r="L500" s="134"/>
    </row>
    <row r="501" spans="1:12" s="93" customFormat="1" x14ac:dyDescent="0.25">
      <c r="A501" s="61" t="s">
        <v>1148</v>
      </c>
      <c r="B501" s="14">
        <v>43629</v>
      </c>
      <c r="C501" s="13">
        <v>1086</v>
      </c>
      <c r="D501" s="13" t="s">
        <v>666</v>
      </c>
      <c r="E501" s="13" t="s">
        <v>808</v>
      </c>
      <c r="F501" s="4">
        <v>22200</v>
      </c>
      <c r="G501" s="29" t="s">
        <v>7121</v>
      </c>
      <c r="H501" s="14">
        <v>43572</v>
      </c>
      <c r="I501" s="4" t="s">
        <v>266</v>
      </c>
      <c r="J501" s="130"/>
      <c r="K501" s="16"/>
      <c r="L501" s="92"/>
    </row>
    <row r="502" spans="1:12" x14ac:dyDescent="0.25">
      <c r="A502" s="61" t="s">
        <v>1148</v>
      </c>
      <c r="B502" s="14">
        <v>43629</v>
      </c>
      <c r="C502" s="13">
        <v>1087</v>
      </c>
      <c r="D502" s="13" t="s">
        <v>282</v>
      </c>
      <c r="E502" s="13" t="s">
        <v>808</v>
      </c>
      <c r="F502" s="37">
        <v>7150</v>
      </c>
      <c r="G502" s="29" t="s">
        <v>7656</v>
      </c>
      <c r="H502" s="14">
        <v>43585</v>
      </c>
      <c r="I502" s="4" t="s">
        <v>283</v>
      </c>
    </row>
    <row r="503" spans="1:12" x14ac:dyDescent="0.25">
      <c r="A503" s="61" t="s">
        <v>659</v>
      </c>
      <c r="B503" s="14">
        <v>43629</v>
      </c>
      <c r="C503" s="13">
        <v>1087</v>
      </c>
      <c r="D503" s="13" t="s">
        <v>282</v>
      </c>
      <c r="E503" s="13" t="s">
        <v>808</v>
      </c>
      <c r="F503" s="37">
        <v>3575</v>
      </c>
      <c r="G503" s="29" t="s">
        <v>7657</v>
      </c>
      <c r="H503" s="14">
        <v>43585</v>
      </c>
      <c r="I503" s="4" t="s">
        <v>283</v>
      </c>
    </row>
    <row r="504" spans="1:12" x14ac:dyDescent="0.25">
      <c r="A504" s="61" t="s">
        <v>1316</v>
      </c>
      <c r="B504" s="14">
        <v>43629</v>
      </c>
      <c r="C504" s="13">
        <v>1087</v>
      </c>
      <c r="D504" s="13" t="s">
        <v>282</v>
      </c>
      <c r="E504" s="13" t="s">
        <v>808</v>
      </c>
      <c r="F504" s="37">
        <v>2860</v>
      </c>
      <c r="G504" s="29" t="s">
        <v>7658</v>
      </c>
      <c r="H504" s="14">
        <v>43585</v>
      </c>
      <c r="I504" s="4" t="s">
        <v>283</v>
      </c>
    </row>
    <row r="505" spans="1:12" x14ac:dyDescent="0.25">
      <c r="A505" s="61" t="s">
        <v>1316</v>
      </c>
      <c r="B505" s="14">
        <v>43629</v>
      </c>
      <c r="C505" s="13">
        <v>1087</v>
      </c>
      <c r="D505" s="13" t="s">
        <v>282</v>
      </c>
      <c r="E505" s="13" t="s">
        <v>808</v>
      </c>
      <c r="F505" s="37">
        <v>2860</v>
      </c>
      <c r="G505" s="29" t="s">
        <v>7513</v>
      </c>
      <c r="H505" s="14">
        <v>43594</v>
      </c>
      <c r="I505" s="4" t="s">
        <v>283</v>
      </c>
    </row>
    <row r="506" spans="1:12" x14ac:dyDescent="0.25">
      <c r="A506" s="61" t="s">
        <v>1148</v>
      </c>
      <c r="B506" s="14">
        <v>43629</v>
      </c>
      <c r="C506" s="13">
        <v>1087</v>
      </c>
      <c r="D506" s="13" t="s">
        <v>282</v>
      </c>
      <c r="E506" s="13" t="s">
        <v>808</v>
      </c>
      <c r="F506" s="37">
        <v>7150</v>
      </c>
      <c r="G506" s="29" t="s">
        <v>7515</v>
      </c>
      <c r="H506" s="14">
        <v>43594</v>
      </c>
      <c r="I506" s="4" t="s">
        <v>283</v>
      </c>
    </row>
    <row r="507" spans="1:12" ht="27.6" x14ac:dyDescent="0.25">
      <c r="A507" s="61" t="s">
        <v>1806</v>
      </c>
      <c r="B507" s="14">
        <v>43629</v>
      </c>
      <c r="C507" s="13">
        <v>1088</v>
      </c>
      <c r="D507" s="13" t="s">
        <v>80</v>
      </c>
      <c r="E507" s="13" t="s">
        <v>808</v>
      </c>
      <c r="F507" s="37">
        <f>336980-136980</f>
        <v>200000</v>
      </c>
      <c r="G507" s="29" t="s">
        <v>7424</v>
      </c>
      <c r="H507" s="14">
        <v>43585</v>
      </c>
      <c r="I507" s="4" t="s">
        <v>2157</v>
      </c>
    </row>
    <row r="508" spans="1:12" x14ac:dyDescent="0.25">
      <c r="A508" s="61" t="s">
        <v>659</v>
      </c>
      <c r="B508" s="14">
        <v>43629</v>
      </c>
      <c r="C508" s="13">
        <v>1089</v>
      </c>
      <c r="D508" s="13" t="s">
        <v>250</v>
      </c>
      <c r="E508" s="13" t="s">
        <v>808</v>
      </c>
      <c r="F508" s="37">
        <v>15125</v>
      </c>
      <c r="G508" s="29" t="s">
        <v>7028</v>
      </c>
      <c r="H508" s="14">
        <v>43560</v>
      </c>
      <c r="I508" s="4" t="s">
        <v>337</v>
      </c>
    </row>
    <row r="509" spans="1:12" x14ac:dyDescent="0.25">
      <c r="A509" s="61" t="s">
        <v>659</v>
      </c>
      <c r="B509" s="14">
        <v>43629</v>
      </c>
      <c r="C509" s="13">
        <v>1089</v>
      </c>
      <c r="D509" s="13" t="s">
        <v>250</v>
      </c>
      <c r="E509" s="13" t="s">
        <v>808</v>
      </c>
      <c r="F509" s="37">
        <v>121125</v>
      </c>
      <c r="G509" s="29" t="s">
        <v>7031</v>
      </c>
      <c r="H509" s="14">
        <v>43568</v>
      </c>
      <c r="I509" s="4" t="s">
        <v>4088</v>
      </c>
    </row>
    <row r="510" spans="1:12" x14ac:dyDescent="0.25">
      <c r="A510" s="61" t="s">
        <v>659</v>
      </c>
      <c r="B510" s="14">
        <v>43629</v>
      </c>
      <c r="C510" s="13">
        <v>1090</v>
      </c>
      <c r="D510" s="13" t="s">
        <v>5888</v>
      </c>
      <c r="E510" s="13" t="s">
        <v>808</v>
      </c>
      <c r="F510" s="37">
        <v>200000</v>
      </c>
      <c r="G510" s="29" t="s">
        <v>111</v>
      </c>
      <c r="H510" s="14">
        <v>43577</v>
      </c>
      <c r="I510" s="4" t="s">
        <v>402</v>
      </c>
    </row>
    <row r="511" spans="1:12" x14ac:dyDescent="0.25">
      <c r="A511" s="61" t="s">
        <v>1147</v>
      </c>
      <c r="B511" s="14">
        <v>43629</v>
      </c>
      <c r="C511" s="13">
        <v>1091</v>
      </c>
      <c r="D511" s="13" t="s">
        <v>692</v>
      </c>
      <c r="E511" s="13" t="s">
        <v>808</v>
      </c>
      <c r="F511" s="37">
        <v>94500</v>
      </c>
      <c r="G511" s="29" t="s">
        <v>117</v>
      </c>
      <c r="H511" s="14">
        <v>43583</v>
      </c>
      <c r="I511" s="4" t="s">
        <v>6785</v>
      </c>
    </row>
    <row r="512" spans="1:12" x14ac:dyDescent="0.25">
      <c r="A512" s="61" t="s">
        <v>659</v>
      </c>
      <c r="B512" s="14">
        <v>43629</v>
      </c>
      <c r="C512" s="13">
        <v>1091</v>
      </c>
      <c r="D512" s="13" t="s">
        <v>692</v>
      </c>
      <c r="E512" s="13" t="s">
        <v>808</v>
      </c>
      <c r="F512" s="37">
        <v>44800</v>
      </c>
      <c r="G512" s="29" t="s">
        <v>146</v>
      </c>
      <c r="H512" s="14">
        <v>43583</v>
      </c>
      <c r="I512" s="4" t="s">
        <v>419</v>
      </c>
    </row>
    <row r="513" spans="1:12" x14ac:dyDescent="0.25">
      <c r="A513" s="61" t="s">
        <v>1149</v>
      </c>
      <c r="B513" s="14">
        <v>43629</v>
      </c>
      <c r="C513" s="13">
        <v>1091</v>
      </c>
      <c r="D513" s="13" t="s">
        <v>692</v>
      </c>
      <c r="E513" s="13" t="s">
        <v>808</v>
      </c>
      <c r="F513" s="37">
        <v>23375</v>
      </c>
      <c r="G513" s="29" t="s">
        <v>1372</v>
      </c>
      <c r="H513" s="14">
        <v>43605</v>
      </c>
      <c r="I513" s="4" t="s">
        <v>419</v>
      </c>
    </row>
    <row r="514" spans="1:12" x14ac:dyDescent="0.25">
      <c r="A514" s="61" t="s">
        <v>659</v>
      </c>
      <c r="B514" s="14">
        <v>43629</v>
      </c>
      <c r="C514" s="13">
        <v>1092</v>
      </c>
      <c r="D514" s="13" t="s">
        <v>431</v>
      </c>
      <c r="E514" s="13" t="s">
        <v>808</v>
      </c>
      <c r="F514" s="37">
        <v>35700</v>
      </c>
      <c r="G514" s="29" t="s">
        <v>308</v>
      </c>
      <c r="H514" s="14">
        <v>43580</v>
      </c>
      <c r="I514" s="4" t="s">
        <v>95</v>
      </c>
    </row>
    <row r="515" spans="1:12" x14ac:dyDescent="0.25">
      <c r="A515" s="61" t="s">
        <v>1147</v>
      </c>
      <c r="B515" s="14">
        <v>43629</v>
      </c>
      <c r="C515" s="13">
        <v>1092</v>
      </c>
      <c r="D515" s="13" t="s">
        <v>431</v>
      </c>
      <c r="E515" s="13" t="s">
        <v>808</v>
      </c>
      <c r="F515" s="37">
        <v>17000</v>
      </c>
      <c r="G515" s="29" t="s">
        <v>77</v>
      </c>
      <c r="H515" s="14">
        <v>43582</v>
      </c>
      <c r="I515" s="4" t="s">
        <v>95</v>
      </c>
    </row>
    <row r="516" spans="1:12" ht="16.2" customHeight="1" x14ac:dyDescent="0.25">
      <c r="A516" s="68" t="s">
        <v>536</v>
      </c>
      <c r="B516" s="14">
        <v>43629</v>
      </c>
      <c r="C516" s="13">
        <v>1004</v>
      </c>
      <c r="D516" s="13" t="s">
        <v>456</v>
      </c>
      <c r="E516" s="32" t="s">
        <v>62</v>
      </c>
      <c r="F516" s="4">
        <v>5700000</v>
      </c>
      <c r="G516" s="86" t="s">
        <v>8503</v>
      </c>
      <c r="H516" s="14"/>
      <c r="I516" s="4" t="s">
        <v>361</v>
      </c>
      <c r="J516" s="71"/>
      <c r="K516" s="62"/>
      <c r="L516" s="62"/>
    </row>
    <row r="517" spans="1:12" s="97" customFormat="1" x14ac:dyDescent="0.25">
      <c r="A517" s="61" t="s">
        <v>442</v>
      </c>
      <c r="B517" s="14">
        <v>43629</v>
      </c>
      <c r="C517" s="13">
        <v>985</v>
      </c>
      <c r="D517" s="13" t="s">
        <v>7839</v>
      </c>
      <c r="E517" s="13" t="s">
        <v>62</v>
      </c>
      <c r="F517" s="4">
        <f>151600-51600</f>
        <v>100000</v>
      </c>
      <c r="G517" s="29" t="s">
        <v>480</v>
      </c>
      <c r="H517" s="14">
        <v>43568</v>
      </c>
      <c r="I517" s="4" t="s">
        <v>7840</v>
      </c>
      <c r="J517" s="133"/>
      <c r="K517" s="22"/>
      <c r="L517" s="134"/>
    </row>
    <row r="518" spans="1:12" s="97" customFormat="1" x14ac:dyDescent="0.25">
      <c r="A518" s="61" t="s">
        <v>442</v>
      </c>
      <c r="B518" s="14">
        <v>43629</v>
      </c>
      <c r="C518" s="13">
        <v>986</v>
      </c>
      <c r="D518" s="13" t="s">
        <v>869</v>
      </c>
      <c r="E518" s="13" t="s">
        <v>62</v>
      </c>
      <c r="F518" s="4">
        <v>58989.11</v>
      </c>
      <c r="G518" s="28" t="s">
        <v>7536</v>
      </c>
      <c r="H518" s="14">
        <v>43591</v>
      </c>
      <c r="I518" s="4" t="s">
        <v>7537</v>
      </c>
      <c r="J518" s="133"/>
      <c r="K518" s="22"/>
      <c r="L518" s="134"/>
    </row>
    <row r="519" spans="1:12" s="97" customFormat="1" x14ac:dyDescent="0.25">
      <c r="A519" s="61" t="s">
        <v>92</v>
      </c>
      <c r="B519" s="14">
        <v>43629</v>
      </c>
      <c r="C519" s="13">
        <v>987</v>
      </c>
      <c r="D519" s="13" t="s">
        <v>100</v>
      </c>
      <c r="E519" s="13" t="s">
        <v>62</v>
      </c>
      <c r="F519" s="4">
        <f>214211.16-50000</f>
        <v>164211.16</v>
      </c>
      <c r="G519" s="29" t="s">
        <v>7824</v>
      </c>
      <c r="H519" s="14">
        <v>43579</v>
      </c>
      <c r="I519" s="4" t="s">
        <v>572</v>
      </c>
      <c r="J519" s="133"/>
      <c r="K519" s="22"/>
      <c r="L519" s="134"/>
    </row>
    <row r="520" spans="1:12" s="97" customFormat="1" x14ac:dyDescent="0.25">
      <c r="A520" s="61" t="s">
        <v>358</v>
      </c>
      <c r="B520" s="14">
        <v>43629</v>
      </c>
      <c r="C520" s="13">
        <v>988</v>
      </c>
      <c r="D520" s="13" t="s">
        <v>1065</v>
      </c>
      <c r="E520" s="13" t="s">
        <v>62</v>
      </c>
      <c r="F520" s="4">
        <v>11006.76</v>
      </c>
      <c r="G520" s="29" t="s">
        <v>1524</v>
      </c>
      <c r="H520" s="14">
        <v>43578</v>
      </c>
      <c r="I520" s="4" t="s">
        <v>7161</v>
      </c>
      <c r="J520" s="133"/>
      <c r="K520" s="22"/>
      <c r="L520" s="134"/>
    </row>
    <row r="521" spans="1:12" s="97" customFormat="1" x14ac:dyDescent="0.25">
      <c r="A521" s="61" t="s">
        <v>103</v>
      </c>
      <c r="B521" s="14">
        <v>43629</v>
      </c>
      <c r="C521" s="13">
        <v>988</v>
      </c>
      <c r="D521" s="13" t="s">
        <v>1065</v>
      </c>
      <c r="E521" s="13" t="s">
        <v>62</v>
      </c>
      <c r="F521" s="4">
        <v>57182.21</v>
      </c>
      <c r="G521" s="29" t="s">
        <v>772</v>
      </c>
      <c r="H521" s="14">
        <v>43580</v>
      </c>
      <c r="I521" s="4" t="s">
        <v>7527</v>
      </c>
      <c r="J521" s="133"/>
      <c r="K521" s="22"/>
      <c r="L521" s="134"/>
    </row>
    <row r="522" spans="1:12" s="97" customFormat="1" x14ac:dyDescent="0.25">
      <c r="A522" s="61" t="s">
        <v>92</v>
      </c>
      <c r="B522" s="14">
        <v>43629</v>
      </c>
      <c r="C522" s="13">
        <v>989</v>
      </c>
      <c r="D522" s="13" t="s">
        <v>868</v>
      </c>
      <c r="E522" s="13" t="s">
        <v>62</v>
      </c>
      <c r="F522" s="4">
        <v>45337.21</v>
      </c>
      <c r="G522" s="29" t="s">
        <v>7159</v>
      </c>
      <c r="H522" s="14">
        <v>43579</v>
      </c>
      <c r="I522" s="4" t="s">
        <v>3232</v>
      </c>
      <c r="J522" s="133"/>
      <c r="K522" s="22"/>
      <c r="L522" s="134"/>
    </row>
    <row r="523" spans="1:12" s="97" customFormat="1" x14ac:dyDescent="0.25">
      <c r="A523" s="32" t="s">
        <v>442</v>
      </c>
      <c r="B523" s="14">
        <v>43629</v>
      </c>
      <c r="C523" s="13">
        <v>989</v>
      </c>
      <c r="D523" s="13" t="s">
        <v>868</v>
      </c>
      <c r="E523" s="13" t="s">
        <v>62</v>
      </c>
      <c r="F523" s="4">
        <v>19741</v>
      </c>
      <c r="G523" s="29" t="s">
        <v>7525</v>
      </c>
      <c r="H523" s="14">
        <v>43581</v>
      </c>
      <c r="I523" s="4" t="s">
        <v>1494</v>
      </c>
      <c r="J523" s="133"/>
      <c r="K523" s="22"/>
      <c r="L523" s="134"/>
    </row>
    <row r="524" spans="1:12" s="97" customFormat="1" x14ac:dyDescent="0.25">
      <c r="A524" s="32" t="s">
        <v>92</v>
      </c>
      <c r="B524" s="14">
        <v>43629</v>
      </c>
      <c r="C524" s="13">
        <v>990</v>
      </c>
      <c r="D524" s="13" t="s">
        <v>280</v>
      </c>
      <c r="E524" s="13" t="s">
        <v>62</v>
      </c>
      <c r="F524" s="4">
        <v>19400</v>
      </c>
      <c r="G524" s="28" t="s">
        <v>7153</v>
      </c>
      <c r="H524" s="14">
        <v>43577</v>
      </c>
      <c r="I524" s="4" t="s">
        <v>7154</v>
      </c>
      <c r="J524" s="133"/>
      <c r="K524" s="22"/>
      <c r="L524" s="134"/>
    </row>
    <row r="525" spans="1:12" s="97" customFormat="1" x14ac:dyDescent="0.25">
      <c r="A525" s="61" t="s">
        <v>92</v>
      </c>
      <c r="B525" s="14">
        <v>43629</v>
      </c>
      <c r="C525" s="13">
        <v>990</v>
      </c>
      <c r="D525" s="13" t="s">
        <v>280</v>
      </c>
      <c r="E525" s="13" t="s">
        <v>62</v>
      </c>
      <c r="F525" s="4">
        <v>74652</v>
      </c>
      <c r="G525" s="29" t="s">
        <v>1976</v>
      </c>
      <c r="H525" s="14">
        <v>43579</v>
      </c>
      <c r="I525" s="4" t="s">
        <v>7521</v>
      </c>
      <c r="J525" s="133"/>
      <c r="K525" s="22"/>
      <c r="L525" s="134"/>
    </row>
    <row r="526" spans="1:12" s="97" customFormat="1" x14ac:dyDescent="0.25">
      <c r="A526" s="61" t="s">
        <v>442</v>
      </c>
      <c r="B526" s="14">
        <v>43629</v>
      </c>
      <c r="C526" s="13">
        <v>991</v>
      </c>
      <c r="D526" s="13" t="s">
        <v>814</v>
      </c>
      <c r="E526" s="13" t="s">
        <v>62</v>
      </c>
      <c r="F526" s="4">
        <v>93345</v>
      </c>
      <c r="G526" s="29" t="s">
        <v>7144</v>
      </c>
      <c r="H526" s="14">
        <v>43573</v>
      </c>
      <c r="I526" s="4" t="s">
        <v>142</v>
      </c>
      <c r="J526" s="133"/>
      <c r="K526" s="22"/>
      <c r="L526" s="134"/>
    </row>
    <row r="527" spans="1:12" s="97" customFormat="1" x14ac:dyDescent="0.25">
      <c r="A527" s="61" t="s">
        <v>442</v>
      </c>
      <c r="B527" s="14">
        <v>43629</v>
      </c>
      <c r="C527" s="13">
        <v>992</v>
      </c>
      <c r="D527" s="13" t="s">
        <v>304</v>
      </c>
      <c r="E527" s="13" t="s">
        <v>62</v>
      </c>
      <c r="F527" s="4">
        <v>100000</v>
      </c>
      <c r="G527" s="29" t="s">
        <v>7500</v>
      </c>
      <c r="H527" s="14">
        <v>43580</v>
      </c>
      <c r="I527" s="4" t="s">
        <v>7501</v>
      </c>
      <c r="J527" s="133"/>
      <c r="K527" s="22"/>
      <c r="L527" s="134"/>
    </row>
    <row r="528" spans="1:12" s="97" customFormat="1" x14ac:dyDescent="0.25">
      <c r="A528" s="61" t="s">
        <v>92</v>
      </c>
      <c r="B528" s="14">
        <v>43629</v>
      </c>
      <c r="C528" s="13">
        <v>993</v>
      </c>
      <c r="D528" s="13" t="s">
        <v>4936</v>
      </c>
      <c r="E528" s="13" t="s">
        <v>62</v>
      </c>
      <c r="F528" s="4">
        <v>51680.480000000003</v>
      </c>
      <c r="G528" s="29" t="s">
        <v>7498</v>
      </c>
      <c r="H528" s="14">
        <v>43585</v>
      </c>
      <c r="I528" s="4" t="s">
        <v>572</v>
      </c>
      <c r="J528" s="133"/>
      <c r="K528" s="22"/>
      <c r="L528" s="134"/>
    </row>
    <row r="529" spans="1:12" s="97" customFormat="1" x14ac:dyDescent="0.25">
      <c r="A529" s="32" t="s">
        <v>442</v>
      </c>
      <c r="B529" s="14">
        <v>43629</v>
      </c>
      <c r="C529" s="13">
        <v>994</v>
      </c>
      <c r="D529" s="13" t="s">
        <v>203</v>
      </c>
      <c r="E529" s="13" t="s">
        <v>62</v>
      </c>
      <c r="F529" s="4">
        <f>161140-61140</f>
        <v>100000</v>
      </c>
      <c r="G529" s="28" t="s">
        <v>3176</v>
      </c>
      <c r="H529" s="14">
        <v>43563</v>
      </c>
      <c r="I529" s="4" t="s">
        <v>6824</v>
      </c>
      <c r="J529" s="133"/>
      <c r="K529" s="22"/>
      <c r="L529" s="134"/>
    </row>
    <row r="530" spans="1:12" s="97" customFormat="1" x14ac:dyDescent="0.25">
      <c r="A530" s="32" t="s">
        <v>91</v>
      </c>
      <c r="B530" s="14">
        <v>43629</v>
      </c>
      <c r="C530" s="13">
        <v>995</v>
      </c>
      <c r="D530" s="13" t="s">
        <v>157</v>
      </c>
      <c r="E530" s="13" t="s">
        <v>62</v>
      </c>
      <c r="F530" s="4">
        <v>37530.800000000003</v>
      </c>
      <c r="G530" s="28" t="s">
        <v>7128</v>
      </c>
      <c r="H530" s="14">
        <v>43573</v>
      </c>
      <c r="I530" s="4" t="s">
        <v>7129</v>
      </c>
      <c r="J530" s="133"/>
      <c r="K530" s="22"/>
      <c r="L530" s="134"/>
    </row>
    <row r="531" spans="1:12" s="97" customFormat="1" x14ac:dyDescent="0.25">
      <c r="A531" s="61" t="s">
        <v>358</v>
      </c>
      <c r="B531" s="14">
        <v>43629</v>
      </c>
      <c r="C531" s="13">
        <v>995</v>
      </c>
      <c r="D531" s="13" t="s">
        <v>157</v>
      </c>
      <c r="E531" s="13" t="s">
        <v>62</v>
      </c>
      <c r="F531" s="4">
        <v>45776.800000000003</v>
      </c>
      <c r="G531" s="29" t="s">
        <v>7484</v>
      </c>
      <c r="H531" s="14">
        <v>43579</v>
      </c>
      <c r="I531" s="4" t="s">
        <v>7485</v>
      </c>
      <c r="J531" s="133"/>
      <c r="K531" s="22"/>
      <c r="L531" s="134"/>
    </row>
    <row r="532" spans="1:12" s="93" customFormat="1" x14ac:dyDescent="0.25">
      <c r="A532" s="61" t="s">
        <v>92</v>
      </c>
      <c r="B532" s="14">
        <v>43629</v>
      </c>
      <c r="C532" s="13">
        <v>996</v>
      </c>
      <c r="D532" s="13" t="s">
        <v>1491</v>
      </c>
      <c r="E532" s="13" t="s">
        <v>62</v>
      </c>
      <c r="F532" s="4">
        <v>300000</v>
      </c>
      <c r="G532" s="29" t="s">
        <v>6816</v>
      </c>
      <c r="H532" s="14">
        <v>43567</v>
      </c>
      <c r="I532" s="4" t="s">
        <v>555</v>
      </c>
      <c r="J532" s="133"/>
      <c r="K532" s="22"/>
      <c r="L532" s="92"/>
    </row>
    <row r="533" spans="1:12" s="93" customFormat="1" x14ac:dyDescent="0.25">
      <c r="A533" s="61" t="s">
        <v>92</v>
      </c>
      <c r="B533" s="14">
        <v>43629</v>
      </c>
      <c r="C533" s="13">
        <v>997</v>
      </c>
      <c r="D533" s="13" t="s">
        <v>70</v>
      </c>
      <c r="E533" s="13" t="s">
        <v>62</v>
      </c>
      <c r="F533" s="4">
        <v>6990</v>
      </c>
      <c r="G533" s="28" t="s">
        <v>7477</v>
      </c>
      <c r="H533" s="14">
        <v>43585</v>
      </c>
      <c r="I533" s="4" t="s">
        <v>4117</v>
      </c>
      <c r="J533" s="130"/>
      <c r="K533" s="16"/>
      <c r="L533" s="92"/>
    </row>
    <row r="534" spans="1:12" s="93" customFormat="1" x14ac:dyDescent="0.25">
      <c r="A534" s="61" t="s">
        <v>92</v>
      </c>
      <c r="B534" s="14">
        <v>43629</v>
      </c>
      <c r="C534" s="13">
        <v>998</v>
      </c>
      <c r="D534" s="13" t="s">
        <v>244</v>
      </c>
      <c r="E534" s="13" t="s">
        <v>62</v>
      </c>
      <c r="F534" s="4">
        <v>100000</v>
      </c>
      <c r="G534" s="29" t="s">
        <v>898</v>
      </c>
      <c r="H534" s="14">
        <v>43570</v>
      </c>
      <c r="I534" s="4" t="s">
        <v>3433</v>
      </c>
      <c r="J534" s="130"/>
      <c r="K534" s="16"/>
      <c r="L534" s="92"/>
    </row>
    <row r="535" spans="1:12" s="93" customFormat="1" x14ac:dyDescent="0.25">
      <c r="A535" s="61" t="s">
        <v>442</v>
      </c>
      <c r="B535" s="14">
        <v>43629</v>
      </c>
      <c r="C535" s="13">
        <v>999</v>
      </c>
      <c r="D535" s="13" t="s">
        <v>6487</v>
      </c>
      <c r="E535" s="13" t="s">
        <v>62</v>
      </c>
      <c r="F535" s="4">
        <v>9458</v>
      </c>
      <c r="G535" s="28" t="s">
        <v>727</v>
      </c>
      <c r="H535" s="14">
        <v>43581</v>
      </c>
      <c r="I535" s="4" t="s">
        <v>1497</v>
      </c>
      <c r="J535" s="130"/>
      <c r="K535" s="16"/>
      <c r="L535" s="92"/>
    </row>
    <row r="536" spans="1:12" x14ac:dyDescent="0.25">
      <c r="A536" s="61" t="s">
        <v>442</v>
      </c>
      <c r="B536" s="14">
        <v>43629</v>
      </c>
      <c r="C536" s="13">
        <v>1000</v>
      </c>
      <c r="D536" s="13" t="s">
        <v>282</v>
      </c>
      <c r="E536" s="13" t="s">
        <v>62</v>
      </c>
      <c r="F536" s="37">
        <v>30030</v>
      </c>
      <c r="G536" s="29" t="s">
        <v>7659</v>
      </c>
      <c r="H536" s="14">
        <v>43585</v>
      </c>
      <c r="I536" s="4" t="s">
        <v>283</v>
      </c>
    </row>
    <row r="537" spans="1:12" x14ac:dyDescent="0.25">
      <c r="A537" s="61" t="s">
        <v>91</v>
      </c>
      <c r="B537" s="14">
        <v>43629</v>
      </c>
      <c r="C537" s="13">
        <v>1000</v>
      </c>
      <c r="D537" s="13" t="s">
        <v>282</v>
      </c>
      <c r="E537" s="13" t="s">
        <v>62</v>
      </c>
      <c r="F537" s="37">
        <v>12870</v>
      </c>
      <c r="G537" s="29" t="s">
        <v>7660</v>
      </c>
      <c r="H537" s="14">
        <v>43585</v>
      </c>
      <c r="I537" s="4" t="s">
        <v>283</v>
      </c>
    </row>
    <row r="538" spans="1:12" x14ac:dyDescent="0.25">
      <c r="A538" s="61" t="s">
        <v>92</v>
      </c>
      <c r="B538" s="14">
        <v>43629</v>
      </c>
      <c r="C538" s="13">
        <v>1000</v>
      </c>
      <c r="D538" s="13" t="s">
        <v>282</v>
      </c>
      <c r="E538" s="13" t="s">
        <v>62</v>
      </c>
      <c r="F538" s="37">
        <v>13585</v>
      </c>
      <c r="G538" s="29" t="s">
        <v>7661</v>
      </c>
      <c r="H538" s="14">
        <v>43585</v>
      </c>
      <c r="I538" s="4" t="s">
        <v>283</v>
      </c>
    </row>
    <row r="539" spans="1:12" x14ac:dyDescent="0.25">
      <c r="A539" s="61" t="s">
        <v>358</v>
      </c>
      <c r="B539" s="14">
        <v>43629</v>
      </c>
      <c r="C539" s="13">
        <v>1000</v>
      </c>
      <c r="D539" s="13" t="s">
        <v>282</v>
      </c>
      <c r="E539" s="13" t="s">
        <v>62</v>
      </c>
      <c r="F539" s="37">
        <v>2860</v>
      </c>
      <c r="G539" s="29" t="s">
        <v>7662</v>
      </c>
      <c r="H539" s="14">
        <v>43585</v>
      </c>
      <c r="I539" s="4" t="s">
        <v>283</v>
      </c>
    </row>
    <row r="540" spans="1:12" x14ac:dyDescent="0.25">
      <c r="A540" s="61" t="s">
        <v>358</v>
      </c>
      <c r="B540" s="14">
        <v>43629</v>
      </c>
      <c r="C540" s="13">
        <v>1001</v>
      </c>
      <c r="D540" s="13" t="s">
        <v>250</v>
      </c>
      <c r="E540" s="13" t="s">
        <v>62</v>
      </c>
      <c r="F540" s="37">
        <v>11000</v>
      </c>
      <c r="G540" s="29" t="s">
        <v>7027</v>
      </c>
      <c r="H540" s="14">
        <v>43557</v>
      </c>
      <c r="I540" s="4" t="s">
        <v>337</v>
      </c>
    </row>
    <row r="541" spans="1:12" x14ac:dyDescent="0.25">
      <c r="A541" s="61" t="s">
        <v>442</v>
      </c>
      <c r="B541" s="14">
        <v>43629</v>
      </c>
      <c r="C541" s="13">
        <v>1001</v>
      </c>
      <c r="D541" s="13" t="s">
        <v>250</v>
      </c>
      <c r="E541" s="13" t="s">
        <v>62</v>
      </c>
      <c r="F541" s="37">
        <v>49375</v>
      </c>
      <c r="G541" s="29" t="s">
        <v>7681</v>
      </c>
      <c r="H541" s="14">
        <v>43582</v>
      </c>
      <c r="I541" s="4" t="s">
        <v>2811</v>
      </c>
    </row>
    <row r="542" spans="1:12" x14ac:dyDescent="0.25">
      <c r="A542" s="61" t="s">
        <v>7691</v>
      </c>
      <c r="B542" s="14">
        <v>43629</v>
      </c>
      <c r="C542" s="13">
        <v>1002</v>
      </c>
      <c r="D542" s="13" t="s">
        <v>1985</v>
      </c>
      <c r="E542" s="13" t="s">
        <v>62</v>
      </c>
      <c r="F542" s="37">
        <v>131100</v>
      </c>
      <c r="G542" s="29" t="s">
        <v>1549</v>
      </c>
      <c r="H542" s="14">
        <v>43585</v>
      </c>
      <c r="I542" s="4" t="s">
        <v>122</v>
      </c>
    </row>
    <row r="543" spans="1:12" ht="27.6" x14ac:dyDescent="0.25">
      <c r="A543" s="61" t="s">
        <v>7692</v>
      </c>
      <c r="B543" s="14">
        <v>43629</v>
      </c>
      <c r="C543" s="13">
        <v>1002</v>
      </c>
      <c r="D543" s="13" t="s">
        <v>1985</v>
      </c>
      <c r="E543" s="13" t="s">
        <v>62</v>
      </c>
      <c r="F543" s="37">
        <v>63800</v>
      </c>
      <c r="G543" s="29" t="s">
        <v>762</v>
      </c>
      <c r="H543" s="14">
        <v>43585</v>
      </c>
      <c r="I543" s="4" t="s">
        <v>122</v>
      </c>
    </row>
    <row r="544" spans="1:12" x14ac:dyDescent="0.25">
      <c r="A544" s="61" t="s">
        <v>442</v>
      </c>
      <c r="B544" s="14">
        <v>43629</v>
      </c>
      <c r="C544" s="13">
        <v>1002</v>
      </c>
      <c r="D544" s="13" t="s">
        <v>1985</v>
      </c>
      <c r="E544" s="13" t="s">
        <v>62</v>
      </c>
      <c r="F544" s="37">
        <v>24050</v>
      </c>
      <c r="G544" s="29" t="s">
        <v>791</v>
      </c>
      <c r="H544" s="14">
        <v>43585</v>
      </c>
      <c r="I544" s="4" t="s">
        <v>122</v>
      </c>
    </row>
    <row r="545" spans="1:17" x14ac:dyDescent="0.25">
      <c r="A545" s="61" t="s">
        <v>442</v>
      </c>
      <c r="B545" s="14">
        <v>43629</v>
      </c>
      <c r="C545" s="13">
        <v>1003</v>
      </c>
      <c r="D545" s="13" t="s">
        <v>692</v>
      </c>
      <c r="E545" s="13" t="s">
        <v>62</v>
      </c>
      <c r="F545" s="37">
        <v>132000</v>
      </c>
      <c r="G545" s="29" t="s">
        <v>170</v>
      </c>
      <c r="H545" s="14">
        <v>43605</v>
      </c>
      <c r="I545" s="4" t="s">
        <v>419</v>
      </c>
    </row>
    <row r="546" spans="1:17" ht="13.95" customHeight="1" x14ac:dyDescent="0.25">
      <c r="A546" s="13" t="s">
        <v>455</v>
      </c>
      <c r="B546" s="126">
        <v>43629</v>
      </c>
      <c r="C546" s="13">
        <v>632</v>
      </c>
      <c r="D546" s="13" t="s">
        <v>4438</v>
      </c>
      <c r="E546" s="32" t="s">
        <v>958</v>
      </c>
      <c r="F546" s="4">
        <v>3000000</v>
      </c>
      <c r="G546" s="69" t="s">
        <v>4437</v>
      </c>
      <c r="H546" s="14"/>
      <c r="I546" s="4" t="s">
        <v>24</v>
      </c>
      <c r="J546" s="71"/>
      <c r="K546" s="62"/>
      <c r="L546" s="62"/>
      <c r="M546" s="35"/>
      <c r="N546" s="35"/>
      <c r="O546" s="35"/>
      <c r="P546" s="35"/>
      <c r="Q546" s="35"/>
    </row>
    <row r="547" spans="1:17" s="97" customFormat="1" x14ac:dyDescent="0.25">
      <c r="A547" s="68" t="s">
        <v>160</v>
      </c>
      <c r="B547" s="126">
        <v>43629</v>
      </c>
      <c r="C547" s="13">
        <v>633</v>
      </c>
      <c r="D547" s="13" t="s">
        <v>982</v>
      </c>
      <c r="E547" s="13" t="s">
        <v>958</v>
      </c>
      <c r="F547" s="4">
        <v>345000</v>
      </c>
      <c r="G547" s="29" t="s">
        <v>5230</v>
      </c>
      <c r="H547" s="14">
        <v>42601</v>
      </c>
      <c r="I547" s="4" t="s">
        <v>1093</v>
      </c>
      <c r="J547" s="133"/>
      <c r="K547" s="22"/>
      <c r="L547" s="134"/>
    </row>
    <row r="548" spans="1:17" s="93" customFormat="1" x14ac:dyDescent="0.25">
      <c r="A548" s="61" t="s">
        <v>455</v>
      </c>
      <c r="B548" s="126">
        <v>43629</v>
      </c>
      <c r="C548" s="13">
        <v>634</v>
      </c>
      <c r="D548" s="13" t="s">
        <v>666</v>
      </c>
      <c r="E548" s="13" t="s">
        <v>958</v>
      </c>
      <c r="F548" s="4">
        <v>40970</v>
      </c>
      <c r="G548" s="29" t="s">
        <v>7122</v>
      </c>
      <c r="H548" s="14">
        <v>43572</v>
      </c>
      <c r="I548" s="4" t="s">
        <v>7123</v>
      </c>
      <c r="J548" s="130"/>
      <c r="K548" s="16"/>
      <c r="L548" s="92"/>
    </row>
    <row r="549" spans="1:17" x14ac:dyDescent="0.25">
      <c r="A549" s="61" t="s">
        <v>455</v>
      </c>
      <c r="B549" s="126">
        <v>43629</v>
      </c>
      <c r="C549" s="13">
        <v>635</v>
      </c>
      <c r="D549" s="13" t="s">
        <v>282</v>
      </c>
      <c r="E549" s="13" t="s">
        <v>958</v>
      </c>
      <c r="F549" s="37">
        <v>17160</v>
      </c>
      <c r="G549" s="29" t="s">
        <v>7655</v>
      </c>
      <c r="H549" s="14">
        <v>43585</v>
      </c>
      <c r="I549" s="4" t="s">
        <v>283</v>
      </c>
    </row>
    <row r="550" spans="1:17" x14ac:dyDescent="0.25">
      <c r="A550" s="61" t="s">
        <v>455</v>
      </c>
      <c r="B550" s="126">
        <v>43629</v>
      </c>
      <c r="C550" s="13">
        <v>635</v>
      </c>
      <c r="D550" s="13" t="s">
        <v>282</v>
      </c>
      <c r="E550" s="13" t="s">
        <v>958</v>
      </c>
      <c r="F550" s="37">
        <v>27170</v>
      </c>
      <c r="G550" s="29" t="s">
        <v>7663</v>
      </c>
      <c r="H550" s="14">
        <v>43594</v>
      </c>
      <c r="I550" s="4" t="s">
        <v>283</v>
      </c>
    </row>
    <row r="551" spans="1:17" x14ac:dyDescent="0.25">
      <c r="A551" s="61" t="s">
        <v>310</v>
      </c>
      <c r="B551" s="126">
        <v>43629</v>
      </c>
      <c r="C551" s="13">
        <v>636</v>
      </c>
      <c r="D551" s="13" t="s">
        <v>250</v>
      </c>
      <c r="E551" s="13" t="s">
        <v>958</v>
      </c>
      <c r="F551" s="37">
        <v>12375</v>
      </c>
      <c r="G551" s="29" t="s">
        <v>7029</v>
      </c>
      <c r="H551" s="14">
        <v>43561</v>
      </c>
      <c r="I551" s="4" t="s">
        <v>337</v>
      </c>
    </row>
    <row r="552" spans="1:17" x14ac:dyDescent="0.25">
      <c r="A552" s="61" t="s">
        <v>455</v>
      </c>
      <c r="B552" s="126">
        <v>43629</v>
      </c>
      <c r="C552" s="13">
        <v>637</v>
      </c>
      <c r="D552" s="13" t="s">
        <v>431</v>
      </c>
      <c r="E552" s="13" t="s">
        <v>958</v>
      </c>
      <c r="F552" s="37">
        <v>17850</v>
      </c>
      <c r="G552" s="29" t="s">
        <v>3184</v>
      </c>
      <c r="H552" s="14">
        <v>43572</v>
      </c>
      <c r="I552" s="4" t="s">
        <v>95</v>
      </c>
    </row>
    <row r="553" spans="1:17" x14ac:dyDescent="0.25">
      <c r="A553" s="61" t="s">
        <v>310</v>
      </c>
      <c r="B553" s="126">
        <v>43629</v>
      </c>
      <c r="C553" s="13">
        <v>637</v>
      </c>
      <c r="D553" s="13" t="s">
        <v>431</v>
      </c>
      <c r="E553" s="13" t="s">
        <v>958</v>
      </c>
      <c r="F553" s="37">
        <v>17000</v>
      </c>
      <c r="G553" s="29" t="s">
        <v>3273</v>
      </c>
      <c r="H553" s="14">
        <v>43592</v>
      </c>
      <c r="I553" s="4" t="s">
        <v>95</v>
      </c>
    </row>
    <row r="554" spans="1:17" x14ac:dyDescent="0.25">
      <c r="A554" s="61" t="s">
        <v>310</v>
      </c>
      <c r="B554" s="126">
        <v>43629</v>
      </c>
      <c r="C554" s="13">
        <v>637</v>
      </c>
      <c r="D554" s="13" t="s">
        <v>431</v>
      </c>
      <c r="E554" s="13" t="s">
        <v>958</v>
      </c>
      <c r="F554" s="37">
        <v>13600</v>
      </c>
      <c r="G554" s="29" t="s">
        <v>4091</v>
      </c>
      <c r="H554" s="14">
        <v>43596</v>
      </c>
      <c r="I554" s="4" t="s">
        <v>95</v>
      </c>
    </row>
    <row r="555" spans="1:17" s="93" customFormat="1" x14ac:dyDescent="0.25">
      <c r="A555" s="61" t="s">
        <v>1350</v>
      </c>
      <c r="B555" s="14">
        <v>43629</v>
      </c>
      <c r="C555" s="13">
        <v>456</v>
      </c>
      <c r="D555" s="13" t="s">
        <v>6868</v>
      </c>
      <c r="E555" s="13" t="s">
        <v>691</v>
      </c>
      <c r="F555" s="4">
        <v>155510.07999999999</v>
      </c>
      <c r="G555" s="29" t="s">
        <v>7125</v>
      </c>
      <c r="H555" s="14">
        <v>43573</v>
      </c>
      <c r="I555" s="4" t="s">
        <v>7126</v>
      </c>
      <c r="J555" s="130"/>
      <c r="K555" s="16"/>
      <c r="L555" s="92"/>
    </row>
    <row r="556" spans="1:17" x14ac:dyDescent="0.25">
      <c r="A556" s="61" t="s">
        <v>1455</v>
      </c>
      <c r="B556" s="14">
        <v>43629</v>
      </c>
      <c r="C556" s="13">
        <v>457</v>
      </c>
      <c r="D556" s="13" t="s">
        <v>447</v>
      </c>
      <c r="E556" s="13" t="s">
        <v>691</v>
      </c>
      <c r="F556" s="37">
        <f>133500-60000</f>
        <v>73500</v>
      </c>
      <c r="G556" s="29" t="s">
        <v>4098</v>
      </c>
      <c r="H556" s="14">
        <v>43570</v>
      </c>
      <c r="I556" s="4" t="s">
        <v>6425</v>
      </c>
    </row>
    <row r="557" spans="1:17" x14ac:dyDescent="0.25">
      <c r="A557" s="61" t="s">
        <v>637</v>
      </c>
      <c r="B557" s="14">
        <v>43629</v>
      </c>
      <c r="C557" s="13">
        <v>458</v>
      </c>
      <c r="D557" s="13" t="s">
        <v>282</v>
      </c>
      <c r="E557" s="13" t="s">
        <v>691</v>
      </c>
      <c r="F557" s="37">
        <v>30030</v>
      </c>
      <c r="G557" s="29" t="s">
        <v>7654</v>
      </c>
      <c r="H557" s="14">
        <v>43585</v>
      </c>
      <c r="I557" s="4" t="s">
        <v>283</v>
      </c>
    </row>
    <row r="558" spans="1:17" x14ac:dyDescent="0.25">
      <c r="A558" s="61" t="s">
        <v>637</v>
      </c>
      <c r="B558" s="14">
        <v>43629</v>
      </c>
      <c r="C558" s="13">
        <v>458</v>
      </c>
      <c r="D558" s="13" t="s">
        <v>282</v>
      </c>
      <c r="E558" s="13" t="s">
        <v>691</v>
      </c>
      <c r="F558" s="37">
        <v>43615</v>
      </c>
      <c r="G558" s="29" t="s">
        <v>7664</v>
      </c>
      <c r="H558" s="14">
        <v>43594</v>
      </c>
      <c r="I558" s="4" t="s">
        <v>283</v>
      </c>
    </row>
    <row r="559" spans="1:17" x14ac:dyDescent="0.25">
      <c r="A559" s="61" t="s">
        <v>1350</v>
      </c>
      <c r="B559" s="14">
        <v>43629</v>
      </c>
      <c r="C559" s="13">
        <v>459</v>
      </c>
      <c r="D559" s="13" t="s">
        <v>1395</v>
      </c>
      <c r="E559" s="13" t="s">
        <v>691</v>
      </c>
      <c r="F559" s="37">
        <v>19400</v>
      </c>
      <c r="G559" s="29" t="s">
        <v>5921</v>
      </c>
      <c r="H559" s="14">
        <v>43566</v>
      </c>
      <c r="I559" s="4" t="s">
        <v>6778</v>
      </c>
    </row>
    <row r="560" spans="1:17" ht="15" customHeight="1" x14ac:dyDescent="0.25">
      <c r="A560" s="13" t="s">
        <v>184</v>
      </c>
      <c r="B560" s="14">
        <v>43629</v>
      </c>
      <c r="C560" s="13">
        <v>750</v>
      </c>
      <c r="D560" s="32" t="s">
        <v>7971</v>
      </c>
      <c r="E560" s="32" t="s">
        <v>1121</v>
      </c>
      <c r="F560" s="4">
        <v>13840</v>
      </c>
      <c r="G560" s="28" t="s">
        <v>886</v>
      </c>
      <c r="H560" s="14">
        <v>42379</v>
      </c>
      <c r="I560" s="4" t="s">
        <v>7972</v>
      </c>
      <c r="J560" s="76"/>
    </row>
    <row r="561" spans="1:11" ht="13.95" customHeight="1" x14ac:dyDescent="0.25">
      <c r="A561" s="32" t="s">
        <v>91</v>
      </c>
      <c r="B561" s="14">
        <v>43629</v>
      </c>
      <c r="C561" s="13">
        <v>978</v>
      </c>
      <c r="D561" s="32" t="s">
        <v>1857</v>
      </c>
      <c r="E561" s="32" t="s">
        <v>130</v>
      </c>
      <c r="F561" s="4">
        <v>1720000</v>
      </c>
      <c r="G561" s="69" t="s">
        <v>8698</v>
      </c>
      <c r="H561" s="14"/>
      <c r="I561" s="41" t="s">
        <v>1859</v>
      </c>
      <c r="K561" s="62"/>
    </row>
    <row r="562" spans="1:11" s="50" customFormat="1" ht="27.6" x14ac:dyDescent="0.25">
      <c r="A562" s="13" t="s">
        <v>92</v>
      </c>
      <c r="B562" s="14">
        <v>43629</v>
      </c>
      <c r="C562" s="13">
        <v>979</v>
      </c>
      <c r="D562" s="32" t="s">
        <v>373</v>
      </c>
      <c r="E562" s="218" t="s">
        <v>7168</v>
      </c>
      <c r="F562" s="224">
        <v>3576600</v>
      </c>
      <c r="G562" s="28" t="s">
        <v>4765</v>
      </c>
      <c r="H562" s="14">
        <v>42851</v>
      </c>
      <c r="I562" s="32" t="s">
        <v>4764</v>
      </c>
      <c r="J562" s="325"/>
    </row>
    <row r="563" spans="1:11" s="50" customFormat="1" x14ac:dyDescent="0.25">
      <c r="A563" s="13" t="s">
        <v>442</v>
      </c>
      <c r="B563" s="14">
        <v>43629</v>
      </c>
      <c r="C563" s="13">
        <v>1239</v>
      </c>
      <c r="D563" s="32" t="s">
        <v>8961</v>
      </c>
      <c r="E563" s="218" t="s">
        <v>494</v>
      </c>
      <c r="F563" s="224">
        <v>13901400</v>
      </c>
      <c r="G563" s="28" t="s">
        <v>9282</v>
      </c>
      <c r="H563" s="14">
        <v>43608</v>
      </c>
      <c r="I563" s="32" t="s">
        <v>8962</v>
      </c>
      <c r="J563" s="325"/>
    </row>
    <row r="564" spans="1:11" s="50" customFormat="1" x14ac:dyDescent="0.25">
      <c r="A564" s="13" t="s">
        <v>151</v>
      </c>
      <c r="B564" s="14">
        <v>43629</v>
      </c>
      <c r="C564" s="13">
        <v>751</v>
      </c>
      <c r="D564" s="32" t="s">
        <v>2905</v>
      </c>
      <c r="E564" s="218" t="s">
        <v>1121</v>
      </c>
      <c r="F564" s="224">
        <v>100000</v>
      </c>
      <c r="G564" s="28" t="s">
        <v>1367</v>
      </c>
      <c r="H564" s="14">
        <v>43620</v>
      </c>
      <c r="I564" s="32" t="s">
        <v>1525</v>
      </c>
      <c r="J564" s="325"/>
    </row>
    <row r="565" spans="1:11" x14ac:dyDescent="0.25">
      <c r="A565" s="13" t="s">
        <v>151</v>
      </c>
      <c r="B565" s="14">
        <v>43629</v>
      </c>
      <c r="C565" s="13">
        <v>510</v>
      </c>
      <c r="D565" s="32" t="s">
        <v>3533</v>
      </c>
      <c r="E565" s="32" t="s">
        <v>144</v>
      </c>
      <c r="F565" s="4">
        <v>400000</v>
      </c>
      <c r="G565" s="210" t="s">
        <v>3534</v>
      </c>
      <c r="H565" s="211">
        <v>42853</v>
      </c>
      <c r="I565" s="4" t="s">
        <v>4807</v>
      </c>
      <c r="J565" s="166"/>
      <c r="K565" s="228"/>
    </row>
    <row r="566" spans="1:11" x14ac:dyDescent="0.25">
      <c r="A566" s="13" t="s">
        <v>213</v>
      </c>
      <c r="B566" s="14">
        <v>43630</v>
      </c>
      <c r="C566" s="13">
        <v>528</v>
      </c>
      <c r="D566" s="13" t="s">
        <v>210</v>
      </c>
      <c r="E566" s="13" t="s">
        <v>136</v>
      </c>
      <c r="F566" s="37">
        <v>74070.64</v>
      </c>
      <c r="G566" s="29" t="s">
        <v>8660</v>
      </c>
      <c r="H566" s="14">
        <v>43621</v>
      </c>
      <c r="I566" s="4" t="s">
        <v>426</v>
      </c>
      <c r="J566" s="22" t="s">
        <v>1386</v>
      </c>
    </row>
    <row r="567" spans="1:11" s="129" customFormat="1" x14ac:dyDescent="0.25">
      <c r="A567" s="13" t="s">
        <v>213</v>
      </c>
      <c r="B567" s="14">
        <v>43630</v>
      </c>
      <c r="C567" s="13">
        <v>529</v>
      </c>
      <c r="D567" s="13" t="s">
        <v>210</v>
      </c>
      <c r="E567" s="13" t="s">
        <v>136</v>
      </c>
      <c r="F567" s="37">
        <v>74205.38</v>
      </c>
      <c r="G567" s="29" t="s">
        <v>7590</v>
      </c>
      <c r="H567" s="14">
        <v>43621</v>
      </c>
      <c r="I567" s="4" t="s">
        <v>546</v>
      </c>
      <c r="J567" s="35" t="s">
        <v>1386</v>
      </c>
      <c r="K567" s="136"/>
    </row>
    <row r="568" spans="1:11" ht="13.95" customHeight="1" x14ac:dyDescent="0.25">
      <c r="A568" s="68" t="s">
        <v>358</v>
      </c>
      <c r="B568" s="14">
        <v>43630</v>
      </c>
      <c r="C568" s="13">
        <v>1203</v>
      </c>
      <c r="D568" s="32" t="s">
        <v>1077</v>
      </c>
      <c r="E568" s="32" t="s">
        <v>38</v>
      </c>
      <c r="F568" s="4">
        <v>10000000</v>
      </c>
      <c r="G568" s="86" t="s">
        <v>410</v>
      </c>
      <c r="H568" s="211"/>
      <c r="I568" s="208" t="s">
        <v>581</v>
      </c>
      <c r="J568" s="21"/>
      <c r="K568" s="228"/>
    </row>
    <row r="569" spans="1:11" x14ac:dyDescent="0.25">
      <c r="A569" s="61" t="s">
        <v>460</v>
      </c>
      <c r="B569" s="14">
        <v>43630</v>
      </c>
      <c r="C569" s="13">
        <v>148</v>
      </c>
      <c r="D569" s="14" t="s">
        <v>6418</v>
      </c>
      <c r="E569" s="32" t="s">
        <v>483</v>
      </c>
      <c r="F569" s="4">
        <v>40150</v>
      </c>
      <c r="G569" s="86" t="s">
        <v>6419</v>
      </c>
      <c r="H569" s="211"/>
      <c r="I569" s="326"/>
      <c r="K569" s="62"/>
    </row>
    <row r="570" spans="1:11" x14ac:dyDescent="0.25">
      <c r="A570" s="61" t="s">
        <v>460</v>
      </c>
      <c r="B570" s="14">
        <v>43630</v>
      </c>
      <c r="C570" s="13">
        <v>149</v>
      </c>
      <c r="D570" s="14" t="s">
        <v>6420</v>
      </c>
      <c r="E570" s="32" t="s">
        <v>483</v>
      </c>
      <c r="F570" s="4">
        <v>39050</v>
      </c>
      <c r="G570" s="86" t="s">
        <v>6421</v>
      </c>
      <c r="H570" s="211"/>
      <c r="I570" s="326"/>
      <c r="K570" s="62"/>
    </row>
    <row r="571" spans="1:11" x14ac:dyDescent="0.25">
      <c r="A571" s="61" t="s">
        <v>460</v>
      </c>
      <c r="B571" s="14">
        <v>43630</v>
      </c>
      <c r="C571" s="13">
        <v>150</v>
      </c>
      <c r="D571" s="14" t="s">
        <v>6557</v>
      </c>
      <c r="E571" s="32" t="s">
        <v>483</v>
      </c>
      <c r="F571" s="4">
        <v>40460</v>
      </c>
      <c r="G571" s="86" t="s">
        <v>6558</v>
      </c>
      <c r="H571" s="211"/>
      <c r="I571" s="326"/>
      <c r="K571" s="62"/>
    </row>
    <row r="572" spans="1:11" x14ac:dyDescent="0.25">
      <c r="A572" s="61" t="s">
        <v>460</v>
      </c>
      <c r="B572" s="14">
        <v>43630</v>
      </c>
      <c r="C572" s="13">
        <v>151</v>
      </c>
      <c r="D572" s="14" t="s">
        <v>6706</v>
      </c>
      <c r="E572" s="32" t="s">
        <v>483</v>
      </c>
      <c r="F572" s="4">
        <v>42480</v>
      </c>
      <c r="G572" s="86" t="s">
        <v>6707</v>
      </c>
      <c r="H572" s="211"/>
      <c r="I572" s="326"/>
      <c r="K572" s="62"/>
    </row>
    <row r="573" spans="1:11" x14ac:dyDescent="0.25">
      <c r="A573" s="61" t="s">
        <v>460</v>
      </c>
      <c r="B573" s="14">
        <v>43630</v>
      </c>
      <c r="C573" s="13">
        <v>152</v>
      </c>
      <c r="D573" s="14" t="s">
        <v>6708</v>
      </c>
      <c r="E573" s="32" t="s">
        <v>483</v>
      </c>
      <c r="F573" s="4">
        <v>63240</v>
      </c>
      <c r="G573" s="86" t="s">
        <v>6709</v>
      </c>
      <c r="H573" s="211"/>
      <c r="I573" s="326"/>
      <c r="K573" s="62"/>
    </row>
    <row r="574" spans="1:11" x14ac:dyDescent="0.25">
      <c r="A574" s="61" t="s">
        <v>460</v>
      </c>
      <c r="B574" s="14">
        <v>43630</v>
      </c>
      <c r="C574" s="13">
        <v>153</v>
      </c>
      <c r="D574" s="14" t="s">
        <v>6768</v>
      </c>
      <c r="E574" s="32" t="s">
        <v>483</v>
      </c>
      <c r="F574" s="4">
        <v>42412</v>
      </c>
      <c r="G574" s="86" t="s">
        <v>6769</v>
      </c>
      <c r="H574" s="211"/>
      <c r="I574" s="326"/>
      <c r="K574" s="62"/>
    </row>
    <row r="575" spans="1:11" x14ac:dyDescent="0.25">
      <c r="A575" s="61" t="s">
        <v>460</v>
      </c>
      <c r="B575" s="14">
        <v>43630</v>
      </c>
      <c r="C575" s="13">
        <v>154</v>
      </c>
      <c r="D575" s="14" t="s">
        <v>6770</v>
      </c>
      <c r="E575" s="32" t="s">
        <v>483</v>
      </c>
      <c r="F575" s="4">
        <v>58320</v>
      </c>
      <c r="G575" s="86" t="s">
        <v>6771</v>
      </c>
      <c r="H575" s="211"/>
      <c r="I575" s="326"/>
      <c r="K575" s="62"/>
    </row>
    <row r="576" spans="1:11" x14ac:dyDescent="0.25">
      <c r="A576" s="61" t="s">
        <v>460</v>
      </c>
      <c r="B576" s="14">
        <v>43630</v>
      </c>
      <c r="C576" s="13">
        <v>755</v>
      </c>
      <c r="D576" s="14" t="s">
        <v>6559</v>
      </c>
      <c r="E576" s="32" t="s">
        <v>1121</v>
      </c>
      <c r="F576" s="4">
        <v>42887</v>
      </c>
      <c r="G576" s="86" t="s">
        <v>6560</v>
      </c>
      <c r="H576" s="211"/>
      <c r="I576" s="326"/>
      <c r="K576" s="62"/>
    </row>
    <row r="577" spans="1:12" x14ac:dyDescent="0.25">
      <c r="A577" s="61" t="s">
        <v>460</v>
      </c>
      <c r="B577" s="14">
        <v>43630</v>
      </c>
      <c r="C577" s="13">
        <v>756</v>
      </c>
      <c r="D577" s="14" t="s">
        <v>6772</v>
      </c>
      <c r="E577" s="32" t="s">
        <v>1121</v>
      </c>
      <c r="F577" s="4">
        <v>58400</v>
      </c>
      <c r="G577" s="86" t="s">
        <v>6773</v>
      </c>
      <c r="H577" s="211"/>
      <c r="I577" s="326"/>
      <c r="K577" s="62"/>
    </row>
    <row r="578" spans="1:12" x14ac:dyDescent="0.25">
      <c r="A578" s="61" t="s">
        <v>460</v>
      </c>
      <c r="B578" s="14">
        <v>43630</v>
      </c>
      <c r="C578" s="13">
        <v>757</v>
      </c>
      <c r="D578" s="14" t="s">
        <v>6896</v>
      </c>
      <c r="E578" s="32" t="s">
        <v>1121</v>
      </c>
      <c r="F578" s="4">
        <v>37630</v>
      </c>
      <c r="G578" s="86" t="s">
        <v>6897</v>
      </c>
      <c r="H578" s="211"/>
      <c r="I578" s="326"/>
      <c r="K578" s="62"/>
    </row>
    <row r="579" spans="1:12" x14ac:dyDescent="0.25">
      <c r="A579" s="61" t="s">
        <v>460</v>
      </c>
      <c r="B579" s="14">
        <v>43630</v>
      </c>
      <c r="C579" s="13">
        <v>758</v>
      </c>
      <c r="D579" s="14" t="s">
        <v>6958</v>
      </c>
      <c r="E579" s="32" t="s">
        <v>1121</v>
      </c>
      <c r="F579" s="4">
        <v>40280</v>
      </c>
      <c r="G579" s="86" t="s">
        <v>6959</v>
      </c>
      <c r="H579" s="211"/>
      <c r="I579" s="326"/>
      <c r="K579" s="62"/>
    </row>
    <row r="580" spans="1:12" ht="15" customHeight="1" x14ac:dyDescent="0.25">
      <c r="A580" s="13" t="s">
        <v>184</v>
      </c>
      <c r="B580" s="14">
        <v>43630</v>
      </c>
      <c r="C580" s="13">
        <v>759</v>
      </c>
      <c r="D580" s="13" t="s">
        <v>1533</v>
      </c>
      <c r="E580" s="32" t="s">
        <v>1121</v>
      </c>
      <c r="F580" s="4">
        <v>40320</v>
      </c>
      <c r="G580" s="28" t="s">
        <v>8739</v>
      </c>
      <c r="H580" s="14">
        <v>43619</v>
      </c>
      <c r="I580" s="4" t="s">
        <v>1534</v>
      </c>
      <c r="J580" s="125"/>
    </row>
    <row r="581" spans="1:12" ht="15" customHeight="1" x14ac:dyDescent="0.25">
      <c r="A581" s="13" t="s">
        <v>184</v>
      </c>
      <c r="B581" s="14">
        <v>43630</v>
      </c>
      <c r="C581" s="13">
        <v>759</v>
      </c>
      <c r="D581" s="13" t="s">
        <v>1533</v>
      </c>
      <c r="E581" s="32" t="s">
        <v>1121</v>
      </c>
      <c r="F581" s="4">
        <v>108000</v>
      </c>
      <c r="G581" s="28" t="s">
        <v>8738</v>
      </c>
      <c r="H581" s="14">
        <v>43619</v>
      </c>
      <c r="I581" s="4" t="s">
        <v>1856</v>
      </c>
      <c r="J581" s="125"/>
    </row>
    <row r="582" spans="1:12" ht="15" customHeight="1" x14ac:dyDescent="0.25">
      <c r="A582" s="13" t="s">
        <v>184</v>
      </c>
      <c r="B582" s="14">
        <v>43630</v>
      </c>
      <c r="C582" s="13">
        <v>760</v>
      </c>
      <c r="D582" s="13" t="s">
        <v>897</v>
      </c>
      <c r="E582" s="32" t="s">
        <v>1121</v>
      </c>
      <c r="F582" s="4">
        <v>134946</v>
      </c>
      <c r="G582" s="28" t="s">
        <v>8742</v>
      </c>
      <c r="H582" s="14">
        <v>43613</v>
      </c>
      <c r="I582" s="4" t="s">
        <v>8741</v>
      </c>
      <c r="J582" s="76"/>
    </row>
    <row r="583" spans="1:12" ht="15" customHeight="1" x14ac:dyDescent="0.25">
      <c r="A583" s="13" t="s">
        <v>184</v>
      </c>
      <c r="B583" s="14">
        <v>43630</v>
      </c>
      <c r="C583" s="13">
        <v>761</v>
      </c>
      <c r="D583" s="13" t="s">
        <v>7955</v>
      </c>
      <c r="E583" s="32" t="s">
        <v>1121</v>
      </c>
      <c r="F583" s="4">
        <v>30000</v>
      </c>
      <c r="G583" s="28" t="s">
        <v>1960</v>
      </c>
      <c r="H583" s="14">
        <v>43622</v>
      </c>
      <c r="I583" s="4" t="s">
        <v>8744</v>
      </c>
      <c r="J583" s="76" t="s">
        <v>8745</v>
      </c>
    </row>
    <row r="584" spans="1:12" ht="15" customHeight="1" x14ac:dyDescent="0.25">
      <c r="A584" s="13" t="s">
        <v>184</v>
      </c>
      <c r="B584" s="14">
        <v>43630</v>
      </c>
      <c r="C584" s="13">
        <v>762</v>
      </c>
      <c r="D584" s="32" t="s">
        <v>747</v>
      </c>
      <c r="E584" s="32" t="s">
        <v>1121</v>
      </c>
      <c r="F584" s="4">
        <v>284833</v>
      </c>
      <c r="G584" s="28" t="s">
        <v>8723</v>
      </c>
      <c r="H584" s="14">
        <v>43614</v>
      </c>
      <c r="I584" s="4" t="s">
        <v>356</v>
      </c>
      <c r="J584" s="76" t="s">
        <v>526</v>
      </c>
    </row>
    <row r="585" spans="1:12" x14ac:dyDescent="0.25">
      <c r="A585" s="13" t="s">
        <v>184</v>
      </c>
      <c r="B585" s="14">
        <v>43630</v>
      </c>
      <c r="C585" s="13">
        <v>762</v>
      </c>
      <c r="D585" s="32" t="s">
        <v>747</v>
      </c>
      <c r="E585" s="32" t="s">
        <v>1121</v>
      </c>
      <c r="F585" s="4">
        <v>64167</v>
      </c>
      <c r="G585" s="28" t="s">
        <v>8722</v>
      </c>
      <c r="H585" s="14">
        <v>43614</v>
      </c>
      <c r="I585" s="4" t="s">
        <v>750</v>
      </c>
      <c r="J585" s="76" t="s">
        <v>526</v>
      </c>
    </row>
    <row r="586" spans="1:12" ht="15" customHeight="1" x14ac:dyDescent="0.25">
      <c r="A586" s="13" t="s">
        <v>184</v>
      </c>
      <c r="B586" s="14">
        <v>43630</v>
      </c>
      <c r="C586" s="13">
        <v>762</v>
      </c>
      <c r="D586" s="32" t="s">
        <v>747</v>
      </c>
      <c r="E586" s="32" t="s">
        <v>1121</v>
      </c>
      <c r="F586" s="4">
        <v>65333</v>
      </c>
      <c r="G586" s="28" t="s">
        <v>8719</v>
      </c>
      <c r="H586" s="14">
        <v>43614</v>
      </c>
      <c r="I586" s="4" t="s">
        <v>748</v>
      </c>
      <c r="J586" s="76" t="s">
        <v>526</v>
      </c>
    </row>
    <row r="587" spans="1:12" ht="15" customHeight="1" x14ac:dyDescent="0.25">
      <c r="A587" s="13" t="s">
        <v>184</v>
      </c>
      <c r="B587" s="14">
        <v>43630</v>
      </c>
      <c r="C587" s="13">
        <v>763</v>
      </c>
      <c r="D587" s="13" t="s">
        <v>1215</v>
      </c>
      <c r="E587" s="32" t="s">
        <v>1121</v>
      </c>
      <c r="F587" s="4">
        <v>250695</v>
      </c>
      <c r="G587" s="28" t="s">
        <v>1495</v>
      </c>
      <c r="H587" s="14">
        <v>43612</v>
      </c>
      <c r="I587" s="4" t="s">
        <v>293</v>
      </c>
      <c r="J587" s="76" t="s">
        <v>526</v>
      </c>
    </row>
    <row r="588" spans="1:12" x14ac:dyDescent="0.25">
      <c r="A588" s="32" t="s">
        <v>151</v>
      </c>
      <c r="B588" s="14">
        <v>43630</v>
      </c>
      <c r="C588" s="13">
        <v>764</v>
      </c>
      <c r="D588" s="13" t="s">
        <v>401</v>
      </c>
      <c r="E588" s="13" t="s">
        <v>1121</v>
      </c>
      <c r="F588" s="4">
        <v>3400</v>
      </c>
      <c r="G588" s="28" t="s">
        <v>7022</v>
      </c>
      <c r="H588" s="14">
        <v>43619</v>
      </c>
      <c r="I588" s="4" t="s">
        <v>3072</v>
      </c>
      <c r="J588" s="76"/>
      <c r="K588" s="246"/>
    </row>
    <row r="589" spans="1:12" s="192" customFormat="1" x14ac:dyDescent="0.25">
      <c r="A589" s="147" t="s">
        <v>242</v>
      </c>
      <c r="B589" s="164">
        <v>43630</v>
      </c>
      <c r="C589" s="187">
        <v>519</v>
      </c>
      <c r="D589" s="149" t="s">
        <v>291</v>
      </c>
      <c r="E589" s="147" t="s">
        <v>144</v>
      </c>
      <c r="F589" s="158">
        <v>67390.399999999994</v>
      </c>
      <c r="G589" s="150" t="s">
        <v>493</v>
      </c>
      <c r="H589" s="148">
        <v>43616</v>
      </c>
      <c r="I589" s="149" t="s">
        <v>143</v>
      </c>
      <c r="J589" s="193"/>
      <c r="K589" s="194"/>
      <c r="L589" s="190"/>
    </row>
    <row r="590" spans="1:12" s="192" customFormat="1" x14ac:dyDescent="0.25">
      <c r="A590" s="147" t="s">
        <v>242</v>
      </c>
      <c r="B590" s="164">
        <v>43630</v>
      </c>
      <c r="C590" s="187">
        <v>520</v>
      </c>
      <c r="D590" s="149" t="s">
        <v>291</v>
      </c>
      <c r="E590" s="147" t="s">
        <v>144</v>
      </c>
      <c r="F590" s="158">
        <v>90168</v>
      </c>
      <c r="G590" s="150" t="s">
        <v>52</v>
      </c>
      <c r="H590" s="148">
        <v>43616</v>
      </c>
      <c r="I590" s="149" t="s">
        <v>143</v>
      </c>
      <c r="J590" s="193"/>
      <c r="K590" s="194"/>
      <c r="L590" s="190"/>
    </row>
    <row r="591" spans="1:12" s="192" customFormat="1" x14ac:dyDescent="0.25">
      <c r="A591" s="147" t="s">
        <v>242</v>
      </c>
      <c r="B591" s="164">
        <v>43630</v>
      </c>
      <c r="C591" s="195">
        <v>521</v>
      </c>
      <c r="D591" s="149" t="s">
        <v>784</v>
      </c>
      <c r="E591" s="147" t="s">
        <v>144</v>
      </c>
      <c r="F591" s="158">
        <v>955715.45</v>
      </c>
      <c r="G591" s="150" t="s">
        <v>152</v>
      </c>
      <c r="H591" s="148">
        <v>43616</v>
      </c>
      <c r="I591" s="149" t="s">
        <v>143</v>
      </c>
      <c r="J591" s="193"/>
      <c r="K591" s="194"/>
      <c r="L591" s="190"/>
    </row>
    <row r="592" spans="1:12" x14ac:dyDescent="0.25">
      <c r="A592" s="32" t="s">
        <v>151</v>
      </c>
      <c r="B592" s="14">
        <v>43630</v>
      </c>
      <c r="C592" s="13">
        <v>167</v>
      </c>
      <c r="D592" s="13" t="s">
        <v>223</v>
      </c>
      <c r="E592" s="32" t="s">
        <v>22</v>
      </c>
      <c r="F592" s="4">
        <v>13510</v>
      </c>
      <c r="G592" s="28" t="s">
        <v>1125</v>
      </c>
      <c r="H592" s="14">
        <v>43592</v>
      </c>
      <c r="I592" s="4" t="s">
        <v>3072</v>
      </c>
      <c r="J592" s="76"/>
      <c r="K592" s="246"/>
    </row>
    <row r="593" spans="1:12" x14ac:dyDescent="0.25">
      <c r="A593" s="32" t="s">
        <v>151</v>
      </c>
      <c r="B593" s="14">
        <v>43630</v>
      </c>
      <c r="C593" s="13">
        <v>167</v>
      </c>
      <c r="D593" s="13" t="s">
        <v>223</v>
      </c>
      <c r="E593" s="32" t="s">
        <v>22</v>
      </c>
      <c r="F593" s="4">
        <v>14120</v>
      </c>
      <c r="G593" s="28" t="s">
        <v>177</v>
      </c>
      <c r="H593" s="14">
        <v>43601</v>
      </c>
      <c r="I593" s="4" t="s">
        <v>3072</v>
      </c>
      <c r="J593" s="76"/>
      <c r="K593" s="246"/>
    </row>
    <row r="594" spans="1:12" x14ac:dyDescent="0.25">
      <c r="A594" s="32" t="s">
        <v>151</v>
      </c>
      <c r="B594" s="14">
        <v>43630</v>
      </c>
      <c r="C594" s="13">
        <v>167</v>
      </c>
      <c r="D594" s="13" t="s">
        <v>223</v>
      </c>
      <c r="E594" s="32" t="s">
        <v>22</v>
      </c>
      <c r="F594" s="4">
        <v>36580</v>
      </c>
      <c r="G594" s="28" t="s">
        <v>42</v>
      </c>
      <c r="H594" s="14">
        <v>43614</v>
      </c>
      <c r="I594" s="4" t="s">
        <v>3072</v>
      </c>
      <c r="J594" s="76"/>
      <c r="K594" s="246"/>
    </row>
    <row r="595" spans="1:12" ht="15" customHeight="1" x14ac:dyDescent="0.25">
      <c r="A595" s="32" t="s">
        <v>151</v>
      </c>
      <c r="B595" s="14">
        <v>43630</v>
      </c>
      <c r="C595" s="13">
        <v>168</v>
      </c>
      <c r="D595" s="13" t="s">
        <v>6551</v>
      </c>
      <c r="E595" s="32" t="s">
        <v>22</v>
      </c>
      <c r="F595" s="4">
        <v>6500</v>
      </c>
      <c r="G595" s="28" t="s">
        <v>199</v>
      </c>
      <c r="H595" s="14">
        <v>43612</v>
      </c>
      <c r="I595" s="4" t="s">
        <v>8541</v>
      </c>
      <c r="J595" s="76"/>
    </row>
    <row r="596" spans="1:12" s="192" customFormat="1" ht="27.6" x14ac:dyDescent="0.25">
      <c r="A596" s="147" t="s">
        <v>242</v>
      </c>
      <c r="B596" s="164">
        <v>43630</v>
      </c>
      <c r="C596" s="187">
        <v>1222</v>
      </c>
      <c r="D596" s="149" t="s">
        <v>388</v>
      </c>
      <c r="E596" s="147" t="s">
        <v>7943</v>
      </c>
      <c r="F596" s="158">
        <v>1255923.1500000001</v>
      </c>
      <c r="G596" s="150" t="s">
        <v>3964</v>
      </c>
      <c r="H596" s="148">
        <v>43592</v>
      </c>
      <c r="I596" s="149" t="s">
        <v>143</v>
      </c>
      <c r="J596" s="193"/>
      <c r="K596" s="194"/>
      <c r="L596" s="190"/>
    </row>
    <row r="597" spans="1:12" ht="15" customHeight="1" x14ac:dyDescent="0.25">
      <c r="A597" s="32" t="s">
        <v>1219</v>
      </c>
      <c r="B597" s="14">
        <v>43630</v>
      </c>
      <c r="C597" s="13">
        <v>25</v>
      </c>
      <c r="D597" s="32" t="s">
        <v>1220</v>
      </c>
      <c r="E597" s="32" t="s">
        <v>1221</v>
      </c>
      <c r="F597" s="4">
        <v>90000</v>
      </c>
      <c r="G597" s="28" t="s">
        <v>476</v>
      </c>
      <c r="H597" s="14">
        <v>43617</v>
      </c>
      <c r="I597" s="41" t="s">
        <v>1325</v>
      </c>
      <c r="J597" s="167" t="s">
        <v>526</v>
      </c>
      <c r="K597" s="167"/>
      <c r="L597" s="35"/>
    </row>
    <row r="598" spans="1:12" ht="15" customHeight="1" x14ac:dyDescent="0.25">
      <c r="A598" s="32" t="s">
        <v>1219</v>
      </c>
      <c r="B598" s="14">
        <v>43630</v>
      </c>
      <c r="C598" s="13">
        <v>25</v>
      </c>
      <c r="D598" s="32" t="s">
        <v>1220</v>
      </c>
      <c r="E598" s="32" t="s">
        <v>1221</v>
      </c>
      <c r="F598" s="4">
        <v>11500</v>
      </c>
      <c r="G598" s="28" t="s">
        <v>1264</v>
      </c>
      <c r="H598" s="14">
        <v>43617</v>
      </c>
      <c r="I598" s="41" t="s">
        <v>1950</v>
      </c>
      <c r="J598" s="167" t="s">
        <v>1386</v>
      </c>
      <c r="K598" s="167"/>
      <c r="L598" s="35"/>
    </row>
    <row r="599" spans="1:12" x14ac:dyDescent="0.25">
      <c r="A599" s="32" t="s">
        <v>1148</v>
      </c>
      <c r="B599" s="14">
        <v>43630</v>
      </c>
      <c r="C599" s="13">
        <v>530</v>
      </c>
      <c r="D599" s="32" t="s">
        <v>4006</v>
      </c>
      <c r="E599" s="32" t="s">
        <v>136</v>
      </c>
      <c r="F599" s="4">
        <v>2000000</v>
      </c>
      <c r="G599" s="174" t="s">
        <v>5821</v>
      </c>
      <c r="H599" s="14">
        <v>43486</v>
      </c>
      <c r="I599" s="41" t="s">
        <v>490</v>
      </c>
      <c r="K599" s="63"/>
      <c r="L599" s="62"/>
    </row>
    <row r="600" spans="1:12" x14ac:dyDescent="0.25">
      <c r="A600" s="68" t="s">
        <v>639</v>
      </c>
      <c r="B600" s="14">
        <v>43630</v>
      </c>
      <c r="C600" s="13">
        <v>665</v>
      </c>
      <c r="D600" s="32" t="s">
        <v>905</v>
      </c>
      <c r="E600" s="32" t="s">
        <v>60</v>
      </c>
      <c r="F600" s="4">
        <v>10000000</v>
      </c>
      <c r="G600" s="86" t="s">
        <v>1120</v>
      </c>
      <c r="H600" s="211"/>
      <c r="I600" s="208" t="s">
        <v>1119</v>
      </c>
      <c r="J600" s="21"/>
      <c r="K600" s="228"/>
    </row>
    <row r="601" spans="1:12" s="97" customFormat="1" x14ac:dyDescent="0.25">
      <c r="A601" s="14" t="s">
        <v>151</v>
      </c>
      <c r="B601" s="14">
        <v>43630</v>
      </c>
      <c r="C601" s="13">
        <v>668</v>
      </c>
      <c r="D601" s="13" t="s">
        <v>1751</v>
      </c>
      <c r="E601" s="13" t="s">
        <v>60</v>
      </c>
      <c r="F601" s="4">
        <v>95474.29</v>
      </c>
      <c r="G601" s="29" t="s">
        <v>8605</v>
      </c>
      <c r="H601" s="14">
        <v>43581</v>
      </c>
      <c r="I601" s="4" t="s">
        <v>1383</v>
      </c>
      <c r="J601" s="22" t="s">
        <v>1386</v>
      </c>
      <c r="K601" s="22"/>
      <c r="L601" s="134"/>
    </row>
    <row r="602" spans="1:12" ht="13.95" customHeight="1" x14ac:dyDescent="0.25">
      <c r="A602" s="61" t="s">
        <v>310</v>
      </c>
      <c r="B602" s="14">
        <v>43630</v>
      </c>
      <c r="C602" s="13">
        <v>639</v>
      </c>
      <c r="D602" s="13" t="s">
        <v>474</v>
      </c>
      <c r="E602" s="32" t="s">
        <v>958</v>
      </c>
      <c r="F602" s="4">
        <v>953966</v>
      </c>
      <c r="G602" s="86" t="s">
        <v>5726</v>
      </c>
      <c r="H602" s="211"/>
      <c r="I602" s="4" t="s">
        <v>5727</v>
      </c>
      <c r="J602" s="21"/>
      <c r="K602" s="228"/>
    </row>
    <row r="603" spans="1:12" ht="13.95" customHeight="1" x14ac:dyDescent="0.25">
      <c r="A603" s="68" t="s">
        <v>310</v>
      </c>
      <c r="B603" s="14">
        <v>43630</v>
      </c>
      <c r="C603" s="13">
        <v>640</v>
      </c>
      <c r="D603" s="32" t="s">
        <v>438</v>
      </c>
      <c r="E603" s="32" t="s">
        <v>958</v>
      </c>
      <c r="F603" s="4">
        <v>2288555</v>
      </c>
      <c r="G603" s="86" t="s">
        <v>7297</v>
      </c>
      <c r="H603" s="211"/>
      <c r="I603" s="208" t="s">
        <v>252</v>
      </c>
      <c r="J603" s="21"/>
      <c r="K603" s="228"/>
    </row>
    <row r="604" spans="1:12" ht="13.95" customHeight="1" x14ac:dyDescent="0.25">
      <c r="A604" s="68" t="s">
        <v>1165</v>
      </c>
      <c r="B604" s="14">
        <v>43630</v>
      </c>
      <c r="C604" s="13">
        <v>1006</v>
      </c>
      <c r="D604" s="32" t="s">
        <v>2759</v>
      </c>
      <c r="E604" s="32" t="s">
        <v>62</v>
      </c>
      <c r="F604" s="4">
        <v>3000000</v>
      </c>
      <c r="G604" s="86" t="s">
        <v>2608</v>
      </c>
      <c r="H604" s="211"/>
      <c r="I604" s="84" t="s">
        <v>23</v>
      </c>
      <c r="J604" s="21"/>
      <c r="K604" s="228"/>
    </row>
    <row r="605" spans="1:12" ht="13.95" customHeight="1" x14ac:dyDescent="0.25">
      <c r="A605" s="61" t="s">
        <v>1148</v>
      </c>
      <c r="B605" s="14">
        <v>43630</v>
      </c>
      <c r="C605" s="13">
        <v>1096</v>
      </c>
      <c r="D605" s="13" t="s">
        <v>289</v>
      </c>
      <c r="E605" s="32" t="s">
        <v>808</v>
      </c>
      <c r="F605" s="4">
        <v>30000</v>
      </c>
      <c r="G605" s="86" t="s">
        <v>8907</v>
      </c>
      <c r="H605" s="211"/>
      <c r="I605" s="4" t="s">
        <v>9335</v>
      </c>
      <c r="J605" s="21"/>
      <c r="K605" s="228"/>
    </row>
    <row r="606" spans="1:12" ht="13.95" customHeight="1" x14ac:dyDescent="0.25">
      <c r="A606" s="68" t="s">
        <v>1316</v>
      </c>
      <c r="B606" s="14">
        <v>43630</v>
      </c>
      <c r="C606" s="13">
        <v>1097</v>
      </c>
      <c r="D606" s="32" t="s">
        <v>438</v>
      </c>
      <c r="E606" s="32" t="s">
        <v>808</v>
      </c>
      <c r="F606" s="4">
        <v>712700</v>
      </c>
      <c r="G606" s="86" t="s">
        <v>7306</v>
      </c>
      <c r="H606" s="211"/>
      <c r="I606" s="84" t="s">
        <v>202</v>
      </c>
      <c r="J606" s="21"/>
      <c r="K606" s="228"/>
    </row>
    <row r="607" spans="1:12" x14ac:dyDescent="0.25">
      <c r="A607" s="61" t="s">
        <v>659</v>
      </c>
      <c r="B607" s="14">
        <v>43630</v>
      </c>
      <c r="C607" s="13">
        <v>1098</v>
      </c>
      <c r="D607" s="32" t="s">
        <v>5965</v>
      </c>
      <c r="E607" s="13" t="s">
        <v>808</v>
      </c>
      <c r="F607" s="4">
        <v>500000</v>
      </c>
      <c r="G607" s="174" t="s">
        <v>5966</v>
      </c>
      <c r="H607" s="14"/>
      <c r="I607" s="4" t="s">
        <v>24</v>
      </c>
    </row>
    <row r="608" spans="1:12" ht="13.95" customHeight="1" x14ac:dyDescent="0.25">
      <c r="A608" s="68" t="s">
        <v>1148</v>
      </c>
      <c r="B608" s="14">
        <v>43630</v>
      </c>
      <c r="C608" s="13">
        <v>1099</v>
      </c>
      <c r="D608" s="32" t="s">
        <v>454</v>
      </c>
      <c r="E608" s="32" t="s">
        <v>808</v>
      </c>
      <c r="F608" s="4">
        <v>3000000</v>
      </c>
      <c r="G608" s="86" t="s">
        <v>4792</v>
      </c>
      <c r="H608" s="211"/>
      <c r="I608" s="4" t="s">
        <v>24</v>
      </c>
      <c r="J608" s="21"/>
      <c r="K608" s="228"/>
    </row>
    <row r="609" spans="1:28" ht="13.8" customHeight="1" x14ac:dyDescent="0.25">
      <c r="A609" s="32" t="s">
        <v>1148</v>
      </c>
      <c r="B609" s="14">
        <v>43630</v>
      </c>
      <c r="C609" s="13">
        <v>1100</v>
      </c>
      <c r="D609" s="32" t="s">
        <v>181</v>
      </c>
      <c r="E609" s="32" t="s">
        <v>808</v>
      </c>
      <c r="F609" s="4">
        <f>110040-16800</f>
        <v>93240</v>
      </c>
      <c r="G609" s="29" t="s">
        <v>1598</v>
      </c>
      <c r="H609" s="14">
        <v>43613</v>
      </c>
      <c r="I609" s="4" t="s">
        <v>102</v>
      </c>
      <c r="J609" s="21"/>
      <c r="K609" s="228"/>
    </row>
    <row r="610" spans="1:28" s="50" customFormat="1" x14ac:dyDescent="0.25">
      <c r="A610" s="68" t="s">
        <v>660</v>
      </c>
      <c r="B610" s="14">
        <v>43630</v>
      </c>
      <c r="C610" s="13">
        <v>460</v>
      </c>
      <c r="D610" s="218" t="s">
        <v>385</v>
      </c>
      <c r="E610" s="218" t="s">
        <v>691</v>
      </c>
      <c r="F610" s="4">
        <v>500000</v>
      </c>
      <c r="G610" s="28" t="s">
        <v>1541</v>
      </c>
      <c r="H610" s="14"/>
      <c r="I610" s="127" t="s">
        <v>1542</v>
      </c>
    </row>
    <row r="611" spans="1:28" x14ac:dyDescent="0.25">
      <c r="A611" s="13" t="s">
        <v>151</v>
      </c>
      <c r="B611" s="14">
        <v>43630</v>
      </c>
      <c r="C611" s="13">
        <v>1005</v>
      </c>
      <c r="D611" s="32" t="s">
        <v>112</v>
      </c>
      <c r="E611" s="32" t="s">
        <v>62</v>
      </c>
      <c r="F611" s="4">
        <v>49000</v>
      </c>
      <c r="G611" s="29" t="s">
        <v>1380</v>
      </c>
      <c r="H611" s="14">
        <v>43627</v>
      </c>
      <c r="I611" s="4" t="s">
        <v>8928</v>
      </c>
      <c r="J611" s="21"/>
      <c r="K611" s="228"/>
    </row>
    <row r="612" spans="1:28" ht="15" customHeight="1" x14ac:dyDescent="0.25">
      <c r="A612" s="13" t="s">
        <v>964</v>
      </c>
      <c r="B612" s="14">
        <v>43630</v>
      </c>
      <c r="C612" s="13">
        <v>765</v>
      </c>
      <c r="D612" s="13" t="s">
        <v>8935</v>
      </c>
      <c r="E612" s="32" t="s">
        <v>1121</v>
      </c>
      <c r="F612" s="4">
        <v>10000</v>
      </c>
      <c r="G612" s="28" t="s">
        <v>1600</v>
      </c>
      <c r="H612" s="14">
        <v>43623</v>
      </c>
      <c r="I612" s="4" t="s">
        <v>8936</v>
      </c>
      <c r="J612" s="76"/>
    </row>
    <row r="613" spans="1:28" s="129" customFormat="1" x14ac:dyDescent="0.25">
      <c r="A613" s="13" t="s">
        <v>151</v>
      </c>
      <c r="B613" s="14">
        <v>43630</v>
      </c>
      <c r="C613" s="28" t="s">
        <v>8983</v>
      </c>
      <c r="D613" s="13" t="s">
        <v>711</v>
      </c>
      <c r="E613" s="32" t="s">
        <v>1121</v>
      </c>
      <c r="F613" s="4">
        <f>5200+2800+2650</f>
        <v>10650</v>
      </c>
      <c r="G613" s="28" t="s">
        <v>8941</v>
      </c>
      <c r="H613" s="28" t="s">
        <v>8942</v>
      </c>
      <c r="I613" s="4" t="s">
        <v>712</v>
      </c>
      <c r="J613" s="170"/>
      <c r="K613" s="136"/>
    </row>
    <row r="614" spans="1:28" s="2" customFormat="1" x14ac:dyDescent="0.25">
      <c r="A614" s="13" t="s">
        <v>6</v>
      </c>
      <c r="B614" s="14">
        <v>43630</v>
      </c>
      <c r="C614" s="13">
        <v>285</v>
      </c>
      <c r="D614" s="13" t="s">
        <v>585</v>
      </c>
      <c r="E614" s="13" t="s">
        <v>183</v>
      </c>
      <c r="F614" s="4">
        <v>870</v>
      </c>
      <c r="G614" s="28" t="s">
        <v>8929</v>
      </c>
      <c r="H614" s="14">
        <v>43626</v>
      </c>
      <c r="I614" s="4" t="s">
        <v>1</v>
      </c>
      <c r="J614" s="341"/>
      <c r="K614" s="31"/>
      <c r="L614" s="31"/>
      <c r="M614" s="31"/>
      <c r="N614" s="31"/>
      <c r="O614" s="34"/>
      <c r="P614" s="34"/>
      <c r="Q614" s="34"/>
      <c r="R614" s="34"/>
      <c r="S614" s="34"/>
    </row>
    <row r="615" spans="1:28" s="97" customFormat="1" x14ac:dyDescent="0.25">
      <c r="A615" s="13" t="s">
        <v>6</v>
      </c>
      <c r="B615" s="14">
        <v>43630</v>
      </c>
      <c r="C615" s="67">
        <v>286</v>
      </c>
      <c r="D615" s="13" t="s">
        <v>2050</v>
      </c>
      <c r="E615" s="13" t="s">
        <v>183</v>
      </c>
      <c r="F615" s="4">
        <v>10000</v>
      </c>
      <c r="G615" s="29" t="s">
        <v>7528</v>
      </c>
      <c r="H615" s="14">
        <v>43615</v>
      </c>
      <c r="I615" s="4" t="s">
        <v>1251</v>
      </c>
      <c r="J615" s="22" t="s">
        <v>1386</v>
      </c>
      <c r="K615" s="22"/>
      <c r="L615" s="134"/>
    </row>
    <row r="616" spans="1:28" s="2" customFormat="1" x14ac:dyDescent="0.25">
      <c r="A616" s="13" t="s">
        <v>6</v>
      </c>
      <c r="B616" s="14">
        <v>43630</v>
      </c>
      <c r="C616" s="13">
        <v>284</v>
      </c>
      <c r="D616" s="32" t="s">
        <v>3019</v>
      </c>
      <c r="E616" s="13" t="s">
        <v>183</v>
      </c>
      <c r="F616" s="299">
        <f>1473.4*73.0141</f>
        <v>107578.97494</v>
      </c>
      <c r="G616" s="29" t="s">
        <v>8931</v>
      </c>
      <c r="H616" s="14">
        <v>43626</v>
      </c>
      <c r="I616" s="4" t="s">
        <v>8932</v>
      </c>
      <c r="J616" s="341"/>
      <c r="K616" s="31"/>
      <c r="L616" s="31"/>
      <c r="M616" s="31"/>
      <c r="N616" s="31"/>
      <c r="O616" s="34"/>
      <c r="P616" s="34"/>
      <c r="Q616" s="34"/>
      <c r="R616" s="34"/>
      <c r="S616" s="34"/>
    </row>
    <row r="617" spans="1:28" s="2" customFormat="1" ht="15" customHeight="1" x14ac:dyDescent="0.25">
      <c r="A617" s="13" t="s">
        <v>6</v>
      </c>
      <c r="B617" s="14">
        <v>43630</v>
      </c>
      <c r="C617" s="13">
        <v>287</v>
      </c>
      <c r="D617" s="13" t="s">
        <v>1394</v>
      </c>
      <c r="E617" s="13" t="s">
        <v>183</v>
      </c>
      <c r="F617" s="4">
        <f>464400-139320*2</f>
        <v>185760</v>
      </c>
      <c r="G617" s="29" t="s">
        <v>52</v>
      </c>
      <c r="H617" s="14">
        <v>43602</v>
      </c>
      <c r="I617" s="4" t="s">
        <v>7987</v>
      </c>
      <c r="J617" s="341"/>
      <c r="K617" s="31"/>
      <c r="L617" s="31"/>
      <c r="M617" s="31"/>
      <c r="N617" s="31"/>
      <c r="O617" s="34"/>
      <c r="P617" s="34"/>
      <c r="Q617" s="34"/>
      <c r="R617" s="34"/>
      <c r="S617" s="34"/>
    </row>
    <row r="618" spans="1:28" s="2" customFormat="1" ht="15" customHeight="1" x14ac:dyDescent="0.25">
      <c r="A618" s="13" t="s">
        <v>6</v>
      </c>
      <c r="B618" s="14">
        <v>43630</v>
      </c>
      <c r="C618" s="13">
        <v>288</v>
      </c>
      <c r="D618" s="32" t="s">
        <v>6703</v>
      </c>
      <c r="E618" s="13" t="s">
        <v>183</v>
      </c>
      <c r="F618" s="4">
        <v>122034</v>
      </c>
      <c r="G618" s="29" t="s">
        <v>4091</v>
      </c>
      <c r="H618" s="14">
        <v>43616</v>
      </c>
      <c r="I618" s="4" t="s">
        <v>8930</v>
      </c>
      <c r="J618" s="341"/>
      <c r="K618" s="31"/>
      <c r="L618" s="31"/>
      <c r="M618" s="31"/>
      <c r="N618" s="31"/>
      <c r="O618" s="34"/>
      <c r="P618" s="34"/>
      <c r="Q618" s="34"/>
      <c r="R618" s="34"/>
      <c r="S618" s="34"/>
    </row>
    <row r="619" spans="1:28" s="2" customFormat="1" ht="15" customHeight="1" x14ac:dyDescent="0.25">
      <c r="A619" s="61" t="s">
        <v>6</v>
      </c>
      <c r="B619" s="14">
        <v>43630</v>
      </c>
      <c r="C619" s="13">
        <v>289</v>
      </c>
      <c r="D619" s="13" t="s">
        <v>8933</v>
      </c>
      <c r="E619" s="13" t="s">
        <v>183</v>
      </c>
      <c r="F619" s="4">
        <v>10000</v>
      </c>
      <c r="G619" s="29" t="s">
        <v>8934</v>
      </c>
      <c r="H619" s="14">
        <v>43627</v>
      </c>
      <c r="I619" s="4" t="s">
        <v>313</v>
      </c>
      <c r="J619" s="341"/>
      <c r="K619" s="31"/>
      <c r="L619" s="31"/>
      <c r="M619" s="31"/>
      <c r="N619" s="31"/>
      <c r="O619" s="34"/>
      <c r="P619" s="34"/>
      <c r="Q619" s="34"/>
      <c r="R619" s="34"/>
      <c r="S619" s="34"/>
    </row>
    <row r="620" spans="1:28" s="50" customFormat="1" ht="27.6" x14ac:dyDescent="0.25">
      <c r="A620" s="13" t="s">
        <v>92</v>
      </c>
      <c r="B620" s="14">
        <v>43630</v>
      </c>
      <c r="C620" s="13">
        <v>990</v>
      </c>
      <c r="D620" s="32" t="s">
        <v>373</v>
      </c>
      <c r="E620" s="218" t="s">
        <v>7168</v>
      </c>
      <c r="F620" s="224">
        <v>2824900</v>
      </c>
      <c r="G620" s="28" t="s">
        <v>4765</v>
      </c>
      <c r="H620" s="14">
        <v>42851</v>
      </c>
      <c r="I620" s="32" t="s">
        <v>4764</v>
      </c>
      <c r="J620" s="325"/>
    </row>
    <row r="621" spans="1:28" s="50" customFormat="1" x14ac:dyDescent="0.25">
      <c r="A621" s="14" t="s">
        <v>310</v>
      </c>
      <c r="B621" s="14">
        <v>43630</v>
      </c>
      <c r="C621" s="13">
        <v>641</v>
      </c>
      <c r="D621" s="218" t="s">
        <v>8984</v>
      </c>
      <c r="E621" s="218" t="s">
        <v>958</v>
      </c>
      <c r="F621" s="4">
        <v>2066565</v>
      </c>
      <c r="G621" s="28" t="s">
        <v>8985</v>
      </c>
      <c r="H621" s="14">
        <v>43199</v>
      </c>
      <c r="I621" s="32" t="s">
        <v>16</v>
      </c>
      <c r="J621" s="325" t="s">
        <v>655</v>
      </c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spans="1:28" s="62" customFormat="1" ht="15" customHeight="1" x14ac:dyDescent="0.25">
      <c r="A622" s="61" t="s">
        <v>261</v>
      </c>
      <c r="B622" s="14">
        <v>43630</v>
      </c>
      <c r="C622" s="13">
        <v>254</v>
      </c>
      <c r="D622" s="13" t="s">
        <v>210</v>
      </c>
      <c r="E622" s="13" t="s">
        <v>6889</v>
      </c>
      <c r="F622" s="37">
        <v>119523.6</v>
      </c>
      <c r="G622" s="29" t="s">
        <v>8948</v>
      </c>
      <c r="H622" s="14">
        <v>43622</v>
      </c>
      <c r="I622" s="4" t="s">
        <v>426</v>
      </c>
      <c r="J622" s="22" t="s">
        <v>1386</v>
      </c>
      <c r="O622" s="35"/>
      <c r="P622" s="35"/>
      <c r="Q622" s="35"/>
      <c r="R622" s="35"/>
      <c r="S622" s="35"/>
    </row>
    <row r="623" spans="1:28" s="62" customFormat="1" ht="15" customHeight="1" x14ac:dyDescent="0.25">
      <c r="A623" s="61" t="s">
        <v>261</v>
      </c>
      <c r="B623" s="14">
        <v>43630</v>
      </c>
      <c r="C623" s="13">
        <v>253</v>
      </c>
      <c r="D623" s="13" t="s">
        <v>210</v>
      </c>
      <c r="E623" s="13" t="s">
        <v>9044</v>
      </c>
      <c r="F623" s="37">
        <v>119523.6</v>
      </c>
      <c r="G623" s="29" t="s">
        <v>8949</v>
      </c>
      <c r="H623" s="14">
        <v>43622</v>
      </c>
      <c r="I623" s="4" t="s">
        <v>546</v>
      </c>
      <c r="J623" s="22" t="s">
        <v>1386</v>
      </c>
      <c r="O623" s="35"/>
      <c r="P623" s="35"/>
      <c r="Q623" s="35"/>
      <c r="R623" s="35"/>
      <c r="S623" s="35"/>
    </row>
    <row r="624" spans="1:28" ht="27.6" x14ac:dyDescent="0.25">
      <c r="A624" s="32" t="s">
        <v>2019</v>
      </c>
      <c r="B624" s="14">
        <v>43633</v>
      </c>
      <c r="C624" s="13">
        <v>842</v>
      </c>
      <c r="D624" s="32" t="s">
        <v>392</v>
      </c>
      <c r="E624" s="32" t="s">
        <v>6997</v>
      </c>
      <c r="F624" s="4">
        <v>1063901.46</v>
      </c>
      <c r="G624" s="28" t="s">
        <v>8909</v>
      </c>
      <c r="H624" s="14">
        <v>43619</v>
      </c>
      <c r="I624" s="41" t="s">
        <v>621</v>
      </c>
      <c r="J624" s="35" t="s">
        <v>1386</v>
      </c>
      <c r="K624" s="167"/>
      <c r="L624" s="35"/>
    </row>
    <row r="625" spans="1:19" x14ac:dyDescent="0.25">
      <c r="A625" s="61" t="s">
        <v>460</v>
      </c>
      <c r="B625" s="14">
        <v>43633</v>
      </c>
      <c r="C625" s="13">
        <v>522</v>
      </c>
      <c r="D625" s="13" t="s">
        <v>8919</v>
      </c>
      <c r="E625" s="32" t="s">
        <v>144</v>
      </c>
      <c r="F625" s="4">
        <v>22400</v>
      </c>
      <c r="G625" s="86" t="s">
        <v>8920</v>
      </c>
      <c r="H625" s="211"/>
      <c r="I625" s="326"/>
      <c r="K625" s="62"/>
    </row>
    <row r="626" spans="1:19" x14ac:dyDescent="0.25">
      <c r="A626" s="13" t="s">
        <v>151</v>
      </c>
      <c r="B626" s="14">
        <v>43633</v>
      </c>
      <c r="C626" s="13">
        <v>173</v>
      </c>
      <c r="D626" s="13" t="s">
        <v>5752</v>
      </c>
      <c r="E626" s="32" t="s">
        <v>22</v>
      </c>
      <c r="F626" s="4">
        <v>3674.28</v>
      </c>
      <c r="G626" s="28" t="s">
        <v>8913</v>
      </c>
      <c r="H626" s="14">
        <v>43629</v>
      </c>
      <c r="I626" s="4" t="s">
        <v>7856</v>
      </c>
      <c r="J626" s="125"/>
    </row>
    <row r="627" spans="1:19" x14ac:dyDescent="0.25">
      <c r="A627" s="13" t="s">
        <v>151</v>
      </c>
      <c r="B627" s="14">
        <v>43633</v>
      </c>
      <c r="C627" s="13">
        <v>174</v>
      </c>
      <c r="D627" s="13" t="s">
        <v>8937</v>
      </c>
      <c r="E627" s="32" t="s">
        <v>22</v>
      </c>
      <c r="F627" s="4">
        <v>20630</v>
      </c>
      <c r="G627" s="28" t="s">
        <v>8938</v>
      </c>
      <c r="H627" s="14">
        <v>43627</v>
      </c>
      <c r="I627" s="4" t="s">
        <v>8939</v>
      </c>
      <c r="J627" s="125"/>
    </row>
    <row r="628" spans="1:19" s="115" customFormat="1" ht="15.6" customHeight="1" x14ac:dyDescent="0.25">
      <c r="A628" s="61" t="s">
        <v>455</v>
      </c>
      <c r="B628" s="14">
        <v>43633</v>
      </c>
      <c r="C628" s="13">
        <v>389</v>
      </c>
      <c r="D628" s="13" t="s">
        <v>873</v>
      </c>
      <c r="E628" s="13" t="s">
        <v>440</v>
      </c>
      <c r="F628" s="4">
        <v>456774.95</v>
      </c>
      <c r="G628" s="13" t="s">
        <v>874</v>
      </c>
      <c r="H628" s="126">
        <v>43563</v>
      </c>
      <c r="I628" s="29" t="s">
        <v>875</v>
      </c>
      <c r="J628" s="258"/>
      <c r="K628" s="116"/>
      <c r="L628" s="116"/>
      <c r="M628" s="116"/>
      <c r="N628" s="116"/>
      <c r="O628" s="117"/>
      <c r="P628" s="117"/>
      <c r="Q628" s="117"/>
      <c r="R628" s="117"/>
      <c r="S628" s="117"/>
    </row>
    <row r="629" spans="1:19" s="115" customFormat="1" ht="15.6" x14ac:dyDescent="0.25">
      <c r="A629" s="13" t="s">
        <v>310</v>
      </c>
      <c r="B629" s="14">
        <v>43633</v>
      </c>
      <c r="C629" s="13">
        <v>264</v>
      </c>
      <c r="D629" s="13" t="s">
        <v>873</v>
      </c>
      <c r="E629" s="13" t="s">
        <v>314</v>
      </c>
      <c r="F629" s="4">
        <v>231800</v>
      </c>
      <c r="G629" s="13" t="s">
        <v>8528</v>
      </c>
      <c r="H629" s="126">
        <v>43593</v>
      </c>
      <c r="I629" s="29" t="s">
        <v>875</v>
      </c>
      <c r="J629" s="258"/>
      <c r="K629" s="116"/>
      <c r="L629" s="116"/>
      <c r="M629" s="116"/>
      <c r="N629" s="116"/>
      <c r="O629" s="117"/>
      <c r="P629" s="117"/>
      <c r="Q629" s="117"/>
      <c r="R629" s="117"/>
      <c r="S629" s="117"/>
    </row>
    <row r="630" spans="1:19" x14ac:dyDescent="0.25">
      <c r="A630" s="61" t="s">
        <v>1148</v>
      </c>
      <c r="B630" s="14">
        <v>43633</v>
      </c>
      <c r="C630" s="13">
        <v>992</v>
      </c>
      <c r="D630" s="13" t="s">
        <v>971</v>
      </c>
      <c r="E630" s="13" t="s">
        <v>130</v>
      </c>
      <c r="F630" s="37">
        <v>48240</v>
      </c>
      <c r="G630" s="29" t="s">
        <v>3852</v>
      </c>
      <c r="H630" s="14">
        <v>43555</v>
      </c>
      <c r="I630" s="4" t="s">
        <v>182</v>
      </c>
    </row>
    <row r="631" spans="1:19" x14ac:dyDescent="0.25">
      <c r="A631" s="61" t="s">
        <v>55</v>
      </c>
      <c r="B631" s="14">
        <v>43633</v>
      </c>
      <c r="C631" s="13">
        <v>992</v>
      </c>
      <c r="D631" s="13" t="s">
        <v>971</v>
      </c>
      <c r="E631" s="13" t="s">
        <v>130</v>
      </c>
      <c r="F631" s="37">
        <v>36180</v>
      </c>
      <c r="G631" s="29" t="s">
        <v>201</v>
      </c>
      <c r="H631" s="14">
        <v>43555</v>
      </c>
      <c r="I631" s="4" t="s">
        <v>182</v>
      </c>
    </row>
    <row r="632" spans="1:19" s="97" customFormat="1" x14ac:dyDescent="0.25">
      <c r="A632" s="14" t="s">
        <v>151</v>
      </c>
      <c r="B632" s="14">
        <v>43633</v>
      </c>
      <c r="C632" s="13">
        <v>993</v>
      </c>
      <c r="D632" s="13" t="s">
        <v>1751</v>
      </c>
      <c r="E632" s="13" t="s">
        <v>130</v>
      </c>
      <c r="F632" s="4">
        <v>3939.88</v>
      </c>
      <c r="G632" s="29" t="s">
        <v>8606</v>
      </c>
      <c r="H632" s="14">
        <v>43581</v>
      </c>
      <c r="I632" s="4" t="s">
        <v>1383</v>
      </c>
      <c r="J632" s="22" t="s">
        <v>1386</v>
      </c>
      <c r="K632" s="22"/>
      <c r="L632" s="134"/>
    </row>
    <row r="633" spans="1:19" s="97" customFormat="1" x14ac:dyDescent="0.25">
      <c r="A633" s="14" t="s">
        <v>151</v>
      </c>
      <c r="B633" s="14">
        <v>43633</v>
      </c>
      <c r="C633" s="13">
        <v>993</v>
      </c>
      <c r="D633" s="13" t="s">
        <v>1751</v>
      </c>
      <c r="E633" s="13" t="s">
        <v>130</v>
      </c>
      <c r="F633" s="4">
        <v>3939.88</v>
      </c>
      <c r="G633" s="29" t="s">
        <v>8898</v>
      </c>
      <c r="H633" s="14">
        <v>43615</v>
      </c>
      <c r="I633" s="4" t="s">
        <v>1383</v>
      </c>
      <c r="J633" s="22" t="s">
        <v>526</v>
      </c>
      <c r="K633" s="22"/>
      <c r="L633" s="134"/>
    </row>
    <row r="634" spans="1:19" x14ac:dyDescent="0.25">
      <c r="A634" s="13" t="s">
        <v>151</v>
      </c>
      <c r="B634" s="14">
        <v>43633</v>
      </c>
      <c r="C634" s="13">
        <v>677</v>
      </c>
      <c r="D634" s="13" t="s">
        <v>1678</v>
      </c>
      <c r="E634" s="32" t="s">
        <v>60</v>
      </c>
      <c r="F634" s="4">
        <v>72650</v>
      </c>
      <c r="G634" s="28" t="s">
        <v>8926</v>
      </c>
      <c r="H634" s="14">
        <v>43617</v>
      </c>
      <c r="I634" s="4" t="s">
        <v>8927</v>
      </c>
      <c r="J634" s="125"/>
    </row>
    <row r="635" spans="1:19" ht="13.95" customHeight="1" x14ac:dyDescent="0.25">
      <c r="A635" s="68" t="s">
        <v>455</v>
      </c>
      <c r="B635" s="14">
        <v>43633</v>
      </c>
      <c r="C635" s="13">
        <v>649</v>
      </c>
      <c r="D635" s="32" t="s">
        <v>2144</v>
      </c>
      <c r="E635" s="32" t="s">
        <v>958</v>
      </c>
      <c r="F635" s="4">
        <v>2049462</v>
      </c>
      <c r="G635" s="86" t="s">
        <v>7300</v>
      </c>
      <c r="H635" s="211"/>
      <c r="I635" s="41" t="s">
        <v>8046</v>
      </c>
      <c r="J635" s="21"/>
      <c r="K635" s="228"/>
    </row>
    <row r="636" spans="1:19" s="97" customFormat="1" x14ac:dyDescent="0.25">
      <c r="A636" s="68" t="s">
        <v>160</v>
      </c>
      <c r="B636" s="14">
        <v>43633</v>
      </c>
      <c r="C636" s="13">
        <v>653</v>
      </c>
      <c r="D636" s="13" t="s">
        <v>982</v>
      </c>
      <c r="E636" s="13" t="s">
        <v>958</v>
      </c>
      <c r="F636" s="4">
        <v>500000</v>
      </c>
      <c r="G636" s="29" t="s">
        <v>5230</v>
      </c>
      <c r="H636" s="14">
        <v>42601</v>
      </c>
      <c r="I636" s="4" t="s">
        <v>1093</v>
      </c>
      <c r="J636" s="133"/>
      <c r="K636" s="22"/>
      <c r="L636" s="134"/>
    </row>
    <row r="637" spans="1:19" s="62" customFormat="1" ht="15" customHeight="1" x14ac:dyDescent="0.25">
      <c r="A637" s="32" t="s">
        <v>455</v>
      </c>
      <c r="B637" s="14">
        <v>43633</v>
      </c>
      <c r="C637" s="13">
        <v>650</v>
      </c>
      <c r="D637" s="13" t="s">
        <v>1032</v>
      </c>
      <c r="E637" s="13" t="s">
        <v>958</v>
      </c>
      <c r="F637" s="37">
        <v>151850</v>
      </c>
      <c r="G637" s="486" t="s">
        <v>5051</v>
      </c>
      <c r="H637" s="14">
        <v>43199</v>
      </c>
      <c r="I637" s="4" t="s">
        <v>1906</v>
      </c>
      <c r="J637" s="133"/>
      <c r="K637" s="22"/>
      <c r="M637" s="444"/>
      <c r="O637" s="35"/>
      <c r="P637" s="35"/>
      <c r="Q637" s="35"/>
      <c r="R637" s="35"/>
      <c r="S637" s="35"/>
    </row>
    <row r="638" spans="1:19" s="62" customFormat="1" ht="15" customHeight="1" x14ac:dyDescent="0.25">
      <c r="A638" s="13" t="s">
        <v>455</v>
      </c>
      <c r="B638" s="14">
        <v>43633</v>
      </c>
      <c r="C638" s="28" t="s">
        <v>723</v>
      </c>
      <c r="D638" s="13" t="s">
        <v>1555</v>
      </c>
      <c r="E638" s="32" t="s">
        <v>958</v>
      </c>
      <c r="F638" s="4">
        <v>8400</v>
      </c>
      <c r="G638" s="29" t="s">
        <v>8947</v>
      </c>
      <c r="H638" s="14">
        <v>43616</v>
      </c>
      <c r="I638" s="4" t="s">
        <v>118</v>
      </c>
      <c r="J638" s="71" t="s">
        <v>526</v>
      </c>
      <c r="O638" s="35"/>
      <c r="P638" s="35"/>
      <c r="Q638" s="35"/>
      <c r="R638" s="35"/>
      <c r="S638" s="35"/>
    </row>
    <row r="639" spans="1:19" x14ac:dyDescent="0.25">
      <c r="A639" s="32" t="s">
        <v>455</v>
      </c>
      <c r="B639" s="14">
        <v>43633</v>
      </c>
      <c r="C639" s="67">
        <v>652</v>
      </c>
      <c r="D639" s="32" t="s">
        <v>7224</v>
      </c>
      <c r="E639" s="13" t="s">
        <v>958</v>
      </c>
      <c r="F639" s="4">
        <v>120000</v>
      </c>
      <c r="G639" s="67">
        <v>344</v>
      </c>
      <c r="H639" s="14">
        <v>43630</v>
      </c>
      <c r="I639" s="4" t="s">
        <v>7225</v>
      </c>
      <c r="J639" s="21" t="s">
        <v>8967</v>
      </c>
      <c r="K639" s="228"/>
    </row>
    <row r="640" spans="1:19" x14ac:dyDescent="0.25">
      <c r="A640" s="32" t="s">
        <v>455</v>
      </c>
      <c r="B640" s="14">
        <v>43633</v>
      </c>
      <c r="C640" s="67">
        <v>652</v>
      </c>
      <c r="D640" s="32" t="s">
        <v>7224</v>
      </c>
      <c r="E640" s="13" t="s">
        <v>958</v>
      </c>
      <c r="F640" s="4">
        <v>5000</v>
      </c>
      <c r="G640" s="67">
        <v>346</v>
      </c>
      <c r="H640" s="14">
        <v>43630</v>
      </c>
      <c r="I640" s="4" t="s">
        <v>7226</v>
      </c>
      <c r="J640" s="21" t="s">
        <v>8967</v>
      </c>
      <c r="K640" s="228"/>
    </row>
    <row r="641" spans="1:12" ht="27.6" x14ac:dyDescent="0.25">
      <c r="A641" s="32" t="s">
        <v>455</v>
      </c>
      <c r="B641" s="14">
        <v>43633</v>
      </c>
      <c r="C641" s="67">
        <v>652</v>
      </c>
      <c r="D641" s="32" t="s">
        <v>7224</v>
      </c>
      <c r="E641" s="13" t="s">
        <v>958</v>
      </c>
      <c r="F641" s="4">
        <v>55020</v>
      </c>
      <c r="G641" s="67">
        <v>345</v>
      </c>
      <c r="H641" s="14">
        <v>43630</v>
      </c>
      <c r="I641" s="4" t="s">
        <v>7230</v>
      </c>
      <c r="J641" s="21" t="s">
        <v>8967</v>
      </c>
      <c r="K641" s="228"/>
    </row>
    <row r="642" spans="1:12" x14ac:dyDescent="0.25">
      <c r="A642" s="61" t="s">
        <v>311</v>
      </c>
      <c r="B642" s="14">
        <v>43633</v>
      </c>
      <c r="C642" s="13">
        <v>654</v>
      </c>
      <c r="D642" s="13" t="s">
        <v>80</v>
      </c>
      <c r="E642" s="13" t="s">
        <v>958</v>
      </c>
      <c r="F642" s="37">
        <v>12800</v>
      </c>
      <c r="G642" s="29" t="s">
        <v>8579</v>
      </c>
      <c r="H642" s="14">
        <v>43599</v>
      </c>
      <c r="I642" s="4" t="s">
        <v>354</v>
      </c>
    </row>
    <row r="643" spans="1:12" ht="13.95" customHeight="1" x14ac:dyDescent="0.25">
      <c r="A643" s="61" t="s">
        <v>92</v>
      </c>
      <c r="B643" s="14">
        <v>43633</v>
      </c>
      <c r="C643" s="13">
        <v>1012</v>
      </c>
      <c r="D643" s="32" t="s">
        <v>667</v>
      </c>
      <c r="E643" s="32" t="s">
        <v>62</v>
      </c>
      <c r="F643" s="4">
        <v>5000000</v>
      </c>
      <c r="G643" s="86" t="s">
        <v>5425</v>
      </c>
      <c r="H643" s="211"/>
      <c r="I643" s="208" t="s">
        <v>5426</v>
      </c>
      <c r="J643" s="21"/>
      <c r="K643" s="228"/>
    </row>
    <row r="644" spans="1:12" ht="15" customHeight="1" x14ac:dyDescent="0.25">
      <c r="A644" s="68" t="s">
        <v>358</v>
      </c>
      <c r="B644" s="14">
        <v>43633</v>
      </c>
      <c r="C644" s="13">
        <v>1013</v>
      </c>
      <c r="D644" s="13" t="s">
        <v>969</v>
      </c>
      <c r="E644" s="32" t="s">
        <v>62</v>
      </c>
      <c r="F644" s="4">
        <v>3000000</v>
      </c>
      <c r="G644" s="86" t="s">
        <v>4762</v>
      </c>
      <c r="H644" s="14"/>
      <c r="I644" s="4" t="s">
        <v>4763</v>
      </c>
      <c r="J644" s="71"/>
      <c r="K644" s="62"/>
      <c r="L644" s="62"/>
    </row>
    <row r="645" spans="1:12" ht="13.95" customHeight="1" x14ac:dyDescent="0.25">
      <c r="A645" s="32" t="s">
        <v>442</v>
      </c>
      <c r="B645" s="14">
        <v>43633</v>
      </c>
      <c r="C645" s="13">
        <v>1014</v>
      </c>
      <c r="D645" s="32" t="s">
        <v>1840</v>
      </c>
      <c r="E645" s="32" t="s">
        <v>62</v>
      </c>
      <c r="F645" s="4">
        <v>500000</v>
      </c>
      <c r="G645" s="69" t="s">
        <v>5597</v>
      </c>
      <c r="H645" s="14"/>
      <c r="I645" s="41" t="s">
        <v>1918</v>
      </c>
      <c r="J645" s="21"/>
      <c r="K645" s="228"/>
    </row>
    <row r="646" spans="1:12" s="97" customFormat="1" x14ac:dyDescent="0.25">
      <c r="A646" s="61" t="s">
        <v>442</v>
      </c>
      <c r="B646" s="14">
        <v>43633</v>
      </c>
      <c r="C646" s="13">
        <v>1015</v>
      </c>
      <c r="D646" s="13" t="s">
        <v>304</v>
      </c>
      <c r="E646" s="13" t="s">
        <v>62</v>
      </c>
      <c r="F646" s="37">
        <v>500000</v>
      </c>
      <c r="G646" s="29" t="s">
        <v>8610</v>
      </c>
      <c r="H646" s="14">
        <v>43606</v>
      </c>
      <c r="I646" s="4" t="s">
        <v>1825</v>
      </c>
      <c r="J646" s="133" t="s">
        <v>8648</v>
      </c>
      <c r="K646" s="22"/>
      <c r="L646" s="134"/>
    </row>
    <row r="647" spans="1:12" s="97" customFormat="1" x14ac:dyDescent="0.25">
      <c r="A647" s="61" t="s">
        <v>442</v>
      </c>
      <c r="B647" s="14">
        <v>43633</v>
      </c>
      <c r="C647" s="13">
        <v>1017</v>
      </c>
      <c r="D647" s="13" t="s">
        <v>589</v>
      </c>
      <c r="E647" s="13" t="s">
        <v>62</v>
      </c>
      <c r="F647" s="4">
        <v>396500</v>
      </c>
      <c r="G647" s="29" t="s">
        <v>7471</v>
      </c>
      <c r="H647" s="14">
        <v>43580</v>
      </c>
      <c r="I647" s="4" t="s">
        <v>2730</v>
      </c>
      <c r="J647" s="133"/>
      <c r="K647" s="22"/>
      <c r="L647" s="134"/>
    </row>
    <row r="648" spans="1:12" s="97" customFormat="1" x14ac:dyDescent="0.25">
      <c r="A648" s="61" t="s">
        <v>92</v>
      </c>
      <c r="B648" s="14">
        <v>43633</v>
      </c>
      <c r="C648" s="13">
        <v>1018</v>
      </c>
      <c r="D648" s="13" t="s">
        <v>6865</v>
      </c>
      <c r="E648" s="13" t="s">
        <v>62</v>
      </c>
      <c r="F648" s="4">
        <v>100000</v>
      </c>
      <c r="G648" s="29" t="s">
        <v>5699</v>
      </c>
      <c r="H648" s="14">
        <v>43577</v>
      </c>
      <c r="I648" s="4" t="s">
        <v>6866</v>
      </c>
      <c r="J648" s="133"/>
      <c r="K648" s="22"/>
      <c r="L648" s="134"/>
    </row>
    <row r="649" spans="1:12" s="97" customFormat="1" x14ac:dyDescent="0.25">
      <c r="A649" s="61" t="s">
        <v>91</v>
      </c>
      <c r="B649" s="14">
        <v>43633</v>
      </c>
      <c r="C649" s="13">
        <v>1019</v>
      </c>
      <c r="D649" s="13" t="s">
        <v>100</v>
      </c>
      <c r="E649" s="13" t="s">
        <v>62</v>
      </c>
      <c r="F649" s="4">
        <v>33900</v>
      </c>
      <c r="G649" s="29" t="s">
        <v>3217</v>
      </c>
      <c r="H649" s="14">
        <v>43593</v>
      </c>
      <c r="I649" s="4" t="s">
        <v>572</v>
      </c>
      <c r="J649" s="133"/>
      <c r="K649" s="22"/>
      <c r="L649" s="134"/>
    </row>
    <row r="650" spans="1:12" s="97" customFormat="1" x14ac:dyDescent="0.25">
      <c r="A650" s="61" t="s">
        <v>442</v>
      </c>
      <c r="B650" s="14">
        <v>43633</v>
      </c>
      <c r="C650" s="13">
        <v>1020</v>
      </c>
      <c r="D650" s="13" t="s">
        <v>868</v>
      </c>
      <c r="E650" s="13" t="s">
        <v>62</v>
      </c>
      <c r="F650" s="4">
        <v>13620</v>
      </c>
      <c r="G650" s="29" t="s">
        <v>7156</v>
      </c>
      <c r="H650" s="14">
        <v>43573</v>
      </c>
      <c r="I650" s="4" t="s">
        <v>345</v>
      </c>
      <c r="J650" s="133"/>
      <c r="K650" s="22"/>
      <c r="L650" s="134"/>
    </row>
    <row r="651" spans="1:12" s="97" customFormat="1" x14ac:dyDescent="0.25">
      <c r="A651" s="61" t="s">
        <v>442</v>
      </c>
      <c r="B651" s="14">
        <v>43633</v>
      </c>
      <c r="C651" s="13">
        <v>1020</v>
      </c>
      <c r="D651" s="13" t="s">
        <v>868</v>
      </c>
      <c r="E651" s="13" t="s">
        <v>62</v>
      </c>
      <c r="F651" s="4">
        <v>23634.84</v>
      </c>
      <c r="G651" s="29" t="s">
        <v>7819</v>
      </c>
      <c r="H651" s="14">
        <v>43593</v>
      </c>
      <c r="I651" s="4" t="s">
        <v>6196</v>
      </c>
      <c r="J651" s="133"/>
      <c r="K651" s="22"/>
      <c r="L651" s="134"/>
    </row>
    <row r="652" spans="1:12" s="97" customFormat="1" x14ac:dyDescent="0.25">
      <c r="A652" s="61" t="s">
        <v>91</v>
      </c>
      <c r="B652" s="14">
        <v>43633</v>
      </c>
      <c r="C652" s="13">
        <v>1021</v>
      </c>
      <c r="D652" s="13" t="s">
        <v>280</v>
      </c>
      <c r="E652" s="13" t="s">
        <v>62</v>
      </c>
      <c r="F652" s="4">
        <v>200000</v>
      </c>
      <c r="G652" s="28" t="s">
        <v>1133</v>
      </c>
      <c r="H652" s="14">
        <v>43573</v>
      </c>
      <c r="I652" s="4" t="s">
        <v>7520</v>
      </c>
      <c r="J652" s="133"/>
      <c r="K652" s="22"/>
      <c r="L652" s="134"/>
    </row>
    <row r="653" spans="1:12" s="97" customFormat="1" x14ac:dyDescent="0.25">
      <c r="A653" s="61" t="s">
        <v>442</v>
      </c>
      <c r="B653" s="14">
        <v>43633</v>
      </c>
      <c r="C653" s="13">
        <v>1022</v>
      </c>
      <c r="D653" s="13" t="s">
        <v>814</v>
      </c>
      <c r="E653" s="13" t="s">
        <v>62</v>
      </c>
      <c r="F653" s="4">
        <v>83349</v>
      </c>
      <c r="G653" s="29" t="s">
        <v>7515</v>
      </c>
      <c r="H653" s="14">
        <v>43581</v>
      </c>
      <c r="I653" s="4" t="s">
        <v>1906</v>
      </c>
      <c r="J653" s="133"/>
      <c r="K653" s="22"/>
      <c r="L653" s="134"/>
    </row>
    <row r="654" spans="1:12" s="97" customFormat="1" x14ac:dyDescent="0.25">
      <c r="A654" s="61" t="s">
        <v>442</v>
      </c>
      <c r="B654" s="14">
        <v>43633</v>
      </c>
      <c r="C654" s="13">
        <v>1023</v>
      </c>
      <c r="D654" s="13" t="s">
        <v>304</v>
      </c>
      <c r="E654" s="13" t="s">
        <v>62</v>
      </c>
      <c r="F654" s="327">
        <f>234188.2-100000</f>
        <v>134188.20000000001</v>
      </c>
      <c r="G654" s="29" t="s">
        <v>7500</v>
      </c>
      <c r="H654" s="14">
        <v>43580</v>
      </c>
      <c r="I654" s="4" t="s">
        <v>7501</v>
      </c>
      <c r="J654" s="133"/>
      <c r="K654" s="22"/>
      <c r="L654" s="134"/>
    </row>
    <row r="655" spans="1:12" s="97" customFormat="1" x14ac:dyDescent="0.25">
      <c r="A655" s="14" t="s">
        <v>442</v>
      </c>
      <c r="B655" s="14">
        <v>43633</v>
      </c>
      <c r="C655" s="13">
        <v>1024</v>
      </c>
      <c r="D655" s="13" t="s">
        <v>304</v>
      </c>
      <c r="E655" s="13" t="s">
        <v>62</v>
      </c>
      <c r="F655" s="4">
        <v>8297</v>
      </c>
      <c r="G655" s="29" t="s">
        <v>7504</v>
      </c>
      <c r="H655" s="14">
        <v>43584</v>
      </c>
      <c r="I655" s="4" t="s">
        <v>7505</v>
      </c>
      <c r="J655" s="133"/>
      <c r="K655" s="22"/>
      <c r="L655" s="134"/>
    </row>
    <row r="656" spans="1:12" s="97" customFormat="1" x14ac:dyDescent="0.25">
      <c r="A656" s="61" t="s">
        <v>358</v>
      </c>
      <c r="B656" s="14">
        <v>43633</v>
      </c>
      <c r="C656" s="13">
        <v>1025</v>
      </c>
      <c r="D656" s="13" t="s">
        <v>157</v>
      </c>
      <c r="E656" s="13" t="s">
        <v>62</v>
      </c>
      <c r="F656" s="4">
        <v>59598.8</v>
      </c>
      <c r="G656" s="29" t="s">
        <v>7486</v>
      </c>
      <c r="H656" s="14">
        <v>43579</v>
      </c>
      <c r="I656" s="4" t="s">
        <v>7487</v>
      </c>
      <c r="J656" s="133"/>
      <c r="K656" s="22"/>
      <c r="L656" s="134"/>
    </row>
    <row r="657" spans="1:19" s="97" customFormat="1" x14ac:dyDescent="0.25">
      <c r="A657" s="61" t="s">
        <v>92</v>
      </c>
      <c r="B657" s="14">
        <v>43633</v>
      </c>
      <c r="C657" s="13">
        <v>1025</v>
      </c>
      <c r="D657" s="13" t="s">
        <v>157</v>
      </c>
      <c r="E657" s="13" t="s">
        <v>62</v>
      </c>
      <c r="F657" s="4">
        <v>5473.8</v>
      </c>
      <c r="G657" s="29" t="s">
        <v>7488</v>
      </c>
      <c r="H657" s="14">
        <v>43585</v>
      </c>
      <c r="I657" s="4" t="s">
        <v>7489</v>
      </c>
      <c r="J657" s="133"/>
      <c r="K657" s="22"/>
      <c r="L657" s="134"/>
    </row>
    <row r="658" spans="1:19" s="93" customFormat="1" x14ac:dyDescent="0.25">
      <c r="A658" s="61" t="s">
        <v>92</v>
      </c>
      <c r="B658" s="14">
        <v>43633</v>
      </c>
      <c r="C658" s="13">
        <v>1026</v>
      </c>
      <c r="D658" s="13" t="s">
        <v>1491</v>
      </c>
      <c r="E658" s="13" t="s">
        <v>62</v>
      </c>
      <c r="F658" s="4">
        <v>200000</v>
      </c>
      <c r="G658" s="29" t="s">
        <v>6816</v>
      </c>
      <c r="H658" s="14">
        <v>43567</v>
      </c>
      <c r="I658" s="4" t="s">
        <v>555</v>
      </c>
      <c r="J658" s="133"/>
      <c r="K658" s="22"/>
      <c r="L658" s="92"/>
    </row>
    <row r="659" spans="1:19" s="93" customFormat="1" x14ac:dyDescent="0.25">
      <c r="A659" s="61" t="s">
        <v>92</v>
      </c>
      <c r="B659" s="14">
        <v>43633</v>
      </c>
      <c r="C659" s="13">
        <v>1027</v>
      </c>
      <c r="D659" s="13" t="s">
        <v>244</v>
      </c>
      <c r="E659" s="13" t="s">
        <v>62</v>
      </c>
      <c r="F659" s="4">
        <v>100000</v>
      </c>
      <c r="G659" s="29" t="s">
        <v>898</v>
      </c>
      <c r="H659" s="14">
        <v>43570</v>
      </c>
      <c r="I659" s="4" t="s">
        <v>3433</v>
      </c>
      <c r="J659" s="130"/>
      <c r="K659" s="16"/>
      <c r="L659" s="92"/>
    </row>
    <row r="660" spans="1:19" s="93" customFormat="1" x14ac:dyDescent="0.25">
      <c r="A660" s="61" t="s">
        <v>442</v>
      </c>
      <c r="B660" s="14">
        <v>43633</v>
      </c>
      <c r="C660" s="13">
        <v>1028</v>
      </c>
      <c r="D660" s="13" t="s">
        <v>666</v>
      </c>
      <c r="E660" s="13" t="s">
        <v>62</v>
      </c>
      <c r="F660" s="4">
        <v>56500</v>
      </c>
      <c r="G660" s="29" t="s">
        <v>7124</v>
      </c>
      <c r="H660" s="14">
        <v>43573</v>
      </c>
      <c r="I660" s="4" t="s">
        <v>266</v>
      </c>
      <c r="J660" s="130"/>
      <c r="K660" s="16"/>
      <c r="L660" s="92"/>
    </row>
    <row r="661" spans="1:19" s="93" customFormat="1" x14ac:dyDescent="0.25">
      <c r="A661" s="13" t="s">
        <v>442</v>
      </c>
      <c r="B661" s="14">
        <v>43633</v>
      </c>
      <c r="C661" s="13">
        <v>1029</v>
      </c>
      <c r="D661" s="13" t="s">
        <v>516</v>
      </c>
      <c r="E661" s="13" t="s">
        <v>62</v>
      </c>
      <c r="F661" s="4">
        <v>33417.72</v>
      </c>
      <c r="G661" s="28" t="s">
        <v>7767</v>
      </c>
      <c r="H661" s="14">
        <v>43592</v>
      </c>
      <c r="I661" s="4" t="s">
        <v>7768</v>
      </c>
      <c r="J661" s="130"/>
      <c r="K661" s="16"/>
      <c r="L661" s="92"/>
    </row>
    <row r="662" spans="1:19" s="97" customFormat="1" x14ac:dyDescent="0.25">
      <c r="A662" s="61" t="s">
        <v>442</v>
      </c>
      <c r="B662" s="14">
        <v>43633</v>
      </c>
      <c r="C662" s="13">
        <v>1030</v>
      </c>
      <c r="D662" s="13" t="s">
        <v>8783</v>
      </c>
      <c r="E662" s="13" t="s">
        <v>62</v>
      </c>
      <c r="F662" s="37">
        <v>29850</v>
      </c>
      <c r="G662" s="29" t="s">
        <v>8963</v>
      </c>
      <c r="H662" s="14">
        <v>43630</v>
      </c>
      <c r="I662" s="4" t="s">
        <v>8964</v>
      </c>
      <c r="J662" s="133"/>
      <c r="K662" s="22"/>
      <c r="L662" s="134"/>
    </row>
    <row r="663" spans="1:19" s="97" customFormat="1" x14ac:dyDescent="0.25">
      <c r="A663" s="61" t="s">
        <v>358</v>
      </c>
      <c r="B663" s="14">
        <v>43633</v>
      </c>
      <c r="C663" s="13">
        <v>1031</v>
      </c>
      <c r="D663" s="13" t="s">
        <v>1387</v>
      </c>
      <c r="E663" s="13" t="s">
        <v>62</v>
      </c>
      <c r="F663" s="37">
        <v>2190</v>
      </c>
      <c r="G663" s="29" t="s">
        <v>8923</v>
      </c>
      <c r="H663" s="14">
        <v>43627</v>
      </c>
      <c r="I663" s="4" t="s">
        <v>8924</v>
      </c>
      <c r="J663" s="133"/>
      <c r="K663" s="22"/>
      <c r="L663" s="134"/>
    </row>
    <row r="664" spans="1:19" s="62" customFormat="1" ht="15" customHeight="1" x14ac:dyDescent="0.25">
      <c r="A664" s="13" t="s">
        <v>358</v>
      </c>
      <c r="B664" s="14">
        <v>43633</v>
      </c>
      <c r="C664" s="28" t="s">
        <v>582</v>
      </c>
      <c r="D664" s="13" t="s">
        <v>1555</v>
      </c>
      <c r="E664" s="32" t="s">
        <v>62</v>
      </c>
      <c r="F664" s="4">
        <v>14400</v>
      </c>
      <c r="G664" s="29" t="s">
        <v>8671</v>
      </c>
      <c r="H664" s="14">
        <v>43616</v>
      </c>
      <c r="I664" s="4" t="s">
        <v>118</v>
      </c>
      <c r="J664" s="71" t="s">
        <v>526</v>
      </c>
      <c r="O664" s="35"/>
      <c r="P664" s="35"/>
      <c r="Q664" s="35"/>
      <c r="R664" s="35"/>
      <c r="S664" s="35"/>
    </row>
    <row r="665" spans="1:19" x14ac:dyDescent="0.25">
      <c r="A665" s="61" t="s">
        <v>55</v>
      </c>
      <c r="B665" s="14">
        <v>43633</v>
      </c>
      <c r="C665" s="13">
        <v>1033</v>
      </c>
      <c r="D665" s="13" t="s">
        <v>282</v>
      </c>
      <c r="E665" s="13" t="s">
        <v>62</v>
      </c>
      <c r="F665" s="37">
        <v>715</v>
      </c>
      <c r="G665" s="29" t="s">
        <v>7665</v>
      </c>
      <c r="H665" s="14">
        <v>43594</v>
      </c>
      <c r="I665" s="4" t="s">
        <v>283</v>
      </c>
    </row>
    <row r="666" spans="1:19" x14ac:dyDescent="0.25">
      <c r="A666" s="61" t="s">
        <v>442</v>
      </c>
      <c r="B666" s="14">
        <v>43633</v>
      </c>
      <c r="C666" s="13">
        <v>1033</v>
      </c>
      <c r="D666" s="13" t="s">
        <v>282</v>
      </c>
      <c r="E666" s="13" t="s">
        <v>62</v>
      </c>
      <c r="F666" s="37">
        <v>53625</v>
      </c>
      <c r="G666" s="29" t="s">
        <v>7666</v>
      </c>
      <c r="H666" s="14">
        <v>43594</v>
      </c>
      <c r="I666" s="4" t="s">
        <v>283</v>
      </c>
    </row>
    <row r="667" spans="1:19" x14ac:dyDescent="0.25">
      <c r="A667" s="61" t="s">
        <v>91</v>
      </c>
      <c r="B667" s="14">
        <v>43633</v>
      </c>
      <c r="C667" s="13">
        <v>1033</v>
      </c>
      <c r="D667" s="13" t="s">
        <v>282</v>
      </c>
      <c r="E667" s="13" t="s">
        <v>62</v>
      </c>
      <c r="F667" s="37">
        <v>32890</v>
      </c>
      <c r="G667" s="29" t="s">
        <v>7667</v>
      </c>
      <c r="H667" s="14">
        <v>43594</v>
      </c>
      <c r="I667" s="4" t="s">
        <v>283</v>
      </c>
    </row>
    <row r="668" spans="1:19" x14ac:dyDescent="0.25">
      <c r="A668" s="61" t="s">
        <v>92</v>
      </c>
      <c r="B668" s="14">
        <v>43633</v>
      </c>
      <c r="C668" s="13">
        <v>1034</v>
      </c>
      <c r="D668" s="13" t="s">
        <v>250</v>
      </c>
      <c r="E668" s="13" t="s">
        <v>62</v>
      </c>
      <c r="F668" s="37">
        <v>200000</v>
      </c>
      <c r="G668" s="29" t="s">
        <v>7030</v>
      </c>
      <c r="H668" s="14">
        <v>43565</v>
      </c>
      <c r="I668" s="4" t="s">
        <v>2159</v>
      </c>
    </row>
    <row r="669" spans="1:19" x14ac:dyDescent="0.25">
      <c r="A669" s="61" t="s">
        <v>103</v>
      </c>
      <c r="B669" s="14">
        <v>43633</v>
      </c>
      <c r="C669" s="13">
        <v>1035</v>
      </c>
      <c r="D669" s="13" t="s">
        <v>6788</v>
      </c>
      <c r="E669" s="13" t="s">
        <v>62</v>
      </c>
      <c r="F669" s="37">
        <v>20000</v>
      </c>
      <c r="G669" s="29" t="s">
        <v>8588</v>
      </c>
      <c r="H669" s="14">
        <v>43586</v>
      </c>
      <c r="I669" s="4" t="s">
        <v>354</v>
      </c>
    </row>
    <row r="670" spans="1:19" x14ac:dyDescent="0.25">
      <c r="A670" s="61" t="s">
        <v>103</v>
      </c>
      <c r="B670" s="14">
        <v>43633</v>
      </c>
      <c r="C670" s="13">
        <v>1035</v>
      </c>
      <c r="D670" s="13" t="s">
        <v>6788</v>
      </c>
      <c r="E670" s="13" t="s">
        <v>62</v>
      </c>
      <c r="F670" s="37">
        <v>25750</v>
      </c>
      <c r="G670" s="29" t="s">
        <v>5360</v>
      </c>
      <c r="H670" s="14">
        <v>43592</v>
      </c>
      <c r="I670" s="4" t="s">
        <v>354</v>
      </c>
    </row>
    <row r="671" spans="1:19" x14ac:dyDescent="0.25">
      <c r="A671" s="61" t="s">
        <v>358</v>
      </c>
      <c r="B671" s="14">
        <v>43633</v>
      </c>
      <c r="C671" s="13">
        <v>1036</v>
      </c>
      <c r="D671" s="13" t="s">
        <v>431</v>
      </c>
      <c r="E671" s="13" t="s">
        <v>62</v>
      </c>
      <c r="F671" s="37">
        <v>15300</v>
      </c>
      <c r="G671" s="29" t="s">
        <v>201</v>
      </c>
      <c r="H671" s="14">
        <v>43605</v>
      </c>
      <c r="I671" s="4" t="s">
        <v>95</v>
      </c>
    </row>
    <row r="672" spans="1:19" x14ac:dyDescent="0.25">
      <c r="A672" s="13" t="s">
        <v>151</v>
      </c>
      <c r="B672" s="14">
        <v>43633</v>
      </c>
      <c r="C672" s="13">
        <v>1037</v>
      </c>
      <c r="D672" s="32" t="s">
        <v>112</v>
      </c>
      <c r="E672" s="32" t="s">
        <v>62</v>
      </c>
      <c r="F672" s="4">
        <v>6000</v>
      </c>
      <c r="G672" s="29" t="s">
        <v>7459</v>
      </c>
      <c r="H672" s="14">
        <v>43626</v>
      </c>
      <c r="I672" s="4" t="s">
        <v>8911</v>
      </c>
      <c r="J672" s="21"/>
      <c r="K672" s="228"/>
    </row>
    <row r="673" spans="1:16" x14ac:dyDescent="0.25">
      <c r="A673" s="13" t="s">
        <v>151</v>
      </c>
      <c r="B673" s="14">
        <v>43633</v>
      </c>
      <c r="C673" s="13">
        <v>1038</v>
      </c>
      <c r="D673" s="13" t="s">
        <v>6318</v>
      </c>
      <c r="E673" s="32" t="s">
        <v>62</v>
      </c>
      <c r="F673" s="4">
        <v>22800</v>
      </c>
      <c r="G673" s="28" t="s">
        <v>8921</v>
      </c>
      <c r="H673" s="14">
        <v>43623</v>
      </c>
      <c r="I673" s="4" t="s">
        <v>8922</v>
      </c>
      <c r="J673" s="125"/>
    </row>
    <row r="674" spans="1:16" x14ac:dyDescent="0.25">
      <c r="A674" s="13" t="s">
        <v>637</v>
      </c>
      <c r="B674" s="126">
        <v>43633</v>
      </c>
      <c r="C674" s="13">
        <v>466</v>
      </c>
      <c r="D674" s="13" t="s">
        <v>1539</v>
      </c>
      <c r="E674" s="13" t="s">
        <v>691</v>
      </c>
      <c r="F674" s="4">
        <v>450538</v>
      </c>
      <c r="G674" s="69" t="s">
        <v>1540</v>
      </c>
      <c r="H674" s="14"/>
      <c r="I674" s="208" t="s">
        <v>1418</v>
      </c>
      <c r="J674" s="62"/>
      <c r="K674" s="62"/>
      <c r="L674" s="35"/>
      <c r="M674" s="35"/>
      <c r="N674" s="35"/>
      <c r="O674" s="35"/>
      <c r="P674" s="35"/>
    </row>
    <row r="675" spans="1:16" s="97" customFormat="1" x14ac:dyDescent="0.25">
      <c r="A675" s="13" t="s">
        <v>1255</v>
      </c>
      <c r="B675" s="126">
        <v>43633</v>
      </c>
      <c r="C675" s="13">
        <v>467</v>
      </c>
      <c r="D675" s="13" t="s">
        <v>590</v>
      </c>
      <c r="E675" s="13" t="s">
        <v>691</v>
      </c>
      <c r="F675" s="4">
        <v>1000000</v>
      </c>
      <c r="G675" s="29" t="s">
        <v>1323</v>
      </c>
      <c r="H675" s="14">
        <v>42746</v>
      </c>
      <c r="I675" s="4" t="s">
        <v>159</v>
      </c>
      <c r="J675" s="133"/>
      <c r="K675" s="22"/>
      <c r="L675" s="134"/>
    </row>
    <row r="676" spans="1:16" s="97" customFormat="1" x14ac:dyDescent="0.25">
      <c r="A676" s="32" t="s">
        <v>1350</v>
      </c>
      <c r="B676" s="126">
        <v>43633</v>
      </c>
      <c r="C676" s="13">
        <v>468</v>
      </c>
      <c r="D676" s="13" t="s">
        <v>8783</v>
      </c>
      <c r="E676" s="13" t="s">
        <v>691</v>
      </c>
      <c r="F676" s="37">
        <v>25800</v>
      </c>
      <c r="G676" s="29" t="s">
        <v>8965</v>
      </c>
      <c r="H676" s="14">
        <v>43630</v>
      </c>
      <c r="I676" s="4" t="s">
        <v>8966</v>
      </c>
      <c r="J676" s="133"/>
      <c r="K676" s="22"/>
      <c r="L676" s="134"/>
    </row>
    <row r="677" spans="1:16" s="97" customFormat="1" x14ac:dyDescent="0.25">
      <c r="A677" s="61" t="s">
        <v>1350</v>
      </c>
      <c r="B677" s="126">
        <v>43633</v>
      </c>
      <c r="C677" s="13">
        <v>469</v>
      </c>
      <c r="D677" s="13" t="s">
        <v>1065</v>
      </c>
      <c r="E677" s="13" t="s">
        <v>691</v>
      </c>
      <c r="F677" s="4">
        <v>29523.84</v>
      </c>
      <c r="G677" s="28" t="s">
        <v>7528</v>
      </c>
      <c r="H677" s="14">
        <v>43585</v>
      </c>
      <c r="I677" s="4" t="s">
        <v>7529</v>
      </c>
      <c r="J677" s="133"/>
      <c r="K677" s="22"/>
      <c r="L677" s="134"/>
    </row>
    <row r="678" spans="1:16" x14ac:dyDescent="0.25">
      <c r="A678" s="61" t="s">
        <v>1350</v>
      </c>
      <c r="B678" s="126">
        <v>43633</v>
      </c>
      <c r="C678" s="13">
        <v>470</v>
      </c>
      <c r="D678" s="13" t="s">
        <v>666</v>
      </c>
      <c r="E678" s="13" t="s">
        <v>691</v>
      </c>
      <c r="F678" s="4">
        <v>19000</v>
      </c>
      <c r="G678" s="29" t="s">
        <v>1659</v>
      </c>
      <c r="H678" s="14">
        <v>43572</v>
      </c>
      <c r="I678" s="4" t="s">
        <v>266</v>
      </c>
    </row>
    <row r="679" spans="1:16" s="93" customFormat="1" x14ac:dyDescent="0.25">
      <c r="A679" s="13" t="s">
        <v>1350</v>
      </c>
      <c r="B679" s="126">
        <v>43633</v>
      </c>
      <c r="C679" s="13">
        <v>471</v>
      </c>
      <c r="D679" s="13" t="s">
        <v>516</v>
      </c>
      <c r="E679" s="13" t="s">
        <v>691</v>
      </c>
      <c r="F679" s="4">
        <v>77978.720000000001</v>
      </c>
      <c r="G679" s="28" t="s">
        <v>7765</v>
      </c>
      <c r="H679" s="14">
        <v>43592</v>
      </c>
      <c r="I679" s="4" t="s">
        <v>7766</v>
      </c>
      <c r="J679" s="130"/>
      <c r="K679" s="16"/>
      <c r="L679" s="92"/>
    </row>
    <row r="680" spans="1:16" x14ac:dyDescent="0.25">
      <c r="A680" s="61" t="s">
        <v>1350</v>
      </c>
      <c r="B680" s="126">
        <v>43633</v>
      </c>
      <c r="C680" s="13">
        <v>472</v>
      </c>
      <c r="D680" s="13" t="s">
        <v>944</v>
      </c>
      <c r="E680" s="13" t="s">
        <v>691</v>
      </c>
      <c r="F680" s="37">
        <v>56250</v>
      </c>
      <c r="G680" s="29" t="s">
        <v>32</v>
      </c>
      <c r="H680" s="14">
        <v>43559</v>
      </c>
      <c r="I680" s="4" t="s">
        <v>402</v>
      </c>
    </row>
    <row r="681" spans="1:16" x14ac:dyDescent="0.25">
      <c r="A681" s="61" t="s">
        <v>637</v>
      </c>
      <c r="B681" s="126">
        <v>43633</v>
      </c>
      <c r="C681" s="13">
        <v>473</v>
      </c>
      <c r="D681" s="13" t="s">
        <v>1099</v>
      </c>
      <c r="E681" s="13" t="s">
        <v>691</v>
      </c>
      <c r="F681" s="37">
        <v>21114.9</v>
      </c>
      <c r="G681" s="29" t="s">
        <v>3130</v>
      </c>
      <c r="H681" s="14">
        <v>43564</v>
      </c>
      <c r="I681" s="4" t="s">
        <v>461</v>
      </c>
    </row>
    <row r="682" spans="1:16" x14ac:dyDescent="0.25">
      <c r="A682" s="61" t="s">
        <v>1350</v>
      </c>
      <c r="B682" s="126">
        <v>43633</v>
      </c>
      <c r="C682" s="13">
        <v>474</v>
      </c>
      <c r="D682" s="13" t="s">
        <v>4870</v>
      </c>
      <c r="E682" s="13" t="s">
        <v>691</v>
      </c>
      <c r="F682" s="37">
        <v>58000</v>
      </c>
      <c r="G682" s="29" t="s">
        <v>7426</v>
      </c>
      <c r="H682" s="14">
        <v>43568</v>
      </c>
      <c r="I682" s="4" t="s">
        <v>5346</v>
      </c>
    </row>
    <row r="683" spans="1:16" x14ac:dyDescent="0.25">
      <c r="A683" s="61" t="s">
        <v>1455</v>
      </c>
      <c r="B683" s="126">
        <v>43633</v>
      </c>
      <c r="C683" s="13">
        <v>475</v>
      </c>
      <c r="D683" s="13" t="s">
        <v>1985</v>
      </c>
      <c r="E683" s="13" t="s">
        <v>691</v>
      </c>
      <c r="F683" s="37">
        <v>63550</v>
      </c>
      <c r="G683" s="29" t="s">
        <v>325</v>
      </c>
      <c r="H683" s="14">
        <v>43585</v>
      </c>
      <c r="I683" s="4" t="s">
        <v>122</v>
      </c>
    </row>
    <row r="684" spans="1:16" x14ac:dyDescent="0.25">
      <c r="A684" s="61" t="s">
        <v>1455</v>
      </c>
      <c r="B684" s="126">
        <v>43633</v>
      </c>
      <c r="C684" s="13">
        <v>475</v>
      </c>
      <c r="D684" s="13" t="s">
        <v>1985</v>
      </c>
      <c r="E684" s="13" t="s">
        <v>691</v>
      </c>
      <c r="F684" s="37">
        <v>75900</v>
      </c>
      <c r="G684" s="29" t="s">
        <v>359</v>
      </c>
      <c r="H684" s="14">
        <v>43585</v>
      </c>
      <c r="I684" s="4" t="s">
        <v>122</v>
      </c>
    </row>
    <row r="685" spans="1:16" x14ac:dyDescent="0.25">
      <c r="A685" s="61" t="s">
        <v>1455</v>
      </c>
      <c r="B685" s="126">
        <v>43633</v>
      </c>
      <c r="C685" s="13">
        <v>475</v>
      </c>
      <c r="D685" s="13" t="s">
        <v>1985</v>
      </c>
      <c r="E685" s="13" t="s">
        <v>691</v>
      </c>
      <c r="F685" s="37">
        <v>29600</v>
      </c>
      <c r="G685" s="29" t="s">
        <v>18</v>
      </c>
      <c r="H685" s="14">
        <v>43585</v>
      </c>
      <c r="I685" s="4" t="s">
        <v>122</v>
      </c>
    </row>
    <row r="686" spans="1:16" x14ac:dyDescent="0.25">
      <c r="A686" s="61" t="s">
        <v>637</v>
      </c>
      <c r="B686" s="126">
        <v>43633</v>
      </c>
      <c r="C686" s="13">
        <v>475</v>
      </c>
      <c r="D686" s="13" t="s">
        <v>1985</v>
      </c>
      <c r="E686" s="13" t="s">
        <v>691</v>
      </c>
      <c r="F686" s="37">
        <v>9200</v>
      </c>
      <c r="G686" s="29" t="s">
        <v>114</v>
      </c>
      <c r="H686" s="14">
        <v>43585</v>
      </c>
      <c r="I686" s="4" t="s">
        <v>122</v>
      </c>
    </row>
    <row r="687" spans="1:16" ht="13.95" customHeight="1" x14ac:dyDescent="0.25">
      <c r="A687" s="61" t="s">
        <v>1147</v>
      </c>
      <c r="B687" s="14">
        <v>43633</v>
      </c>
      <c r="C687" s="13">
        <v>1107</v>
      </c>
      <c r="D687" s="13" t="s">
        <v>679</v>
      </c>
      <c r="E687" s="32" t="s">
        <v>808</v>
      </c>
      <c r="F687" s="4">
        <v>2500000</v>
      </c>
      <c r="G687" s="86" t="s">
        <v>2192</v>
      </c>
      <c r="H687" s="211"/>
      <c r="I687" s="4" t="s">
        <v>24</v>
      </c>
      <c r="J687" s="21"/>
      <c r="K687" s="228"/>
    </row>
    <row r="688" spans="1:16" s="97" customFormat="1" x14ac:dyDescent="0.25">
      <c r="A688" s="61" t="s">
        <v>1147</v>
      </c>
      <c r="B688" s="14">
        <v>43633</v>
      </c>
      <c r="C688" s="13">
        <v>1108</v>
      </c>
      <c r="D688" s="13" t="s">
        <v>254</v>
      </c>
      <c r="E688" s="13" t="s">
        <v>808</v>
      </c>
      <c r="F688" s="4">
        <v>846000</v>
      </c>
      <c r="G688" s="29" t="s">
        <v>7464</v>
      </c>
      <c r="H688" s="14">
        <v>43581</v>
      </c>
      <c r="I688" s="4" t="s">
        <v>7465</v>
      </c>
      <c r="J688" s="133"/>
      <c r="K688" s="22"/>
      <c r="L688" s="134"/>
    </row>
    <row r="689" spans="1:12" s="97" customFormat="1" x14ac:dyDescent="0.25">
      <c r="A689" s="61" t="s">
        <v>1147</v>
      </c>
      <c r="B689" s="14">
        <v>43633</v>
      </c>
      <c r="C689" s="13">
        <v>1109</v>
      </c>
      <c r="D689" s="13" t="s">
        <v>6642</v>
      </c>
      <c r="E689" s="13" t="s">
        <v>808</v>
      </c>
      <c r="F689" s="4">
        <v>881194.4</v>
      </c>
      <c r="G689" s="29" t="s">
        <v>1485</v>
      </c>
      <c r="H689" s="14">
        <v>43600</v>
      </c>
      <c r="I689" s="4" t="s">
        <v>8106</v>
      </c>
      <c r="J689" s="133"/>
      <c r="K689" s="22"/>
      <c r="L689" s="134"/>
    </row>
    <row r="690" spans="1:12" s="97" customFormat="1" x14ac:dyDescent="0.25">
      <c r="A690" s="61" t="s">
        <v>1148</v>
      </c>
      <c r="B690" s="14">
        <v>43633</v>
      </c>
      <c r="C690" s="13">
        <v>1116</v>
      </c>
      <c r="D690" s="13" t="s">
        <v>589</v>
      </c>
      <c r="E690" s="13" t="s">
        <v>808</v>
      </c>
      <c r="F690" s="4">
        <f>840804-425804</f>
        <v>415000</v>
      </c>
      <c r="G690" s="29" t="s">
        <v>7469</v>
      </c>
      <c r="H690" s="14">
        <v>43580</v>
      </c>
      <c r="I690" s="4" t="s">
        <v>7470</v>
      </c>
      <c r="J690" s="133"/>
      <c r="K690" s="22"/>
      <c r="L690" s="134"/>
    </row>
    <row r="691" spans="1:12" s="97" customFormat="1" x14ac:dyDescent="0.25">
      <c r="A691" s="61" t="s">
        <v>1148</v>
      </c>
      <c r="B691" s="14">
        <v>43633</v>
      </c>
      <c r="C691" s="13">
        <v>1117</v>
      </c>
      <c r="D691" s="13" t="s">
        <v>8111</v>
      </c>
      <c r="E691" s="13" t="s">
        <v>808</v>
      </c>
      <c r="F691" s="4">
        <f>1712678-869055</f>
        <v>843623</v>
      </c>
      <c r="G691" s="29" t="s">
        <v>8114</v>
      </c>
      <c r="H691" s="14">
        <v>43601</v>
      </c>
      <c r="I691" s="4" t="s">
        <v>8115</v>
      </c>
      <c r="J691" s="133"/>
      <c r="K691" s="22"/>
      <c r="L691" s="134"/>
    </row>
    <row r="692" spans="1:12" s="97" customFormat="1" x14ac:dyDescent="0.25">
      <c r="A692" s="61" t="s">
        <v>1149</v>
      </c>
      <c r="B692" s="14">
        <v>43633</v>
      </c>
      <c r="C692" s="13">
        <v>1110</v>
      </c>
      <c r="D692" s="13" t="s">
        <v>243</v>
      </c>
      <c r="E692" s="13" t="s">
        <v>808</v>
      </c>
      <c r="F692" s="4">
        <v>891332.16</v>
      </c>
      <c r="G692" s="29" t="s">
        <v>1162</v>
      </c>
      <c r="H692" s="14">
        <v>43577</v>
      </c>
      <c r="I692" s="4" t="s">
        <v>421</v>
      </c>
      <c r="J692" s="133"/>
      <c r="K692" s="22"/>
      <c r="L692" s="134"/>
    </row>
    <row r="693" spans="1:12" s="97" customFormat="1" x14ac:dyDescent="0.25">
      <c r="A693" s="61" t="s">
        <v>1147</v>
      </c>
      <c r="B693" s="14">
        <v>43633</v>
      </c>
      <c r="C693" s="13">
        <v>1111</v>
      </c>
      <c r="D693" s="13" t="s">
        <v>249</v>
      </c>
      <c r="E693" s="13" t="s">
        <v>808</v>
      </c>
      <c r="F693" s="4">
        <v>736820.4</v>
      </c>
      <c r="G693" s="29" t="s">
        <v>3228</v>
      </c>
      <c r="H693" s="14">
        <v>43574</v>
      </c>
      <c r="I693" s="4" t="s">
        <v>1207</v>
      </c>
      <c r="J693" s="133"/>
      <c r="K693" s="22"/>
      <c r="L693" s="134"/>
    </row>
    <row r="694" spans="1:12" s="97" customFormat="1" x14ac:dyDescent="0.25">
      <c r="A694" s="32" t="s">
        <v>1350</v>
      </c>
      <c r="B694" s="14">
        <v>43633</v>
      </c>
      <c r="C694" s="13">
        <v>1112</v>
      </c>
      <c r="D694" s="13" t="s">
        <v>2439</v>
      </c>
      <c r="E694" s="13" t="s">
        <v>808</v>
      </c>
      <c r="F694" s="37">
        <v>45900</v>
      </c>
      <c r="G694" s="29" t="s">
        <v>6151</v>
      </c>
      <c r="H694" s="14">
        <v>43629</v>
      </c>
      <c r="I694" s="4" t="s">
        <v>8912</v>
      </c>
      <c r="J694" s="133"/>
      <c r="K694" s="22"/>
      <c r="L694" s="134"/>
    </row>
    <row r="695" spans="1:12" s="97" customFormat="1" x14ac:dyDescent="0.25">
      <c r="A695" s="61" t="s">
        <v>1350</v>
      </c>
      <c r="B695" s="14">
        <v>43633</v>
      </c>
      <c r="C695" s="13">
        <v>1113</v>
      </c>
      <c r="D695" s="13" t="s">
        <v>1065</v>
      </c>
      <c r="E695" s="13" t="s">
        <v>808</v>
      </c>
      <c r="F695" s="4">
        <v>20066.3</v>
      </c>
      <c r="G695" s="28" t="s">
        <v>6790</v>
      </c>
      <c r="H695" s="14">
        <v>43585</v>
      </c>
      <c r="I695" s="4" t="s">
        <v>7530</v>
      </c>
      <c r="J695" s="133"/>
      <c r="K695" s="22"/>
      <c r="L695" s="134"/>
    </row>
    <row r="696" spans="1:12" ht="27.6" x14ac:dyDescent="0.25">
      <c r="A696" s="61" t="s">
        <v>7653</v>
      </c>
      <c r="B696" s="14">
        <v>43633</v>
      </c>
      <c r="C696" s="13">
        <v>1120</v>
      </c>
      <c r="D696" s="13" t="s">
        <v>381</v>
      </c>
      <c r="E696" s="13" t="s">
        <v>808</v>
      </c>
      <c r="F696" s="37">
        <v>50000</v>
      </c>
      <c r="G696" s="29" t="s">
        <v>3362</v>
      </c>
      <c r="H696" s="14">
        <v>43585</v>
      </c>
      <c r="I696" s="4" t="s">
        <v>95</v>
      </c>
    </row>
    <row r="697" spans="1:12" x14ac:dyDescent="0.25">
      <c r="A697" s="61" t="s">
        <v>1316</v>
      </c>
      <c r="B697" s="14">
        <v>43633</v>
      </c>
      <c r="C697" s="13">
        <v>1121</v>
      </c>
      <c r="D697" s="13" t="s">
        <v>282</v>
      </c>
      <c r="E697" s="13" t="s">
        <v>808</v>
      </c>
      <c r="F697" s="37">
        <v>2860</v>
      </c>
      <c r="G697" s="29" t="s">
        <v>7921</v>
      </c>
      <c r="H697" s="14">
        <v>43601</v>
      </c>
      <c r="I697" s="4" t="s">
        <v>283</v>
      </c>
    </row>
    <row r="698" spans="1:12" x14ac:dyDescent="0.25">
      <c r="A698" s="61" t="s">
        <v>1148</v>
      </c>
      <c r="B698" s="14">
        <v>43633</v>
      </c>
      <c r="C698" s="13">
        <v>1121</v>
      </c>
      <c r="D698" s="13" t="s">
        <v>282</v>
      </c>
      <c r="E698" s="13" t="s">
        <v>808</v>
      </c>
      <c r="F698" s="37">
        <v>7865</v>
      </c>
      <c r="G698" s="29" t="s">
        <v>8052</v>
      </c>
      <c r="H698" s="14">
        <v>43601</v>
      </c>
      <c r="I698" s="4" t="s">
        <v>283</v>
      </c>
    </row>
    <row r="699" spans="1:12" x14ac:dyDescent="0.25">
      <c r="A699" s="61" t="s">
        <v>659</v>
      </c>
      <c r="B699" s="14">
        <v>43633</v>
      </c>
      <c r="C699" s="13">
        <v>1121</v>
      </c>
      <c r="D699" s="13" t="s">
        <v>282</v>
      </c>
      <c r="E699" s="13" t="s">
        <v>808</v>
      </c>
      <c r="F699" s="37">
        <v>1430</v>
      </c>
      <c r="G699" s="29" t="s">
        <v>8053</v>
      </c>
      <c r="H699" s="14">
        <v>43601</v>
      </c>
      <c r="I699" s="4" t="s">
        <v>283</v>
      </c>
    </row>
    <row r="700" spans="1:12" x14ac:dyDescent="0.25">
      <c r="A700" s="61" t="s">
        <v>1147</v>
      </c>
      <c r="B700" s="14">
        <v>43633</v>
      </c>
      <c r="C700" s="13">
        <v>1114</v>
      </c>
      <c r="D700" s="13" t="s">
        <v>29</v>
      </c>
      <c r="E700" s="13" t="s">
        <v>808</v>
      </c>
      <c r="F700" s="37">
        <v>329175</v>
      </c>
      <c r="G700" s="29" t="s">
        <v>3376</v>
      </c>
      <c r="H700" s="14">
        <v>43555</v>
      </c>
      <c r="I700" s="4" t="s">
        <v>1061</v>
      </c>
    </row>
    <row r="701" spans="1:12" x14ac:dyDescent="0.25">
      <c r="A701" s="61" t="s">
        <v>659</v>
      </c>
      <c r="B701" s="14">
        <v>43633</v>
      </c>
      <c r="C701" s="13">
        <v>1118</v>
      </c>
      <c r="D701" s="13" t="s">
        <v>5888</v>
      </c>
      <c r="E701" s="13" t="s">
        <v>808</v>
      </c>
      <c r="F701" s="4">
        <f>299625-150000</f>
        <v>149625</v>
      </c>
      <c r="G701" s="29" t="s">
        <v>199</v>
      </c>
      <c r="H701" s="14">
        <v>43570</v>
      </c>
      <c r="I701" s="4" t="s">
        <v>402</v>
      </c>
    </row>
    <row r="702" spans="1:12" x14ac:dyDescent="0.25">
      <c r="A702" s="61" t="s">
        <v>1316</v>
      </c>
      <c r="B702" s="14">
        <v>43633</v>
      </c>
      <c r="C702" s="13">
        <v>1115</v>
      </c>
      <c r="D702" s="13" t="s">
        <v>6788</v>
      </c>
      <c r="E702" s="13" t="s">
        <v>808</v>
      </c>
      <c r="F702" s="37">
        <v>15000</v>
      </c>
      <c r="G702" s="29" t="s">
        <v>2001</v>
      </c>
      <c r="H702" s="14">
        <v>43565</v>
      </c>
      <c r="I702" s="4" t="s">
        <v>354</v>
      </c>
    </row>
    <row r="703" spans="1:12" x14ac:dyDescent="0.25">
      <c r="A703" s="61" t="s">
        <v>1148</v>
      </c>
      <c r="B703" s="14">
        <v>43633</v>
      </c>
      <c r="C703" s="13">
        <v>1115</v>
      </c>
      <c r="D703" s="13" t="s">
        <v>6788</v>
      </c>
      <c r="E703" s="13" t="s">
        <v>808</v>
      </c>
      <c r="F703" s="37">
        <v>16250</v>
      </c>
      <c r="G703" s="29" t="s">
        <v>1705</v>
      </c>
      <c r="H703" s="14">
        <v>43578</v>
      </c>
      <c r="I703" s="4" t="s">
        <v>354</v>
      </c>
    </row>
    <row r="704" spans="1:12" x14ac:dyDescent="0.25">
      <c r="A704" s="61" t="s">
        <v>659</v>
      </c>
      <c r="B704" s="14">
        <v>43633</v>
      </c>
      <c r="C704" s="13">
        <v>1119</v>
      </c>
      <c r="D704" s="13" t="s">
        <v>431</v>
      </c>
      <c r="E704" s="13" t="s">
        <v>808</v>
      </c>
      <c r="F704" s="37">
        <v>11050</v>
      </c>
      <c r="G704" s="29" t="s">
        <v>320</v>
      </c>
      <c r="H704" s="14">
        <v>43607</v>
      </c>
      <c r="I704" s="4" t="s">
        <v>95</v>
      </c>
    </row>
    <row r="705" spans="1:17" x14ac:dyDescent="0.25">
      <c r="A705" s="13" t="s">
        <v>1316</v>
      </c>
      <c r="B705" s="14">
        <v>43633</v>
      </c>
      <c r="C705" s="13">
        <v>1119</v>
      </c>
      <c r="D705" s="13" t="s">
        <v>431</v>
      </c>
      <c r="E705" s="13" t="s">
        <v>808</v>
      </c>
      <c r="F705" s="4">
        <v>13600</v>
      </c>
      <c r="G705" s="28" t="s">
        <v>2911</v>
      </c>
      <c r="H705" s="14">
        <v>43615</v>
      </c>
      <c r="I705" s="4" t="s">
        <v>95</v>
      </c>
    </row>
    <row r="706" spans="1:17" ht="13.95" customHeight="1" x14ac:dyDescent="0.25">
      <c r="A706" s="32" t="s">
        <v>198</v>
      </c>
      <c r="B706" s="14">
        <v>43633</v>
      </c>
      <c r="C706" s="67" t="s">
        <v>9012</v>
      </c>
      <c r="D706" s="32" t="s">
        <v>116</v>
      </c>
      <c r="E706" s="32" t="s">
        <v>195</v>
      </c>
      <c r="F706" s="4">
        <f>916.8+2142</f>
        <v>3058.8</v>
      </c>
      <c r="G706" s="28" t="s">
        <v>4599</v>
      </c>
      <c r="H706" s="14">
        <v>43616</v>
      </c>
      <c r="I706" s="4" t="s">
        <v>118</v>
      </c>
      <c r="J706" s="170"/>
      <c r="K706" s="246"/>
    </row>
    <row r="707" spans="1:17" ht="27.6" x14ac:dyDescent="0.25">
      <c r="A707" s="61" t="s">
        <v>3851</v>
      </c>
      <c r="B707" s="14">
        <v>43633</v>
      </c>
      <c r="C707" s="13">
        <v>1106</v>
      </c>
      <c r="D707" s="13" t="s">
        <v>2047</v>
      </c>
      <c r="E707" s="13" t="s">
        <v>808</v>
      </c>
      <c r="F707" s="37">
        <v>37400</v>
      </c>
      <c r="G707" s="29" t="s">
        <v>1567</v>
      </c>
      <c r="H707" s="14">
        <v>43584</v>
      </c>
      <c r="I707" s="4" t="s">
        <v>95</v>
      </c>
    </row>
    <row r="708" spans="1:17" x14ac:dyDescent="0.25">
      <c r="A708" s="61" t="s">
        <v>1148</v>
      </c>
      <c r="B708" s="14">
        <v>43633</v>
      </c>
      <c r="C708" s="13">
        <v>1106</v>
      </c>
      <c r="D708" s="13" t="s">
        <v>2047</v>
      </c>
      <c r="E708" s="13" t="s">
        <v>808</v>
      </c>
      <c r="F708" s="37">
        <v>37400</v>
      </c>
      <c r="G708" s="29" t="s">
        <v>7429</v>
      </c>
      <c r="H708" s="14">
        <v>43584</v>
      </c>
      <c r="I708" s="4" t="s">
        <v>95</v>
      </c>
    </row>
    <row r="709" spans="1:17" ht="15" customHeight="1" x14ac:dyDescent="0.25">
      <c r="A709" s="68" t="s">
        <v>209</v>
      </c>
      <c r="B709" s="14">
        <v>43633</v>
      </c>
      <c r="C709" s="67">
        <v>124</v>
      </c>
      <c r="D709" s="32" t="s">
        <v>200</v>
      </c>
      <c r="E709" s="32" t="s">
        <v>134</v>
      </c>
      <c r="F709" s="4">
        <v>862056.44</v>
      </c>
      <c r="G709" s="28" t="s">
        <v>58</v>
      </c>
      <c r="H709" s="14">
        <v>43555</v>
      </c>
      <c r="I709" s="4" t="s">
        <v>362</v>
      </c>
      <c r="J709" s="166" t="s">
        <v>366</v>
      </c>
      <c r="K709" s="167"/>
      <c r="L709" s="35"/>
    </row>
    <row r="710" spans="1:17" ht="15" customHeight="1" x14ac:dyDescent="0.25">
      <c r="A710" s="68" t="s">
        <v>209</v>
      </c>
      <c r="B710" s="14">
        <v>43633</v>
      </c>
      <c r="C710" s="67">
        <v>125</v>
      </c>
      <c r="D710" s="32" t="s">
        <v>200</v>
      </c>
      <c r="E710" s="32" t="s">
        <v>134</v>
      </c>
      <c r="F710" s="4">
        <v>580861.57999999996</v>
      </c>
      <c r="G710" s="28" t="s">
        <v>58</v>
      </c>
      <c r="H710" s="14">
        <v>43585</v>
      </c>
      <c r="I710" s="4" t="s">
        <v>362</v>
      </c>
      <c r="J710" s="166" t="s">
        <v>771</v>
      </c>
      <c r="K710" s="167"/>
      <c r="L710" s="35"/>
    </row>
    <row r="711" spans="1:17" ht="15" customHeight="1" x14ac:dyDescent="0.25">
      <c r="A711" s="68" t="s">
        <v>209</v>
      </c>
      <c r="B711" s="14">
        <v>43633</v>
      </c>
      <c r="C711" s="67">
        <v>126</v>
      </c>
      <c r="D711" s="32" t="s">
        <v>200</v>
      </c>
      <c r="E711" s="32" t="s">
        <v>134</v>
      </c>
      <c r="F711" s="4">
        <v>48927.97</v>
      </c>
      <c r="G711" s="28" t="s">
        <v>58</v>
      </c>
      <c r="H711" s="14">
        <v>43616</v>
      </c>
      <c r="I711" s="4" t="s">
        <v>362</v>
      </c>
      <c r="J711" s="166" t="s">
        <v>1386</v>
      </c>
      <c r="K711" s="167"/>
      <c r="L711" s="35"/>
    </row>
    <row r="712" spans="1:17" ht="27.6" x14ac:dyDescent="0.25">
      <c r="A712" s="68" t="s">
        <v>151</v>
      </c>
      <c r="B712" s="14">
        <v>43633</v>
      </c>
      <c r="C712" s="13">
        <v>2</v>
      </c>
      <c r="D712" s="32" t="s">
        <v>2899</v>
      </c>
      <c r="E712" s="32" t="s">
        <v>8327</v>
      </c>
      <c r="F712" s="209">
        <v>4000</v>
      </c>
      <c r="G712" s="210" t="s">
        <v>9013</v>
      </c>
      <c r="H712" s="211">
        <v>43602</v>
      </c>
      <c r="I712" s="208" t="s">
        <v>4399</v>
      </c>
      <c r="J712" s="21"/>
      <c r="K712" s="228"/>
    </row>
    <row r="713" spans="1:17" x14ac:dyDescent="0.25">
      <c r="A713" s="32" t="s">
        <v>55</v>
      </c>
      <c r="B713" s="14">
        <v>43633</v>
      </c>
      <c r="C713" s="13">
        <v>1039</v>
      </c>
      <c r="D713" s="32" t="s">
        <v>8984</v>
      </c>
      <c r="E713" s="32" t="s">
        <v>62</v>
      </c>
      <c r="F713" s="4">
        <v>1326237</v>
      </c>
      <c r="G713" s="210" t="s">
        <v>9014</v>
      </c>
      <c r="H713" s="211">
        <v>42187</v>
      </c>
      <c r="I713" s="41" t="s">
        <v>16</v>
      </c>
      <c r="J713" s="21" t="s">
        <v>655</v>
      </c>
      <c r="K713" s="228"/>
    </row>
    <row r="714" spans="1:17" ht="13.95" customHeight="1" x14ac:dyDescent="0.25">
      <c r="A714" s="14" t="s">
        <v>91</v>
      </c>
      <c r="B714" s="14">
        <v>43633</v>
      </c>
      <c r="C714" s="13">
        <v>1039</v>
      </c>
      <c r="D714" s="32" t="s">
        <v>8984</v>
      </c>
      <c r="E714" s="32" t="s">
        <v>62</v>
      </c>
      <c r="F714" s="4">
        <v>1853500</v>
      </c>
      <c r="G714" s="210" t="s">
        <v>912</v>
      </c>
      <c r="H714" s="211"/>
      <c r="I714" s="208" t="s">
        <v>16</v>
      </c>
      <c r="J714" s="21" t="s">
        <v>655</v>
      </c>
      <c r="K714" s="228"/>
    </row>
    <row r="715" spans="1:17" x14ac:dyDescent="0.25">
      <c r="A715" s="32" t="s">
        <v>55</v>
      </c>
      <c r="B715" s="14">
        <v>43633</v>
      </c>
      <c r="C715" s="13">
        <v>1040</v>
      </c>
      <c r="D715" s="32" t="s">
        <v>8984</v>
      </c>
      <c r="E715" s="32" t="s">
        <v>62</v>
      </c>
      <c r="F715" s="4">
        <v>2173763</v>
      </c>
      <c r="G715" s="210" t="s">
        <v>9014</v>
      </c>
      <c r="H715" s="211">
        <v>42187</v>
      </c>
      <c r="I715" s="41" t="s">
        <v>16</v>
      </c>
      <c r="J715" s="21" t="s">
        <v>655</v>
      </c>
      <c r="K715" s="228"/>
    </row>
    <row r="716" spans="1:17" ht="13.95" customHeight="1" x14ac:dyDescent="0.25">
      <c r="A716" s="68" t="s">
        <v>358</v>
      </c>
      <c r="B716" s="14">
        <v>43633</v>
      </c>
      <c r="C716" s="13">
        <v>1227</v>
      </c>
      <c r="D716" s="32" t="s">
        <v>1077</v>
      </c>
      <c r="E716" s="32" t="s">
        <v>38</v>
      </c>
      <c r="F716" s="4">
        <v>1063901.46</v>
      </c>
      <c r="G716" s="86" t="s">
        <v>410</v>
      </c>
      <c r="H716" s="211"/>
      <c r="I716" s="208" t="s">
        <v>581</v>
      </c>
      <c r="J716" s="21"/>
      <c r="K716" s="228"/>
    </row>
    <row r="717" spans="1:17" ht="13.95" customHeight="1" x14ac:dyDescent="0.25">
      <c r="A717" s="68" t="s">
        <v>209</v>
      </c>
      <c r="B717" s="14">
        <v>43633</v>
      </c>
      <c r="C717" s="67">
        <v>123</v>
      </c>
      <c r="D717" s="32" t="s">
        <v>595</v>
      </c>
      <c r="E717" s="32" t="s">
        <v>134</v>
      </c>
      <c r="F717" s="4">
        <v>1000000</v>
      </c>
      <c r="G717" s="28" t="s">
        <v>9016</v>
      </c>
      <c r="H717" s="14">
        <v>43585</v>
      </c>
      <c r="I717" s="41" t="s">
        <v>949</v>
      </c>
      <c r="J717" s="166" t="s">
        <v>771</v>
      </c>
      <c r="K717" s="167"/>
      <c r="L717" s="35"/>
    </row>
    <row r="718" spans="1:17" s="50" customFormat="1" ht="27.6" x14ac:dyDescent="0.25">
      <c r="A718" s="13" t="s">
        <v>92</v>
      </c>
      <c r="B718" s="14">
        <v>43633</v>
      </c>
      <c r="C718" s="13">
        <v>996</v>
      </c>
      <c r="D718" s="32" t="s">
        <v>373</v>
      </c>
      <c r="E718" s="218" t="s">
        <v>7168</v>
      </c>
      <c r="F718" s="224">
        <v>3950670</v>
      </c>
      <c r="G718" s="28" t="s">
        <v>4765</v>
      </c>
      <c r="H718" s="14">
        <v>42851</v>
      </c>
      <c r="I718" s="32" t="s">
        <v>4764</v>
      </c>
      <c r="J718" s="325"/>
    </row>
    <row r="719" spans="1:17" ht="13.95" customHeight="1" x14ac:dyDescent="0.25">
      <c r="A719" s="13" t="s">
        <v>55</v>
      </c>
      <c r="B719" s="126">
        <v>43634</v>
      </c>
      <c r="C719" s="13">
        <v>991</v>
      </c>
      <c r="D719" s="13" t="s">
        <v>1822</v>
      </c>
      <c r="E719" s="32" t="s">
        <v>130</v>
      </c>
      <c r="F719" s="4">
        <v>500000</v>
      </c>
      <c r="G719" s="69" t="s">
        <v>1136</v>
      </c>
      <c r="H719" s="14"/>
      <c r="I719" s="4" t="s">
        <v>270</v>
      </c>
      <c r="J719" s="71"/>
      <c r="K719" s="62"/>
      <c r="L719" s="62"/>
      <c r="M719" s="35"/>
      <c r="N719" s="35"/>
      <c r="O719" s="35"/>
      <c r="P719" s="35"/>
      <c r="Q719" s="35"/>
    </row>
    <row r="720" spans="1:17" x14ac:dyDescent="0.25">
      <c r="A720" s="32" t="s">
        <v>311</v>
      </c>
      <c r="B720" s="14">
        <v>43634</v>
      </c>
      <c r="C720" s="67">
        <v>337</v>
      </c>
      <c r="D720" s="32" t="s">
        <v>9191</v>
      </c>
      <c r="E720" s="13" t="s">
        <v>408</v>
      </c>
      <c r="F720" s="4">
        <v>88000</v>
      </c>
      <c r="G720" s="67">
        <v>1075</v>
      </c>
      <c r="H720" s="14">
        <v>43629</v>
      </c>
      <c r="I720" s="4" t="s">
        <v>9015</v>
      </c>
      <c r="J720" s="21"/>
      <c r="K720" s="228"/>
    </row>
    <row r="721" spans="1:12" s="97" customFormat="1" x14ac:dyDescent="0.25">
      <c r="A721" s="68" t="s">
        <v>160</v>
      </c>
      <c r="B721" s="14">
        <v>43634</v>
      </c>
      <c r="C721" s="13">
        <v>1041</v>
      </c>
      <c r="D721" s="13" t="s">
        <v>982</v>
      </c>
      <c r="E721" s="13" t="s">
        <v>62</v>
      </c>
      <c r="F721" s="4">
        <v>500000</v>
      </c>
      <c r="G721" s="29" t="s">
        <v>1296</v>
      </c>
      <c r="H721" s="14">
        <v>41319</v>
      </c>
      <c r="I721" s="4" t="s">
        <v>1093</v>
      </c>
      <c r="J721" s="133"/>
      <c r="K721" s="22"/>
      <c r="L721" s="134"/>
    </row>
    <row r="722" spans="1:12" s="97" customFormat="1" x14ac:dyDescent="0.25">
      <c r="A722" s="13" t="s">
        <v>160</v>
      </c>
      <c r="B722" s="14">
        <v>43634</v>
      </c>
      <c r="C722" s="13">
        <v>1042</v>
      </c>
      <c r="D722" s="13" t="s">
        <v>590</v>
      </c>
      <c r="E722" s="13" t="s">
        <v>62</v>
      </c>
      <c r="F722" s="4">
        <v>1050000</v>
      </c>
      <c r="G722" s="29" t="s">
        <v>1197</v>
      </c>
      <c r="H722" s="14">
        <v>41572</v>
      </c>
      <c r="I722" s="4" t="s">
        <v>159</v>
      </c>
      <c r="J722" s="133"/>
      <c r="K722" s="22"/>
      <c r="L722" s="134"/>
    </row>
    <row r="723" spans="1:12" s="97" customFormat="1" x14ac:dyDescent="0.25">
      <c r="A723" s="61" t="s">
        <v>358</v>
      </c>
      <c r="B723" s="14">
        <v>43634</v>
      </c>
      <c r="C723" s="13">
        <v>1043</v>
      </c>
      <c r="D723" s="13" t="s">
        <v>157</v>
      </c>
      <c r="E723" s="13" t="s">
        <v>62</v>
      </c>
      <c r="F723" s="4">
        <v>450000</v>
      </c>
      <c r="G723" s="29" t="s">
        <v>7728</v>
      </c>
      <c r="H723" s="14">
        <v>43551</v>
      </c>
      <c r="I723" s="4" t="s">
        <v>305</v>
      </c>
      <c r="J723" s="133"/>
      <c r="K723" s="22"/>
      <c r="L723" s="134"/>
    </row>
    <row r="724" spans="1:12" s="97" customFormat="1" x14ac:dyDescent="0.25">
      <c r="A724" s="61" t="s">
        <v>358</v>
      </c>
      <c r="B724" s="14">
        <v>43634</v>
      </c>
      <c r="C724" s="13">
        <v>1044</v>
      </c>
      <c r="D724" s="13" t="s">
        <v>740</v>
      </c>
      <c r="E724" s="13" t="s">
        <v>62</v>
      </c>
      <c r="F724" s="4">
        <f>171000-75000</f>
        <v>96000</v>
      </c>
      <c r="G724" s="29" t="s">
        <v>7743</v>
      </c>
      <c r="H724" s="14">
        <v>43563</v>
      </c>
      <c r="I724" s="4" t="s">
        <v>7744</v>
      </c>
      <c r="J724" s="133"/>
      <c r="K724" s="22"/>
      <c r="L724" s="134"/>
    </row>
    <row r="725" spans="1:12" s="97" customFormat="1" x14ac:dyDescent="0.25">
      <c r="A725" s="61" t="s">
        <v>358</v>
      </c>
      <c r="B725" s="14">
        <v>43634</v>
      </c>
      <c r="C725" s="13">
        <v>1044</v>
      </c>
      <c r="D725" s="13" t="s">
        <v>740</v>
      </c>
      <c r="E725" s="13" t="s">
        <v>62</v>
      </c>
      <c r="F725" s="4">
        <v>100000</v>
      </c>
      <c r="G725" s="29" t="s">
        <v>7748</v>
      </c>
      <c r="H725" s="14">
        <v>43565</v>
      </c>
      <c r="I725" s="4" t="s">
        <v>7749</v>
      </c>
      <c r="J725" s="133"/>
      <c r="K725" s="22"/>
      <c r="L725" s="134"/>
    </row>
    <row r="726" spans="1:12" s="97" customFormat="1" x14ac:dyDescent="0.25">
      <c r="A726" s="61" t="s">
        <v>442</v>
      </c>
      <c r="B726" s="14">
        <v>43634</v>
      </c>
      <c r="C726" s="13">
        <v>1045</v>
      </c>
      <c r="D726" s="13" t="s">
        <v>589</v>
      </c>
      <c r="E726" s="13" t="s">
        <v>62</v>
      </c>
      <c r="F726" s="4">
        <f>983433-396500</f>
        <v>586933</v>
      </c>
      <c r="G726" s="29" t="s">
        <v>7471</v>
      </c>
      <c r="H726" s="14">
        <v>43580</v>
      </c>
      <c r="I726" s="4" t="s">
        <v>2730</v>
      </c>
      <c r="J726" s="133"/>
      <c r="K726" s="22"/>
      <c r="L726" s="134"/>
    </row>
    <row r="727" spans="1:12" s="97" customFormat="1" x14ac:dyDescent="0.25">
      <c r="A727" s="13" t="s">
        <v>442</v>
      </c>
      <c r="B727" s="14">
        <v>43634</v>
      </c>
      <c r="C727" s="13">
        <v>1045</v>
      </c>
      <c r="D727" s="13" t="s">
        <v>589</v>
      </c>
      <c r="E727" s="13" t="s">
        <v>62</v>
      </c>
      <c r="F727" s="4">
        <v>410000</v>
      </c>
      <c r="G727" s="28" t="s">
        <v>7474</v>
      </c>
      <c r="H727" s="14">
        <v>43584</v>
      </c>
      <c r="I727" s="4" t="s">
        <v>423</v>
      </c>
      <c r="J727" s="133"/>
      <c r="K727" s="22"/>
      <c r="L727" s="134"/>
    </row>
    <row r="728" spans="1:12" s="97" customFormat="1" x14ac:dyDescent="0.25">
      <c r="A728" s="61" t="s">
        <v>92</v>
      </c>
      <c r="B728" s="14">
        <v>43634</v>
      </c>
      <c r="C728" s="13">
        <v>1046</v>
      </c>
      <c r="D728" s="13" t="s">
        <v>7839</v>
      </c>
      <c r="E728" s="13" t="s">
        <v>62</v>
      </c>
      <c r="F728" s="4">
        <v>50000</v>
      </c>
      <c r="G728" s="29" t="s">
        <v>1451</v>
      </c>
      <c r="H728" s="14">
        <v>43598</v>
      </c>
      <c r="I728" s="4" t="s">
        <v>6866</v>
      </c>
      <c r="J728" s="133"/>
      <c r="K728" s="22"/>
      <c r="L728" s="134"/>
    </row>
    <row r="729" spans="1:12" s="97" customFormat="1" x14ac:dyDescent="0.25">
      <c r="A729" s="61" t="s">
        <v>92</v>
      </c>
      <c r="B729" s="14">
        <v>43634</v>
      </c>
      <c r="C729" s="13">
        <v>1047</v>
      </c>
      <c r="D729" s="13" t="s">
        <v>6865</v>
      </c>
      <c r="E729" s="13" t="s">
        <v>62</v>
      </c>
      <c r="F729" s="4">
        <f>153000-100000</f>
        <v>53000</v>
      </c>
      <c r="G729" s="29" t="s">
        <v>5699</v>
      </c>
      <c r="H729" s="14">
        <v>43577</v>
      </c>
      <c r="I729" s="4" t="s">
        <v>6866</v>
      </c>
      <c r="J729" s="133" t="s">
        <v>9007</v>
      </c>
      <c r="K729" s="22"/>
      <c r="L729" s="134"/>
    </row>
    <row r="730" spans="1:12" s="97" customFormat="1" x14ac:dyDescent="0.25">
      <c r="A730" s="61" t="s">
        <v>442</v>
      </c>
      <c r="B730" s="14">
        <v>43634</v>
      </c>
      <c r="C730" s="13">
        <v>1048</v>
      </c>
      <c r="D730" s="13" t="s">
        <v>869</v>
      </c>
      <c r="E730" s="13" t="s">
        <v>62</v>
      </c>
      <c r="F730" s="327">
        <v>150345.48000000001</v>
      </c>
      <c r="G730" s="28" t="s">
        <v>7834</v>
      </c>
      <c r="H730" s="14">
        <v>43593</v>
      </c>
      <c r="I730" s="4" t="s">
        <v>572</v>
      </c>
      <c r="J730" s="133"/>
      <c r="K730" s="22"/>
      <c r="L730" s="134"/>
    </row>
    <row r="731" spans="1:12" s="97" customFormat="1" x14ac:dyDescent="0.25">
      <c r="A731" s="61" t="s">
        <v>92</v>
      </c>
      <c r="B731" s="14">
        <v>43634</v>
      </c>
      <c r="C731" s="13">
        <v>1049</v>
      </c>
      <c r="D731" s="13" t="s">
        <v>100</v>
      </c>
      <c r="E731" s="13" t="s">
        <v>62</v>
      </c>
      <c r="F731" s="4">
        <v>100000</v>
      </c>
      <c r="G731" s="29" t="s">
        <v>7825</v>
      </c>
      <c r="H731" s="14">
        <v>43592</v>
      </c>
      <c r="I731" s="4" t="s">
        <v>572</v>
      </c>
      <c r="J731" s="133"/>
      <c r="K731" s="22"/>
      <c r="L731" s="134"/>
    </row>
    <row r="732" spans="1:12" s="97" customFormat="1" x14ac:dyDescent="0.25">
      <c r="A732" s="61" t="s">
        <v>91</v>
      </c>
      <c r="B732" s="14">
        <v>43634</v>
      </c>
      <c r="C732" s="13">
        <v>1050</v>
      </c>
      <c r="D732" s="13" t="s">
        <v>868</v>
      </c>
      <c r="E732" s="13" t="s">
        <v>62</v>
      </c>
      <c r="F732" s="4">
        <v>43351.21</v>
      </c>
      <c r="G732" s="29" t="s">
        <v>7817</v>
      </c>
      <c r="H732" s="14">
        <v>43593</v>
      </c>
      <c r="I732" s="4" t="s">
        <v>7818</v>
      </c>
      <c r="J732" s="133"/>
      <c r="K732" s="22"/>
      <c r="L732" s="134"/>
    </row>
    <row r="733" spans="1:12" s="97" customFormat="1" x14ac:dyDescent="0.25">
      <c r="A733" s="61" t="s">
        <v>91</v>
      </c>
      <c r="B733" s="14">
        <v>43634</v>
      </c>
      <c r="C733" s="13">
        <v>1051</v>
      </c>
      <c r="D733" s="13" t="s">
        <v>280</v>
      </c>
      <c r="E733" s="13" t="s">
        <v>62</v>
      </c>
      <c r="F733" s="4">
        <f>323112-200000</f>
        <v>123112</v>
      </c>
      <c r="G733" s="28" t="s">
        <v>1133</v>
      </c>
      <c r="H733" s="14">
        <v>43573</v>
      </c>
      <c r="I733" s="4" t="s">
        <v>7520</v>
      </c>
      <c r="J733" s="133" t="s">
        <v>9008</v>
      </c>
      <c r="K733" s="22"/>
      <c r="L733" s="134"/>
    </row>
    <row r="734" spans="1:12" s="97" customFormat="1" x14ac:dyDescent="0.25">
      <c r="A734" s="61" t="s">
        <v>91</v>
      </c>
      <c r="B734" s="14">
        <v>43634</v>
      </c>
      <c r="C734" s="13">
        <v>1052</v>
      </c>
      <c r="D734" s="13" t="s">
        <v>814</v>
      </c>
      <c r="E734" s="13" t="s">
        <v>62</v>
      </c>
      <c r="F734" s="4">
        <v>36548</v>
      </c>
      <c r="G734" s="29" t="s">
        <v>7145</v>
      </c>
      <c r="H734" s="14">
        <v>43573</v>
      </c>
      <c r="I734" s="4" t="s">
        <v>7146</v>
      </c>
      <c r="J734" s="133"/>
      <c r="K734" s="22"/>
      <c r="L734" s="134"/>
    </row>
    <row r="735" spans="1:12" s="97" customFormat="1" x14ac:dyDescent="0.25">
      <c r="A735" s="61" t="s">
        <v>442</v>
      </c>
      <c r="B735" s="14">
        <v>43634</v>
      </c>
      <c r="C735" s="13">
        <v>1052</v>
      </c>
      <c r="D735" s="13" t="s">
        <v>814</v>
      </c>
      <c r="E735" s="13" t="s">
        <v>62</v>
      </c>
      <c r="F735" s="4">
        <v>100000</v>
      </c>
      <c r="G735" s="29" t="s">
        <v>7513</v>
      </c>
      <c r="H735" s="14">
        <v>43581</v>
      </c>
      <c r="I735" s="4" t="s">
        <v>7514</v>
      </c>
      <c r="J735" s="133"/>
      <c r="K735" s="22"/>
      <c r="L735" s="134"/>
    </row>
    <row r="736" spans="1:12" s="97" customFormat="1" x14ac:dyDescent="0.25">
      <c r="A736" s="61" t="s">
        <v>91</v>
      </c>
      <c r="B736" s="14">
        <v>43634</v>
      </c>
      <c r="C736" s="13">
        <v>1053</v>
      </c>
      <c r="D736" s="13" t="s">
        <v>304</v>
      </c>
      <c r="E736" s="13" t="s">
        <v>62</v>
      </c>
      <c r="F736" s="4">
        <v>19145</v>
      </c>
      <c r="G736" s="29" t="s">
        <v>7508</v>
      </c>
      <c r="H736" s="14">
        <v>43585</v>
      </c>
      <c r="I736" s="4" t="s">
        <v>7509</v>
      </c>
      <c r="J736" s="133"/>
      <c r="K736" s="22"/>
      <c r="L736" s="134"/>
    </row>
    <row r="737" spans="1:17" s="97" customFormat="1" x14ac:dyDescent="0.25">
      <c r="A737" s="61" t="s">
        <v>358</v>
      </c>
      <c r="B737" s="14">
        <v>43634</v>
      </c>
      <c r="C737" s="13">
        <v>1053</v>
      </c>
      <c r="D737" s="13" t="s">
        <v>304</v>
      </c>
      <c r="E737" s="13" t="s">
        <v>62</v>
      </c>
      <c r="F737" s="4">
        <v>30470</v>
      </c>
      <c r="G737" s="29" t="s">
        <v>7510</v>
      </c>
      <c r="H737" s="14">
        <v>43591</v>
      </c>
      <c r="I737" s="4" t="s">
        <v>374</v>
      </c>
      <c r="J737" s="133"/>
      <c r="K737" s="22"/>
      <c r="L737" s="134"/>
    </row>
    <row r="738" spans="1:17" s="97" customFormat="1" x14ac:dyDescent="0.25">
      <c r="A738" s="61" t="s">
        <v>91</v>
      </c>
      <c r="B738" s="14">
        <v>43634</v>
      </c>
      <c r="C738" s="13">
        <v>1054</v>
      </c>
      <c r="D738" s="13" t="s">
        <v>157</v>
      </c>
      <c r="E738" s="13" t="s">
        <v>62</v>
      </c>
      <c r="F738" s="4">
        <v>91501.23</v>
      </c>
      <c r="G738" s="29" t="s">
        <v>7492</v>
      </c>
      <c r="H738" s="14">
        <v>43585</v>
      </c>
      <c r="I738" s="4" t="s">
        <v>7493</v>
      </c>
      <c r="J738" s="133"/>
      <c r="K738" s="22"/>
      <c r="L738" s="134"/>
    </row>
    <row r="739" spans="1:17" s="97" customFormat="1" x14ac:dyDescent="0.25">
      <c r="A739" s="61" t="s">
        <v>442</v>
      </c>
      <c r="B739" s="14">
        <v>43634</v>
      </c>
      <c r="C739" s="13">
        <v>1055</v>
      </c>
      <c r="D739" s="13" t="s">
        <v>1491</v>
      </c>
      <c r="E739" s="13" t="s">
        <v>62</v>
      </c>
      <c r="F739" s="4">
        <v>43920</v>
      </c>
      <c r="G739" s="29" t="s">
        <v>7127</v>
      </c>
      <c r="H739" s="14">
        <v>43567</v>
      </c>
      <c r="I739" s="4" t="s">
        <v>4118</v>
      </c>
      <c r="J739" s="133"/>
      <c r="K739" s="22"/>
      <c r="L739" s="134"/>
    </row>
    <row r="740" spans="1:17" s="93" customFormat="1" x14ac:dyDescent="0.25">
      <c r="A740" s="61" t="s">
        <v>442</v>
      </c>
      <c r="B740" s="14">
        <v>43634</v>
      </c>
      <c r="C740" s="13">
        <v>1055</v>
      </c>
      <c r="D740" s="13" t="s">
        <v>1491</v>
      </c>
      <c r="E740" s="13" t="s">
        <v>62</v>
      </c>
      <c r="F740" s="4">
        <v>43920</v>
      </c>
      <c r="G740" s="29" t="s">
        <v>7482</v>
      </c>
      <c r="H740" s="14">
        <v>43584</v>
      </c>
      <c r="I740" s="4" t="s">
        <v>7483</v>
      </c>
      <c r="J740" s="130"/>
      <c r="K740" s="16"/>
      <c r="L740" s="92"/>
    </row>
    <row r="741" spans="1:17" ht="27.6" x14ac:dyDescent="0.25">
      <c r="A741" s="61" t="s">
        <v>6103</v>
      </c>
      <c r="B741" s="14">
        <v>43634</v>
      </c>
      <c r="C741" s="13">
        <v>1056</v>
      </c>
      <c r="D741" s="13" t="s">
        <v>2047</v>
      </c>
      <c r="E741" s="13" t="s">
        <v>62</v>
      </c>
      <c r="F741" s="37">
        <v>35700</v>
      </c>
      <c r="G741" s="29" t="s">
        <v>720</v>
      </c>
      <c r="H741" s="14">
        <v>43584</v>
      </c>
      <c r="I741" s="4" t="s">
        <v>95</v>
      </c>
    </row>
    <row r="742" spans="1:17" x14ac:dyDescent="0.25">
      <c r="A742" s="61" t="s">
        <v>442</v>
      </c>
      <c r="B742" s="14">
        <v>43634</v>
      </c>
      <c r="C742" s="13">
        <v>1056</v>
      </c>
      <c r="D742" s="13" t="s">
        <v>2047</v>
      </c>
      <c r="E742" s="13" t="s">
        <v>62</v>
      </c>
      <c r="F742" s="37">
        <v>39100</v>
      </c>
      <c r="G742" s="29" t="s">
        <v>4339</v>
      </c>
      <c r="H742" s="14">
        <v>43584</v>
      </c>
      <c r="I742" s="4" t="s">
        <v>95</v>
      </c>
    </row>
    <row r="743" spans="1:17" ht="27.6" x14ac:dyDescent="0.25">
      <c r="A743" s="61" t="s">
        <v>6103</v>
      </c>
      <c r="B743" s="14">
        <v>43634</v>
      </c>
      <c r="C743" s="13">
        <v>1056</v>
      </c>
      <c r="D743" s="13" t="s">
        <v>2047</v>
      </c>
      <c r="E743" s="13" t="s">
        <v>62</v>
      </c>
      <c r="F743" s="37">
        <v>35700</v>
      </c>
      <c r="G743" s="29" t="s">
        <v>5849</v>
      </c>
      <c r="H743" s="14">
        <v>43584</v>
      </c>
      <c r="I743" s="4" t="s">
        <v>95</v>
      </c>
    </row>
    <row r="744" spans="1:17" x14ac:dyDescent="0.25">
      <c r="A744" s="61" t="s">
        <v>358</v>
      </c>
      <c r="B744" s="14">
        <v>43634</v>
      </c>
      <c r="C744" s="13">
        <v>1057</v>
      </c>
      <c r="D744" s="13" t="s">
        <v>1688</v>
      </c>
      <c r="E744" s="13" t="s">
        <v>62</v>
      </c>
      <c r="F744" s="37">
        <v>29320</v>
      </c>
      <c r="G744" s="29" t="s">
        <v>8995</v>
      </c>
      <c r="H744" s="14">
        <v>43623</v>
      </c>
      <c r="I744" s="4" t="s">
        <v>8996</v>
      </c>
    </row>
    <row r="745" spans="1:17" ht="13.95" customHeight="1" x14ac:dyDescent="0.25">
      <c r="A745" s="13" t="s">
        <v>455</v>
      </c>
      <c r="B745" s="14">
        <v>43634</v>
      </c>
      <c r="C745" s="13">
        <v>657</v>
      </c>
      <c r="D745" s="32" t="s">
        <v>194</v>
      </c>
      <c r="E745" s="32" t="s">
        <v>958</v>
      </c>
      <c r="F745" s="4">
        <v>3400000</v>
      </c>
      <c r="G745" s="69" t="s">
        <v>4446</v>
      </c>
      <c r="H745" s="14"/>
      <c r="I745" s="41" t="s">
        <v>4445</v>
      </c>
      <c r="J745" s="71"/>
      <c r="K745" s="62"/>
      <c r="L745" s="62"/>
      <c r="M745" s="35"/>
      <c r="N745" s="35"/>
      <c r="O745" s="35"/>
      <c r="P745" s="35"/>
      <c r="Q745" s="35"/>
    </row>
    <row r="746" spans="1:17" ht="14.1" customHeight="1" x14ac:dyDescent="0.25">
      <c r="A746" s="68" t="s">
        <v>310</v>
      </c>
      <c r="B746" s="14">
        <v>43634</v>
      </c>
      <c r="C746" s="13">
        <v>658</v>
      </c>
      <c r="D746" s="32" t="s">
        <v>5516</v>
      </c>
      <c r="E746" s="13" t="s">
        <v>958</v>
      </c>
      <c r="F746" s="4">
        <v>500000</v>
      </c>
      <c r="G746" s="86" t="s">
        <v>4991</v>
      </c>
      <c r="H746" s="211"/>
      <c r="I746" s="208" t="s">
        <v>229</v>
      </c>
      <c r="J746" s="21"/>
      <c r="K746" s="228"/>
    </row>
    <row r="747" spans="1:17" s="97" customFormat="1" x14ac:dyDescent="0.25">
      <c r="A747" s="61" t="s">
        <v>455</v>
      </c>
      <c r="B747" s="14">
        <v>43634</v>
      </c>
      <c r="C747" s="13">
        <v>659</v>
      </c>
      <c r="D747" s="13" t="s">
        <v>1082</v>
      </c>
      <c r="E747" s="13" t="s">
        <v>958</v>
      </c>
      <c r="F747" s="4">
        <v>861105</v>
      </c>
      <c r="G747" s="29" t="s">
        <v>4</v>
      </c>
      <c r="H747" s="14">
        <v>43556</v>
      </c>
      <c r="I747" s="4" t="s">
        <v>423</v>
      </c>
      <c r="J747" s="133"/>
      <c r="K747" s="22"/>
      <c r="L747" s="134"/>
    </row>
    <row r="748" spans="1:17" s="97" customFormat="1" x14ac:dyDescent="0.25">
      <c r="A748" s="61" t="s">
        <v>455</v>
      </c>
      <c r="B748" s="14">
        <v>43634</v>
      </c>
      <c r="C748" s="13">
        <v>660</v>
      </c>
      <c r="D748" s="13" t="s">
        <v>868</v>
      </c>
      <c r="E748" s="13" t="s">
        <v>958</v>
      </c>
      <c r="F748" s="4">
        <v>61976</v>
      </c>
      <c r="G748" s="29" t="s">
        <v>7814</v>
      </c>
      <c r="H748" s="14">
        <v>43591</v>
      </c>
      <c r="I748" s="4" t="s">
        <v>7815</v>
      </c>
      <c r="J748" s="133"/>
      <c r="K748" s="22"/>
      <c r="L748" s="134"/>
    </row>
    <row r="749" spans="1:17" s="97" customFormat="1" x14ac:dyDescent="0.25">
      <c r="A749" s="61" t="s">
        <v>455</v>
      </c>
      <c r="B749" s="14">
        <v>43634</v>
      </c>
      <c r="C749" s="13">
        <v>661</v>
      </c>
      <c r="D749" s="13" t="s">
        <v>157</v>
      </c>
      <c r="E749" s="13" t="s">
        <v>958</v>
      </c>
      <c r="F749" s="4">
        <v>32514.799999999999</v>
      </c>
      <c r="G749" s="29" t="s">
        <v>7494</v>
      </c>
      <c r="H749" s="14">
        <v>43592</v>
      </c>
      <c r="I749" s="4" t="s">
        <v>6502</v>
      </c>
      <c r="J749" s="133"/>
      <c r="K749" s="22"/>
      <c r="L749" s="134"/>
    </row>
    <row r="750" spans="1:17" s="93" customFormat="1" x14ac:dyDescent="0.25">
      <c r="A750" s="61" t="s">
        <v>455</v>
      </c>
      <c r="B750" s="14">
        <v>43634</v>
      </c>
      <c r="C750" s="13">
        <v>662</v>
      </c>
      <c r="D750" s="13" t="s">
        <v>1491</v>
      </c>
      <c r="E750" s="13" t="s">
        <v>958</v>
      </c>
      <c r="F750" s="4">
        <v>100000</v>
      </c>
      <c r="G750" s="29" t="s">
        <v>7775</v>
      </c>
      <c r="H750" s="14">
        <v>43591</v>
      </c>
      <c r="I750" s="4" t="s">
        <v>7478</v>
      </c>
      <c r="J750" s="130"/>
      <c r="K750" s="16"/>
      <c r="L750" s="92"/>
    </row>
    <row r="751" spans="1:17" x14ac:dyDescent="0.25">
      <c r="A751" s="61" t="s">
        <v>7430</v>
      </c>
      <c r="B751" s="14">
        <v>43634</v>
      </c>
      <c r="C751" s="13">
        <v>663</v>
      </c>
      <c r="D751" s="13" t="s">
        <v>2047</v>
      </c>
      <c r="E751" s="13" t="s">
        <v>958</v>
      </c>
      <c r="F751" s="4">
        <v>32300</v>
      </c>
      <c r="G751" s="29" t="s">
        <v>5383</v>
      </c>
      <c r="H751" s="14">
        <v>43584</v>
      </c>
      <c r="I751" s="4" t="s">
        <v>95</v>
      </c>
    </row>
    <row r="752" spans="1:17" x14ac:dyDescent="0.25">
      <c r="A752" s="61" t="s">
        <v>310</v>
      </c>
      <c r="B752" s="14">
        <v>43634</v>
      </c>
      <c r="C752" s="13">
        <v>663</v>
      </c>
      <c r="D752" s="13" t="s">
        <v>2047</v>
      </c>
      <c r="E752" s="13" t="s">
        <v>958</v>
      </c>
      <c r="F752" s="37">
        <v>37400</v>
      </c>
      <c r="G752" s="29" t="s">
        <v>4095</v>
      </c>
      <c r="H752" s="14">
        <v>43600</v>
      </c>
      <c r="I752" s="4" t="s">
        <v>95</v>
      </c>
    </row>
    <row r="753" spans="1:12" x14ac:dyDescent="0.25">
      <c r="A753" s="61" t="s">
        <v>310</v>
      </c>
      <c r="B753" s="14">
        <v>43634</v>
      </c>
      <c r="C753" s="13">
        <v>663</v>
      </c>
      <c r="D753" s="13" t="s">
        <v>2047</v>
      </c>
      <c r="E753" s="13" t="s">
        <v>958</v>
      </c>
      <c r="F753" s="37">
        <v>51000</v>
      </c>
      <c r="G753" s="29" t="s">
        <v>1340</v>
      </c>
      <c r="H753" s="14">
        <v>43614</v>
      </c>
      <c r="I753" s="4" t="s">
        <v>95</v>
      </c>
    </row>
    <row r="754" spans="1:12" x14ac:dyDescent="0.25">
      <c r="A754" s="61" t="s">
        <v>310</v>
      </c>
      <c r="B754" s="14">
        <v>43634</v>
      </c>
      <c r="C754" s="13">
        <v>663</v>
      </c>
      <c r="D754" s="13" t="s">
        <v>2047</v>
      </c>
      <c r="E754" s="13" t="s">
        <v>958</v>
      </c>
      <c r="F754" s="37">
        <v>39100</v>
      </c>
      <c r="G754" s="29" t="s">
        <v>8180</v>
      </c>
      <c r="H754" s="14">
        <v>43614</v>
      </c>
      <c r="I754" s="4" t="s">
        <v>95</v>
      </c>
    </row>
    <row r="755" spans="1:12" ht="27.6" x14ac:dyDescent="0.25">
      <c r="A755" s="61" t="s">
        <v>6786</v>
      </c>
      <c r="B755" s="14">
        <v>43634</v>
      </c>
      <c r="C755" s="13">
        <v>664</v>
      </c>
      <c r="D755" s="13" t="s">
        <v>2115</v>
      </c>
      <c r="E755" s="13" t="s">
        <v>958</v>
      </c>
      <c r="F755" s="37">
        <f>577250-391625</f>
        <v>185625</v>
      </c>
      <c r="G755" s="29" t="s">
        <v>1510</v>
      </c>
      <c r="H755" s="14">
        <v>43555</v>
      </c>
      <c r="I755" s="4" t="s">
        <v>6787</v>
      </c>
    </row>
    <row r="756" spans="1:12" s="97" customFormat="1" x14ac:dyDescent="0.25">
      <c r="A756" s="61" t="s">
        <v>91</v>
      </c>
      <c r="B756" s="14">
        <v>43634</v>
      </c>
      <c r="C756" s="13">
        <v>476</v>
      </c>
      <c r="D756" s="13" t="s">
        <v>2142</v>
      </c>
      <c r="E756" s="13" t="s">
        <v>691</v>
      </c>
      <c r="F756" s="4">
        <v>38026.21</v>
      </c>
      <c r="G756" s="29" t="s">
        <v>725</v>
      </c>
      <c r="H756" s="14">
        <v>43593</v>
      </c>
      <c r="I756" s="4" t="s">
        <v>6219</v>
      </c>
      <c r="J756" s="133"/>
      <c r="K756" s="22"/>
      <c r="L756" s="134"/>
    </row>
    <row r="757" spans="1:12" s="97" customFormat="1" x14ac:dyDescent="0.25">
      <c r="A757" s="61" t="s">
        <v>1350</v>
      </c>
      <c r="B757" s="14">
        <v>43634</v>
      </c>
      <c r="C757" s="13">
        <v>477</v>
      </c>
      <c r="D757" s="13" t="s">
        <v>5047</v>
      </c>
      <c r="E757" s="13" t="s">
        <v>691</v>
      </c>
      <c r="F757" s="4">
        <v>100000</v>
      </c>
      <c r="G757" s="28" t="s">
        <v>5640</v>
      </c>
      <c r="H757" s="14">
        <v>43593</v>
      </c>
      <c r="I757" s="4" t="s">
        <v>5048</v>
      </c>
      <c r="J757" s="133"/>
      <c r="K757" s="22"/>
      <c r="L757" s="134"/>
    </row>
    <row r="758" spans="1:12" s="93" customFormat="1" x14ac:dyDescent="0.25">
      <c r="A758" s="13" t="s">
        <v>1350</v>
      </c>
      <c r="B758" s="14">
        <v>43634</v>
      </c>
      <c r="C758" s="13">
        <v>478</v>
      </c>
      <c r="D758" s="13" t="s">
        <v>516</v>
      </c>
      <c r="E758" s="13" t="s">
        <v>691</v>
      </c>
      <c r="F758" s="4">
        <f>177978.72-77978.72</f>
        <v>100000</v>
      </c>
      <c r="G758" s="28" t="s">
        <v>7765</v>
      </c>
      <c r="H758" s="14">
        <v>43592</v>
      </c>
      <c r="I758" s="4" t="s">
        <v>7766</v>
      </c>
      <c r="J758" s="130"/>
      <c r="K758" s="16"/>
      <c r="L758" s="92"/>
    </row>
    <row r="759" spans="1:12" x14ac:dyDescent="0.25">
      <c r="A759" s="61" t="s">
        <v>1350</v>
      </c>
      <c r="B759" s="14">
        <v>43634</v>
      </c>
      <c r="C759" s="13">
        <v>479</v>
      </c>
      <c r="D759" s="13" t="s">
        <v>4870</v>
      </c>
      <c r="E759" s="13" t="s">
        <v>691</v>
      </c>
      <c r="F759" s="37">
        <v>106500</v>
      </c>
      <c r="G759" s="29" t="s">
        <v>7427</v>
      </c>
      <c r="H759" s="14">
        <v>43576</v>
      </c>
      <c r="I759" s="4" t="s">
        <v>5346</v>
      </c>
    </row>
    <row r="760" spans="1:12" x14ac:dyDescent="0.25">
      <c r="A760" s="13" t="s">
        <v>1350</v>
      </c>
      <c r="B760" s="14">
        <v>43634</v>
      </c>
      <c r="C760" s="13">
        <v>480</v>
      </c>
      <c r="D760" s="13" t="s">
        <v>2047</v>
      </c>
      <c r="E760" s="13" t="s">
        <v>691</v>
      </c>
      <c r="F760" s="4">
        <v>20400</v>
      </c>
      <c r="G760" s="28" t="s">
        <v>6446</v>
      </c>
      <c r="H760" s="14">
        <v>43584</v>
      </c>
      <c r="I760" s="4" t="s">
        <v>95</v>
      </c>
    </row>
    <row r="761" spans="1:12" ht="13.95" customHeight="1" x14ac:dyDescent="0.25">
      <c r="A761" s="61" t="s">
        <v>1147</v>
      </c>
      <c r="B761" s="14">
        <v>43634</v>
      </c>
      <c r="C761" s="13">
        <v>1128</v>
      </c>
      <c r="D761" s="13" t="s">
        <v>679</v>
      </c>
      <c r="E761" s="32" t="s">
        <v>808</v>
      </c>
      <c r="F761" s="4">
        <v>3000000</v>
      </c>
      <c r="G761" s="86" t="s">
        <v>2192</v>
      </c>
      <c r="H761" s="211"/>
      <c r="I761" s="4" t="s">
        <v>24</v>
      </c>
      <c r="J761" s="21"/>
      <c r="K761" s="228"/>
    </row>
    <row r="762" spans="1:12" ht="13.95" customHeight="1" x14ac:dyDescent="0.25">
      <c r="A762" s="68" t="s">
        <v>1147</v>
      </c>
      <c r="B762" s="14">
        <v>43634</v>
      </c>
      <c r="C762" s="13">
        <v>1129</v>
      </c>
      <c r="D762" s="32" t="s">
        <v>454</v>
      </c>
      <c r="E762" s="32" t="s">
        <v>808</v>
      </c>
      <c r="F762" s="4">
        <v>2500000</v>
      </c>
      <c r="G762" s="86" t="s">
        <v>7287</v>
      </c>
      <c r="H762" s="211"/>
      <c r="I762" s="4" t="s">
        <v>7286</v>
      </c>
      <c r="J762" s="21"/>
      <c r="K762" s="228"/>
    </row>
    <row r="763" spans="1:12" ht="13.95" customHeight="1" x14ac:dyDescent="0.25">
      <c r="A763" s="68" t="s">
        <v>1148</v>
      </c>
      <c r="B763" s="14">
        <v>43634</v>
      </c>
      <c r="C763" s="13">
        <v>1130</v>
      </c>
      <c r="D763" s="32" t="s">
        <v>454</v>
      </c>
      <c r="E763" s="32" t="s">
        <v>808</v>
      </c>
      <c r="F763" s="4">
        <v>2500000</v>
      </c>
      <c r="G763" s="86" t="s">
        <v>4792</v>
      </c>
      <c r="H763" s="211"/>
      <c r="I763" s="4" t="s">
        <v>24</v>
      </c>
      <c r="J763" s="21"/>
      <c r="K763" s="228"/>
    </row>
    <row r="764" spans="1:12" x14ac:dyDescent="0.25">
      <c r="A764" s="32" t="s">
        <v>1149</v>
      </c>
      <c r="B764" s="14">
        <v>43634</v>
      </c>
      <c r="C764" s="13">
        <v>1131</v>
      </c>
      <c r="D764" s="32" t="s">
        <v>1179</v>
      </c>
      <c r="E764" s="32" t="s">
        <v>808</v>
      </c>
      <c r="F764" s="4">
        <v>3000000</v>
      </c>
      <c r="G764" s="69" t="s">
        <v>2190</v>
      </c>
      <c r="H764" s="14"/>
      <c r="I764" s="4" t="s">
        <v>24</v>
      </c>
      <c r="J764" s="21"/>
      <c r="K764" s="228"/>
    </row>
    <row r="765" spans="1:12" ht="13.95" customHeight="1" x14ac:dyDescent="0.25">
      <c r="A765" s="68" t="s">
        <v>1147</v>
      </c>
      <c r="B765" s="14">
        <v>43634</v>
      </c>
      <c r="C765" s="13">
        <v>1132</v>
      </c>
      <c r="D765" s="32" t="s">
        <v>2592</v>
      </c>
      <c r="E765" s="32" t="s">
        <v>808</v>
      </c>
      <c r="F765" s="4">
        <v>2000000</v>
      </c>
      <c r="G765" s="86" t="s">
        <v>2593</v>
      </c>
      <c r="H765" s="211"/>
      <c r="I765" s="4" t="s">
        <v>2594</v>
      </c>
      <c r="J765" s="21"/>
      <c r="K765" s="228"/>
    </row>
    <row r="766" spans="1:12" ht="13.95" customHeight="1" x14ac:dyDescent="0.25">
      <c r="A766" s="61" t="s">
        <v>1148</v>
      </c>
      <c r="B766" s="14">
        <v>43634</v>
      </c>
      <c r="C766" s="13">
        <v>1133</v>
      </c>
      <c r="D766" s="32" t="s">
        <v>588</v>
      </c>
      <c r="E766" s="32" t="s">
        <v>808</v>
      </c>
      <c r="F766" s="4">
        <v>2000000</v>
      </c>
      <c r="G766" s="86" t="s">
        <v>3714</v>
      </c>
      <c r="H766" s="211"/>
      <c r="I766" s="4" t="s">
        <v>82</v>
      </c>
      <c r="J766" s="21"/>
      <c r="K766" s="228"/>
    </row>
    <row r="767" spans="1:12" x14ac:dyDescent="0.25">
      <c r="A767" s="13" t="s">
        <v>2320</v>
      </c>
      <c r="B767" s="14">
        <v>43634</v>
      </c>
      <c r="C767" s="13">
        <v>1134</v>
      </c>
      <c r="D767" s="13" t="s">
        <v>1935</v>
      </c>
      <c r="E767" s="13" t="s">
        <v>808</v>
      </c>
      <c r="F767" s="37">
        <v>2000000</v>
      </c>
      <c r="G767" s="69" t="s">
        <v>2321</v>
      </c>
      <c r="H767" s="14"/>
      <c r="I767" s="4" t="s">
        <v>2318</v>
      </c>
      <c r="J767" s="169"/>
    </row>
    <row r="768" spans="1:12" s="97" customFormat="1" x14ac:dyDescent="0.25">
      <c r="A768" s="61" t="s">
        <v>1316</v>
      </c>
      <c r="B768" s="14">
        <v>43634</v>
      </c>
      <c r="C768" s="13">
        <v>1135</v>
      </c>
      <c r="D768" s="13" t="s">
        <v>589</v>
      </c>
      <c r="E768" s="13" t="s">
        <v>808</v>
      </c>
      <c r="F768" s="4">
        <v>1013736</v>
      </c>
      <c r="G768" s="29" t="s">
        <v>1759</v>
      </c>
      <c r="H768" s="14">
        <v>43593</v>
      </c>
      <c r="I768" s="4" t="s">
        <v>2730</v>
      </c>
      <c r="J768" s="133"/>
      <c r="K768" s="22"/>
      <c r="L768" s="134"/>
    </row>
    <row r="769" spans="1:12" s="97" customFormat="1" x14ac:dyDescent="0.25">
      <c r="A769" s="61" t="s">
        <v>659</v>
      </c>
      <c r="B769" s="14">
        <v>43634</v>
      </c>
      <c r="C769" s="13">
        <v>1135</v>
      </c>
      <c r="D769" s="13" t="s">
        <v>589</v>
      </c>
      <c r="E769" s="13" t="s">
        <v>808</v>
      </c>
      <c r="F769" s="4">
        <v>259264</v>
      </c>
      <c r="G769" s="29" t="s">
        <v>7757</v>
      </c>
      <c r="H769" s="14">
        <v>43593</v>
      </c>
      <c r="I769" s="4" t="s">
        <v>4352</v>
      </c>
      <c r="J769" s="133"/>
      <c r="K769" s="22"/>
      <c r="L769" s="134"/>
    </row>
    <row r="770" spans="1:12" s="97" customFormat="1" x14ac:dyDescent="0.25">
      <c r="A770" s="61" t="s">
        <v>1147</v>
      </c>
      <c r="B770" s="14">
        <v>43634</v>
      </c>
      <c r="C770" s="13">
        <v>1136</v>
      </c>
      <c r="D770" s="13" t="s">
        <v>6805</v>
      </c>
      <c r="E770" s="13" t="s">
        <v>808</v>
      </c>
      <c r="F770" s="4">
        <v>929900</v>
      </c>
      <c r="G770" s="29" t="s">
        <v>1527</v>
      </c>
      <c r="H770" s="14">
        <v>43571</v>
      </c>
      <c r="I770" s="4" t="s">
        <v>423</v>
      </c>
      <c r="J770" s="133"/>
      <c r="K770" s="22"/>
      <c r="L770" s="134"/>
    </row>
    <row r="771" spans="1:12" s="97" customFormat="1" ht="27.6" x14ac:dyDescent="0.25">
      <c r="A771" s="61" t="s">
        <v>7086</v>
      </c>
      <c r="B771" s="14">
        <v>43634</v>
      </c>
      <c r="C771" s="13">
        <v>1137</v>
      </c>
      <c r="D771" s="13" t="s">
        <v>1206</v>
      </c>
      <c r="E771" s="13" t="s">
        <v>808</v>
      </c>
      <c r="F771" s="4">
        <v>858000</v>
      </c>
      <c r="G771" s="29" t="s">
        <v>7087</v>
      </c>
      <c r="H771" s="14">
        <v>43573</v>
      </c>
      <c r="I771" s="4" t="s">
        <v>423</v>
      </c>
      <c r="J771" s="133"/>
      <c r="K771" s="22"/>
      <c r="L771" s="134"/>
    </row>
    <row r="772" spans="1:12" s="97" customFormat="1" x14ac:dyDescent="0.25">
      <c r="A772" s="61" t="s">
        <v>1148</v>
      </c>
      <c r="B772" s="14">
        <v>43634</v>
      </c>
      <c r="C772" s="13">
        <v>1138</v>
      </c>
      <c r="D772" s="13" t="s">
        <v>243</v>
      </c>
      <c r="E772" s="13" t="s">
        <v>808</v>
      </c>
      <c r="F772" s="4">
        <v>868600.31999999995</v>
      </c>
      <c r="G772" s="29" t="s">
        <v>1340</v>
      </c>
      <c r="H772" s="14">
        <v>43585</v>
      </c>
      <c r="I772" s="4" t="s">
        <v>421</v>
      </c>
      <c r="J772" s="133"/>
      <c r="K772" s="22"/>
      <c r="L772" s="134"/>
    </row>
    <row r="773" spans="1:12" s="97" customFormat="1" x14ac:dyDescent="0.25">
      <c r="A773" s="61" t="s">
        <v>1148</v>
      </c>
      <c r="B773" s="14">
        <v>43634</v>
      </c>
      <c r="C773" s="13">
        <v>1139</v>
      </c>
      <c r="D773" s="13" t="s">
        <v>8111</v>
      </c>
      <c r="E773" s="13" t="s">
        <v>808</v>
      </c>
      <c r="F773" s="4">
        <v>844452</v>
      </c>
      <c r="G773" s="29" t="s">
        <v>8112</v>
      </c>
      <c r="H773" s="14">
        <v>43601</v>
      </c>
      <c r="I773" s="4" t="s">
        <v>8113</v>
      </c>
      <c r="J773" s="133"/>
      <c r="K773" s="22"/>
      <c r="L773" s="134"/>
    </row>
    <row r="774" spans="1:12" s="97" customFormat="1" x14ac:dyDescent="0.25">
      <c r="A774" s="61" t="s">
        <v>1147</v>
      </c>
      <c r="B774" s="14">
        <v>43634</v>
      </c>
      <c r="C774" s="13">
        <v>1140</v>
      </c>
      <c r="D774" s="13" t="s">
        <v>254</v>
      </c>
      <c r="E774" s="13" t="s">
        <v>808</v>
      </c>
      <c r="F774" s="37">
        <v>738537.92</v>
      </c>
      <c r="G774" s="29" t="s">
        <v>8287</v>
      </c>
      <c r="H774" s="14">
        <v>43605</v>
      </c>
      <c r="I774" s="4" t="s">
        <v>1207</v>
      </c>
      <c r="J774" s="133"/>
      <c r="K774" s="22"/>
      <c r="L774" s="134"/>
    </row>
    <row r="775" spans="1:12" s="97" customFormat="1" x14ac:dyDescent="0.25">
      <c r="A775" s="61" t="s">
        <v>1148</v>
      </c>
      <c r="B775" s="14">
        <v>43634</v>
      </c>
      <c r="C775" s="13">
        <v>1141</v>
      </c>
      <c r="D775" s="13" t="s">
        <v>1082</v>
      </c>
      <c r="E775" s="13" t="s">
        <v>808</v>
      </c>
      <c r="F775" s="4">
        <v>414169.96</v>
      </c>
      <c r="G775" s="28" t="s">
        <v>196</v>
      </c>
      <c r="H775" s="14">
        <v>43563</v>
      </c>
      <c r="I775" s="4" t="s">
        <v>421</v>
      </c>
      <c r="J775" s="133"/>
      <c r="K775" s="22"/>
      <c r="L775" s="134"/>
    </row>
    <row r="776" spans="1:12" s="97" customFormat="1" x14ac:dyDescent="0.25">
      <c r="A776" s="61" t="s">
        <v>1148</v>
      </c>
      <c r="B776" s="14">
        <v>43634</v>
      </c>
      <c r="C776" s="13">
        <v>1141</v>
      </c>
      <c r="D776" s="13" t="s">
        <v>1082</v>
      </c>
      <c r="E776" s="13" t="s">
        <v>808</v>
      </c>
      <c r="F776" s="4">
        <v>414999.96</v>
      </c>
      <c r="G776" s="28" t="s">
        <v>3184</v>
      </c>
      <c r="H776" s="14">
        <v>43563</v>
      </c>
      <c r="I776" s="4" t="s">
        <v>421</v>
      </c>
      <c r="J776" s="133"/>
      <c r="K776" s="22"/>
      <c r="L776" s="134"/>
    </row>
    <row r="777" spans="1:12" s="97" customFormat="1" x14ac:dyDescent="0.25">
      <c r="A777" s="61" t="s">
        <v>1148</v>
      </c>
      <c r="B777" s="14">
        <v>43634</v>
      </c>
      <c r="C777" s="13">
        <v>1141</v>
      </c>
      <c r="D777" s="13" t="s">
        <v>1082</v>
      </c>
      <c r="E777" s="13" t="s">
        <v>808</v>
      </c>
      <c r="F777" s="4">
        <v>414999.96</v>
      </c>
      <c r="G777" s="28" t="s">
        <v>3362</v>
      </c>
      <c r="H777" s="14">
        <v>43563</v>
      </c>
      <c r="I777" s="4" t="s">
        <v>421</v>
      </c>
      <c r="J777" s="133"/>
      <c r="K777" s="22"/>
      <c r="L777" s="134"/>
    </row>
    <row r="778" spans="1:12" s="97" customFormat="1" x14ac:dyDescent="0.25">
      <c r="A778" s="61" t="s">
        <v>1148</v>
      </c>
      <c r="B778" s="14">
        <v>43634</v>
      </c>
      <c r="C778" s="13">
        <v>1141</v>
      </c>
      <c r="D778" s="13" t="s">
        <v>1082</v>
      </c>
      <c r="E778" s="13" t="s">
        <v>808</v>
      </c>
      <c r="F778" s="4">
        <v>413339.96</v>
      </c>
      <c r="G778" s="28" t="s">
        <v>317</v>
      </c>
      <c r="H778" s="14">
        <v>43563</v>
      </c>
      <c r="I778" s="4" t="s">
        <v>421</v>
      </c>
      <c r="J778" s="133"/>
      <c r="K778" s="22"/>
      <c r="L778" s="134"/>
    </row>
    <row r="779" spans="1:12" s="97" customFormat="1" x14ac:dyDescent="0.25">
      <c r="A779" s="61" t="s">
        <v>1148</v>
      </c>
      <c r="B779" s="14">
        <v>43634</v>
      </c>
      <c r="C779" s="13">
        <v>1141</v>
      </c>
      <c r="D779" s="13" t="s">
        <v>1082</v>
      </c>
      <c r="E779" s="13" t="s">
        <v>808</v>
      </c>
      <c r="F779" s="4">
        <v>414999.96</v>
      </c>
      <c r="G779" s="28" t="s">
        <v>145</v>
      </c>
      <c r="H779" s="14">
        <v>43564</v>
      </c>
      <c r="I779" s="4" t="s">
        <v>421</v>
      </c>
      <c r="J779" s="133"/>
      <c r="K779" s="22"/>
      <c r="L779" s="134"/>
    </row>
    <row r="780" spans="1:12" s="97" customFormat="1" x14ac:dyDescent="0.25">
      <c r="A780" s="32" t="s">
        <v>1148</v>
      </c>
      <c r="B780" s="14">
        <v>43634</v>
      </c>
      <c r="C780" s="13">
        <v>1141</v>
      </c>
      <c r="D780" s="13" t="s">
        <v>1082</v>
      </c>
      <c r="E780" s="218" t="s">
        <v>808</v>
      </c>
      <c r="F780" s="4">
        <v>414999.96</v>
      </c>
      <c r="G780" s="28" t="s">
        <v>7</v>
      </c>
      <c r="H780" s="14">
        <v>43564</v>
      </c>
      <c r="I780" s="32" t="s">
        <v>421</v>
      </c>
      <c r="J780" s="133"/>
      <c r="K780" s="22"/>
      <c r="L780" s="134"/>
    </row>
    <row r="781" spans="1:12" ht="13.95" customHeight="1" x14ac:dyDescent="0.25">
      <c r="A781" s="68" t="s">
        <v>310</v>
      </c>
      <c r="B781" s="14">
        <v>43634</v>
      </c>
      <c r="C781" s="13">
        <v>656</v>
      </c>
      <c r="D781" s="32" t="s">
        <v>269</v>
      </c>
      <c r="E781" s="32" t="s">
        <v>958</v>
      </c>
      <c r="F781" s="4">
        <v>3000000</v>
      </c>
      <c r="G781" s="86" t="s">
        <v>4441</v>
      </c>
      <c r="H781" s="211"/>
      <c r="I781" s="41" t="s">
        <v>24</v>
      </c>
      <c r="J781" s="21"/>
      <c r="K781" s="228"/>
    </row>
    <row r="782" spans="1:12" ht="13.95" customHeight="1" x14ac:dyDescent="0.25">
      <c r="A782" s="68" t="s">
        <v>311</v>
      </c>
      <c r="B782" s="14">
        <v>43634</v>
      </c>
      <c r="C782" s="13">
        <v>336</v>
      </c>
      <c r="D782" s="32" t="s">
        <v>5528</v>
      </c>
      <c r="E782" s="32" t="s">
        <v>408</v>
      </c>
      <c r="F782" s="4">
        <v>1885303.08</v>
      </c>
      <c r="G782" s="210" t="s">
        <v>9063</v>
      </c>
      <c r="H782" s="211">
        <v>43612</v>
      </c>
      <c r="I782" s="41" t="s">
        <v>9189</v>
      </c>
      <c r="J782" s="21"/>
      <c r="K782" s="228"/>
    </row>
    <row r="783" spans="1:12" ht="13.95" customHeight="1" x14ac:dyDescent="0.25">
      <c r="A783" s="68" t="s">
        <v>455</v>
      </c>
      <c r="B783" s="14">
        <v>43634</v>
      </c>
      <c r="C783" s="13">
        <v>391</v>
      </c>
      <c r="D783" s="32" t="s">
        <v>5528</v>
      </c>
      <c r="E783" s="32" t="s">
        <v>440</v>
      </c>
      <c r="F783" s="4">
        <v>1517027.4</v>
      </c>
      <c r="G783" s="210" t="s">
        <v>8570</v>
      </c>
      <c r="H783" s="211">
        <v>43616</v>
      </c>
      <c r="I783" s="41" t="s">
        <v>9189</v>
      </c>
      <c r="J783" s="21"/>
      <c r="K783" s="228"/>
    </row>
    <row r="784" spans="1:12" s="50" customFormat="1" ht="27.6" x14ac:dyDescent="0.25">
      <c r="A784" s="13" t="s">
        <v>92</v>
      </c>
      <c r="B784" s="14">
        <v>43634</v>
      </c>
      <c r="C784" s="13">
        <v>1005</v>
      </c>
      <c r="D784" s="32" t="s">
        <v>373</v>
      </c>
      <c r="E784" s="218" t="s">
        <v>7168</v>
      </c>
      <c r="F784" s="224">
        <v>3064500</v>
      </c>
      <c r="G784" s="28" t="s">
        <v>4765</v>
      </c>
      <c r="H784" s="14">
        <v>42851</v>
      </c>
      <c r="I784" s="32" t="s">
        <v>4764</v>
      </c>
      <c r="J784" s="325"/>
    </row>
    <row r="785" spans="1:12" x14ac:dyDescent="0.25">
      <c r="A785" s="68" t="s">
        <v>908</v>
      </c>
      <c r="B785" s="14">
        <v>43634</v>
      </c>
      <c r="C785" s="13">
        <v>1230</v>
      </c>
      <c r="D785" s="32" t="s">
        <v>1077</v>
      </c>
      <c r="E785" s="32" t="s">
        <v>38</v>
      </c>
      <c r="F785" s="4">
        <v>2415945</v>
      </c>
      <c r="G785" s="86" t="s">
        <v>591</v>
      </c>
      <c r="H785" s="211"/>
      <c r="I785" s="208" t="s">
        <v>581</v>
      </c>
      <c r="J785" s="21" t="s">
        <v>655</v>
      </c>
      <c r="K785" s="228"/>
    </row>
    <row r="786" spans="1:12" ht="27.6" x14ac:dyDescent="0.25">
      <c r="A786" s="68" t="s">
        <v>151</v>
      </c>
      <c r="B786" s="14">
        <v>43634</v>
      </c>
      <c r="C786" s="13">
        <v>175</v>
      </c>
      <c r="D786" s="32" t="s">
        <v>9064</v>
      </c>
      <c r="E786" s="32" t="s">
        <v>22</v>
      </c>
      <c r="F786" s="4">
        <v>300800</v>
      </c>
      <c r="G786" s="86"/>
      <c r="H786" s="211"/>
      <c r="I786" s="208" t="s">
        <v>9190</v>
      </c>
      <c r="J786" s="21"/>
      <c r="K786" s="228"/>
    </row>
    <row r="787" spans="1:12" s="97" customFormat="1" x14ac:dyDescent="0.25">
      <c r="A787" s="68" t="s">
        <v>311</v>
      </c>
      <c r="B787" s="14">
        <v>43635</v>
      </c>
      <c r="C787" s="13">
        <v>666</v>
      </c>
      <c r="D787" s="13" t="s">
        <v>6487</v>
      </c>
      <c r="E787" s="218" t="s">
        <v>958</v>
      </c>
      <c r="F787" s="4">
        <v>18350</v>
      </c>
      <c r="G787" s="29" t="s">
        <v>375</v>
      </c>
      <c r="H787" s="14">
        <v>43599</v>
      </c>
      <c r="I787" s="4" t="s">
        <v>108</v>
      </c>
      <c r="J787" s="133"/>
      <c r="K787" s="22"/>
      <c r="L787" s="134"/>
    </row>
    <row r="788" spans="1:12" x14ac:dyDescent="0.25">
      <c r="A788" s="61" t="s">
        <v>956</v>
      </c>
      <c r="B788" s="14">
        <v>43635</v>
      </c>
      <c r="C788" s="13">
        <v>346</v>
      </c>
      <c r="D788" s="13" t="s">
        <v>149</v>
      </c>
      <c r="E788" s="13" t="s">
        <v>481</v>
      </c>
      <c r="F788" s="37">
        <v>49000</v>
      </c>
      <c r="G788" s="29" t="s">
        <v>7038</v>
      </c>
      <c r="H788" s="14">
        <v>43543</v>
      </c>
      <c r="I788" s="4" t="s">
        <v>7039</v>
      </c>
    </row>
    <row r="789" spans="1:12" x14ac:dyDescent="0.25">
      <c r="A789" s="13" t="s">
        <v>151</v>
      </c>
      <c r="B789" s="14">
        <v>43635</v>
      </c>
      <c r="C789" s="13">
        <v>347</v>
      </c>
      <c r="D789" s="32" t="s">
        <v>112</v>
      </c>
      <c r="E789" s="32" t="s">
        <v>481</v>
      </c>
      <c r="F789" s="4">
        <v>9600</v>
      </c>
      <c r="G789" s="29" t="s">
        <v>7900</v>
      </c>
      <c r="H789" s="14">
        <v>43626</v>
      </c>
      <c r="I789" s="4" t="s">
        <v>8925</v>
      </c>
      <c r="J789" s="21"/>
      <c r="K789" s="228"/>
    </row>
    <row r="790" spans="1:12" s="129" customFormat="1" x14ac:dyDescent="0.25">
      <c r="A790" s="13" t="s">
        <v>151</v>
      </c>
      <c r="B790" s="14">
        <v>43635</v>
      </c>
      <c r="C790" s="28" t="s">
        <v>9223</v>
      </c>
      <c r="D790" s="13" t="s">
        <v>2952</v>
      </c>
      <c r="E790" s="13" t="s">
        <v>481</v>
      </c>
      <c r="F790" s="4">
        <v>3500</v>
      </c>
      <c r="G790" s="28"/>
      <c r="H790" s="14"/>
      <c r="I790" s="4" t="s">
        <v>5532</v>
      </c>
      <c r="J790" s="22"/>
      <c r="K790" s="136"/>
    </row>
    <row r="791" spans="1:12" ht="13.95" customHeight="1" x14ac:dyDescent="0.25">
      <c r="A791" s="61" t="s">
        <v>188</v>
      </c>
      <c r="B791" s="14">
        <v>43635</v>
      </c>
      <c r="C791" s="13">
        <v>1142</v>
      </c>
      <c r="D791" s="32" t="s">
        <v>418</v>
      </c>
      <c r="E791" s="32" t="s">
        <v>808</v>
      </c>
      <c r="F791" s="4">
        <v>1070500</v>
      </c>
      <c r="G791" s="86" t="s">
        <v>1026</v>
      </c>
      <c r="H791" s="211"/>
      <c r="I791" s="4" t="s">
        <v>879</v>
      </c>
      <c r="J791" s="21"/>
      <c r="K791" s="228"/>
    </row>
    <row r="792" spans="1:12" s="97" customFormat="1" x14ac:dyDescent="0.25">
      <c r="A792" s="61" t="s">
        <v>1149</v>
      </c>
      <c r="B792" s="14">
        <v>43635</v>
      </c>
      <c r="C792" s="13">
        <v>1143</v>
      </c>
      <c r="D792" s="13" t="s">
        <v>487</v>
      </c>
      <c r="E792" s="13" t="s">
        <v>808</v>
      </c>
      <c r="F792" s="4">
        <v>227800</v>
      </c>
      <c r="G792" s="29" t="s">
        <v>2955</v>
      </c>
      <c r="H792" s="14">
        <v>43543</v>
      </c>
      <c r="I792" s="4" t="s">
        <v>421</v>
      </c>
      <c r="J792" s="133"/>
      <c r="K792" s="22"/>
      <c r="L792" s="134"/>
    </row>
    <row r="793" spans="1:12" s="97" customFormat="1" x14ac:dyDescent="0.25">
      <c r="A793" s="13" t="s">
        <v>1147</v>
      </c>
      <c r="B793" s="14">
        <v>43635</v>
      </c>
      <c r="C793" s="13">
        <v>1144</v>
      </c>
      <c r="D793" s="13" t="s">
        <v>1377</v>
      </c>
      <c r="E793" s="13" t="s">
        <v>808</v>
      </c>
      <c r="F793" s="4">
        <v>850000</v>
      </c>
      <c r="G793" s="28" t="s">
        <v>724</v>
      </c>
      <c r="H793" s="14">
        <v>43573</v>
      </c>
      <c r="I793" s="4" t="s">
        <v>1207</v>
      </c>
      <c r="J793" s="133"/>
      <c r="K793" s="22"/>
      <c r="L793" s="134"/>
    </row>
    <row r="794" spans="1:12" s="97" customFormat="1" x14ac:dyDescent="0.25">
      <c r="A794" s="61" t="s">
        <v>1148</v>
      </c>
      <c r="B794" s="14">
        <v>43635</v>
      </c>
      <c r="C794" s="13">
        <v>1145</v>
      </c>
      <c r="D794" s="13" t="s">
        <v>276</v>
      </c>
      <c r="E794" s="13" t="s">
        <v>808</v>
      </c>
      <c r="F794" s="4">
        <v>200000</v>
      </c>
      <c r="G794" s="29" t="s">
        <v>2152</v>
      </c>
      <c r="H794" s="14">
        <v>43563</v>
      </c>
      <c r="I794" s="4" t="s">
        <v>421</v>
      </c>
      <c r="J794" s="133"/>
      <c r="K794" s="22"/>
      <c r="L794" s="134"/>
    </row>
    <row r="795" spans="1:12" s="97" customFormat="1" x14ac:dyDescent="0.25">
      <c r="A795" s="61" t="s">
        <v>1147</v>
      </c>
      <c r="B795" s="14">
        <v>43635</v>
      </c>
      <c r="C795" s="13">
        <v>1146</v>
      </c>
      <c r="D795" s="13" t="s">
        <v>254</v>
      </c>
      <c r="E795" s="13" t="s">
        <v>808</v>
      </c>
      <c r="F795" s="4">
        <v>835002</v>
      </c>
      <c r="G795" s="29" t="s">
        <v>7466</v>
      </c>
      <c r="H795" s="14">
        <v>43581</v>
      </c>
      <c r="I795" s="4" t="s">
        <v>7467</v>
      </c>
      <c r="J795" s="133"/>
      <c r="K795" s="22"/>
      <c r="L795" s="134"/>
    </row>
    <row r="796" spans="1:12" s="97" customFormat="1" x14ac:dyDescent="0.25">
      <c r="A796" s="61" t="s">
        <v>1149</v>
      </c>
      <c r="B796" s="14">
        <v>43635</v>
      </c>
      <c r="C796" s="13">
        <v>1147</v>
      </c>
      <c r="D796" s="13" t="s">
        <v>243</v>
      </c>
      <c r="E796" s="13" t="s">
        <v>808</v>
      </c>
      <c r="F796" s="4">
        <v>826083.36</v>
      </c>
      <c r="G796" s="29" t="s">
        <v>4383</v>
      </c>
      <c r="H796" s="14">
        <v>43578</v>
      </c>
      <c r="I796" s="4" t="s">
        <v>421</v>
      </c>
      <c r="J796" s="133"/>
      <c r="K796" s="22"/>
      <c r="L796" s="134"/>
    </row>
    <row r="797" spans="1:12" s="97" customFormat="1" x14ac:dyDescent="0.25">
      <c r="A797" s="61" t="s">
        <v>659</v>
      </c>
      <c r="B797" s="14">
        <v>43635</v>
      </c>
      <c r="C797" s="13">
        <v>1148</v>
      </c>
      <c r="D797" s="13" t="s">
        <v>1032</v>
      </c>
      <c r="E797" s="13" t="s">
        <v>808</v>
      </c>
      <c r="F797" s="4">
        <v>100000</v>
      </c>
      <c r="G797" s="29" t="s">
        <v>7826</v>
      </c>
      <c r="H797" s="14">
        <v>43557</v>
      </c>
      <c r="I797" s="4" t="s">
        <v>142</v>
      </c>
      <c r="J797" s="133"/>
      <c r="K797" s="22"/>
      <c r="L797" s="134"/>
    </row>
    <row r="798" spans="1:12" s="97" customFormat="1" x14ac:dyDescent="0.25">
      <c r="A798" s="61" t="s">
        <v>1316</v>
      </c>
      <c r="B798" s="14">
        <v>43635</v>
      </c>
      <c r="C798" s="13">
        <v>1149</v>
      </c>
      <c r="D798" s="13" t="s">
        <v>2830</v>
      </c>
      <c r="E798" s="13" t="s">
        <v>808</v>
      </c>
      <c r="F798" s="37">
        <v>17820</v>
      </c>
      <c r="G798" s="29" t="s">
        <v>8633</v>
      </c>
      <c r="H798" s="14">
        <v>43599</v>
      </c>
      <c r="I798" s="4" t="s">
        <v>2832</v>
      </c>
      <c r="J798" s="133"/>
      <c r="K798" s="22"/>
      <c r="L798" s="134"/>
    </row>
    <row r="799" spans="1:12" s="93" customFormat="1" x14ac:dyDescent="0.25">
      <c r="A799" s="61" t="s">
        <v>1148</v>
      </c>
      <c r="B799" s="14">
        <v>43635</v>
      </c>
      <c r="C799" s="13">
        <v>1150</v>
      </c>
      <c r="D799" s="13" t="s">
        <v>666</v>
      </c>
      <c r="E799" s="13" t="s">
        <v>808</v>
      </c>
      <c r="F799" s="4">
        <v>28500</v>
      </c>
      <c r="G799" s="28" t="s">
        <v>2024</v>
      </c>
      <c r="H799" s="14">
        <v>43577</v>
      </c>
      <c r="I799" s="4" t="s">
        <v>815</v>
      </c>
      <c r="J799" s="130"/>
      <c r="K799" s="16"/>
      <c r="L799" s="92"/>
    </row>
    <row r="800" spans="1:12" s="93" customFormat="1" x14ac:dyDescent="0.25">
      <c r="A800" s="61" t="s">
        <v>659</v>
      </c>
      <c r="B800" s="14">
        <v>43635</v>
      </c>
      <c r="C800" s="13">
        <v>1150</v>
      </c>
      <c r="D800" s="13" t="s">
        <v>666</v>
      </c>
      <c r="E800" s="13" t="s">
        <v>808</v>
      </c>
      <c r="F800" s="4">
        <v>1300</v>
      </c>
      <c r="G800" s="29" t="s">
        <v>7769</v>
      </c>
      <c r="H800" s="14">
        <v>43585</v>
      </c>
      <c r="I800" s="4" t="s">
        <v>1303</v>
      </c>
      <c r="J800" s="130"/>
      <c r="K800" s="16"/>
      <c r="L800" s="92"/>
    </row>
    <row r="801" spans="1:19" s="93" customFormat="1" x14ac:dyDescent="0.25">
      <c r="A801" s="61" t="s">
        <v>1147</v>
      </c>
      <c r="B801" s="14">
        <v>43635</v>
      </c>
      <c r="C801" s="13">
        <v>1150</v>
      </c>
      <c r="D801" s="13" t="s">
        <v>666</v>
      </c>
      <c r="E801" s="13" t="s">
        <v>808</v>
      </c>
      <c r="F801" s="4">
        <v>21674.799999999999</v>
      </c>
      <c r="G801" s="29" t="s">
        <v>7770</v>
      </c>
      <c r="H801" s="14">
        <v>43585</v>
      </c>
      <c r="I801" s="4" t="s">
        <v>1303</v>
      </c>
      <c r="J801" s="130"/>
      <c r="K801" s="16"/>
      <c r="L801" s="92"/>
    </row>
    <row r="802" spans="1:19" ht="27.6" x14ac:dyDescent="0.25">
      <c r="A802" s="61" t="s">
        <v>1806</v>
      </c>
      <c r="B802" s="14">
        <v>43635</v>
      </c>
      <c r="C802" s="13">
        <v>1151</v>
      </c>
      <c r="D802" s="13" t="s">
        <v>80</v>
      </c>
      <c r="E802" s="13" t="s">
        <v>808</v>
      </c>
      <c r="F802" s="37">
        <v>207500</v>
      </c>
      <c r="G802" s="29" t="s">
        <v>8056</v>
      </c>
      <c r="H802" s="14">
        <v>43600</v>
      </c>
      <c r="I802" s="4" t="s">
        <v>2157</v>
      </c>
    </row>
    <row r="803" spans="1:19" x14ac:dyDescent="0.25">
      <c r="A803" s="61" t="s">
        <v>659</v>
      </c>
      <c r="B803" s="14">
        <v>43635</v>
      </c>
      <c r="C803" s="13">
        <v>1152</v>
      </c>
      <c r="D803" s="13" t="s">
        <v>250</v>
      </c>
      <c r="E803" s="13" t="s">
        <v>808</v>
      </c>
      <c r="F803" s="4">
        <v>320875</v>
      </c>
      <c r="G803" s="28" t="s">
        <v>7032</v>
      </c>
      <c r="H803" s="14">
        <v>43569</v>
      </c>
      <c r="I803" s="4" t="s">
        <v>402</v>
      </c>
    </row>
    <row r="804" spans="1:19" x14ac:dyDescent="0.25">
      <c r="A804" s="61" t="s">
        <v>1316</v>
      </c>
      <c r="B804" s="14">
        <v>43635</v>
      </c>
      <c r="C804" s="13">
        <v>1153</v>
      </c>
      <c r="D804" s="13" t="s">
        <v>29</v>
      </c>
      <c r="E804" s="13" t="s">
        <v>808</v>
      </c>
      <c r="F804" s="4">
        <v>8550</v>
      </c>
      <c r="G804" s="28" t="s">
        <v>7689</v>
      </c>
      <c r="H804" s="14">
        <v>43557</v>
      </c>
      <c r="I804" s="4" t="s">
        <v>87</v>
      </c>
    </row>
    <row r="805" spans="1:19" x14ac:dyDescent="0.25">
      <c r="A805" s="61" t="s">
        <v>1147</v>
      </c>
      <c r="B805" s="14">
        <v>43635</v>
      </c>
      <c r="C805" s="13">
        <v>1153</v>
      </c>
      <c r="D805" s="13" t="s">
        <v>29</v>
      </c>
      <c r="E805" s="13" t="s">
        <v>808</v>
      </c>
      <c r="F805" s="37">
        <v>282150</v>
      </c>
      <c r="G805" s="29" t="s">
        <v>6178</v>
      </c>
      <c r="H805" s="14">
        <v>43563</v>
      </c>
      <c r="I805" s="4" t="s">
        <v>1061</v>
      </c>
    </row>
    <row r="806" spans="1:19" x14ac:dyDescent="0.25">
      <c r="A806" s="61" t="s">
        <v>1316</v>
      </c>
      <c r="B806" s="14">
        <v>43635</v>
      </c>
      <c r="C806" s="13">
        <v>1154</v>
      </c>
      <c r="D806" s="13" t="s">
        <v>692</v>
      </c>
      <c r="E806" s="13" t="s">
        <v>808</v>
      </c>
      <c r="F806" s="37">
        <v>100000</v>
      </c>
      <c r="G806" s="29" t="s">
        <v>1271</v>
      </c>
      <c r="H806" s="14">
        <v>43605</v>
      </c>
      <c r="I806" s="4" t="s">
        <v>419</v>
      </c>
    </row>
    <row r="807" spans="1:19" s="2" customFormat="1" ht="15" customHeight="1" x14ac:dyDescent="0.25">
      <c r="A807" s="61" t="s">
        <v>6</v>
      </c>
      <c r="B807" s="14">
        <v>43635</v>
      </c>
      <c r="C807" s="13">
        <v>296</v>
      </c>
      <c r="D807" s="13" t="s">
        <v>9027</v>
      </c>
      <c r="E807" s="13" t="s">
        <v>183</v>
      </c>
      <c r="F807" s="4">
        <v>13300</v>
      </c>
      <c r="G807" s="29" t="s">
        <v>9028</v>
      </c>
      <c r="H807" s="14">
        <v>43633</v>
      </c>
      <c r="I807" s="4" t="s">
        <v>9029</v>
      </c>
      <c r="J807" s="341"/>
      <c r="K807" s="31"/>
      <c r="L807" s="31"/>
      <c r="M807" s="31"/>
      <c r="N807" s="31"/>
      <c r="O807" s="34"/>
      <c r="P807" s="34"/>
      <c r="Q807" s="34"/>
      <c r="R807" s="34"/>
      <c r="S807" s="34"/>
    </row>
    <row r="808" spans="1:19" s="2" customFormat="1" ht="15" customHeight="1" x14ac:dyDescent="0.25">
      <c r="A808" s="13" t="s">
        <v>6</v>
      </c>
      <c r="B808" s="14">
        <v>43635</v>
      </c>
      <c r="C808" s="13">
        <v>297</v>
      </c>
      <c r="D808" s="13" t="s">
        <v>1591</v>
      </c>
      <c r="E808" s="13" t="s">
        <v>183</v>
      </c>
      <c r="F808" s="4">
        <v>73858</v>
      </c>
      <c r="G808" s="29" t="s">
        <v>9025</v>
      </c>
      <c r="H808" s="14">
        <v>43630</v>
      </c>
      <c r="I808" s="4" t="s">
        <v>9026</v>
      </c>
      <c r="J808" s="341"/>
      <c r="K808" s="31"/>
      <c r="L808" s="31"/>
      <c r="M808" s="31"/>
      <c r="N808" s="31"/>
      <c r="O808" s="34"/>
      <c r="P808" s="34"/>
      <c r="Q808" s="34"/>
      <c r="R808" s="34"/>
      <c r="S808" s="34"/>
    </row>
    <row r="809" spans="1:19" s="2" customFormat="1" ht="15" customHeight="1" x14ac:dyDescent="0.25">
      <c r="A809" s="13" t="s">
        <v>6</v>
      </c>
      <c r="B809" s="14">
        <v>43635</v>
      </c>
      <c r="C809" s="13">
        <v>298</v>
      </c>
      <c r="D809" s="13" t="s">
        <v>9031</v>
      </c>
      <c r="E809" s="13" t="s">
        <v>183</v>
      </c>
      <c r="F809" s="4">
        <v>58814</v>
      </c>
      <c r="G809" s="29" t="s">
        <v>5587</v>
      </c>
      <c r="H809" s="14">
        <v>43623</v>
      </c>
      <c r="I809" s="4" t="s">
        <v>9032</v>
      </c>
      <c r="J809" s="341"/>
      <c r="K809" s="31"/>
      <c r="L809" s="31"/>
      <c r="M809" s="31"/>
      <c r="N809" s="31"/>
      <c r="O809" s="34"/>
      <c r="P809" s="34"/>
      <c r="Q809" s="34"/>
      <c r="R809" s="34"/>
      <c r="S809" s="34"/>
    </row>
    <row r="810" spans="1:19" s="2" customFormat="1" x14ac:dyDescent="0.25">
      <c r="A810" s="13" t="s">
        <v>6</v>
      </c>
      <c r="B810" s="14">
        <v>43635</v>
      </c>
      <c r="C810" s="13">
        <v>299</v>
      </c>
      <c r="D810" s="13" t="s">
        <v>743</v>
      </c>
      <c r="E810" s="13" t="s">
        <v>183</v>
      </c>
      <c r="F810" s="4">
        <v>15125</v>
      </c>
      <c r="G810" s="29" t="s">
        <v>9030</v>
      </c>
      <c r="H810" s="14">
        <v>43615</v>
      </c>
      <c r="I810" s="4" t="s">
        <v>165</v>
      </c>
      <c r="J810" s="341"/>
      <c r="K810" s="31"/>
      <c r="L810" s="31"/>
      <c r="M810" s="31"/>
      <c r="N810" s="31"/>
      <c r="O810" s="34"/>
      <c r="P810" s="34"/>
      <c r="Q810" s="34"/>
      <c r="R810" s="34"/>
      <c r="S810" s="34"/>
    </row>
    <row r="811" spans="1:19" x14ac:dyDescent="0.25">
      <c r="A811" s="13" t="s">
        <v>209</v>
      </c>
      <c r="B811" s="14">
        <v>43635</v>
      </c>
      <c r="C811" s="13">
        <v>128</v>
      </c>
      <c r="D811" s="13" t="s">
        <v>210</v>
      </c>
      <c r="E811" s="13" t="s">
        <v>134</v>
      </c>
      <c r="F811" s="37">
        <v>36127.68</v>
      </c>
      <c r="G811" s="67" t="s">
        <v>9042</v>
      </c>
      <c r="H811" s="14">
        <v>43633</v>
      </c>
      <c r="I811" s="4" t="s">
        <v>9043</v>
      </c>
      <c r="J811" s="392"/>
      <c r="K811" s="228"/>
    </row>
    <row r="812" spans="1:19" x14ac:dyDescent="0.25">
      <c r="A812" s="13" t="s">
        <v>2953</v>
      </c>
      <c r="B812" s="14">
        <v>43635</v>
      </c>
      <c r="C812" s="13">
        <v>1014</v>
      </c>
      <c r="D812" s="13" t="s">
        <v>133</v>
      </c>
      <c r="E812" s="32" t="s">
        <v>130</v>
      </c>
      <c r="F812" s="4">
        <v>558140</v>
      </c>
      <c r="G812" s="29" t="s">
        <v>3718</v>
      </c>
      <c r="H812" s="14"/>
      <c r="I812" s="4" t="s">
        <v>1134</v>
      </c>
      <c r="J812" s="21" t="s">
        <v>6910</v>
      </c>
      <c r="K812" s="228"/>
    </row>
    <row r="813" spans="1:19" s="62" customFormat="1" x14ac:dyDescent="0.25">
      <c r="A813" s="61" t="s">
        <v>1149</v>
      </c>
      <c r="B813" s="14">
        <v>43635</v>
      </c>
      <c r="C813" s="13">
        <v>1015</v>
      </c>
      <c r="D813" s="13" t="s">
        <v>1468</v>
      </c>
      <c r="E813" s="13" t="s">
        <v>130</v>
      </c>
      <c r="F813" s="37">
        <v>43200</v>
      </c>
      <c r="G813" s="29" t="s">
        <v>8181</v>
      </c>
      <c r="H813" s="14">
        <v>43605</v>
      </c>
      <c r="I813" s="4" t="s">
        <v>6014</v>
      </c>
      <c r="J813" s="35" t="s">
        <v>1619</v>
      </c>
      <c r="O813" s="35"/>
      <c r="P813" s="35"/>
      <c r="Q813" s="35"/>
      <c r="R813" s="35"/>
      <c r="S813" s="35"/>
    </row>
    <row r="814" spans="1:19" x14ac:dyDescent="0.25">
      <c r="A814" s="13" t="s">
        <v>91</v>
      </c>
      <c r="B814" s="14">
        <v>43635</v>
      </c>
      <c r="C814" s="13">
        <v>1012</v>
      </c>
      <c r="D814" s="13" t="s">
        <v>133</v>
      </c>
      <c r="E814" s="32" t="s">
        <v>130</v>
      </c>
      <c r="F814" s="4">
        <v>175230</v>
      </c>
      <c r="G814" s="29" t="s">
        <v>1831</v>
      </c>
      <c r="H814" s="14"/>
      <c r="I814" s="4" t="s">
        <v>8553</v>
      </c>
      <c r="J814" s="21" t="s">
        <v>8555</v>
      </c>
      <c r="K814" s="228"/>
    </row>
    <row r="815" spans="1:19" x14ac:dyDescent="0.25">
      <c r="A815" s="13" t="s">
        <v>1316</v>
      </c>
      <c r="B815" s="14">
        <v>43635</v>
      </c>
      <c r="C815" s="13">
        <v>1013</v>
      </c>
      <c r="D815" s="13" t="s">
        <v>133</v>
      </c>
      <c r="E815" s="32" t="s">
        <v>130</v>
      </c>
      <c r="F815" s="4">
        <v>81600</v>
      </c>
      <c r="G815" s="29" t="s">
        <v>8556</v>
      </c>
      <c r="H815" s="14"/>
      <c r="I815" s="4" t="s">
        <v>6014</v>
      </c>
      <c r="J815" s="21" t="s">
        <v>1610</v>
      </c>
      <c r="K815" s="228"/>
    </row>
    <row r="816" spans="1:19" s="62" customFormat="1" x14ac:dyDescent="0.25">
      <c r="A816" s="61" t="s">
        <v>1422</v>
      </c>
      <c r="B816" s="14">
        <v>43635</v>
      </c>
      <c r="C816" s="13">
        <v>393</v>
      </c>
      <c r="D816" s="13" t="s">
        <v>1468</v>
      </c>
      <c r="E816" s="13" t="s">
        <v>440</v>
      </c>
      <c r="F816" s="37">
        <v>128820</v>
      </c>
      <c r="G816" s="29" t="s">
        <v>8552</v>
      </c>
      <c r="H816" s="14"/>
      <c r="I816" s="4" t="s">
        <v>8553</v>
      </c>
      <c r="J816" s="35" t="s">
        <v>8554</v>
      </c>
      <c r="O816" s="35"/>
      <c r="P816" s="35"/>
      <c r="Q816" s="35"/>
      <c r="R816" s="35"/>
      <c r="S816" s="35"/>
    </row>
    <row r="817" spans="1:11" x14ac:dyDescent="0.25">
      <c r="A817" s="68" t="s">
        <v>151</v>
      </c>
      <c r="B817" s="14">
        <v>43635</v>
      </c>
      <c r="C817" s="13">
        <v>1234</v>
      </c>
      <c r="D817" s="32" t="s">
        <v>2899</v>
      </c>
      <c r="E817" s="32" t="s">
        <v>38</v>
      </c>
      <c r="F817" s="209">
        <v>4000</v>
      </c>
      <c r="G817" s="210" t="s">
        <v>9224</v>
      </c>
      <c r="H817" s="211">
        <v>43609</v>
      </c>
      <c r="I817" s="208" t="s">
        <v>4399</v>
      </c>
      <c r="J817" s="21"/>
      <c r="K817" s="228"/>
    </row>
    <row r="818" spans="1:11" x14ac:dyDescent="0.25">
      <c r="A818" s="68" t="s">
        <v>151</v>
      </c>
      <c r="B818" s="14">
        <v>43635</v>
      </c>
      <c r="C818" s="13">
        <v>2</v>
      </c>
      <c r="D818" s="32" t="s">
        <v>2899</v>
      </c>
      <c r="E818" s="32" t="s">
        <v>6713</v>
      </c>
      <c r="F818" s="209">
        <v>4000</v>
      </c>
      <c r="G818" s="210" t="s">
        <v>9225</v>
      </c>
      <c r="H818" s="211">
        <v>43602</v>
      </c>
      <c r="I818" s="208" t="s">
        <v>4399</v>
      </c>
      <c r="J818" s="21"/>
      <c r="K818" s="228"/>
    </row>
    <row r="819" spans="1:11" ht="27.6" x14ac:dyDescent="0.25">
      <c r="A819" s="68" t="s">
        <v>151</v>
      </c>
      <c r="B819" s="14">
        <v>43635</v>
      </c>
      <c r="C819" s="13">
        <v>3</v>
      </c>
      <c r="D819" s="32" t="s">
        <v>2899</v>
      </c>
      <c r="E819" s="32" t="s">
        <v>8297</v>
      </c>
      <c r="F819" s="209">
        <v>4000</v>
      </c>
      <c r="G819" s="210" t="s">
        <v>9226</v>
      </c>
      <c r="H819" s="211">
        <v>43602</v>
      </c>
      <c r="I819" s="208" t="s">
        <v>4399</v>
      </c>
      <c r="J819" s="21"/>
      <c r="K819" s="228"/>
    </row>
    <row r="820" spans="1:11" x14ac:dyDescent="0.25">
      <c r="A820" s="68" t="s">
        <v>908</v>
      </c>
      <c r="B820" s="14">
        <v>43635</v>
      </c>
      <c r="C820" s="13">
        <v>1236</v>
      </c>
      <c r="D820" s="32" t="s">
        <v>1077</v>
      </c>
      <c r="E820" s="32" t="s">
        <v>38</v>
      </c>
      <c r="F820" s="4">
        <v>1740305</v>
      </c>
      <c r="G820" s="86" t="s">
        <v>591</v>
      </c>
      <c r="H820" s="211"/>
      <c r="I820" s="208" t="s">
        <v>581</v>
      </c>
      <c r="J820" s="21" t="s">
        <v>655</v>
      </c>
      <c r="K820" s="228"/>
    </row>
    <row r="821" spans="1:11" s="50" customFormat="1" ht="27.6" x14ac:dyDescent="0.25">
      <c r="A821" s="13" t="s">
        <v>92</v>
      </c>
      <c r="B821" s="14">
        <v>43635</v>
      </c>
      <c r="C821" s="13">
        <v>1010</v>
      </c>
      <c r="D821" s="32" t="s">
        <v>373</v>
      </c>
      <c r="E821" s="218" t="s">
        <v>7168</v>
      </c>
      <c r="F821" s="224">
        <v>2824900</v>
      </c>
      <c r="G821" s="28" t="s">
        <v>4765</v>
      </c>
      <c r="H821" s="14">
        <v>42851</v>
      </c>
      <c r="I821" s="32" t="s">
        <v>4764</v>
      </c>
      <c r="J821" s="325"/>
    </row>
    <row r="822" spans="1:11" x14ac:dyDescent="0.25">
      <c r="A822" s="13" t="s">
        <v>151</v>
      </c>
      <c r="B822" s="14">
        <v>43635</v>
      </c>
      <c r="C822" s="13">
        <v>526</v>
      </c>
      <c r="D822" s="32" t="s">
        <v>3533</v>
      </c>
      <c r="E822" s="32" t="s">
        <v>144</v>
      </c>
      <c r="F822" s="4">
        <v>400000</v>
      </c>
      <c r="G822" s="210" t="s">
        <v>3534</v>
      </c>
      <c r="H822" s="211">
        <v>42853</v>
      </c>
      <c r="I822" s="4" t="s">
        <v>4807</v>
      </c>
      <c r="J822" s="166"/>
      <c r="K822" s="228"/>
    </row>
    <row r="823" spans="1:11" x14ac:dyDescent="0.25">
      <c r="A823" s="61" t="s">
        <v>741</v>
      </c>
      <c r="B823" s="14">
        <v>43636</v>
      </c>
      <c r="C823" s="13">
        <v>680</v>
      </c>
      <c r="D823" s="13" t="s">
        <v>7716</v>
      </c>
      <c r="E823" s="13" t="s">
        <v>434</v>
      </c>
      <c r="F823" s="37">
        <v>1520790</v>
      </c>
      <c r="G823" s="29" t="s">
        <v>7717</v>
      </c>
      <c r="H823" s="14">
        <v>43599</v>
      </c>
      <c r="I823" s="4" t="s">
        <v>7718</v>
      </c>
      <c r="J823" s="128"/>
    </row>
    <row r="824" spans="1:11" s="2" customFormat="1" x14ac:dyDescent="0.25">
      <c r="A824" s="61" t="s">
        <v>741</v>
      </c>
      <c r="B824" s="14">
        <v>43636</v>
      </c>
      <c r="C824" s="13">
        <v>681</v>
      </c>
      <c r="D824" s="13" t="s">
        <v>2047</v>
      </c>
      <c r="E824" s="13" t="s">
        <v>434</v>
      </c>
      <c r="F824" s="4">
        <v>13600</v>
      </c>
      <c r="G824" s="28" t="s">
        <v>50</v>
      </c>
      <c r="H824" s="14">
        <v>43557</v>
      </c>
      <c r="I824" s="4" t="s">
        <v>95</v>
      </c>
      <c r="J824" s="121"/>
      <c r="K824" s="5"/>
    </row>
    <row r="825" spans="1:11" x14ac:dyDescent="0.25">
      <c r="A825" s="61" t="s">
        <v>741</v>
      </c>
      <c r="B825" s="14">
        <v>43636</v>
      </c>
      <c r="C825" s="13">
        <v>682</v>
      </c>
      <c r="D825" s="13" t="s">
        <v>2005</v>
      </c>
      <c r="E825" s="13" t="s">
        <v>434</v>
      </c>
      <c r="F825" s="4">
        <v>1900</v>
      </c>
      <c r="G825" s="28" t="s">
        <v>7070</v>
      </c>
      <c r="H825" s="14">
        <v>43573</v>
      </c>
      <c r="I825" s="4" t="s">
        <v>7071</v>
      </c>
      <c r="J825" s="128"/>
    </row>
    <row r="826" spans="1:11" x14ac:dyDescent="0.25">
      <c r="A826" s="61" t="s">
        <v>741</v>
      </c>
      <c r="B826" s="14">
        <v>43636</v>
      </c>
      <c r="C826" s="13">
        <v>683</v>
      </c>
      <c r="D826" s="13" t="s">
        <v>2005</v>
      </c>
      <c r="E826" s="13" t="s">
        <v>434</v>
      </c>
      <c r="F826" s="37">
        <v>5560</v>
      </c>
      <c r="G826" s="29" t="s">
        <v>7722</v>
      </c>
      <c r="H826" s="14">
        <v>43598</v>
      </c>
      <c r="I826" s="4" t="s">
        <v>344</v>
      </c>
      <c r="J826" s="128"/>
    </row>
    <row r="827" spans="1:11" x14ac:dyDescent="0.25">
      <c r="A827" s="61" t="s">
        <v>741</v>
      </c>
      <c r="B827" s="14">
        <v>43636</v>
      </c>
      <c r="C827" s="13">
        <v>684</v>
      </c>
      <c r="D827" s="13" t="s">
        <v>1098</v>
      </c>
      <c r="E827" s="13" t="s">
        <v>434</v>
      </c>
      <c r="F827" s="37">
        <v>12200</v>
      </c>
      <c r="G827" s="29" t="s">
        <v>7195</v>
      </c>
      <c r="H827" s="14">
        <v>43574</v>
      </c>
      <c r="I827" s="4" t="s">
        <v>7196</v>
      </c>
    </row>
    <row r="828" spans="1:11" x14ac:dyDescent="0.25">
      <c r="A828" s="32" t="s">
        <v>741</v>
      </c>
      <c r="B828" s="14">
        <v>43636</v>
      </c>
      <c r="C828" s="13">
        <v>685</v>
      </c>
      <c r="D828" s="13" t="s">
        <v>262</v>
      </c>
      <c r="E828" s="13" t="s">
        <v>434</v>
      </c>
      <c r="F828" s="37">
        <v>20000</v>
      </c>
      <c r="G828" s="29" t="s">
        <v>4127</v>
      </c>
      <c r="H828" s="14">
        <v>43557</v>
      </c>
      <c r="I828" s="4" t="s">
        <v>155</v>
      </c>
      <c r="J828" s="128"/>
    </row>
    <row r="829" spans="1:11" x14ac:dyDescent="0.25">
      <c r="A829" s="61" t="s">
        <v>741</v>
      </c>
      <c r="B829" s="14">
        <v>43636</v>
      </c>
      <c r="C829" s="13">
        <v>685</v>
      </c>
      <c r="D829" s="13" t="s">
        <v>262</v>
      </c>
      <c r="E829" s="13" t="s">
        <v>434</v>
      </c>
      <c r="F829" s="4">
        <v>18000</v>
      </c>
      <c r="G829" s="28" t="s">
        <v>1529</v>
      </c>
      <c r="H829" s="14">
        <v>43582</v>
      </c>
      <c r="I829" s="4" t="s">
        <v>155</v>
      </c>
      <c r="J829" s="128"/>
    </row>
    <row r="830" spans="1:11" x14ac:dyDescent="0.25">
      <c r="A830" s="61" t="s">
        <v>741</v>
      </c>
      <c r="B830" s="14">
        <v>43636</v>
      </c>
      <c r="C830" s="13">
        <v>685</v>
      </c>
      <c r="D830" s="13" t="s">
        <v>262</v>
      </c>
      <c r="E830" s="13" t="s">
        <v>434</v>
      </c>
      <c r="F830" s="37">
        <v>18000</v>
      </c>
      <c r="G830" s="29" t="s">
        <v>339</v>
      </c>
      <c r="H830" s="14">
        <v>43595</v>
      </c>
      <c r="I830" s="4" t="s">
        <v>155</v>
      </c>
      <c r="J830" s="128"/>
    </row>
    <row r="831" spans="1:11" x14ac:dyDescent="0.25">
      <c r="A831" s="61" t="s">
        <v>741</v>
      </c>
      <c r="B831" s="14">
        <v>43636</v>
      </c>
      <c r="C831" s="13">
        <v>686</v>
      </c>
      <c r="D831" s="13" t="s">
        <v>307</v>
      </c>
      <c r="E831" s="13" t="s">
        <v>434</v>
      </c>
      <c r="F831" s="4">
        <v>17820</v>
      </c>
      <c r="G831" s="28" t="s">
        <v>7438</v>
      </c>
      <c r="H831" s="14">
        <v>43574</v>
      </c>
      <c r="I831" s="4" t="s">
        <v>7437</v>
      </c>
      <c r="J831" s="128"/>
    </row>
    <row r="832" spans="1:11" x14ac:dyDescent="0.25">
      <c r="A832" s="61" t="s">
        <v>741</v>
      </c>
      <c r="B832" s="14">
        <v>43636</v>
      </c>
      <c r="C832" s="13">
        <v>686</v>
      </c>
      <c r="D832" s="13" t="s">
        <v>307</v>
      </c>
      <c r="E832" s="13" t="s">
        <v>434</v>
      </c>
      <c r="F832" s="4">
        <v>22050</v>
      </c>
      <c r="G832" s="28" t="s">
        <v>8274</v>
      </c>
      <c r="H832" s="14">
        <v>43598</v>
      </c>
      <c r="I832" s="4" t="s">
        <v>1590</v>
      </c>
      <c r="J832" s="128"/>
    </row>
    <row r="833" spans="1:12" x14ac:dyDescent="0.25">
      <c r="A833" s="61" t="s">
        <v>741</v>
      </c>
      <c r="B833" s="14">
        <v>43636</v>
      </c>
      <c r="C833" s="13">
        <v>687</v>
      </c>
      <c r="D833" s="13" t="s">
        <v>3186</v>
      </c>
      <c r="E833" s="13" t="s">
        <v>434</v>
      </c>
      <c r="F833" s="37">
        <v>37500</v>
      </c>
      <c r="G833" s="29" t="s">
        <v>6719</v>
      </c>
      <c r="H833" s="14">
        <v>43558</v>
      </c>
      <c r="I833" s="4" t="s">
        <v>7723</v>
      </c>
      <c r="J833" s="128"/>
    </row>
    <row r="834" spans="1:12" x14ac:dyDescent="0.25">
      <c r="A834" s="61" t="s">
        <v>741</v>
      </c>
      <c r="B834" s="14">
        <v>43636</v>
      </c>
      <c r="C834" s="13">
        <v>688</v>
      </c>
      <c r="D834" s="13" t="s">
        <v>70</v>
      </c>
      <c r="E834" s="13" t="s">
        <v>434</v>
      </c>
      <c r="F834" s="37">
        <v>13300</v>
      </c>
      <c r="G834" s="29" t="s">
        <v>8331</v>
      </c>
      <c r="H834" s="14">
        <v>43613</v>
      </c>
      <c r="I834" s="4" t="s">
        <v>793</v>
      </c>
      <c r="J834" s="128"/>
    </row>
    <row r="835" spans="1:12" x14ac:dyDescent="0.25">
      <c r="A835" s="61" t="s">
        <v>741</v>
      </c>
      <c r="B835" s="14">
        <v>43636</v>
      </c>
      <c r="C835" s="13">
        <v>689</v>
      </c>
      <c r="D835" s="13" t="s">
        <v>9192</v>
      </c>
      <c r="E835" s="13" t="s">
        <v>434</v>
      </c>
      <c r="F835" s="37">
        <f>117219.89-58975.39</f>
        <v>58244.5</v>
      </c>
      <c r="G835" s="29" t="s">
        <v>8331</v>
      </c>
      <c r="H835" s="14">
        <v>43613</v>
      </c>
      <c r="I835" s="4" t="s">
        <v>793</v>
      </c>
      <c r="J835" s="128"/>
    </row>
    <row r="836" spans="1:12" x14ac:dyDescent="0.25">
      <c r="A836" s="61" t="s">
        <v>103</v>
      </c>
      <c r="B836" s="14">
        <v>43636</v>
      </c>
      <c r="C836" s="13">
        <v>1060</v>
      </c>
      <c r="D836" s="13" t="s">
        <v>9202</v>
      </c>
      <c r="E836" s="13" t="s">
        <v>62</v>
      </c>
      <c r="F836" s="4">
        <v>60000</v>
      </c>
      <c r="G836" s="28" t="s">
        <v>205</v>
      </c>
      <c r="H836" s="14">
        <v>43622</v>
      </c>
      <c r="I836" s="4" t="s">
        <v>9203</v>
      </c>
      <c r="J836" s="128"/>
    </row>
    <row r="837" spans="1:12" ht="27.6" x14ac:dyDescent="0.25">
      <c r="A837" s="61" t="s">
        <v>460</v>
      </c>
      <c r="B837" s="14">
        <v>43636</v>
      </c>
      <c r="C837" s="13">
        <v>155</v>
      </c>
      <c r="D837" s="14" t="s">
        <v>6960</v>
      </c>
      <c r="E837" s="32" t="s">
        <v>483</v>
      </c>
      <c r="F837" s="4">
        <v>61425</v>
      </c>
      <c r="G837" s="86" t="s">
        <v>6961</v>
      </c>
      <c r="H837" s="211"/>
      <c r="I837" s="326"/>
      <c r="K837" s="62"/>
    </row>
    <row r="838" spans="1:12" x14ac:dyDescent="0.25">
      <c r="A838" s="61" t="s">
        <v>460</v>
      </c>
      <c r="B838" s="14">
        <v>43636</v>
      </c>
      <c r="C838" s="13">
        <v>156</v>
      </c>
      <c r="D838" s="14" t="s">
        <v>6962</v>
      </c>
      <c r="E838" s="32" t="s">
        <v>483</v>
      </c>
      <c r="F838" s="4">
        <v>45810</v>
      </c>
      <c r="G838" s="86" t="s">
        <v>6963</v>
      </c>
      <c r="H838" s="211"/>
      <c r="I838" s="326"/>
      <c r="K838" s="62"/>
    </row>
    <row r="839" spans="1:12" x14ac:dyDescent="0.25">
      <c r="A839" s="61" t="s">
        <v>460</v>
      </c>
      <c r="B839" s="14">
        <v>43636</v>
      </c>
      <c r="C839" s="13">
        <v>157</v>
      </c>
      <c r="D839" s="14" t="s">
        <v>7181</v>
      </c>
      <c r="E839" s="32" t="s">
        <v>483</v>
      </c>
      <c r="F839" s="4">
        <v>47250</v>
      </c>
      <c r="G839" s="86" t="s">
        <v>7182</v>
      </c>
      <c r="H839" s="211"/>
      <c r="I839" s="326"/>
      <c r="K839" s="62"/>
    </row>
    <row r="840" spans="1:12" x14ac:dyDescent="0.25">
      <c r="A840" s="61" t="s">
        <v>460</v>
      </c>
      <c r="B840" s="14"/>
      <c r="C840" s="13"/>
      <c r="D840" s="13" t="s">
        <v>8944</v>
      </c>
      <c r="E840" s="32" t="s">
        <v>231</v>
      </c>
      <c r="F840" s="4">
        <v>1815</v>
      </c>
      <c r="G840" s="86" t="s">
        <v>8943</v>
      </c>
      <c r="H840" s="211"/>
      <c r="I840" s="326"/>
      <c r="K840" s="62"/>
    </row>
    <row r="841" spans="1:12" x14ac:dyDescent="0.25">
      <c r="A841" s="61" t="s">
        <v>460</v>
      </c>
      <c r="B841" s="14"/>
      <c r="C841" s="13"/>
      <c r="D841" s="13" t="s">
        <v>8945</v>
      </c>
      <c r="E841" s="32" t="s">
        <v>231</v>
      </c>
      <c r="F841" s="4">
        <v>702</v>
      </c>
      <c r="G841" s="86" t="s">
        <v>8946</v>
      </c>
      <c r="H841" s="211"/>
      <c r="I841" s="326"/>
      <c r="K841" s="62"/>
    </row>
    <row r="842" spans="1:12" x14ac:dyDescent="0.25">
      <c r="A842" s="61" t="s">
        <v>460</v>
      </c>
      <c r="B842" s="14">
        <v>43636</v>
      </c>
      <c r="C842" s="13">
        <v>554</v>
      </c>
      <c r="D842" s="13" t="s">
        <v>6919</v>
      </c>
      <c r="E842" s="32" t="s">
        <v>144</v>
      </c>
      <c r="F842" s="4">
        <v>57737</v>
      </c>
      <c r="G842" s="86" t="s">
        <v>6920</v>
      </c>
      <c r="H842" s="211"/>
      <c r="I842" s="326"/>
      <c r="K842" s="62"/>
    </row>
    <row r="843" spans="1:12" ht="27.6" x14ac:dyDescent="0.25">
      <c r="A843" s="61" t="s">
        <v>460</v>
      </c>
      <c r="B843" s="14">
        <v>43636</v>
      </c>
      <c r="C843" s="13">
        <v>555</v>
      </c>
      <c r="D843" s="13" t="s">
        <v>6915</v>
      </c>
      <c r="E843" s="32" t="s">
        <v>144</v>
      </c>
      <c r="F843" s="4">
        <v>50491</v>
      </c>
      <c r="G843" s="86" t="s">
        <v>6916</v>
      </c>
      <c r="H843" s="211"/>
      <c r="I843" s="326"/>
      <c r="K843" s="62"/>
    </row>
    <row r="844" spans="1:12" x14ac:dyDescent="0.25">
      <c r="A844" s="61" t="s">
        <v>460</v>
      </c>
      <c r="B844" s="14">
        <v>43636</v>
      </c>
      <c r="C844" s="13">
        <v>556</v>
      </c>
      <c r="D844" s="13" t="s">
        <v>6917</v>
      </c>
      <c r="E844" s="32" t="s">
        <v>144</v>
      </c>
      <c r="F844" s="4">
        <v>40375</v>
      </c>
      <c r="G844" s="86" t="s">
        <v>6918</v>
      </c>
      <c r="H844" s="211"/>
      <c r="I844" s="326"/>
      <c r="K844" s="62"/>
    </row>
    <row r="845" spans="1:12" x14ac:dyDescent="0.25">
      <c r="A845" s="61" t="s">
        <v>460</v>
      </c>
      <c r="B845" s="14">
        <v>43636</v>
      </c>
      <c r="C845" s="13">
        <v>557</v>
      </c>
      <c r="D845" s="13" t="s">
        <v>6925</v>
      </c>
      <c r="E845" s="32" t="s">
        <v>144</v>
      </c>
      <c r="F845" s="4">
        <v>38500</v>
      </c>
      <c r="G845" s="86" t="s">
        <v>6926</v>
      </c>
      <c r="H845" s="211"/>
      <c r="I845" s="326"/>
      <c r="K845" s="62"/>
    </row>
    <row r="846" spans="1:12" x14ac:dyDescent="0.25">
      <c r="A846" s="13" t="s">
        <v>184</v>
      </c>
      <c r="B846" s="14">
        <v>43636</v>
      </c>
      <c r="C846" s="13">
        <v>558</v>
      </c>
      <c r="D846" s="13" t="s">
        <v>9049</v>
      </c>
      <c r="E846" s="32" t="s">
        <v>144</v>
      </c>
      <c r="F846" s="4">
        <v>27500</v>
      </c>
      <c r="G846" s="29" t="s">
        <v>727</v>
      </c>
      <c r="H846" s="14">
        <v>43616</v>
      </c>
      <c r="I846" s="4" t="s">
        <v>9050</v>
      </c>
      <c r="J846" s="21"/>
      <c r="K846" s="50"/>
    </row>
    <row r="847" spans="1:12" s="192" customFormat="1" ht="14.85" customHeight="1" x14ac:dyDescent="0.25">
      <c r="A847" s="147" t="s">
        <v>242</v>
      </c>
      <c r="B847" s="14">
        <v>43636</v>
      </c>
      <c r="C847" s="195">
        <v>559</v>
      </c>
      <c r="D847" s="149" t="s">
        <v>840</v>
      </c>
      <c r="E847" s="147" t="s">
        <v>144</v>
      </c>
      <c r="F847" s="158">
        <v>80702.399999999994</v>
      </c>
      <c r="G847" s="150" t="s">
        <v>1580</v>
      </c>
      <c r="H847" s="148">
        <v>43615</v>
      </c>
      <c r="I847" s="149" t="s">
        <v>143</v>
      </c>
      <c r="J847" s="193"/>
      <c r="K847" s="194"/>
      <c r="L847" s="190"/>
    </row>
    <row r="848" spans="1:12" s="192" customFormat="1" x14ac:dyDescent="0.25">
      <c r="A848" s="147" t="s">
        <v>242</v>
      </c>
      <c r="B848" s="14">
        <v>43636</v>
      </c>
      <c r="C848" s="195">
        <v>561</v>
      </c>
      <c r="D848" s="149" t="s">
        <v>784</v>
      </c>
      <c r="E848" s="147" t="s">
        <v>144</v>
      </c>
      <c r="F848" s="158">
        <v>257029.25</v>
      </c>
      <c r="G848" s="150" t="s">
        <v>153</v>
      </c>
      <c r="H848" s="148">
        <v>43616</v>
      </c>
      <c r="I848" s="149" t="s">
        <v>143</v>
      </c>
      <c r="J848" s="193"/>
      <c r="K848" s="194"/>
      <c r="L848" s="190"/>
    </row>
    <row r="849" spans="1:12" s="192" customFormat="1" x14ac:dyDescent="0.25">
      <c r="A849" s="147" t="s">
        <v>242</v>
      </c>
      <c r="B849" s="14">
        <v>43636</v>
      </c>
      <c r="C849" s="195">
        <v>560</v>
      </c>
      <c r="D849" s="149" t="s">
        <v>388</v>
      </c>
      <c r="E849" s="147" t="s">
        <v>144</v>
      </c>
      <c r="F849" s="158">
        <v>1065340.05</v>
      </c>
      <c r="G849" s="150" t="s">
        <v>3870</v>
      </c>
      <c r="H849" s="148">
        <v>43592</v>
      </c>
      <c r="I849" s="149" t="s">
        <v>143</v>
      </c>
      <c r="J849" s="193"/>
      <c r="K849" s="194"/>
      <c r="L849" s="190"/>
    </row>
    <row r="850" spans="1:12" x14ac:dyDescent="0.25">
      <c r="A850" s="61" t="s">
        <v>460</v>
      </c>
      <c r="B850" s="14">
        <v>43636</v>
      </c>
      <c r="C850" s="13">
        <v>774</v>
      </c>
      <c r="D850" s="13" t="s">
        <v>9020</v>
      </c>
      <c r="E850" s="32" t="s">
        <v>1121</v>
      </c>
      <c r="F850" s="4">
        <v>16226</v>
      </c>
      <c r="G850" s="86" t="s">
        <v>9021</v>
      </c>
      <c r="H850" s="211"/>
      <c r="I850" s="326"/>
      <c r="K850" s="62"/>
    </row>
    <row r="851" spans="1:12" x14ac:dyDescent="0.25">
      <c r="A851" s="61" t="s">
        <v>460</v>
      </c>
      <c r="B851" s="14">
        <v>43636</v>
      </c>
      <c r="C851" s="13">
        <v>775</v>
      </c>
      <c r="D851" s="13" t="s">
        <v>9022</v>
      </c>
      <c r="E851" s="32" t="s">
        <v>1121</v>
      </c>
      <c r="F851" s="4">
        <v>7650</v>
      </c>
      <c r="G851" s="86" t="s">
        <v>9023</v>
      </c>
      <c r="H851" s="211"/>
      <c r="I851" s="326"/>
      <c r="K851" s="62"/>
    </row>
    <row r="852" spans="1:12" x14ac:dyDescent="0.25">
      <c r="A852" s="61" t="s">
        <v>460</v>
      </c>
      <c r="B852" s="14">
        <v>43636</v>
      </c>
      <c r="C852" s="13">
        <v>776</v>
      </c>
      <c r="D852" s="13" t="s">
        <v>9022</v>
      </c>
      <c r="E852" s="32" t="s">
        <v>1121</v>
      </c>
      <c r="F852" s="4">
        <v>7650</v>
      </c>
      <c r="G852" s="86" t="s">
        <v>9024</v>
      </c>
      <c r="H852" s="211"/>
      <c r="I852" s="326"/>
      <c r="K852" s="62"/>
    </row>
    <row r="853" spans="1:12" x14ac:dyDescent="0.25">
      <c r="A853" s="13" t="s">
        <v>184</v>
      </c>
      <c r="B853" s="14">
        <v>43636</v>
      </c>
      <c r="C853" s="13">
        <v>777</v>
      </c>
      <c r="D853" s="13" t="s">
        <v>2651</v>
      </c>
      <c r="E853" s="32" t="s">
        <v>1121</v>
      </c>
      <c r="F853" s="4">
        <v>15459</v>
      </c>
      <c r="G853" s="29" t="s">
        <v>9054</v>
      </c>
      <c r="H853" s="14">
        <v>43627</v>
      </c>
      <c r="I853" s="4" t="s">
        <v>6592</v>
      </c>
      <c r="J853" s="125" t="s">
        <v>651</v>
      </c>
    </row>
    <row r="854" spans="1:12" ht="15" customHeight="1" x14ac:dyDescent="0.25">
      <c r="A854" s="13" t="s">
        <v>184</v>
      </c>
      <c r="B854" s="14">
        <v>43636</v>
      </c>
      <c r="C854" s="13">
        <v>778</v>
      </c>
      <c r="D854" s="13" t="s">
        <v>48</v>
      </c>
      <c r="E854" s="32" t="s">
        <v>1121</v>
      </c>
      <c r="F854" s="4">
        <v>7200</v>
      </c>
      <c r="G854" s="28" t="s">
        <v>1295</v>
      </c>
      <c r="H854" s="14">
        <v>43634</v>
      </c>
      <c r="I854" s="4" t="s">
        <v>1028</v>
      </c>
      <c r="J854" s="76"/>
    </row>
    <row r="855" spans="1:12" ht="15" customHeight="1" x14ac:dyDescent="0.25">
      <c r="A855" s="13" t="s">
        <v>184</v>
      </c>
      <c r="B855" s="14">
        <v>43636</v>
      </c>
      <c r="C855" s="67">
        <v>779</v>
      </c>
      <c r="D855" s="13" t="s">
        <v>238</v>
      </c>
      <c r="E855" s="32" t="s">
        <v>1121</v>
      </c>
      <c r="F855" s="4">
        <v>6573</v>
      </c>
      <c r="G855" s="28" t="s">
        <v>5333</v>
      </c>
      <c r="H855" s="14">
        <v>43627</v>
      </c>
      <c r="I855" s="4" t="s">
        <v>9055</v>
      </c>
      <c r="J855" s="125"/>
    </row>
    <row r="856" spans="1:12" ht="15" customHeight="1" x14ac:dyDescent="0.25">
      <c r="A856" s="13" t="s">
        <v>184</v>
      </c>
      <c r="B856" s="14">
        <v>43636</v>
      </c>
      <c r="C856" s="13">
        <v>780</v>
      </c>
      <c r="D856" s="13" t="s">
        <v>9045</v>
      </c>
      <c r="E856" s="32" t="s">
        <v>1121</v>
      </c>
      <c r="F856" s="4">
        <v>11001</v>
      </c>
      <c r="G856" s="28" t="s">
        <v>359</v>
      </c>
      <c r="H856" s="14">
        <v>43630</v>
      </c>
      <c r="I856" s="4" t="s">
        <v>9046</v>
      </c>
      <c r="J856" s="76"/>
    </row>
    <row r="857" spans="1:12" ht="15" customHeight="1" x14ac:dyDescent="0.25">
      <c r="A857" s="13" t="s">
        <v>184</v>
      </c>
      <c r="B857" s="14">
        <v>43636</v>
      </c>
      <c r="C857" s="13">
        <v>781</v>
      </c>
      <c r="D857" s="13" t="s">
        <v>5803</v>
      </c>
      <c r="E857" s="32" t="s">
        <v>1121</v>
      </c>
      <c r="F857" s="4">
        <v>17834</v>
      </c>
      <c r="G857" s="28" t="s">
        <v>9057</v>
      </c>
      <c r="H857" s="14">
        <v>43629</v>
      </c>
      <c r="I857" s="4" t="s">
        <v>1890</v>
      </c>
      <c r="J857" s="125"/>
    </row>
    <row r="858" spans="1:12" x14ac:dyDescent="0.25">
      <c r="A858" s="13" t="s">
        <v>184</v>
      </c>
      <c r="B858" s="14">
        <v>43636</v>
      </c>
      <c r="C858" s="13">
        <v>782</v>
      </c>
      <c r="D858" s="13" t="s">
        <v>6568</v>
      </c>
      <c r="E858" s="32" t="s">
        <v>1121</v>
      </c>
      <c r="F858" s="4">
        <v>15600</v>
      </c>
      <c r="G858" s="28" t="s">
        <v>9047</v>
      </c>
      <c r="H858" s="14">
        <v>43623</v>
      </c>
      <c r="I858" s="4" t="s">
        <v>9048</v>
      </c>
      <c r="J858" s="76"/>
    </row>
    <row r="859" spans="1:12" ht="15" customHeight="1" x14ac:dyDescent="0.25">
      <c r="A859" s="13" t="s">
        <v>184</v>
      </c>
      <c r="B859" s="14">
        <v>43636</v>
      </c>
      <c r="C859" s="13">
        <v>783</v>
      </c>
      <c r="D859" s="13" t="s">
        <v>5776</v>
      </c>
      <c r="E859" s="32" t="s">
        <v>1121</v>
      </c>
      <c r="F859" s="4">
        <v>10000</v>
      </c>
      <c r="G859" s="28" t="s">
        <v>4089</v>
      </c>
      <c r="H859" s="14">
        <v>43627</v>
      </c>
      <c r="I859" s="4" t="s">
        <v>9058</v>
      </c>
      <c r="J859" s="76"/>
    </row>
    <row r="860" spans="1:12" ht="15" customHeight="1" x14ac:dyDescent="0.25">
      <c r="A860" s="13" t="s">
        <v>184</v>
      </c>
      <c r="B860" s="14">
        <v>43636</v>
      </c>
      <c r="C860" s="13">
        <v>784</v>
      </c>
      <c r="D860" s="13" t="s">
        <v>348</v>
      </c>
      <c r="E860" s="32" t="s">
        <v>1121</v>
      </c>
      <c r="F860" s="4">
        <v>1244880.6399999999</v>
      </c>
      <c r="G860" s="28" t="s">
        <v>9040</v>
      </c>
      <c r="H860" s="14">
        <v>43617</v>
      </c>
      <c r="I860" s="4" t="s">
        <v>1124</v>
      </c>
      <c r="J860" s="76" t="s">
        <v>526</v>
      </c>
    </row>
    <row r="861" spans="1:12" x14ac:dyDescent="0.25">
      <c r="A861" s="13" t="s">
        <v>964</v>
      </c>
      <c r="B861" s="14">
        <v>43636</v>
      </c>
      <c r="C861" s="13">
        <v>785</v>
      </c>
      <c r="D861" s="13" t="s">
        <v>8691</v>
      </c>
      <c r="E861" s="32" t="s">
        <v>1121</v>
      </c>
      <c r="F861" s="4">
        <v>190000</v>
      </c>
      <c r="G861" s="29" t="s">
        <v>458</v>
      </c>
      <c r="H861" s="14">
        <v>43634</v>
      </c>
      <c r="I861" s="4" t="s">
        <v>9034</v>
      </c>
      <c r="J861" s="21" t="s">
        <v>9035</v>
      </c>
      <c r="K861" s="50"/>
    </row>
    <row r="862" spans="1:12" s="192" customFormat="1" x14ac:dyDescent="0.25">
      <c r="A862" s="147" t="s">
        <v>242</v>
      </c>
      <c r="B862" s="14">
        <v>43636</v>
      </c>
      <c r="C862" s="195">
        <v>786</v>
      </c>
      <c r="D862" s="149" t="s">
        <v>784</v>
      </c>
      <c r="E862" s="147" t="s">
        <v>1121</v>
      </c>
      <c r="F862" s="158">
        <v>107120</v>
      </c>
      <c r="G862" s="150" t="s">
        <v>36</v>
      </c>
      <c r="H862" s="148">
        <v>43630</v>
      </c>
      <c r="I862" s="149" t="s">
        <v>143</v>
      </c>
      <c r="J862" s="193"/>
      <c r="K862" s="194"/>
      <c r="L862" s="190"/>
    </row>
    <row r="863" spans="1:12" s="129" customFormat="1" ht="27.6" x14ac:dyDescent="0.25">
      <c r="A863" s="13" t="s">
        <v>151</v>
      </c>
      <c r="B863" s="14">
        <v>43636</v>
      </c>
      <c r="C863" s="28" t="s">
        <v>9248</v>
      </c>
      <c r="D863" s="13" t="s">
        <v>711</v>
      </c>
      <c r="E863" s="32" t="s">
        <v>1121</v>
      </c>
      <c r="F863" s="4">
        <f>1700+3500+5500+6550+2000+3600+500</f>
        <v>23350</v>
      </c>
      <c r="G863" s="28" t="s">
        <v>9036</v>
      </c>
      <c r="H863" s="28" t="s">
        <v>9037</v>
      </c>
      <c r="I863" s="4" t="s">
        <v>712</v>
      </c>
      <c r="J863" s="170"/>
      <c r="K863" s="136"/>
    </row>
    <row r="864" spans="1:12" ht="15" customHeight="1" x14ac:dyDescent="0.25">
      <c r="A864" s="32" t="s">
        <v>151</v>
      </c>
      <c r="B864" s="14">
        <v>43636</v>
      </c>
      <c r="C864" s="13">
        <v>788</v>
      </c>
      <c r="D864" s="13" t="s">
        <v>9060</v>
      </c>
      <c r="E864" s="32" t="s">
        <v>1121</v>
      </c>
      <c r="F864" s="4">
        <v>48702</v>
      </c>
      <c r="G864" s="28" t="s">
        <v>1485</v>
      </c>
      <c r="H864" s="14">
        <v>43634</v>
      </c>
      <c r="I864" s="4" t="s">
        <v>9061</v>
      </c>
      <c r="J864" s="76"/>
    </row>
    <row r="865" spans="1:19" ht="27.6" x14ac:dyDescent="0.25">
      <c r="A865" s="13" t="s">
        <v>151</v>
      </c>
      <c r="B865" s="14">
        <v>43636</v>
      </c>
      <c r="C865" s="13">
        <v>789</v>
      </c>
      <c r="D865" s="13" t="s">
        <v>1075</v>
      </c>
      <c r="E865" s="13" t="s">
        <v>1121</v>
      </c>
      <c r="F865" s="4">
        <v>10900</v>
      </c>
      <c r="G865" s="29" t="s">
        <v>886</v>
      </c>
      <c r="H865" s="14">
        <v>43059</v>
      </c>
      <c r="I865" s="4" t="s">
        <v>1076</v>
      </c>
      <c r="J865" s="22" t="s">
        <v>400</v>
      </c>
      <c r="K865" s="62"/>
    </row>
    <row r="866" spans="1:19" ht="13.95" customHeight="1" x14ac:dyDescent="0.25">
      <c r="A866" s="32" t="s">
        <v>151</v>
      </c>
      <c r="B866" s="14">
        <v>43636</v>
      </c>
      <c r="C866" s="67">
        <v>790</v>
      </c>
      <c r="D866" s="32" t="s">
        <v>116</v>
      </c>
      <c r="E866" s="32" t="s">
        <v>1121</v>
      </c>
      <c r="F866" s="4">
        <v>3137.12</v>
      </c>
      <c r="G866" s="28" t="s">
        <v>341</v>
      </c>
      <c r="H866" s="14">
        <v>43616</v>
      </c>
      <c r="I866" s="4" t="s">
        <v>118</v>
      </c>
      <c r="J866" s="170"/>
      <c r="K866" s="167"/>
      <c r="L866" s="35"/>
    </row>
    <row r="867" spans="1:19" x14ac:dyDescent="0.25">
      <c r="A867" s="32" t="s">
        <v>151</v>
      </c>
      <c r="B867" s="14">
        <v>43636</v>
      </c>
      <c r="C867" s="13">
        <v>791</v>
      </c>
      <c r="D867" s="13" t="s">
        <v>401</v>
      </c>
      <c r="E867" s="13" t="s">
        <v>1121</v>
      </c>
      <c r="F867" s="4">
        <f>11530</f>
        <v>11530</v>
      </c>
      <c r="G867" s="28" t="s">
        <v>7021</v>
      </c>
      <c r="H867" s="14">
        <v>43619</v>
      </c>
      <c r="I867" s="4" t="s">
        <v>7645</v>
      </c>
      <c r="J867" s="76"/>
      <c r="K867" s="246"/>
    </row>
    <row r="868" spans="1:19" ht="27.6" x14ac:dyDescent="0.25">
      <c r="A868" s="32" t="s">
        <v>442</v>
      </c>
      <c r="B868" s="14">
        <v>43636</v>
      </c>
      <c r="C868" s="67">
        <v>1254</v>
      </c>
      <c r="D868" s="32" t="s">
        <v>9010</v>
      </c>
      <c r="E868" s="13" t="s">
        <v>494</v>
      </c>
      <c r="F868" s="4">
        <v>4580.4399999999996</v>
      </c>
      <c r="G868" s="67">
        <v>131</v>
      </c>
      <c r="H868" s="14">
        <v>43630</v>
      </c>
      <c r="I868" s="4" t="s">
        <v>9011</v>
      </c>
      <c r="J868" s="21"/>
      <c r="K868" s="228"/>
    </row>
    <row r="869" spans="1:19" s="115" customFormat="1" ht="15.6" customHeight="1" x14ac:dyDescent="0.25">
      <c r="A869" s="61" t="s">
        <v>442</v>
      </c>
      <c r="B869" s="14">
        <v>43636</v>
      </c>
      <c r="C869" s="13">
        <v>1255</v>
      </c>
      <c r="D869" s="13" t="s">
        <v>873</v>
      </c>
      <c r="E869" s="13" t="s">
        <v>494</v>
      </c>
      <c r="F869" s="4">
        <v>913088.08</v>
      </c>
      <c r="G869" s="13" t="s">
        <v>874</v>
      </c>
      <c r="H869" s="126">
        <v>43593</v>
      </c>
      <c r="I869" s="29" t="s">
        <v>875</v>
      </c>
      <c r="J869" s="258"/>
      <c r="K869" s="116"/>
      <c r="L869" s="116"/>
      <c r="M869" s="116"/>
      <c r="N869" s="116"/>
      <c r="O869" s="117"/>
      <c r="P869" s="117"/>
      <c r="Q869" s="117"/>
      <c r="R869" s="117"/>
      <c r="S869" s="117"/>
    </row>
    <row r="870" spans="1:19" s="129" customFormat="1" ht="27.6" x14ac:dyDescent="0.25">
      <c r="A870" s="13" t="s">
        <v>151</v>
      </c>
      <c r="B870" s="14">
        <v>43636</v>
      </c>
      <c r="C870" s="28" t="s">
        <v>1398</v>
      </c>
      <c r="D870" s="13" t="s">
        <v>1945</v>
      </c>
      <c r="E870" s="32" t="s">
        <v>1427</v>
      </c>
      <c r="F870" s="4">
        <v>14196</v>
      </c>
      <c r="G870" s="28" t="s">
        <v>2186</v>
      </c>
      <c r="H870" s="14">
        <v>43370</v>
      </c>
      <c r="I870" s="4" t="s">
        <v>1835</v>
      </c>
      <c r="J870" s="22" t="s">
        <v>400</v>
      </c>
      <c r="K870" s="136"/>
    </row>
    <row r="871" spans="1:19" s="31" customFormat="1" ht="27.6" x14ac:dyDescent="0.25">
      <c r="A871" s="13" t="s">
        <v>91</v>
      </c>
      <c r="B871" s="14">
        <v>43636</v>
      </c>
      <c r="C871" s="13">
        <v>562</v>
      </c>
      <c r="D871" s="13" t="s">
        <v>745</v>
      </c>
      <c r="E871" s="13" t="s">
        <v>2021</v>
      </c>
      <c r="F871" s="37">
        <v>500000</v>
      </c>
      <c r="G871" s="29" t="s">
        <v>2018</v>
      </c>
      <c r="H871" s="14">
        <v>43377</v>
      </c>
      <c r="I871" s="4" t="s">
        <v>484</v>
      </c>
      <c r="J871" s="34"/>
      <c r="O871" s="34"/>
      <c r="P871" s="34"/>
      <c r="Q871" s="34"/>
      <c r="R871" s="34"/>
      <c r="S871" s="34"/>
    </row>
    <row r="872" spans="1:19" s="129" customFormat="1" ht="27.6" x14ac:dyDescent="0.25">
      <c r="A872" s="13" t="s">
        <v>151</v>
      </c>
      <c r="B872" s="14">
        <v>43636</v>
      </c>
      <c r="C872" s="28" t="s">
        <v>9249</v>
      </c>
      <c r="D872" s="13" t="s">
        <v>1945</v>
      </c>
      <c r="E872" s="13" t="s">
        <v>2021</v>
      </c>
      <c r="F872" s="4">
        <v>15912</v>
      </c>
      <c r="G872" s="28" t="s">
        <v>2187</v>
      </c>
      <c r="H872" s="14">
        <v>43370</v>
      </c>
      <c r="I872" s="4" t="s">
        <v>1835</v>
      </c>
      <c r="J872" s="22" t="s">
        <v>400</v>
      </c>
      <c r="K872" s="136"/>
    </row>
    <row r="873" spans="1:19" ht="15" customHeight="1" x14ac:dyDescent="0.25">
      <c r="A873" s="32" t="s">
        <v>151</v>
      </c>
      <c r="B873" s="14">
        <v>43636</v>
      </c>
      <c r="C873" s="13">
        <v>177</v>
      </c>
      <c r="D873" s="13" t="s">
        <v>8980</v>
      </c>
      <c r="E873" s="32" t="s">
        <v>22</v>
      </c>
      <c r="F873" s="4">
        <v>58684</v>
      </c>
      <c r="G873" s="28" t="s">
        <v>8981</v>
      </c>
      <c r="H873" s="14">
        <v>43630</v>
      </c>
      <c r="I873" s="4" t="s">
        <v>8982</v>
      </c>
      <c r="J873" s="76"/>
    </row>
    <row r="874" spans="1:19" x14ac:dyDescent="0.25">
      <c r="A874" s="13" t="s">
        <v>151</v>
      </c>
      <c r="B874" s="14">
        <v>43636</v>
      </c>
      <c r="C874" s="13">
        <v>176</v>
      </c>
      <c r="D874" s="13" t="s">
        <v>596</v>
      </c>
      <c r="E874" s="32" t="s">
        <v>22</v>
      </c>
      <c r="F874" s="4">
        <v>9265</v>
      </c>
      <c r="G874" s="28" t="s">
        <v>8353</v>
      </c>
      <c r="H874" s="14">
        <v>43634</v>
      </c>
      <c r="I874" s="4" t="s">
        <v>1</v>
      </c>
      <c r="J874" s="125"/>
    </row>
    <row r="875" spans="1:19" ht="13.95" customHeight="1" x14ac:dyDescent="0.25">
      <c r="A875" s="13" t="s">
        <v>91</v>
      </c>
      <c r="B875" s="14">
        <v>43636</v>
      </c>
      <c r="C875" s="13">
        <v>1025</v>
      </c>
      <c r="D875" s="32" t="s">
        <v>1907</v>
      </c>
      <c r="E875" s="32" t="s">
        <v>130</v>
      </c>
      <c r="F875" s="4">
        <v>3000000</v>
      </c>
      <c r="G875" s="86" t="s">
        <v>2797</v>
      </c>
      <c r="H875" s="14"/>
      <c r="I875" s="41" t="s">
        <v>1834</v>
      </c>
      <c r="J875" s="21"/>
      <c r="K875" s="228"/>
    </row>
    <row r="876" spans="1:19" x14ac:dyDescent="0.25">
      <c r="A876" s="32" t="s">
        <v>214</v>
      </c>
      <c r="B876" s="14">
        <v>43636</v>
      </c>
      <c r="C876" s="13">
        <v>1026</v>
      </c>
      <c r="D876" s="32" t="s">
        <v>1143</v>
      </c>
      <c r="E876" s="32" t="s">
        <v>130</v>
      </c>
      <c r="F876" s="4">
        <v>4000000</v>
      </c>
      <c r="G876" s="69" t="s">
        <v>1306</v>
      </c>
      <c r="H876" s="14"/>
      <c r="I876" s="4" t="s">
        <v>1307</v>
      </c>
      <c r="J876" s="21"/>
      <c r="K876" s="228"/>
    </row>
    <row r="877" spans="1:19" x14ac:dyDescent="0.25">
      <c r="A877" s="32" t="s">
        <v>151</v>
      </c>
      <c r="B877" s="14">
        <v>43636</v>
      </c>
      <c r="C877" s="67">
        <v>1240</v>
      </c>
      <c r="D877" s="32" t="s">
        <v>3520</v>
      </c>
      <c r="E877" s="32" t="s">
        <v>38</v>
      </c>
      <c r="F877" s="4">
        <f>2*8000</f>
        <v>16000</v>
      </c>
      <c r="G877" s="28"/>
      <c r="H877" s="14"/>
      <c r="I877" s="4" t="s">
        <v>1324</v>
      </c>
      <c r="J877" s="22" t="s">
        <v>623</v>
      </c>
      <c r="K877" s="167"/>
      <c r="L877" s="35"/>
    </row>
    <row r="878" spans="1:19" ht="14.1" customHeight="1" x14ac:dyDescent="0.25">
      <c r="A878" s="32" t="s">
        <v>310</v>
      </c>
      <c r="B878" s="14">
        <v>43636</v>
      </c>
      <c r="C878" s="13">
        <v>669</v>
      </c>
      <c r="D878" s="32" t="s">
        <v>541</v>
      </c>
      <c r="E878" s="13" t="s">
        <v>958</v>
      </c>
      <c r="F878" s="4">
        <f>1693996-750000*2</f>
        <v>193996</v>
      </c>
      <c r="G878" s="86" t="s">
        <v>4474</v>
      </c>
      <c r="H878" s="211"/>
      <c r="I878" s="208" t="s">
        <v>4473</v>
      </c>
      <c r="J878" s="21"/>
      <c r="K878" s="228"/>
    </row>
    <row r="879" spans="1:19" ht="13.95" customHeight="1" x14ac:dyDescent="0.25">
      <c r="A879" s="68" t="s">
        <v>310</v>
      </c>
      <c r="B879" s="14">
        <v>43636</v>
      </c>
      <c r="C879" s="13">
        <v>670</v>
      </c>
      <c r="D879" s="13" t="s">
        <v>510</v>
      </c>
      <c r="E879" s="32" t="s">
        <v>958</v>
      </c>
      <c r="F879" s="4">
        <v>5000000</v>
      </c>
      <c r="G879" s="86" t="s">
        <v>4467</v>
      </c>
      <c r="H879" s="14"/>
      <c r="I879" s="4" t="s">
        <v>237</v>
      </c>
      <c r="J879" s="71"/>
      <c r="K879" s="62"/>
      <c r="L879" s="62"/>
    </row>
    <row r="880" spans="1:19" ht="13.95" customHeight="1" x14ac:dyDescent="0.25">
      <c r="A880" s="61" t="s">
        <v>310</v>
      </c>
      <c r="B880" s="14">
        <v>43636</v>
      </c>
      <c r="C880" s="13">
        <v>671</v>
      </c>
      <c r="D880" s="13" t="s">
        <v>8687</v>
      </c>
      <c r="E880" s="32" t="s">
        <v>958</v>
      </c>
      <c r="F880" s="4">
        <v>1000000</v>
      </c>
      <c r="G880" s="86" t="s">
        <v>8688</v>
      </c>
      <c r="H880" s="211"/>
      <c r="I880" s="4" t="s">
        <v>8689</v>
      </c>
      <c r="J880" s="21"/>
      <c r="K880" s="228"/>
    </row>
    <row r="881" spans="1:19" s="115" customFormat="1" ht="15" customHeight="1" x14ac:dyDescent="0.25">
      <c r="A881" s="13" t="s">
        <v>311</v>
      </c>
      <c r="B881" s="14">
        <v>43636</v>
      </c>
      <c r="C881" s="13">
        <v>667</v>
      </c>
      <c r="D881" s="13" t="s">
        <v>241</v>
      </c>
      <c r="E881" s="13" t="s">
        <v>958</v>
      </c>
      <c r="F881" s="4">
        <v>84683.9</v>
      </c>
      <c r="G881" s="265" t="s">
        <v>4466</v>
      </c>
      <c r="H881" s="126"/>
      <c r="I881" s="41" t="s">
        <v>3647</v>
      </c>
      <c r="J881" s="258"/>
      <c r="K881" s="116"/>
      <c r="L881" s="116"/>
      <c r="M881" s="116"/>
      <c r="N881" s="116"/>
      <c r="O881" s="117"/>
      <c r="P881" s="117"/>
      <c r="Q881" s="117"/>
      <c r="R881" s="117"/>
      <c r="S881" s="117"/>
    </row>
    <row r="882" spans="1:19" ht="13.95" customHeight="1" x14ac:dyDescent="0.25">
      <c r="A882" s="68" t="s">
        <v>310</v>
      </c>
      <c r="B882" s="14">
        <v>43636</v>
      </c>
      <c r="C882" s="13">
        <v>672</v>
      </c>
      <c r="D882" s="32" t="s">
        <v>1664</v>
      </c>
      <c r="E882" s="32" t="s">
        <v>958</v>
      </c>
      <c r="F882" s="4">
        <v>5000000</v>
      </c>
      <c r="G882" s="86" t="s">
        <v>4471</v>
      </c>
      <c r="H882" s="211"/>
      <c r="I882" s="208" t="s">
        <v>16</v>
      </c>
      <c r="J882" s="21"/>
      <c r="K882" s="228"/>
    </row>
    <row r="883" spans="1:19" x14ac:dyDescent="0.25">
      <c r="A883" s="32" t="s">
        <v>455</v>
      </c>
      <c r="B883" s="14">
        <v>43636</v>
      </c>
      <c r="C883" s="67">
        <v>673</v>
      </c>
      <c r="D883" s="32" t="s">
        <v>4651</v>
      </c>
      <c r="E883" s="13" t="s">
        <v>958</v>
      </c>
      <c r="F883" s="4">
        <v>78800</v>
      </c>
      <c r="G883" s="67">
        <v>866</v>
      </c>
      <c r="H883" s="14">
        <v>43630</v>
      </c>
      <c r="I883" s="4" t="s">
        <v>4652</v>
      </c>
      <c r="J883" s="21"/>
      <c r="K883" s="228"/>
    </row>
    <row r="884" spans="1:19" s="97" customFormat="1" x14ac:dyDescent="0.25">
      <c r="A884" s="61" t="s">
        <v>310</v>
      </c>
      <c r="B884" s="14">
        <v>43636</v>
      </c>
      <c r="C884" s="13">
        <v>674</v>
      </c>
      <c r="D884" s="13" t="s">
        <v>1032</v>
      </c>
      <c r="E884" s="13" t="s">
        <v>958</v>
      </c>
      <c r="F884" s="4">
        <v>21000</v>
      </c>
      <c r="G884" s="29" t="s">
        <v>7827</v>
      </c>
      <c r="H884" s="14">
        <v>43559</v>
      </c>
      <c r="I884" s="4" t="s">
        <v>142</v>
      </c>
      <c r="J884" s="133"/>
      <c r="K884" s="22"/>
      <c r="L884" s="134"/>
    </row>
    <row r="885" spans="1:19" s="97" customFormat="1" x14ac:dyDescent="0.25">
      <c r="A885" s="13" t="s">
        <v>455</v>
      </c>
      <c r="B885" s="14">
        <v>43636</v>
      </c>
      <c r="C885" s="13">
        <v>674</v>
      </c>
      <c r="D885" s="13" t="s">
        <v>1032</v>
      </c>
      <c r="E885" s="13" t="s">
        <v>958</v>
      </c>
      <c r="F885" s="4">
        <v>174300</v>
      </c>
      <c r="G885" s="28" t="s">
        <v>7828</v>
      </c>
      <c r="H885" s="14">
        <v>43573</v>
      </c>
      <c r="I885" s="4" t="s">
        <v>1270</v>
      </c>
      <c r="J885" s="133"/>
      <c r="K885" s="22"/>
      <c r="L885" s="134"/>
    </row>
    <row r="886" spans="1:19" s="97" customFormat="1" x14ac:dyDescent="0.25">
      <c r="A886" s="61" t="s">
        <v>455</v>
      </c>
      <c r="B886" s="14">
        <v>43636</v>
      </c>
      <c r="C886" s="13">
        <v>675</v>
      </c>
      <c r="D886" s="13" t="s">
        <v>868</v>
      </c>
      <c r="E886" s="13" t="s">
        <v>958</v>
      </c>
      <c r="F886" s="4">
        <f>161976-61976</f>
        <v>100000</v>
      </c>
      <c r="G886" s="29" t="s">
        <v>7814</v>
      </c>
      <c r="H886" s="14">
        <v>43591</v>
      </c>
      <c r="I886" s="4" t="s">
        <v>7815</v>
      </c>
      <c r="J886" s="133"/>
      <c r="K886" s="22"/>
      <c r="L886" s="134"/>
    </row>
    <row r="887" spans="1:19" s="97" customFormat="1" x14ac:dyDescent="0.25">
      <c r="A887" s="61" t="s">
        <v>455</v>
      </c>
      <c r="B887" s="14">
        <v>43636</v>
      </c>
      <c r="C887" s="13">
        <v>675</v>
      </c>
      <c r="D887" s="13" t="s">
        <v>868</v>
      </c>
      <c r="E887" s="13" t="s">
        <v>958</v>
      </c>
      <c r="F887" s="4">
        <v>54180</v>
      </c>
      <c r="G887" s="29" t="s">
        <v>7816</v>
      </c>
      <c r="H887" s="14">
        <v>43592</v>
      </c>
      <c r="I887" s="4" t="s">
        <v>1314</v>
      </c>
      <c r="J887" s="133"/>
      <c r="K887" s="22"/>
      <c r="L887" s="134"/>
    </row>
    <row r="888" spans="1:19" s="97" customFormat="1" x14ac:dyDescent="0.25">
      <c r="A888" s="61" t="s">
        <v>455</v>
      </c>
      <c r="B888" s="14">
        <v>43636</v>
      </c>
      <c r="C888" s="13">
        <v>676</v>
      </c>
      <c r="D888" s="13" t="s">
        <v>6177</v>
      </c>
      <c r="E888" s="13" t="s">
        <v>958</v>
      </c>
      <c r="F888" s="4">
        <v>142460</v>
      </c>
      <c r="G888" s="29" t="s">
        <v>5928</v>
      </c>
      <c r="H888" s="14">
        <v>43591</v>
      </c>
      <c r="I888" s="4" t="s">
        <v>5049</v>
      </c>
      <c r="J888" s="133"/>
      <c r="K888" s="22"/>
      <c r="L888" s="134"/>
    </row>
    <row r="889" spans="1:19" s="97" customFormat="1" x14ac:dyDescent="0.25">
      <c r="A889" s="61" t="s">
        <v>455</v>
      </c>
      <c r="B889" s="14">
        <v>43636</v>
      </c>
      <c r="C889" s="13">
        <v>676</v>
      </c>
      <c r="D889" s="13" t="s">
        <v>6177</v>
      </c>
      <c r="E889" s="13" t="s">
        <v>958</v>
      </c>
      <c r="F889" s="4">
        <v>200000</v>
      </c>
      <c r="G889" s="29" t="s">
        <v>7246</v>
      </c>
      <c r="H889" s="14">
        <v>43599</v>
      </c>
      <c r="I889" s="4" t="s">
        <v>7796</v>
      </c>
      <c r="J889" s="133"/>
      <c r="K889" s="22"/>
      <c r="L889" s="134"/>
    </row>
    <row r="890" spans="1:19" s="97" customFormat="1" x14ac:dyDescent="0.25">
      <c r="A890" s="61" t="s">
        <v>455</v>
      </c>
      <c r="B890" s="14">
        <v>43636</v>
      </c>
      <c r="C890" s="13">
        <v>677</v>
      </c>
      <c r="D890" s="13" t="s">
        <v>157</v>
      </c>
      <c r="E890" s="13" t="s">
        <v>958</v>
      </c>
      <c r="F890" s="4">
        <v>44650.8</v>
      </c>
      <c r="G890" s="29" t="s">
        <v>7783</v>
      </c>
      <c r="H890" s="14">
        <v>43593</v>
      </c>
      <c r="I890" s="4" t="s">
        <v>6502</v>
      </c>
      <c r="J890" s="133"/>
      <c r="K890" s="22"/>
      <c r="L890" s="134"/>
    </row>
    <row r="891" spans="1:19" s="93" customFormat="1" x14ac:dyDescent="0.25">
      <c r="A891" s="61" t="s">
        <v>311</v>
      </c>
      <c r="B891" s="14">
        <v>43636</v>
      </c>
      <c r="C891" s="13">
        <v>668</v>
      </c>
      <c r="D891" s="13" t="s">
        <v>666</v>
      </c>
      <c r="E891" s="13" t="s">
        <v>958</v>
      </c>
      <c r="F891" s="4">
        <v>43700</v>
      </c>
      <c r="G891" s="28" t="s">
        <v>975</v>
      </c>
      <c r="H891" s="14">
        <v>43578</v>
      </c>
      <c r="I891" s="4" t="s">
        <v>266</v>
      </c>
      <c r="J891" s="130"/>
      <c r="K891" s="16"/>
      <c r="L891" s="92"/>
    </row>
    <row r="892" spans="1:19" s="97" customFormat="1" x14ac:dyDescent="0.25">
      <c r="A892" s="61" t="s">
        <v>310</v>
      </c>
      <c r="B892" s="14">
        <v>43636</v>
      </c>
      <c r="C892" s="13">
        <v>678</v>
      </c>
      <c r="D892" s="13" t="s">
        <v>516</v>
      </c>
      <c r="E892" s="13" t="s">
        <v>958</v>
      </c>
      <c r="F892" s="37">
        <v>17481.599999999999</v>
      </c>
      <c r="G892" s="29" t="s">
        <v>8371</v>
      </c>
      <c r="H892" s="14">
        <v>43600</v>
      </c>
      <c r="I892" s="4" t="s">
        <v>8372</v>
      </c>
      <c r="J892" s="133"/>
      <c r="K892" s="22"/>
      <c r="L892" s="134"/>
    </row>
    <row r="893" spans="1:19" x14ac:dyDescent="0.25">
      <c r="A893" s="61" t="s">
        <v>455</v>
      </c>
      <c r="B893" s="14">
        <v>43636</v>
      </c>
      <c r="C893" s="13">
        <v>679</v>
      </c>
      <c r="D893" s="13" t="s">
        <v>5345</v>
      </c>
      <c r="E893" s="13" t="s">
        <v>958</v>
      </c>
      <c r="F893" s="37">
        <v>100000</v>
      </c>
      <c r="G893" s="29" t="s">
        <v>4</v>
      </c>
      <c r="H893" s="14">
        <v>43575</v>
      </c>
      <c r="I893" s="4" t="s">
        <v>5346</v>
      </c>
    </row>
    <row r="894" spans="1:19" x14ac:dyDescent="0.25">
      <c r="A894" s="61" t="s">
        <v>455</v>
      </c>
      <c r="B894" s="14">
        <v>43636</v>
      </c>
      <c r="C894" s="13">
        <v>680</v>
      </c>
      <c r="D894" s="13" t="s">
        <v>1985</v>
      </c>
      <c r="E894" s="13" t="s">
        <v>958</v>
      </c>
      <c r="F894" s="37">
        <v>12400</v>
      </c>
      <c r="G894" s="29" t="s">
        <v>65</v>
      </c>
      <c r="H894" s="14">
        <v>43585</v>
      </c>
      <c r="I894" s="4" t="s">
        <v>122</v>
      </c>
    </row>
    <row r="895" spans="1:19" x14ac:dyDescent="0.25">
      <c r="A895" s="61" t="s">
        <v>310</v>
      </c>
      <c r="B895" s="14">
        <v>43636</v>
      </c>
      <c r="C895" s="13">
        <v>681</v>
      </c>
      <c r="D895" s="13" t="s">
        <v>2115</v>
      </c>
      <c r="E895" s="13" t="s">
        <v>958</v>
      </c>
      <c r="F895" s="37">
        <v>331500</v>
      </c>
      <c r="G895" s="29" t="s">
        <v>3280</v>
      </c>
      <c r="H895" s="14">
        <v>43585</v>
      </c>
      <c r="I895" s="4" t="s">
        <v>1602</v>
      </c>
    </row>
    <row r="896" spans="1:19" x14ac:dyDescent="0.25">
      <c r="A896" s="61" t="s">
        <v>103</v>
      </c>
      <c r="B896" s="14">
        <v>43636</v>
      </c>
      <c r="C896" s="13">
        <v>1061</v>
      </c>
      <c r="D896" s="13" t="s">
        <v>7719</v>
      </c>
      <c r="E896" s="13" t="s">
        <v>62</v>
      </c>
      <c r="F896" s="37">
        <f>635700-500000</f>
        <v>135700</v>
      </c>
      <c r="G896" s="29" t="s">
        <v>7720</v>
      </c>
      <c r="H896" s="14">
        <v>43589</v>
      </c>
      <c r="I896" s="4" t="s">
        <v>7721</v>
      </c>
      <c r="J896" s="128"/>
    </row>
    <row r="897" spans="1:12" x14ac:dyDescent="0.25">
      <c r="A897" s="61" t="s">
        <v>103</v>
      </c>
      <c r="B897" s="14">
        <v>43636</v>
      </c>
      <c r="C897" s="13">
        <v>1062</v>
      </c>
      <c r="D897" s="13" t="s">
        <v>3560</v>
      </c>
      <c r="E897" s="13" t="s">
        <v>62</v>
      </c>
      <c r="F897" s="4">
        <v>28436</v>
      </c>
      <c r="G897" s="28" t="s">
        <v>7067</v>
      </c>
      <c r="H897" s="14">
        <v>43577</v>
      </c>
      <c r="I897" s="4" t="s">
        <v>7068</v>
      </c>
      <c r="J897" s="128"/>
    </row>
    <row r="898" spans="1:12" x14ac:dyDescent="0.25">
      <c r="A898" s="61" t="s">
        <v>103</v>
      </c>
      <c r="B898" s="14">
        <v>43636</v>
      </c>
      <c r="C898" s="13">
        <v>1063</v>
      </c>
      <c r="D898" s="13" t="s">
        <v>262</v>
      </c>
      <c r="E898" s="13" t="s">
        <v>62</v>
      </c>
      <c r="F898" s="37">
        <f>35000-20000</f>
        <v>15000</v>
      </c>
      <c r="G898" s="29" t="s">
        <v>1510</v>
      </c>
      <c r="H898" s="14">
        <v>43585</v>
      </c>
      <c r="I898" s="4" t="s">
        <v>155</v>
      </c>
      <c r="J898" s="128"/>
    </row>
    <row r="899" spans="1:12" x14ac:dyDescent="0.25">
      <c r="A899" s="61" t="s">
        <v>103</v>
      </c>
      <c r="B899" s="14">
        <v>43636</v>
      </c>
      <c r="C899" s="13">
        <v>1063</v>
      </c>
      <c r="D899" s="13" t="s">
        <v>262</v>
      </c>
      <c r="E899" s="13" t="s">
        <v>62</v>
      </c>
      <c r="F899" s="4">
        <v>35000</v>
      </c>
      <c r="G899" s="28" t="s">
        <v>5527</v>
      </c>
      <c r="H899" s="14">
        <v>43600</v>
      </c>
      <c r="I899" s="4" t="s">
        <v>155</v>
      </c>
      <c r="J899" s="128"/>
    </row>
    <row r="900" spans="1:12" x14ac:dyDescent="0.25">
      <c r="A900" s="61" t="s">
        <v>103</v>
      </c>
      <c r="B900" s="14">
        <v>43636</v>
      </c>
      <c r="C900" s="13">
        <v>1063</v>
      </c>
      <c r="D900" s="13" t="s">
        <v>262</v>
      </c>
      <c r="E900" s="13" t="s">
        <v>62</v>
      </c>
      <c r="F900" s="4">
        <v>70000</v>
      </c>
      <c r="G900" s="28" t="s">
        <v>85</v>
      </c>
      <c r="H900" s="14">
        <v>43602</v>
      </c>
      <c r="I900" s="4" t="s">
        <v>155</v>
      </c>
      <c r="J900" s="128"/>
    </row>
    <row r="901" spans="1:12" x14ac:dyDescent="0.25">
      <c r="A901" s="61" t="s">
        <v>103</v>
      </c>
      <c r="B901" s="14">
        <v>43636</v>
      </c>
      <c r="C901" s="13">
        <v>1063</v>
      </c>
      <c r="D901" s="13" t="s">
        <v>262</v>
      </c>
      <c r="E901" s="13" t="s">
        <v>62</v>
      </c>
      <c r="F901" s="4">
        <v>70000</v>
      </c>
      <c r="G901" s="28" t="s">
        <v>5890</v>
      </c>
      <c r="H901" s="14">
        <v>43614</v>
      </c>
      <c r="I901" s="4" t="s">
        <v>155</v>
      </c>
      <c r="J901" s="128"/>
    </row>
    <row r="902" spans="1:12" x14ac:dyDescent="0.25">
      <c r="A902" s="61" t="s">
        <v>103</v>
      </c>
      <c r="B902" s="14">
        <v>43636</v>
      </c>
      <c r="C902" s="13">
        <v>1063</v>
      </c>
      <c r="D902" s="13" t="s">
        <v>262</v>
      </c>
      <c r="E902" s="13" t="s">
        <v>62</v>
      </c>
      <c r="F902" s="4">
        <v>35000</v>
      </c>
      <c r="G902" s="28" t="s">
        <v>154</v>
      </c>
      <c r="H902" s="14">
        <v>43616</v>
      </c>
      <c r="I902" s="4" t="s">
        <v>155</v>
      </c>
      <c r="J902" s="128"/>
    </row>
    <row r="903" spans="1:12" x14ac:dyDescent="0.25">
      <c r="A903" s="61" t="s">
        <v>103</v>
      </c>
      <c r="B903" s="14">
        <v>43636</v>
      </c>
      <c r="C903" s="13">
        <v>1064</v>
      </c>
      <c r="D903" s="13" t="s">
        <v>307</v>
      </c>
      <c r="E903" s="13" t="s">
        <v>62</v>
      </c>
      <c r="F903" s="4">
        <v>48600</v>
      </c>
      <c r="G903" s="28" t="s">
        <v>7436</v>
      </c>
      <c r="H903" s="14">
        <v>43574</v>
      </c>
      <c r="I903" s="4" t="s">
        <v>7437</v>
      </c>
      <c r="J903" s="128"/>
    </row>
    <row r="904" spans="1:12" x14ac:dyDescent="0.25">
      <c r="A904" s="61" t="s">
        <v>103</v>
      </c>
      <c r="B904" s="14">
        <v>43636</v>
      </c>
      <c r="C904" s="13">
        <v>1065</v>
      </c>
      <c r="D904" s="13" t="s">
        <v>1156</v>
      </c>
      <c r="E904" s="13" t="s">
        <v>62</v>
      </c>
      <c r="F904" s="37">
        <v>399300</v>
      </c>
      <c r="G904" s="29" t="s">
        <v>4094</v>
      </c>
      <c r="H904" s="14">
        <v>43585</v>
      </c>
      <c r="I904" s="4" t="s">
        <v>7724</v>
      </c>
      <c r="J904" s="128"/>
    </row>
    <row r="905" spans="1:12" x14ac:dyDescent="0.25">
      <c r="A905" s="61" t="s">
        <v>103</v>
      </c>
      <c r="B905" s="14">
        <v>43636</v>
      </c>
      <c r="C905" s="13">
        <v>1066</v>
      </c>
      <c r="D905" s="13" t="s">
        <v>5911</v>
      </c>
      <c r="E905" s="13" t="s">
        <v>62</v>
      </c>
      <c r="F905" s="37">
        <v>10800</v>
      </c>
      <c r="G905" s="29" t="s">
        <v>479</v>
      </c>
      <c r="H905" s="14">
        <v>43584</v>
      </c>
      <c r="I905" s="4" t="s">
        <v>5912</v>
      </c>
      <c r="J905" s="128"/>
    </row>
    <row r="906" spans="1:12" x14ac:dyDescent="0.25">
      <c r="A906" s="61" t="s">
        <v>103</v>
      </c>
      <c r="B906" s="14">
        <v>43636</v>
      </c>
      <c r="C906" s="13">
        <v>1066</v>
      </c>
      <c r="D906" s="13" t="s">
        <v>5911</v>
      </c>
      <c r="E906" s="13" t="s">
        <v>62</v>
      </c>
      <c r="F906" s="37">
        <v>10800</v>
      </c>
      <c r="G906" s="29" t="s">
        <v>77</v>
      </c>
      <c r="H906" s="14">
        <v>43586</v>
      </c>
      <c r="I906" s="4" t="s">
        <v>5912</v>
      </c>
      <c r="J906" s="128"/>
    </row>
    <row r="907" spans="1:12" x14ac:dyDescent="0.25">
      <c r="A907" s="211" t="s">
        <v>103</v>
      </c>
      <c r="B907" s="14">
        <v>43636</v>
      </c>
      <c r="C907" s="13">
        <v>1066</v>
      </c>
      <c r="D907" s="13" t="s">
        <v>5911</v>
      </c>
      <c r="E907" s="13" t="s">
        <v>62</v>
      </c>
      <c r="F907" s="37">
        <v>25150</v>
      </c>
      <c r="G907" s="29" t="s">
        <v>4090</v>
      </c>
      <c r="H907" s="14">
        <v>43607</v>
      </c>
      <c r="I907" s="32" t="s">
        <v>8275</v>
      </c>
      <c r="J907" s="128"/>
    </row>
    <row r="908" spans="1:12" x14ac:dyDescent="0.25">
      <c r="A908" s="61" t="s">
        <v>103</v>
      </c>
      <c r="B908" s="14">
        <v>43636</v>
      </c>
      <c r="C908" s="13">
        <v>1067</v>
      </c>
      <c r="D908" s="13" t="s">
        <v>7725</v>
      </c>
      <c r="E908" s="13" t="s">
        <v>62</v>
      </c>
      <c r="F908" s="37">
        <v>32200</v>
      </c>
      <c r="G908" s="29" t="s">
        <v>7034</v>
      </c>
      <c r="H908" s="14">
        <v>43599</v>
      </c>
      <c r="I908" s="4" t="s">
        <v>7726</v>
      </c>
      <c r="J908" s="128"/>
    </row>
    <row r="909" spans="1:12" s="97" customFormat="1" x14ac:dyDescent="0.25">
      <c r="A909" s="61" t="s">
        <v>103</v>
      </c>
      <c r="B909" s="14">
        <v>43636</v>
      </c>
      <c r="C909" s="13">
        <v>1068</v>
      </c>
      <c r="D909" s="13" t="s">
        <v>1690</v>
      </c>
      <c r="E909" s="13" t="s">
        <v>62</v>
      </c>
      <c r="F909" s="37">
        <v>12800</v>
      </c>
      <c r="G909" s="29" t="s">
        <v>8093</v>
      </c>
      <c r="H909" s="14">
        <v>43599</v>
      </c>
      <c r="I909" s="4" t="s">
        <v>1301</v>
      </c>
      <c r="J909" s="133"/>
      <c r="K909" s="22"/>
      <c r="L909" s="134"/>
    </row>
    <row r="910" spans="1:12" x14ac:dyDescent="0.25">
      <c r="A910" s="61" t="s">
        <v>103</v>
      </c>
      <c r="B910" s="14">
        <v>43636</v>
      </c>
      <c r="C910" s="13">
        <v>1069</v>
      </c>
      <c r="D910" s="13" t="s">
        <v>115</v>
      </c>
      <c r="E910" s="13" t="s">
        <v>62</v>
      </c>
      <c r="F910" s="37">
        <v>39485.25</v>
      </c>
      <c r="G910" s="29" t="s">
        <v>7258</v>
      </c>
      <c r="H910" s="14">
        <v>43549</v>
      </c>
      <c r="I910" s="4" t="s">
        <v>8596</v>
      </c>
      <c r="J910" s="128"/>
    </row>
    <row r="911" spans="1:12" x14ac:dyDescent="0.25">
      <c r="A911" s="61" t="s">
        <v>103</v>
      </c>
      <c r="B911" s="14">
        <v>43636</v>
      </c>
      <c r="C911" s="13">
        <v>1069</v>
      </c>
      <c r="D911" s="13" t="s">
        <v>115</v>
      </c>
      <c r="E911" s="13" t="s">
        <v>62</v>
      </c>
      <c r="F911" s="37">
        <v>15237.5</v>
      </c>
      <c r="G911" s="29" t="s">
        <v>3825</v>
      </c>
      <c r="H911" s="14">
        <v>43599</v>
      </c>
      <c r="I911" s="4" t="s">
        <v>8329</v>
      </c>
      <c r="J911" s="128"/>
    </row>
    <row r="912" spans="1:12" x14ac:dyDescent="0.25">
      <c r="A912" s="61" t="s">
        <v>103</v>
      </c>
      <c r="B912" s="14">
        <v>43636</v>
      </c>
      <c r="C912" s="13">
        <v>1069</v>
      </c>
      <c r="D912" s="13" t="s">
        <v>115</v>
      </c>
      <c r="E912" s="13" t="s">
        <v>62</v>
      </c>
      <c r="F912" s="37">
        <v>8912.5</v>
      </c>
      <c r="G912" s="29" t="s">
        <v>8330</v>
      </c>
      <c r="H912" s="14">
        <v>43612</v>
      </c>
      <c r="I912" s="4" t="s">
        <v>2683</v>
      </c>
      <c r="J912" s="128"/>
    </row>
    <row r="913" spans="1:12" x14ac:dyDescent="0.25">
      <c r="A913" s="61" t="s">
        <v>103</v>
      </c>
      <c r="B913" s="14">
        <v>43636</v>
      </c>
      <c r="C913" s="13">
        <v>1070</v>
      </c>
      <c r="D913" s="13" t="s">
        <v>8594</v>
      </c>
      <c r="E913" s="13" t="s">
        <v>62</v>
      </c>
      <c r="F913" s="37">
        <v>11420</v>
      </c>
      <c r="G913" s="29" t="s">
        <v>1211</v>
      </c>
      <c r="H913" s="14">
        <v>43551</v>
      </c>
      <c r="I913" s="4" t="s">
        <v>8595</v>
      </c>
      <c r="J913" s="128"/>
    </row>
    <row r="914" spans="1:12" x14ac:dyDescent="0.25">
      <c r="A914" s="61" t="s">
        <v>103</v>
      </c>
      <c r="B914" s="14">
        <v>43636</v>
      </c>
      <c r="C914" s="13">
        <v>1071</v>
      </c>
      <c r="D914" s="13" t="s">
        <v>9193</v>
      </c>
      <c r="E914" s="13" t="s">
        <v>62</v>
      </c>
      <c r="F914" s="37">
        <v>233734.2</v>
      </c>
      <c r="G914" s="29" t="s">
        <v>3317</v>
      </c>
      <c r="H914" s="14">
        <v>43633</v>
      </c>
      <c r="I914" s="4" t="s">
        <v>9194</v>
      </c>
      <c r="J914" s="128"/>
    </row>
    <row r="915" spans="1:12" ht="16.2" customHeight="1" x14ac:dyDescent="0.25">
      <c r="A915" s="68" t="s">
        <v>1654</v>
      </c>
      <c r="B915" s="14">
        <v>43636</v>
      </c>
      <c r="C915" s="13">
        <v>1072</v>
      </c>
      <c r="D915" s="32" t="s">
        <v>1655</v>
      </c>
      <c r="E915" s="32" t="s">
        <v>62</v>
      </c>
      <c r="F915" s="4">
        <v>3000000</v>
      </c>
      <c r="G915" s="69" t="s">
        <v>1656</v>
      </c>
      <c r="H915" s="14"/>
      <c r="I915" s="84" t="s">
        <v>273</v>
      </c>
      <c r="K915" s="62"/>
    </row>
    <row r="916" spans="1:12" ht="15" customHeight="1" x14ac:dyDescent="0.25">
      <c r="A916" s="68" t="s">
        <v>358</v>
      </c>
      <c r="B916" s="14">
        <v>43636</v>
      </c>
      <c r="C916" s="13">
        <v>1074</v>
      </c>
      <c r="D916" s="13" t="s">
        <v>969</v>
      </c>
      <c r="E916" s="32" t="s">
        <v>62</v>
      </c>
      <c r="F916" s="4">
        <v>247704</v>
      </c>
      <c r="G916" s="86" t="s">
        <v>4762</v>
      </c>
      <c r="H916" s="14"/>
      <c r="I916" s="4" t="s">
        <v>4763</v>
      </c>
      <c r="J916" s="71"/>
      <c r="K916" s="62"/>
      <c r="L916" s="62"/>
    </row>
    <row r="917" spans="1:12" ht="15" customHeight="1" x14ac:dyDescent="0.25">
      <c r="A917" s="68" t="s">
        <v>91</v>
      </c>
      <c r="B917" s="14">
        <v>43636</v>
      </c>
      <c r="C917" s="13">
        <v>1073</v>
      </c>
      <c r="D917" s="13" t="s">
        <v>969</v>
      </c>
      <c r="E917" s="32" t="s">
        <v>62</v>
      </c>
      <c r="F917" s="4">
        <v>1432442</v>
      </c>
      <c r="G917" s="86" t="s">
        <v>970</v>
      </c>
      <c r="H917" s="14"/>
      <c r="I917" s="4" t="s">
        <v>229</v>
      </c>
      <c r="J917" s="71"/>
      <c r="K917" s="62"/>
      <c r="L917" s="62"/>
    </row>
    <row r="918" spans="1:12" ht="15" customHeight="1" x14ac:dyDescent="0.25">
      <c r="A918" s="68" t="s">
        <v>92</v>
      </c>
      <c r="B918" s="14">
        <v>43636</v>
      </c>
      <c r="C918" s="13">
        <v>1075</v>
      </c>
      <c r="D918" s="13" t="s">
        <v>969</v>
      </c>
      <c r="E918" s="32" t="s">
        <v>62</v>
      </c>
      <c r="F918" s="4">
        <v>1319854</v>
      </c>
      <c r="G918" s="86" t="s">
        <v>2035</v>
      </c>
      <c r="H918" s="14"/>
      <c r="I918" s="4" t="s">
        <v>229</v>
      </c>
      <c r="J918" s="71"/>
      <c r="K918" s="62"/>
      <c r="L918" s="62"/>
    </row>
    <row r="919" spans="1:12" ht="13.95" customHeight="1" x14ac:dyDescent="0.25">
      <c r="A919" s="68" t="s">
        <v>92</v>
      </c>
      <c r="B919" s="14">
        <v>43636</v>
      </c>
      <c r="C919" s="13">
        <v>1076</v>
      </c>
      <c r="D919" s="32" t="s">
        <v>438</v>
      </c>
      <c r="E919" s="32" t="s">
        <v>62</v>
      </c>
      <c r="F919" s="4">
        <v>339765.66</v>
      </c>
      <c r="G919" s="86" t="s">
        <v>1409</v>
      </c>
      <c r="H919" s="211"/>
      <c r="I919" s="84" t="s">
        <v>1410</v>
      </c>
      <c r="J919" s="21"/>
      <c r="K919" s="228"/>
    </row>
    <row r="920" spans="1:12" s="97" customFormat="1" x14ac:dyDescent="0.25">
      <c r="A920" s="61" t="s">
        <v>358</v>
      </c>
      <c r="B920" s="14">
        <v>43636</v>
      </c>
      <c r="C920" s="13">
        <v>1077</v>
      </c>
      <c r="D920" s="13" t="s">
        <v>157</v>
      </c>
      <c r="E920" s="13" t="s">
        <v>62</v>
      </c>
      <c r="F920" s="4">
        <f>873936-450000</f>
        <v>423936</v>
      </c>
      <c r="G920" s="29" t="s">
        <v>7728</v>
      </c>
      <c r="H920" s="14">
        <v>43551</v>
      </c>
      <c r="I920" s="4" t="s">
        <v>305</v>
      </c>
      <c r="J920" s="133"/>
      <c r="K920" s="22"/>
      <c r="L920" s="134"/>
    </row>
    <row r="921" spans="1:12" s="97" customFormat="1" x14ac:dyDescent="0.25">
      <c r="A921" s="61" t="s">
        <v>442</v>
      </c>
      <c r="B921" s="14">
        <v>43636</v>
      </c>
      <c r="C921" s="13">
        <v>1078</v>
      </c>
      <c r="D921" s="13" t="s">
        <v>304</v>
      </c>
      <c r="E921" s="13" t="s">
        <v>62</v>
      </c>
      <c r="F921" s="37">
        <f>977424-500000</f>
        <v>477424</v>
      </c>
      <c r="G921" s="29" t="s">
        <v>8610</v>
      </c>
      <c r="H921" s="14">
        <v>43606</v>
      </c>
      <c r="I921" s="4" t="s">
        <v>1825</v>
      </c>
      <c r="J921" s="133" t="s">
        <v>8648</v>
      </c>
      <c r="K921" s="22"/>
      <c r="L921" s="134"/>
    </row>
    <row r="922" spans="1:12" s="97" customFormat="1" x14ac:dyDescent="0.25">
      <c r="A922" s="61" t="s">
        <v>92</v>
      </c>
      <c r="B922" s="14">
        <v>43636</v>
      </c>
      <c r="C922" s="13">
        <v>1079</v>
      </c>
      <c r="D922" s="13" t="s">
        <v>869</v>
      </c>
      <c r="E922" s="13" t="s">
        <v>62</v>
      </c>
      <c r="F922" s="4">
        <v>28936.84</v>
      </c>
      <c r="G922" s="28" t="s">
        <v>3860</v>
      </c>
      <c r="H922" s="14">
        <v>43599</v>
      </c>
      <c r="I922" s="4" t="s">
        <v>268</v>
      </c>
      <c r="J922" s="133"/>
      <c r="K922" s="22"/>
      <c r="L922" s="134"/>
    </row>
    <row r="923" spans="1:12" s="97" customFormat="1" x14ac:dyDescent="0.25">
      <c r="A923" s="61" t="s">
        <v>92</v>
      </c>
      <c r="B923" s="14">
        <v>43636</v>
      </c>
      <c r="C923" s="13">
        <v>1080</v>
      </c>
      <c r="D923" s="13" t="s">
        <v>100</v>
      </c>
      <c r="E923" s="13" t="s">
        <v>62</v>
      </c>
      <c r="F923" s="4">
        <f>182145.6-100000</f>
        <v>82145.600000000006</v>
      </c>
      <c r="G923" s="29" t="s">
        <v>7825</v>
      </c>
      <c r="H923" s="14">
        <v>43592</v>
      </c>
      <c r="I923" s="4" t="s">
        <v>572</v>
      </c>
      <c r="J923" s="133"/>
      <c r="K923" s="22"/>
      <c r="L923" s="134"/>
    </row>
    <row r="924" spans="1:12" s="97" customFormat="1" x14ac:dyDescent="0.25">
      <c r="A924" s="61" t="s">
        <v>442</v>
      </c>
      <c r="B924" s="14">
        <v>43636</v>
      </c>
      <c r="C924" s="13">
        <v>1081</v>
      </c>
      <c r="D924" s="13" t="s">
        <v>280</v>
      </c>
      <c r="E924" s="13" t="s">
        <v>62</v>
      </c>
      <c r="F924" s="4">
        <v>35024</v>
      </c>
      <c r="G924" s="29" t="s">
        <v>3464</v>
      </c>
      <c r="H924" s="14">
        <v>43581</v>
      </c>
      <c r="I924" s="4" t="s">
        <v>7522</v>
      </c>
      <c r="J924" s="133"/>
      <c r="K924" s="22"/>
      <c r="L924" s="134"/>
    </row>
    <row r="925" spans="1:12" s="97" customFormat="1" x14ac:dyDescent="0.25">
      <c r="A925" s="61" t="s">
        <v>442</v>
      </c>
      <c r="B925" s="14">
        <v>43636</v>
      </c>
      <c r="C925" s="13">
        <v>1081</v>
      </c>
      <c r="D925" s="13" t="s">
        <v>280</v>
      </c>
      <c r="E925" s="13" t="s">
        <v>62</v>
      </c>
      <c r="F925" s="4">
        <v>101400</v>
      </c>
      <c r="G925" s="29" t="s">
        <v>1368</v>
      </c>
      <c r="H925" s="14">
        <v>43584</v>
      </c>
      <c r="I925" s="4" t="s">
        <v>7523</v>
      </c>
      <c r="J925" s="133"/>
      <c r="K925" s="22"/>
      <c r="L925" s="134"/>
    </row>
    <row r="926" spans="1:12" s="97" customFormat="1" x14ac:dyDescent="0.25">
      <c r="A926" s="61" t="s">
        <v>442</v>
      </c>
      <c r="B926" s="14">
        <v>43636</v>
      </c>
      <c r="C926" s="13">
        <v>1081</v>
      </c>
      <c r="D926" s="13" t="s">
        <v>280</v>
      </c>
      <c r="E926" s="13" t="s">
        <v>62</v>
      </c>
      <c r="F926" s="4">
        <v>23170</v>
      </c>
      <c r="G926" s="29" t="s">
        <v>1436</v>
      </c>
      <c r="H926" s="14">
        <v>43584</v>
      </c>
      <c r="I926" s="4" t="s">
        <v>7524</v>
      </c>
      <c r="J926" s="133"/>
      <c r="K926" s="22"/>
      <c r="L926" s="134"/>
    </row>
    <row r="927" spans="1:12" s="97" customFormat="1" x14ac:dyDescent="0.25">
      <c r="A927" s="61" t="s">
        <v>358</v>
      </c>
      <c r="B927" s="14">
        <v>43636</v>
      </c>
      <c r="C927" s="13">
        <v>1081</v>
      </c>
      <c r="D927" s="13" t="s">
        <v>280</v>
      </c>
      <c r="E927" s="13" t="s">
        <v>62</v>
      </c>
      <c r="F927" s="4">
        <v>13271</v>
      </c>
      <c r="G927" s="29" t="s">
        <v>3609</v>
      </c>
      <c r="H927" s="14">
        <v>43591</v>
      </c>
      <c r="I927" s="4" t="s">
        <v>7805</v>
      </c>
      <c r="J927" s="133"/>
      <c r="K927" s="22"/>
      <c r="L927" s="134"/>
    </row>
    <row r="928" spans="1:12" s="97" customFormat="1" x14ac:dyDescent="0.25">
      <c r="A928" s="61" t="s">
        <v>91</v>
      </c>
      <c r="B928" s="14">
        <v>43636</v>
      </c>
      <c r="C928" s="13">
        <v>1081</v>
      </c>
      <c r="D928" s="13" t="s">
        <v>280</v>
      </c>
      <c r="E928" s="13" t="s">
        <v>62</v>
      </c>
      <c r="F928" s="4">
        <v>20716</v>
      </c>
      <c r="G928" s="29" t="s">
        <v>7807</v>
      </c>
      <c r="H928" s="14">
        <v>43593</v>
      </c>
      <c r="I928" s="4" t="s">
        <v>7808</v>
      </c>
      <c r="J928" s="133"/>
      <c r="K928" s="22"/>
      <c r="L928" s="134"/>
    </row>
    <row r="929" spans="1:12" s="97" customFormat="1" x14ac:dyDescent="0.25">
      <c r="A929" s="61" t="s">
        <v>442</v>
      </c>
      <c r="B929" s="14">
        <v>43636</v>
      </c>
      <c r="C929" s="13">
        <v>1081</v>
      </c>
      <c r="D929" s="13" t="s">
        <v>280</v>
      </c>
      <c r="E929" s="13" t="s">
        <v>62</v>
      </c>
      <c r="F929" s="4">
        <v>40800</v>
      </c>
      <c r="G929" s="29" t="s">
        <v>7809</v>
      </c>
      <c r="H929" s="14">
        <v>43593</v>
      </c>
      <c r="I929" s="4" t="s">
        <v>7810</v>
      </c>
      <c r="J929" s="133"/>
      <c r="K929" s="22"/>
      <c r="L929" s="134"/>
    </row>
    <row r="930" spans="1:12" s="97" customFormat="1" x14ac:dyDescent="0.25">
      <c r="A930" s="61" t="s">
        <v>442</v>
      </c>
      <c r="B930" s="14">
        <v>43636</v>
      </c>
      <c r="C930" s="13">
        <v>1082</v>
      </c>
      <c r="D930" s="13" t="s">
        <v>814</v>
      </c>
      <c r="E930" s="13" t="s">
        <v>62</v>
      </c>
      <c r="F930" s="4">
        <f>249768.5-100000</f>
        <v>149768.5</v>
      </c>
      <c r="G930" s="29" t="s">
        <v>7513</v>
      </c>
      <c r="H930" s="14">
        <v>43581</v>
      </c>
      <c r="I930" s="4" t="s">
        <v>7514</v>
      </c>
      <c r="J930" s="133"/>
      <c r="K930" s="22"/>
      <c r="L930" s="134"/>
    </row>
    <row r="931" spans="1:12" s="466" customFormat="1" x14ac:dyDescent="0.25">
      <c r="A931" s="61" t="s">
        <v>92</v>
      </c>
      <c r="B931" s="14">
        <v>43636</v>
      </c>
      <c r="C931" s="13">
        <v>1083</v>
      </c>
      <c r="D931" s="13" t="s">
        <v>304</v>
      </c>
      <c r="E931" s="13" t="s">
        <v>62</v>
      </c>
      <c r="F931" s="4">
        <v>95629</v>
      </c>
      <c r="G931" s="29" t="s">
        <v>7797</v>
      </c>
      <c r="H931" s="14">
        <v>43592</v>
      </c>
      <c r="I931" s="4" t="s">
        <v>7798</v>
      </c>
      <c r="J931" s="464"/>
      <c r="K931" s="144"/>
      <c r="L931" s="465"/>
    </row>
    <row r="932" spans="1:12" s="97" customFormat="1" x14ac:dyDescent="0.25">
      <c r="A932" s="61" t="s">
        <v>91</v>
      </c>
      <c r="B932" s="14">
        <v>43636</v>
      </c>
      <c r="C932" s="13">
        <v>1083</v>
      </c>
      <c r="D932" s="13" t="s">
        <v>304</v>
      </c>
      <c r="E932" s="13" t="s">
        <v>62</v>
      </c>
      <c r="F932" s="4">
        <v>167580</v>
      </c>
      <c r="G932" s="29" t="s">
        <v>7799</v>
      </c>
      <c r="H932" s="14">
        <v>43593</v>
      </c>
      <c r="I932" s="4" t="s">
        <v>374</v>
      </c>
      <c r="J932" s="133"/>
      <c r="K932" s="22"/>
      <c r="L932" s="134"/>
    </row>
    <row r="933" spans="1:12" s="97" customFormat="1" x14ac:dyDescent="0.25">
      <c r="A933" s="61" t="s">
        <v>91</v>
      </c>
      <c r="B933" s="14">
        <v>43636</v>
      </c>
      <c r="C933" s="13">
        <v>1083</v>
      </c>
      <c r="D933" s="13" t="s">
        <v>304</v>
      </c>
      <c r="E933" s="13" t="s">
        <v>62</v>
      </c>
      <c r="F933" s="4">
        <v>22700</v>
      </c>
      <c r="G933" s="29" t="s">
        <v>7800</v>
      </c>
      <c r="H933" s="14">
        <v>43600</v>
      </c>
      <c r="I933" s="4" t="s">
        <v>374</v>
      </c>
      <c r="J933" s="133"/>
      <c r="K933" s="22"/>
      <c r="L933" s="134"/>
    </row>
    <row r="934" spans="1:12" s="97" customFormat="1" x14ac:dyDescent="0.25">
      <c r="A934" s="61" t="s">
        <v>358</v>
      </c>
      <c r="B934" s="14">
        <v>43636</v>
      </c>
      <c r="C934" s="13">
        <v>1083</v>
      </c>
      <c r="D934" s="13" t="s">
        <v>304</v>
      </c>
      <c r="E934" s="13" t="s">
        <v>62</v>
      </c>
      <c r="F934" s="37">
        <v>11350</v>
      </c>
      <c r="G934" s="29" t="s">
        <v>8426</v>
      </c>
      <c r="H934" s="14">
        <v>43601</v>
      </c>
      <c r="I934" s="4" t="s">
        <v>374</v>
      </c>
      <c r="J934" s="133"/>
      <c r="K934" s="22"/>
      <c r="L934" s="134"/>
    </row>
    <row r="935" spans="1:12" s="97" customFormat="1" x14ac:dyDescent="0.25">
      <c r="A935" s="61" t="s">
        <v>358</v>
      </c>
      <c r="B935" s="14">
        <v>43636</v>
      </c>
      <c r="C935" s="13">
        <v>1084</v>
      </c>
      <c r="D935" s="13" t="s">
        <v>157</v>
      </c>
      <c r="E935" s="13" t="s">
        <v>62</v>
      </c>
      <c r="F935" s="4">
        <v>44445.120000000003</v>
      </c>
      <c r="G935" s="29" t="s">
        <v>7779</v>
      </c>
      <c r="H935" s="14">
        <v>43593</v>
      </c>
      <c r="I935" s="4" t="s">
        <v>7780</v>
      </c>
      <c r="J935" s="133"/>
      <c r="K935" s="22"/>
      <c r="L935" s="134"/>
    </row>
    <row r="936" spans="1:12" s="97" customFormat="1" x14ac:dyDescent="0.25">
      <c r="A936" s="61" t="s">
        <v>91</v>
      </c>
      <c r="B936" s="14">
        <v>43636</v>
      </c>
      <c r="C936" s="13">
        <v>1084</v>
      </c>
      <c r="D936" s="13" t="s">
        <v>157</v>
      </c>
      <c r="E936" s="13" t="s">
        <v>62</v>
      </c>
      <c r="F936" s="4">
        <v>80644.800000000003</v>
      </c>
      <c r="G936" s="29" t="s">
        <v>7781</v>
      </c>
      <c r="H936" s="14">
        <v>43593</v>
      </c>
      <c r="I936" s="4" t="s">
        <v>7782</v>
      </c>
      <c r="J936" s="133"/>
      <c r="K936" s="22"/>
      <c r="L936" s="134"/>
    </row>
    <row r="937" spans="1:12" s="97" customFormat="1" x14ac:dyDescent="0.25">
      <c r="A937" s="61" t="s">
        <v>92</v>
      </c>
      <c r="B937" s="14">
        <v>43636</v>
      </c>
      <c r="C937" s="13">
        <v>1084</v>
      </c>
      <c r="D937" s="13" t="s">
        <v>157</v>
      </c>
      <c r="E937" s="13" t="s">
        <v>62</v>
      </c>
      <c r="F937" s="4">
        <v>35877.800000000003</v>
      </c>
      <c r="G937" s="29" t="s">
        <v>7787</v>
      </c>
      <c r="H937" s="14">
        <v>43599</v>
      </c>
      <c r="I937" s="4" t="s">
        <v>7788</v>
      </c>
      <c r="J937" s="133"/>
      <c r="K937" s="22"/>
      <c r="L937" s="134"/>
    </row>
    <row r="938" spans="1:12" s="93" customFormat="1" x14ac:dyDescent="0.25">
      <c r="A938" s="61" t="s">
        <v>92</v>
      </c>
      <c r="B938" s="14">
        <v>43636</v>
      </c>
      <c r="C938" s="13">
        <v>1085</v>
      </c>
      <c r="D938" s="13" t="s">
        <v>1491</v>
      </c>
      <c r="E938" s="13" t="s">
        <v>62</v>
      </c>
      <c r="F938" s="4">
        <f>1178465.84-250000-100000-300000-200000</f>
        <v>328465.84000000008</v>
      </c>
      <c r="G938" s="29" t="s">
        <v>6816</v>
      </c>
      <c r="H938" s="14">
        <v>43567</v>
      </c>
      <c r="I938" s="4" t="s">
        <v>555</v>
      </c>
      <c r="J938" s="133"/>
      <c r="K938" s="22"/>
      <c r="L938" s="92"/>
    </row>
    <row r="939" spans="1:12" s="93" customFormat="1" x14ac:dyDescent="0.25">
      <c r="A939" s="61" t="s">
        <v>92</v>
      </c>
      <c r="B939" s="14">
        <v>43636</v>
      </c>
      <c r="C939" s="13">
        <v>1086</v>
      </c>
      <c r="D939" s="13" t="s">
        <v>244</v>
      </c>
      <c r="E939" s="13" t="s">
        <v>62</v>
      </c>
      <c r="F939" s="4">
        <f>1027676.94-400000-250000-100000*2</f>
        <v>177676.93999999994</v>
      </c>
      <c r="G939" s="29" t="s">
        <v>898</v>
      </c>
      <c r="H939" s="14">
        <v>43570</v>
      </c>
      <c r="I939" s="4" t="s">
        <v>3433</v>
      </c>
      <c r="J939" s="130"/>
      <c r="K939" s="16"/>
      <c r="L939" s="92"/>
    </row>
    <row r="940" spans="1:12" s="93" customFormat="1" x14ac:dyDescent="0.25">
      <c r="A940" s="61" t="s">
        <v>442</v>
      </c>
      <c r="B940" s="14">
        <v>43636</v>
      </c>
      <c r="C940" s="13">
        <v>1087</v>
      </c>
      <c r="D940" s="13" t="s">
        <v>666</v>
      </c>
      <c r="E940" s="13" t="s">
        <v>62</v>
      </c>
      <c r="F940" s="4">
        <v>44896</v>
      </c>
      <c r="G940" s="29" t="s">
        <v>6462</v>
      </c>
      <c r="H940" s="14">
        <v>43592</v>
      </c>
      <c r="I940" s="4" t="s">
        <v>1303</v>
      </c>
      <c r="J940" s="130"/>
      <c r="K940" s="16"/>
      <c r="L940" s="92"/>
    </row>
    <row r="941" spans="1:12" s="93" customFormat="1" x14ac:dyDescent="0.25">
      <c r="A941" s="61" t="s">
        <v>442</v>
      </c>
      <c r="B941" s="14">
        <v>43636</v>
      </c>
      <c r="C941" s="13">
        <v>1087</v>
      </c>
      <c r="D941" s="13" t="s">
        <v>666</v>
      </c>
      <c r="E941" s="13" t="s">
        <v>62</v>
      </c>
      <c r="F941" s="4">
        <v>43496</v>
      </c>
      <c r="G941" s="29" t="s">
        <v>7773</v>
      </c>
      <c r="H941" s="14">
        <v>43593</v>
      </c>
      <c r="I941" s="4" t="s">
        <v>7774</v>
      </c>
      <c r="J941" s="130"/>
      <c r="K941" s="16"/>
      <c r="L941" s="92"/>
    </row>
    <row r="942" spans="1:12" s="97" customFormat="1" x14ac:dyDescent="0.25">
      <c r="A942" s="68" t="s">
        <v>92</v>
      </c>
      <c r="B942" s="14">
        <v>43636</v>
      </c>
      <c r="C942" s="13">
        <v>1088</v>
      </c>
      <c r="D942" s="13" t="s">
        <v>516</v>
      </c>
      <c r="E942" s="218" t="s">
        <v>62</v>
      </c>
      <c r="F942" s="4">
        <v>5246.8</v>
      </c>
      <c r="G942" s="29" t="s">
        <v>8369</v>
      </c>
      <c r="H942" s="14">
        <v>43600</v>
      </c>
      <c r="I942" s="4" t="s">
        <v>8370</v>
      </c>
      <c r="J942" s="133"/>
      <c r="K942" s="22"/>
      <c r="L942" s="134"/>
    </row>
    <row r="943" spans="1:12" s="97" customFormat="1" x14ac:dyDescent="0.25">
      <c r="A943" s="61" t="s">
        <v>442</v>
      </c>
      <c r="B943" s="14">
        <v>43636</v>
      </c>
      <c r="C943" s="13">
        <v>1088</v>
      </c>
      <c r="D943" s="13" t="s">
        <v>516</v>
      </c>
      <c r="E943" s="13" t="s">
        <v>62</v>
      </c>
      <c r="F943" s="37">
        <v>79604.22</v>
      </c>
      <c r="G943" s="29" t="s">
        <v>8374</v>
      </c>
      <c r="H943" s="14">
        <v>43601</v>
      </c>
      <c r="I943" s="4" t="s">
        <v>8375</v>
      </c>
      <c r="J943" s="133"/>
      <c r="K943" s="22"/>
      <c r="L943" s="134"/>
    </row>
    <row r="944" spans="1:12" x14ac:dyDescent="0.25">
      <c r="A944" s="61" t="s">
        <v>92</v>
      </c>
      <c r="B944" s="14">
        <v>43636</v>
      </c>
      <c r="C944" s="13">
        <v>1089</v>
      </c>
      <c r="D944" s="13" t="s">
        <v>282</v>
      </c>
      <c r="E944" s="13" t="s">
        <v>62</v>
      </c>
      <c r="F944" s="37">
        <v>27885</v>
      </c>
      <c r="G944" s="29" t="s">
        <v>7668</v>
      </c>
      <c r="H944" s="14">
        <v>43594</v>
      </c>
      <c r="I944" s="4" t="s">
        <v>283</v>
      </c>
    </row>
    <row r="945" spans="1:9" x14ac:dyDescent="0.25">
      <c r="A945" s="61" t="s">
        <v>358</v>
      </c>
      <c r="B945" s="14">
        <v>43636</v>
      </c>
      <c r="C945" s="13">
        <v>1089</v>
      </c>
      <c r="D945" s="13" t="s">
        <v>282</v>
      </c>
      <c r="E945" s="13" t="s">
        <v>62</v>
      </c>
      <c r="F945" s="37">
        <v>6435</v>
      </c>
      <c r="G945" s="29" t="s">
        <v>7669</v>
      </c>
      <c r="H945" s="14">
        <v>43594</v>
      </c>
      <c r="I945" s="4" t="s">
        <v>283</v>
      </c>
    </row>
    <row r="946" spans="1:9" x14ac:dyDescent="0.25">
      <c r="A946" s="61" t="s">
        <v>55</v>
      </c>
      <c r="B946" s="14">
        <v>43636</v>
      </c>
      <c r="C946" s="13">
        <v>1089</v>
      </c>
      <c r="D946" s="13" t="s">
        <v>282</v>
      </c>
      <c r="E946" s="13" t="s">
        <v>62</v>
      </c>
      <c r="F946" s="37">
        <v>715</v>
      </c>
      <c r="G946" s="29" t="s">
        <v>3442</v>
      </c>
      <c r="H946" s="14">
        <v>43601</v>
      </c>
      <c r="I946" s="4" t="s">
        <v>283</v>
      </c>
    </row>
    <row r="947" spans="1:9" x14ac:dyDescent="0.25">
      <c r="A947" s="61" t="s">
        <v>442</v>
      </c>
      <c r="B947" s="14">
        <v>43636</v>
      </c>
      <c r="C947" s="13">
        <v>1089</v>
      </c>
      <c r="D947" s="13" t="s">
        <v>282</v>
      </c>
      <c r="E947" s="13" t="s">
        <v>62</v>
      </c>
      <c r="F947" s="37">
        <v>45760</v>
      </c>
      <c r="G947" s="29" t="s">
        <v>8048</v>
      </c>
      <c r="H947" s="14">
        <v>43601</v>
      </c>
      <c r="I947" s="4" t="s">
        <v>283</v>
      </c>
    </row>
    <row r="948" spans="1:9" x14ac:dyDescent="0.25">
      <c r="A948" s="61" t="s">
        <v>91</v>
      </c>
      <c r="B948" s="14">
        <v>43636</v>
      </c>
      <c r="C948" s="13">
        <v>1089</v>
      </c>
      <c r="D948" s="13" t="s">
        <v>282</v>
      </c>
      <c r="E948" s="13" t="s">
        <v>62</v>
      </c>
      <c r="F948" s="37">
        <v>15015</v>
      </c>
      <c r="G948" s="29" t="s">
        <v>8049</v>
      </c>
      <c r="H948" s="14">
        <v>43601</v>
      </c>
      <c r="I948" s="4" t="s">
        <v>283</v>
      </c>
    </row>
    <row r="949" spans="1:9" x14ac:dyDescent="0.25">
      <c r="A949" s="61" t="s">
        <v>358</v>
      </c>
      <c r="B949" s="14">
        <v>43636</v>
      </c>
      <c r="C949" s="13">
        <v>1089</v>
      </c>
      <c r="D949" s="13" t="s">
        <v>282</v>
      </c>
      <c r="E949" s="13" t="s">
        <v>62</v>
      </c>
      <c r="F949" s="37">
        <v>5720</v>
      </c>
      <c r="G949" s="29" t="s">
        <v>8050</v>
      </c>
      <c r="H949" s="14">
        <v>43601</v>
      </c>
      <c r="I949" s="4" t="s">
        <v>283</v>
      </c>
    </row>
    <row r="950" spans="1:9" x14ac:dyDescent="0.25">
      <c r="A950" s="61" t="s">
        <v>92</v>
      </c>
      <c r="B950" s="14">
        <v>43636</v>
      </c>
      <c r="C950" s="13">
        <v>1089</v>
      </c>
      <c r="D950" s="13" t="s">
        <v>282</v>
      </c>
      <c r="E950" s="13" t="s">
        <v>62</v>
      </c>
      <c r="F950" s="37">
        <v>22880</v>
      </c>
      <c r="G950" s="29" t="s">
        <v>8051</v>
      </c>
      <c r="H950" s="14">
        <v>43601</v>
      </c>
      <c r="I950" s="4" t="s">
        <v>283</v>
      </c>
    </row>
    <row r="951" spans="1:9" x14ac:dyDescent="0.25">
      <c r="A951" s="61" t="s">
        <v>92</v>
      </c>
      <c r="B951" s="14">
        <v>43636</v>
      </c>
      <c r="C951" s="13">
        <v>1090</v>
      </c>
      <c r="D951" s="13" t="s">
        <v>250</v>
      </c>
      <c r="E951" s="13" t="s">
        <v>62</v>
      </c>
      <c r="F951" s="37">
        <f>562625-200000</f>
        <v>362625</v>
      </c>
      <c r="G951" s="29" t="s">
        <v>7030</v>
      </c>
      <c r="H951" s="14">
        <v>43565</v>
      </c>
      <c r="I951" s="4" t="s">
        <v>2159</v>
      </c>
    </row>
    <row r="952" spans="1:9" x14ac:dyDescent="0.25">
      <c r="A952" s="61" t="s">
        <v>92</v>
      </c>
      <c r="B952" s="14">
        <v>43636</v>
      </c>
      <c r="C952" s="13">
        <v>1090</v>
      </c>
      <c r="D952" s="13" t="s">
        <v>250</v>
      </c>
      <c r="E952" s="13" t="s">
        <v>62</v>
      </c>
      <c r="F952" s="37">
        <v>409062.5</v>
      </c>
      <c r="G952" s="29" t="s">
        <v>7033</v>
      </c>
      <c r="H952" s="14">
        <v>43570</v>
      </c>
      <c r="I952" s="4" t="s">
        <v>2159</v>
      </c>
    </row>
    <row r="953" spans="1:9" ht="27.6" x14ac:dyDescent="0.25">
      <c r="A953" s="61" t="s">
        <v>6102</v>
      </c>
      <c r="B953" s="14">
        <v>43636</v>
      </c>
      <c r="C953" s="13">
        <v>1091</v>
      </c>
      <c r="D953" s="13" t="s">
        <v>29</v>
      </c>
      <c r="E953" s="13" t="s">
        <v>62</v>
      </c>
      <c r="F953" s="4">
        <v>226100</v>
      </c>
      <c r="G953" s="28" t="s">
        <v>4265</v>
      </c>
      <c r="H953" s="14">
        <v>43571</v>
      </c>
      <c r="I953" s="4" t="s">
        <v>95</v>
      </c>
    </row>
    <row r="954" spans="1:9" x14ac:dyDescent="0.25">
      <c r="A954" s="61" t="s">
        <v>103</v>
      </c>
      <c r="B954" s="14">
        <v>43636</v>
      </c>
      <c r="C954" s="13">
        <v>1092</v>
      </c>
      <c r="D954" s="13" t="s">
        <v>2047</v>
      </c>
      <c r="E954" s="13" t="s">
        <v>62</v>
      </c>
      <c r="F954" s="37">
        <v>13600</v>
      </c>
      <c r="G954" s="29" t="s">
        <v>8067</v>
      </c>
      <c r="H954" s="14">
        <v>43600</v>
      </c>
      <c r="I954" s="4" t="s">
        <v>95</v>
      </c>
    </row>
    <row r="955" spans="1:9" x14ac:dyDescent="0.25">
      <c r="A955" s="61" t="s">
        <v>55</v>
      </c>
      <c r="B955" s="14">
        <v>43636</v>
      </c>
      <c r="C955" s="13">
        <v>1093</v>
      </c>
      <c r="D955" s="13" t="s">
        <v>1985</v>
      </c>
      <c r="E955" s="13" t="s">
        <v>62</v>
      </c>
      <c r="F955" s="37">
        <v>26000</v>
      </c>
      <c r="G955" s="29" t="s">
        <v>3813</v>
      </c>
      <c r="H955" s="14">
        <v>43585</v>
      </c>
      <c r="I955" s="4" t="s">
        <v>122</v>
      </c>
    </row>
    <row r="956" spans="1:9" x14ac:dyDescent="0.25">
      <c r="A956" s="61" t="s">
        <v>442</v>
      </c>
      <c r="B956" s="14">
        <v>43636</v>
      </c>
      <c r="C956" s="13">
        <v>1094</v>
      </c>
      <c r="D956" s="13" t="s">
        <v>692</v>
      </c>
      <c r="E956" s="13" t="s">
        <v>62</v>
      </c>
      <c r="F956" s="37">
        <v>123750</v>
      </c>
      <c r="G956" s="29" t="s">
        <v>99</v>
      </c>
      <c r="H956" s="14">
        <v>43605</v>
      </c>
      <c r="I956" s="4" t="s">
        <v>419</v>
      </c>
    </row>
    <row r="957" spans="1:9" x14ac:dyDescent="0.25">
      <c r="A957" s="61" t="s">
        <v>91</v>
      </c>
      <c r="B957" s="14">
        <v>43636</v>
      </c>
      <c r="C957" s="13">
        <v>1095</v>
      </c>
      <c r="D957" s="13" t="s">
        <v>149</v>
      </c>
      <c r="E957" s="13" t="s">
        <v>62</v>
      </c>
      <c r="F957" s="37">
        <v>46500</v>
      </c>
      <c r="G957" s="29" t="s">
        <v>3363</v>
      </c>
      <c r="H957" s="14">
        <v>43543</v>
      </c>
      <c r="I957" s="4" t="s">
        <v>5899</v>
      </c>
    </row>
    <row r="958" spans="1:9" x14ac:dyDescent="0.25">
      <c r="A958" s="32" t="s">
        <v>442</v>
      </c>
      <c r="B958" s="14">
        <v>43636</v>
      </c>
      <c r="C958" s="13">
        <v>1095</v>
      </c>
      <c r="D958" s="13" t="s">
        <v>149</v>
      </c>
      <c r="E958" s="13" t="s">
        <v>62</v>
      </c>
      <c r="F958" s="4">
        <v>13500</v>
      </c>
      <c r="G958" s="28" t="s">
        <v>5908</v>
      </c>
      <c r="H958" s="14">
        <v>43545</v>
      </c>
      <c r="I958" s="4" t="s">
        <v>5899</v>
      </c>
    </row>
    <row r="959" spans="1:9" x14ac:dyDescent="0.25">
      <c r="A959" s="61" t="s">
        <v>358</v>
      </c>
      <c r="B959" s="14">
        <v>43636</v>
      </c>
      <c r="C959" s="13">
        <v>1095</v>
      </c>
      <c r="D959" s="13" t="s">
        <v>149</v>
      </c>
      <c r="E959" s="13" t="s">
        <v>62</v>
      </c>
      <c r="F959" s="37">
        <v>3000</v>
      </c>
      <c r="G959" s="29" t="s">
        <v>5909</v>
      </c>
      <c r="H959" s="14">
        <v>43545</v>
      </c>
      <c r="I959" s="4" t="s">
        <v>5899</v>
      </c>
    </row>
    <row r="960" spans="1:9" x14ac:dyDescent="0.25">
      <c r="A960" s="61" t="s">
        <v>103</v>
      </c>
      <c r="B960" s="14">
        <v>43636</v>
      </c>
      <c r="C960" s="13">
        <v>1095</v>
      </c>
      <c r="D960" s="13" t="s">
        <v>149</v>
      </c>
      <c r="E960" s="13" t="s">
        <v>62</v>
      </c>
      <c r="F960" s="37">
        <v>7400</v>
      </c>
      <c r="G960" s="29" t="s">
        <v>5910</v>
      </c>
      <c r="H960" s="14">
        <v>43545</v>
      </c>
      <c r="I960" s="4" t="s">
        <v>5903</v>
      </c>
    </row>
    <row r="961" spans="1:16" x14ac:dyDescent="0.25">
      <c r="A961" s="61" t="s">
        <v>442</v>
      </c>
      <c r="B961" s="14">
        <v>43636</v>
      </c>
      <c r="C961" s="13">
        <v>1095</v>
      </c>
      <c r="D961" s="13" t="s">
        <v>149</v>
      </c>
      <c r="E961" s="13" t="s">
        <v>62</v>
      </c>
      <c r="F961" s="37">
        <v>48100</v>
      </c>
      <c r="G961" s="29" t="s">
        <v>7044</v>
      </c>
      <c r="H961" s="14">
        <v>43545</v>
      </c>
      <c r="I961" s="4" t="s">
        <v>5903</v>
      </c>
    </row>
    <row r="962" spans="1:16" x14ac:dyDescent="0.25">
      <c r="A962" s="32" t="s">
        <v>151</v>
      </c>
      <c r="B962" s="14">
        <v>43636</v>
      </c>
      <c r="C962" s="67">
        <v>1096</v>
      </c>
      <c r="D962" s="32" t="s">
        <v>93</v>
      </c>
      <c r="E962" s="13" t="s">
        <v>62</v>
      </c>
      <c r="F962" s="4">
        <v>10600</v>
      </c>
      <c r="G962" s="67">
        <v>2954</v>
      </c>
      <c r="H962" s="14">
        <v>43630</v>
      </c>
      <c r="I962" s="4" t="s">
        <v>5995</v>
      </c>
      <c r="J962" s="21"/>
      <c r="K962" s="228"/>
    </row>
    <row r="963" spans="1:16" ht="27.6" x14ac:dyDescent="0.25">
      <c r="A963" s="32" t="s">
        <v>151</v>
      </c>
      <c r="B963" s="14">
        <v>43636</v>
      </c>
      <c r="C963" s="67">
        <v>1097</v>
      </c>
      <c r="D963" s="32" t="s">
        <v>8997</v>
      </c>
      <c r="E963" s="13" t="s">
        <v>62</v>
      </c>
      <c r="F963" s="4">
        <v>30000</v>
      </c>
      <c r="G963" s="67" t="s">
        <v>8998</v>
      </c>
      <c r="H963" s="14">
        <v>43630</v>
      </c>
      <c r="I963" s="4" t="s">
        <v>8999</v>
      </c>
      <c r="J963" s="21"/>
      <c r="K963" s="228"/>
    </row>
    <row r="964" spans="1:16" x14ac:dyDescent="0.25">
      <c r="A964" s="13" t="s">
        <v>1350</v>
      </c>
      <c r="B964" s="126">
        <v>43636</v>
      </c>
      <c r="C964" s="28" t="s">
        <v>6736</v>
      </c>
      <c r="D964" s="32" t="s">
        <v>432</v>
      </c>
      <c r="E964" s="32" t="s">
        <v>691</v>
      </c>
      <c r="F964" s="4">
        <f>230000+17000</f>
        <v>247000</v>
      </c>
      <c r="G964" s="69" t="s">
        <v>8230</v>
      </c>
      <c r="H964" s="14"/>
      <c r="I964" s="4" t="s">
        <v>433</v>
      </c>
      <c r="J964" s="21"/>
      <c r="K964" s="228"/>
    </row>
    <row r="965" spans="1:16" x14ac:dyDescent="0.25">
      <c r="A965" s="13" t="s">
        <v>637</v>
      </c>
      <c r="B965" s="126">
        <v>43636</v>
      </c>
      <c r="C965" s="13">
        <v>488</v>
      </c>
      <c r="D965" s="13" t="s">
        <v>541</v>
      </c>
      <c r="E965" s="13" t="s">
        <v>691</v>
      </c>
      <c r="F965" s="4">
        <v>806004</v>
      </c>
      <c r="G965" s="69" t="s">
        <v>4153</v>
      </c>
      <c r="H965" s="14"/>
      <c r="I965" s="208" t="s">
        <v>4152</v>
      </c>
      <c r="J965" s="62"/>
      <c r="K965" s="62"/>
      <c r="L965" s="35"/>
      <c r="M965" s="35"/>
      <c r="N965" s="35"/>
      <c r="O965" s="35"/>
      <c r="P965" s="35"/>
    </row>
    <row r="966" spans="1:16" s="97" customFormat="1" x14ac:dyDescent="0.25">
      <c r="A966" s="13" t="s">
        <v>1255</v>
      </c>
      <c r="B966" s="126">
        <v>43636</v>
      </c>
      <c r="C966" s="13">
        <v>489</v>
      </c>
      <c r="D966" s="13" t="s">
        <v>590</v>
      </c>
      <c r="E966" s="13" t="s">
        <v>691</v>
      </c>
      <c r="F966" s="4">
        <v>1100000</v>
      </c>
      <c r="G966" s="29" t="s">
        <v>1323</v>
      </c>
      <c r="H966" s="14">
        <v>42746</v>
      </c>
      <c r="I966" s="4" t="s">
        <v>159</v>
      </c>
      <c r="J966" s="133"/>
      <c r="K966" s="22"/>
      <c r="L966" s="134"/>
    </row>
    <row r="967" spans="1:16" s="97" customFormat="1" x14ac:dyDescent="0.25">
      <c r="A967" s="61" t="s">
        <v>1350</v>
      </c>
      <c r="B967" s="126">
        <v>43636</v>
      </c>
      <c r="C967" s="13">
        <v>490</v>
      </c>
      <c r="D967" s="13" t="s">
        <v>6868</v>
      </c>
      <c r="E967" s="13" t="s">
        <v>691</v>
      </c>
      <c r="F967" s="37">
        <v>20103.36</v>
      </c>
      <c r="G967" s="210" t="s">
        <v>9195</v>
      </c>
      <c r="H967" s="211">
        <v>43578</v>
      </c>
      <c r="I967" s="4" t="s">
        <v>9197</v>
      </c>
      <c r="J967" s="133"/>
      <c r="K967" s="22"/>
      <c r="L967" s="134"/>
    </row>
    <row r="968" spans="1:16" s="97" customFormat="1" x14ac:dyDescent="0.25">
      <c r="A968" s="61" t="s">
        <v>1350</v>
      </c>
      <c r="B968" s="126">
        <v>43636</v>
      </c>
      <c r="C968" s="13">
        <v>490</v>
      </c>
      <c r="D968" s="13" t="s">
        <v>6868</v>
      </c>
      <c r="E968" s="13" t="s">
        <v>691</v>
      </c>
      <c r="F968" s="37">
        <v>64917.23</v>
      </c>
      <c r="G968" s="210" t="s">
        <v>9196</v>
      </c>
      <c r="H968" s="211">
        <v>43578</v>
      </c>
      <c r="I968" s="4" t="s">
        <v>9198</v>
      </c>
      <c r="J968" s="133"/>
      <c r="K968" s="22"/>
      <c r="L968" s="134"/>
    </row>
    <row r="969" spans="1:16" s="97" customFormat="1" x14ac:dyDescent="0.25">
      <c r="A969" s="61" t="s">
        <v>1350</v>
      </c>
      <c r="B969" s="126">
        <v>43636</v>
      </c>
      <c r="C969" s="13">
        <v>490</v>
      </c>
      <c r="D969" s="13" t="s">
        <v>6868</v>
      </c>
      <c r="E969" s="13" t="s">
        <v>691</v>
      </c>
      <c r="F969" s="37">
        <v>20103.36</v>
      </c>
      <c r="G969" s="210" t="s">
        <v>9199</v>
      </c>
      <c r="H969" s="211">
        <v>43613</v>
      </c>
      <c r="I969" s="4" t="s">
        <v>9197</v>
      </c>
      <c r="J969" s="133"/>
      <c r="K969" s="22"/>
      <c r="L969" s="134"/>
    </row>
    <row r="970" spans="1:16" s="97" customFormat="1" x14ac:dyDescent="0.25">
      <c r="A970" s="61" t="s">
        <v>637</v>
      </c>
      <c r="B970" s="126">
        <v>43636</v>
      </c>
      <c r="C970" s="13">
        <v>491</v>
      </c>
      <c r="D970" s="13" t="s">
        <v>157</v>
      </c>
      <c r="E970" s="13" t="s">
        <v>691</v>
      </c>
      <c r="F970" s="4">
        <v>15160.8</v>
      </c>
      <c r="G970" s="29" t="s">
        <v>7777</v>
      </c>
      <c r="H970" s="14">
        <v>43593</v>
      </c>
      <c r="I970" s="4" t="s">
        <v>7778</v>
      </c>
      <c r="J970" s="133"/>
      <c r="K970" s="22"/>
      <c r="L970" s="134"/>
    </row>
    <row r="971" spans="1:16" s="93" customFormat="1" x14ac:dyDescent="0.25">
      <c r="A971" s="61" t="s">
        <v>1350</v>
      </c>
      <c r="B971" s="126">
        <v>43636</v>
      </c>
      <c r="C971" s="13">
        <v>492</v>
      </c>
      <c r="D971" s="13" t="s">
        <v>666</v>
      </c>
      <c r="E971" s="13" t="s">
        <v>691</v>
      </c>
      <c r="F971" s="4">
        <v>54270</v>
      </c>
      <c r="G971" s="29" t="s">
        <v>7771</v>
      </c>
      <c r="H971" s="14">
        <v>43592</v>
      </c>
      <c r="I971" s="4" t="s">
        <v>7772</v>
      </c>
      <c r="J971" s="130"/>
      <c r="K971" s="16"/>
      <c r="L971" s="92"/>
    </row>
    <row r="972" spans="1:16" x14ac:dyDescent="0.25">
      <c r="A972" s="61" t="s">
        <v>1350</v>
      </c>
      <c r="B972" s="126">
        <v>43636</v>
      </c>
      <c r="C972" s="13">
        <v>493</v>
      </c>
      <c r="D972" s="13" t="s">
        <v>944</v>
      </c>
      <c r="E972" s="13" t="s">
        <v>691</v>
      </c>
      <c r="F972" s="37">
        <v>155250</v>
      </c>
      <c r="G972" s="29" t="s">
        <v>1299</v>
      </c>
      <c r="H972" s="14">
        <v>43571</v>
      </c>
      <c r="I972" s="4" t="s">
        <v>402</v>
      </c>
    </row>
    <row r="973" spans="1:16" x14ac:dyDescent="0.25">
      <c r="A973" s="61" t="s">
        <v>637</v>
      </c>
      <c r="B973" s="126">
        <v>43636</v>
      </c>
      <c r="C973" s="13">
        <v>494</v>
      </c>
      <c r="D973" s="13" t="s">
        <v>1099</v>
      </c>
      <c r="E973" s="13" t="s">
        <v>691</v>
      </c>
      <c r="F973" s="37">
        <v>21114.9</v>
      </c>
      <c r="G973" s="29" t="s">
        <v>3132</v>
      </c>
      <c r="H973" s="14">
        <v>43564</v>
      </c>
      <c r="I973" s="4" t="s">
        <v>461</v>
      </c>
    </row>
    <row r="974" spans="1:16" x14ac:dyDescent="0.25">
      <c r="A974" s="61" t="s">
        <v>1350</v>
      </c>
      <c r="B974" s="126">
        <v>43636</v>
      </c>
      <c r="C974" s="13">
        <v>495</v>
      </c>
      <c r="D974" s="13" t="s">
        <v>447</v>
      </c>
      <c r="E974" s="13" t="s">
        <v>691</v>
      </c>
      <c r="F974" s="37">
        <v>50000</v>
      </c>
      <c r="G974" s="29" t="s">
        <v>1529</v>
      </c>
      <c r="H974" s="14">
        <v>43592</v>
      </c>
      <c r="I974" s="4" t="s">
        <v>6425</v>
      </c>
    </row>
    <row r="975" spans="1:16" x14ac:dyDescent="0.25">
      <c r="A975" s="61" t="s">
        <v>637</v>
      </c>
      <c r="B975" s="126">
        <v>43636</v>
      </c>
      <c r="C975" s="13">
        <v>496</v>
      </c>
      <c r="D975" s="13" t="s">
        <v>282</v>
      </c>
      <c r="E975" s="13" t="s">
        <v>691</v>
      </c>
      <c r="F975" s="37">
        <v>37180</v>
      </c>
      <c r="G975" s="29" t="s">
        <v>8054</v>
      </c>
      <c r="H975" s="14">
        <v>43601</v>
      </c>
      <c r="I975" s="4" t="s">
        <v>283</v>
      </c>
    </row>
    <row r="976" spans="1:16" x14ac:dyDescent="0.25">
      <c r="A976" s="61" t="s">
        <v>1350</v>
      </c>
      <c r="B976" s="126">
        <v>43636</v>
      </c>
      <c r="C976" s="13">
        <v>497</v>
      </c>
      <c r="D976" s="13" t="s">
        <v>80</v>
      </c>
      <c r="E976" s="13" t="s">
        <v>691</v>
      </c>
      <c r="F976" s="37">
        <v>11520</v>
      </c>
      <c r="G976" s="29" t="s">
        <v>9074</v>
      </c>
      <c r="H976" s="14">
        <v>43604</v>
      </c>
      <c r="I976" s="4" t="s">
        <v>354</v>
      </c>
    </row>
    <row r="977" spans="1:12" x14ac:dyDescent="0.25">
      <c r="A977" s="61" t="s">
        <v>1350</v>
      </c>
      <c r="B977" s="126">
        <v>43636</v>
      </c>
      <c r="C977" s="13">
        <v>498</v>
      </c>
      <c r="D977" s="13" t="s">
        <v>4870</v>
      </c>
      <c r="E977" s="13" t="s">
        <v>691</v>
      </c>
      <c r="F977" s="37">
        <f>108000-58000</f>
        <v>50000</v>
      </c>
      <c r="G977" s="29" t="s">
        <v>7426</v>
      </c>
      <c r="H977" s="14">
        <v>43568</v>
      </c>
      <c r="I977" s="4" t="s">
        <v>5346</v>
      </c>
    </row>
    <row r="978" spans="1:12" s="97" customFormat="1" x14ac:dyDescent="0.25">
      <c r="A978" s="61" t="s">
        <v>1147</v>
      </c>
      <c r="B978" s="14">
        <v>43636</v>
      </c>
      <c r="C978" s="13">
        <v>1172</v>
      </c>
      <c r="D978" s="13" t="s">
        <v>869</v>
      </c>
      <c r="E978" s="13" t="s">
        <v>808</v>
      </c>
      <c r="F978" s="4">
        <v>97035.23</v>
      </c>
      <c r="G978" s="28" t="s">
        <v>7835</v>
      </c>
      <c r="H978" s="14">
        <v>43599</v>
      </c>
      <c r="I978" s="4" t="s">
        <v>6211</v>
      </c>
      <c r="J978" s="133"/>
      <c r="K978" s="22"/>
      <c r="L978" s="134"/>
    </row>
    <row r="979" spans="1:12" s="97" customFormat="1" x14ac:dyDescent="0.25">
      <c r="A979" s="61" t="s">
        <v>1316</v>
      </c>
      <c r="B979" s="14">
        <v>43636</v>
      </c>
      <c r="C979" s="13">
        <v>1172</v>
      </c>
      <c r="D979" s="13" t="s">
        <v>869</v>
      </c>
      <c r="E979" s="13" t="s">
        <v>808</v>
      </c>
      <c r="F979" s="4">
        <v>41544.019999999997</v>
      </c>
      <c r="G979" s="28" t="s">
        <v>7836</v>
      </c>
      <c r="H979" s="14">
        <v>43599</v>
      </c>
      <c r="I979" s="4" t="s">
        <v>268</v>
      </c>
      <c r="J979" s="133"/>
      <c r="K979" s="22"/>
      <c r="L979" s="134"/>
    </row>
    <row r="980" spans="1:12" s="97" customFormat="1" x14ac:dyDescent="0.25">
      <c r="A980" s="61" t="s">
        <v>1148</v>
      </c>
      <c r="B980" s="14">
        <v>43636</v>
      </c>
      <c r="C980" s="13">
        <v>1172</v>
      </c>
      <c r="D980" s="13" t="s">
        <v>869</v>
      </c>
      <c r="E980" s="13" t="s">
        <v>808</v>
      </c>
      <c r="F980" s="4">
        <v>38726.11</v>
      </c>
      <c r="G980" s="28" t="s">
        <v>7837</v>
      </c>
      <c r="H980" s="14">
        <v>43600</v>
      </c>
      <c r="I980" s="4" t="s">
        <v>268</v>
      </c>
      <c r="J980" s="133"/>
      <c r="K980" s="22"/>
      <c r="L980" s="134"/>
    </row>
    <row r="981" spans="1:12" s="97" customFormat="1" x14ac:dyDescent="0.25">
      <c r="A981" s="61" t="s">
        <v>659</v>
      </c>
      <c r="B981" s="14">
        <v>43636</v>
      </c>
      <c r="C981" s="13">
        <v>1168</v>
      </c>
      <c r="D981" s="13" t="s">
        <v>1065</v>
      </c>
      <c r="E981" s="13" t="s">
        <v>808</v>
      </c>
      <c r="F981" s="4">
        <v>15091.34</v>
      </c>
      <c r="G981" s="29" t="s">
        <v>5031</v>
      </c>
      <c r="H981" s="14">
        <v>43598</v>
      </c>
      <c r="I981" s="4" t="s">
        <v>7821</v>
      </c>
      <c r="J981" s="133"/>
      <c r="K981" s="22"/>
      <c r="L981" s="134"/>
    </row>
    <row r="982" spans="1:12" s="97" customFormat="1" x14ac:dyDescent="0.25">
      <c r="A982" s="61" t="s">
        <v>1316</v>
      </c>
      <c r="B982" s="14">
        <v>43636</v>
      </c>
      <c r="C982" s="13">
        <v>1168</v>
      </c>
      <c r="D982" s="13" t="s">
        <v>1065</v>
      </c>
      <c r="E982" s="13" t="s">
        <v>808</v>
      </c>
      <c r="F982" s="4">
        <v>10299.42</v>
      </c>
      <c r="G982" s="29" t="s">
        <v>4132</v>
      </c>
      <c r="H982" s="14">
        <v>43599</v>
      </c>
      <c r="I982" s="4" t="s">
        <v>7822</v>
      </c>
      <c r="J982" s="133"/>
      <c r="K982" s="22"/>
      <c r="L982" s="134"/>
    </row>
    <row r="983" spans="1:12" s="97" customFormat="1" x14ac:dyDescent="0.25">
      <c r="A983" s="61" t="s">
        <v>1148</v>
      </c>
      <c r="B983" s="14">
        <v>43636</v>
      </c>
      <c r="C983" s="13">
        <v>1156</v>
      </c>
      <c r="D983" s="13" t="s">
        <v>280</v>
      </c>
      <c r="E983" s="13" t="s">
        <v>808</v>
      </c>
      <c r="F983" s="4">
        <v>2510</v>
      </c>
      <c r="G983" s="29" t="s">
        <v>4380</v>
      </c>
      <c r="H983" s="14">
        <v>43592</v>
      </c>
      <c r="I983" s="4" t="s">
        <v>7806</v>
      </c>
      <c r="J983" s="133"/>
      <c r="K983" s="22"/>
      <c r="L983" s="134"/>
    </row>
    <row r="984" spans="1:12" s="97" customFormat="1" x14ac:dyDescent="0.25">
      <c r="A984" s="61" t="s">
        <v>1147</v>
      </c>
      <c r="B984" s="14">
        <v>43636</v>
      </c>
      <c r="C984" s="13">
        <v>1157</v>
      </c>
      <c r="D984" s="13" t="s">
        <v>814</v>
      </c>
      <c r="E984" s="13" t="s">
        <v>808</v>
      </c>
      <c r="F984" s="4">
        <v>78556.800000000003</v>
      </c>
      <c r="G984" s="29" t="s">
        <v>7519</v>
      </c>
      <c r="H984" s="14">
        <v>43585</v>
      </c>
      <c r="I984" s="4" t="s">
        <v>142</v>
      </c>
      <c r="J984" s="133"/>
      <c r="K984" s="22"/>
      <c r="L984" s="134"/>
    </row>
    <row r="985" spans="1:12" s="97" customFormat="1" x14ac:dyDescent="0.25">
      <c r="A985" s="61" t="s">
        <v>659</v>
      </c>
      <c r="B985" s="14">
        <v>43636</v>
      </c>
      <c r="C985" s="13">
        <v>1158</v>
      </c>
      <c r="D985" s="13" t="s">
        <v>70</v>
      </c>
      <c r="E985" s="13" t="s">
        <v>808</v>
      </c>
      <c r="F985" s="37">
        <v>6590</v>
      </c>
      <c r="G985" s="29" t="s">
        <v>8386</v>
      </c>
      <c r="H985" s="14">
        <v>43607</v>
      </c>
      <c r="I985" s="4" t="s">
        <v>1756</v>
      </c>
      <c r="J985" s="133"/>
      <c r="K985" s="22"/>
      <c r="L985" s="134"/>
    </row>
    <row r="986" spans="1:12" s="93" customFormat="1" x14ac:dyDescent="0.25">
      <c r="A986" s="13" t="s">
        <v>1148</v>
      </c>
      <c r="B986" s="14">
        <v>43636</v>
      </c>
      <c r="C986" s="13">
        <v>1159</v>
      </c>
      <c r="D986" s="13" t="s">
        <v>666</v>
      </c>
      <c r="E986" s="13" t="s">
        <v>808</v>
      </c>
      <c r="F986" s="4">
        <v>38000</v>
      </c>
      <c r="G986" s="28" t="s">
        <v>8119</v>
      </c>
      <c r="H986" s="14">
        <v>43600</v>
      </c>
      <c r="I986" s="4" t="s">
        <v>1303</v>
      </c>
      <c r="J986" s="130"/>
      <c r="K986" s="16"/>
      <c r="L986" s="92"/>
    </row>
    <row r="987" spans="1:12" x14ac:dyDescent="0.25">
      <c r="A987" s="61" t="s">
        <v>659</v>
      </c>
      <c r="B987" s="14">
        <v>43636</v>
      </c>
      <c r="C987" s="13">
        <v>1160</v>
      </c>
      <c r="D987" s="13" t="s">
        <v>1099</v>
      </c>
      <c r="E987" s="13" t="s">
        <v>808</v>
      </c>
      <c r="F987" s="37">
        <v>50547</v>
      </c>
      <c r="G987" s="29" t="s">
        <v>8259</v>
      </c>
      <c r="H987" s="14">
        <v>43573</v>
      </c>
      <c r="I987" s="4" t="s">
        <v>461</v>
      </c>
    </row>
    <row r="988" spans="1:12" ht="27.6" x14ac:dyDescent="0.25">
      <c r="A988" s="61" t="s">
        <v>7653</v>
      </c>
      <c r="B988" s="14">
        <v>43636</v>
      </c>
      <c r="C988" s="13">
        <v>1173</v>
      </c>
      <c r="D988" s="13" t="s">
        <v>381</v>
      </c>
      <c r="E988" s="13" t="s">
        <v>808</v>
      </c>
      <c r="F988" s="37">
        <v>75000</v>
      </c>
      <c r="G988" s="29" t="s">
        <v>3362</v>
      </c>
      <c r="H988" s="14">
        <v>43585</v>
      </c>
      <c r="I988" s="4" t="s">
        <v>95</v>
      </c>
    </row>
    <row r="989" spans="1:12" x14ac:dyDescent="0.25">
      <c r="A989" s="61" t="s">
        <v>1147</v>
      </c>
      <c r="B989" s="14">
        <v>43636</v>
      </c>
      <c r="C989" s="13">
        <v>1161</v>
      </c>
      <c r="D989" s="13" t="s">
        <v>5347</v>
      </c>
      <c r="E989" s="13" t="s">
        <v>808</v>
      </c>
      <c r="F989" s="37">
        <v>57600</v>
      </c>
      <c r="G989" s="29" t="s">
        <v>3142</v>
      </c>
      <c r="H989" s="14">
        <v>43591</v>
      </c>
      <c r="I989" s="4" t="s">
        <v>164</v>
      </c>
    </row>
    <row r="990" spans="1:12" ht="27.6" x14ac:dyDescent="0.25">
      <c r="A990" s="61" t="s">
        <v>1806</v>
      </c>
      <c r="B990" s="14">
        <v>43636</v>
      </c>
      <c r="C990" s="13">
        <v>1164</v>
      </c>
      <c r="D990" s="13" t="s">
        <v>2047</v>
      </c>
      <c r="E990" s="13" t="s">
        <v>808</v>
      </c>
      <c r="F990" s="4">
        <v>37400</v>
      </c>
      <c r="G990" s="28" t="s">
        <v>89</v>
      </c>
      <c r="H990" s="14">
        <v>43584</v>
      </c>
      <c r="I990" s="4" t="s">
        <v>95</v>
      </c>
    </row>
    <row r="991" spans="1:12" x14ac:dyDescent="0.25">
      <c r="A991" s="61" t="s">
        <v>1316</v>
      </c>
      <c r="B991" s="14">
        <v>43636</v>
      </c>
      <c r="C991" s="13">
        <v>1166</v>
      </c>
      <c r="D991" s="13" t="s">
        <v>1985</v>
      </c>
      <c r="E991" s="13" t="s">
        <v>808</v>
      </c>
      <c r="F991" s="37">
        <v>38750</v>
      </c>
      <c r="G991" s="29" t="s">
        <v>50</v>
      </c>
      <c r="H991" s="14">
        <v>43585</v>
      </c>
      <c r="I991" s="4" t="s">
        <v>122</v>
      </c>
    </row>
    <row r="992" spans="1:12" ht="41.4" x14ac:dyDescent="0.25">
      <c r="A992" s="61" t="s">
        <v>7693</v>
      </c>
      <c r="B992" s="14">
        <v>43636</v>
      </c>
      <c r="C992" s="13">
        <v>1166</v>
      </c>
      <c r="D992" s="13" t="s">
        <v>1985</v>
      </c>
      <c r="E992" s="13" t="s">
        <v>808</v>
      </c>
      <c r="F992" s="37">
        <v>59200</v>
      </c>
      <c r="G992" s="29" t="s">
        <v>158</v>
      </c>
      <c r="H992" s="14">
        <v>43585</v>
      </c>
      <c r="I992" s="4" t="s">
        <v>122</v>
      </c>
    </row>
    <row r="993" spans="1:19" ht="41.4" x14ac:dyDescent="0.25">
      <c r="A993" s="61" t="s">
        <v>7694</v>
      </c>
      <c r="B993" s="14">
        <v>43636</v>
      </c>
      <c r="C993" s="13">
        <v>1166</v>
      </c>
      <c r="D993" s="13" t="s">
        <v>1985</v>
      </c>
      <c r="E993" s="13" t="s">
        <v>808</v>
      </c>
      <c r="F993" s="37">
        <v>53900</v>
      </c>
      <c r="G993" s="29" t="s">
        <v>68</v>
      </c>
      <c r="H993" s="14">
        <v>43585</v>
      </c>
      <c r="I993" s="4" t="s">
        <v>122</v>
      </c>
    </row>
    <row r="994" spans="1:19" x14ac:dyDescent="0.25">
      <c r="A994" s="61" t="s">
        <v>1316</v>
      </c>
      <c r="B994" s="14">
        <v>43636</v>
      </c>
      <c r="C994" s="13">
        <v>1166</v>
      </c>
      <c r="D994" s="13" t="s">
        <v>1985</v>
      </c>
      <c r="E994" s="13" t="s">
        <v>808</v>
      </c>
      <c r="F994" s="37">
        <v>19550</v>
      </c>
      <c r="G994" s="29" t="s">
        <v>176</v>
      </c>
      <c r="H994" s="14">
        <v>43585</v>
      </c>
      <c r="I994" s="4" t="s">
        <v>122</v>
      </c>
    </row>
    <row r="995" spans="1:19" x14ac:dyDescent="0.25">
      <c r="A995" s="61" t="s">
        <v>1316</v>
      </c>
      <c r="B995" s="14">
        <v>43636</v>
      </c>
      <c r="C995" s="13">
        <v>1169</v>
      </c>
      <c r="D995" s="13" t="s">
        <v>692</v>
      </c>
      <c r="E995" s="13" t="s">
        <v>808</v>
      </c>
      <c r="F995" s="37">
        <f>163625-100000</f>
        <v>63625</v>
      </c>
      <c r="G995" s="29" t="s">
        <v>1271</v>
      </c>
      <c r="H995" s="14">
        <v>43605</v>
      </c>
      <c r="I995" s="4" t="s">
        <v>419</v>
      </c>
    </row>
    <row r="996" spans="1:19" x14ac:dyDescent="0.25">
      <c r="A996" s="61" t="s">
        <v>1149</v>
      </c>
      <c r="B996" s="14">
        <v>43636</v>
      </c>
      <c r="C996" s="13">
        <v>1169</v>
      </c>
      <c r="D996" s="13" t="s">
        <v>692</v>
      </c>
      <c r="E996" s="13" t="s">
        <v>808</v>
      </c>
      <c r="F996" s="37">
        <v>23375</v>
      </c>
      <c r="G996" s="29" t="s">
        <v>132</v>
      </c>
      <c r="H996" s="14">
        <v>43605</v>
      </c>
      <c r="I996" s="4" t="s">
        <v>419</v>
      </c>
    </row>
    <row r="997" spans="1:19" x14ac:dyDescent="0.25">
      <c r="A997" s="61" t="s">
        <v>151</v>
      </c>
      <c r="B997" s="14">
        <v>43636</v>
      </c>
      <c r="C997" s="13">
        <v>366</v>
      </c>
      <c r="D997" s="13" t="s">
        <v>9227</v>
      </c>
      <c r="E997" s="13" t="s">
        <v>481</v>
      </c>
      <c r="F997" s="4">
        <v>25000</v>
      </c>
      <c r="G997" s="28" t="s">
        <v>3427</v>
      </c>
      <c r="H997" s="14">
        <v>43635</v>
      </c>
      <c r="I997" s="4" t="s">
        <v>9228</v>
      </c>
      <c r="J997" s="128"/>
    </row>
    <row r="998" spans="1:19" ht="27.6" x14ac:dyDescent="0.25">
      <c r="A998" s="61" t="s">
        <v>660</v>
      </c>
      <c r="B998" s="14">
        <v>43636</v>
      </c>
      <c r="C998" s="13">
        <v>1</v>
      </c>
      <c r="D998" s="13" t="s">
        <v>6303</v>
      </c>
      <c r="E998" s="13" t="s">
        <v>9250</v>
      </c>
      <c r="F998" s="4">
        <v>11642514.18</v>
      </c>
      <c r="G998" s="28" t="s">
        <v>9251</v>
      </c>
      <c r="H998" s="14">
        <v>43124</v>
      </c>
      <c r="I998" s="4" t="s">
        <v>9252</v>
      </c>
      <c r="J998" s="128"/>
    </row>
    <row r="999" spans="1:19" x14ac:dyDescent="0.25">
      <c r="A999" s="68" t="s">
        <v>151</v>
      </c>
      <c r="B999" s="14">
        <v>43636</v>
      </c>
      <c r="C999" s="13">
        <v>2</v>
      </c>
      <c r="D999" s="32" t="s">
        <v>2899</v>
      </c>
      <c r="E999" s="32" t="s">
        <v>8298</v>
      </c>
      <c r="F999" s="209">
        <v>4000</v>
      </c>
      <c r="G999" s="210" t="s">
        <v>9253</v>
      </c>
      <c r="H999" s="211">
        <v>43606</v>
      </c>
      <c r="I999" s="208" t="s">
        <v>4399</v>
      </c>
      <c r="J999" s="21"/>
      <c r="K999" s="228"/>
    </row>
    <row r="1000" spans="1:19" x14ac:dyDescent="0.25">
      <c r="A1000" s="68" t="s">
        <v>151</v>
      </c>
      <c r="B1000" s="14">
        <v>43636</v>
      </c>
      <c r="C1000" s="13">
        <v>1</v>
      </c>
      <c r="D1000" s="32" t="s">
        <v>2899</v>
      </c>
      <c r="E1000" s="32" t="s">
        <v>9254</v>
      </c>
      <c r="F1000" s="209">
        <v>4000</v>
      </c>
      <c r="G1000" s="210" t="s">
        <v>9255</v>
      </c>
      <c r="H1000" s="211">
        <v>43606</v>
      </c>
      <c r="I1000" s="208" t="s">
        <v>4399</v>
      </c>
      <c r="J1000" s="21"/>
      <c r="K1000" s="228"/>
    </row>
    <row r="1001" spans="1:19" s="97" customFormat="1" x14ac:dyDescent="0.25">
      <c r="A1001" s="61" t="s">
        <v>659</v>
      </c>
      <c r="B1001" s="14">
        <v>43637</v>
      </c>
      <c r="C1001" s="13">
        <v>1162</v>
      </c>
      <c r="D1001" s="13" t="s">
        <v>448</v>
      </c>
      <c r="E1001" s="13" t="s">
        <v>808</v>
      </c>
      <c r="F1001" s="4">
        <f>768740-50000*2-60000-300000</f>
        <v>308740</v>
      </c>
      <c r="G1001" s="29" t="s">
        <v>4931</v>
      </c>
      <c r="H1001" s="14">
        <v>43522</v>
      </c>
      <c r="I1001" s="4" t="s">
        <v>63</v>
      </c>
      <c r="J1001" s="133"/>
      <c r="K1001" s="22"/>
      <c r="L1001" s="134"/>
    </row>
    <row r="1002" spans="1:19" x14ac:dyDescent="0.25">
      <c r="A1002" s="61" t="s">
        <v>1147</v>
      </c>
      <c r="B1002" s="14">
        <v>43637</v>
      </c>
      <c r="C1002" s="13">
        <v>1163</v>
      </c>
      <c r="D1002" s="13" t="s">
        <v>29</v>
      </c>
      <c r="E1002" s="13" t="s">
        <v>808</v>
      </c>
      <c r="F1002" s="37">
        <v>282150</v>
      </c>
      <c r="G1002" s="29" t="s">
        <v>4383</v>
      </c>
      <c r="H1002" s="14">
        <v>43570</v>
      </c>
      <c r="I1002" s="4" t="s">
        <v>1061</v>
      </c>
    </row>
    <row r="1003" spans="1:19" s="62" customFormat="1" ht="13.95" customHeight="1" x14ac:dyDescent="0.25">
      <c r="A1003" s="13" t="s">
        <v>91</v>
      </c>
      <c r="B1003" s="14">
        <v>43637</v>
      </c>
      <c r="C1003" s="13">
        <v>1024</v>
      </c>
      <c r="D1003" s="13" t="s">
        <v>1501</v>
      </c>
      <c r="E1003" s="13" t="s">
        <v>130</v>
      </c>
      <c r="F1003" s="37">
        <v>500000</v>
      </c>
      <c r="G1003" s="29" t="s">
        <v>8502</v>
      </c>
      <c r="H1003" s="14"/>
      <c r="I1003" s="4" t="s">
        <v>1502</v>
      </c>
      <c r="J1003" s="35"/>
      <c r="O1003" s="35"/>
      <c r="P1003" s="35"/>
      <c r="Q1003" s="35"/>
      <c r="R1003" s="35"/>
      <c r="S1003" s="35"/>
    </row>
    <row r="1004" spans="1:19" x14ac:dyDescent="0.25">
      <c r="A1004" s="61" t="s">
        <v>1350</v>
      </c>
      <c r="B1004" s="14">
        <v>43637</v>
      </c>
      <c r="C1004" s="13">
        <v>1027</v>
      </c>
      <c r="D1004" s="13" t="s">
        <v>1430</v>
      </c>
      <c r="E1004" s="13" t="s">
        <v>130</v>
      </c>
      <c r="F1004" s="37">
        <v>153430</v>
      </c>
      <c r="G1004" s="29" t="s">
        <v>8573</v>
      </c>
      <c r="H1004" s="14">
        <v>43616</v>
      </c>
      <c r="I1004" s="4" t="s">
        <v>182</v>
      </c>
    </row>
    <row r="1005" spans="1:19" x14ac:dyDescent="0.25">
      <c r="A1005" s="61" t="s">
        <v>1316</v>
      </c>
      <c r="B1005" s="14">
        <v>43637</v>
      </c>
      <c r="C1005" s="13">
        <v>1027</v>
      </c>
      <c r="D1005" s="13" t="s">
        <v>1430</v>
      </c>
      <c r="E1005" s="13" t="s">
        <v>130</v>
      </c>
      <c r="F1005" s="37">
        <v>144720</v>
      </c>
      <c r="G1005" s="29" t="s">
        <v>8574</v>
      </c>
      <c r="H1005" s="14">
        <v>43616</v>
      </c>
      <c r="I1005" s="4" t="s">
        <v>182</v>
      </c>
    </row>
    <row r="1006" spans="1:19" x14ac:dyDescent="0.25">
      <c r="A1006" s="61" t="s">
        <v>1148</v>
      </c>
      <c r="B1006" s="14">
        <v>43637</v>
      </c>
      <c r="C1006" s="13">
        <v>1028</v>
      </c>
      <c r="D1006" s="13" t="s">
        <v>971</v>
      </c>
      <c r="E1006" s="13" t="s">
        <v>130</v>
      </c>
      <c r="F1006" s="37">
        <v>48240</v>
      </c>
      <c r="G1006" s="29" t="s">
        <v>4098</v>
      </c>
      <c r="H1006" s="14">
        <v>43585</v>
      </c>
      <c r="I1006" s="4" t="s">
        <v>182</v>
      </c>
    </row>
    <row r="1007" spans="1:19" x14ac:dyDescent="0.25">
      <c r="A1007" s="61" t="s">
        <v>55</v>
      </c>
      <c r="B1007" s="14">
        <v>43637</v>
      </c>
      <c r="C1007" s="13">
        <v>1028</v>
      </c>
      <c r="D1007" s="13" t="s">
        <v>971</v>
      </c>
      <c r="E1007" s="13" t="s">
        <v>130</v>
      </c>
      <c r="F1007" s="37">
        <v>18090</v>
      </c>
      <c r="G1007" s="29" t="s">
        <v>1154</v>
      </c>
      <c r="H1007" s="14">
        <v>43585</v>
      </c>
      <c r="I1007" s="4" t="s">
        <v>182</v>
      </c>
    </row>
    <row r="1008" spans="1:19" x14ac:dyDescent="0.25">
      <c r="A1008" s="61" t="s">
        <v>358</v>
      </c>
      <c r="B1008" s="14">
        <v>43637</v>
      </c>
      <c r="C1008" s="13">
        <v>1028</v>
      </c>
      <c r="D1008" s="13" t="s">
        <v>971</v>
      </c>
      <c r="E1008" s="13" t="s">
        <v>130</v>
      </c>
      <c r="F1008" s="37">
        <v>126630</v>
      </c>
      <c r="G1008" s="29" t="s">
        <v>152</v>
      </c>
      <c r="H1008" s="14">
        <v>43585</v>
      </c>
      <c r="I1008" s="4" t="s">
        <v>182</v>
      </c>
    </row>
    <row r="1009" spans="1:12" x14ac:dyDescent="0.25">
      <c r="A1009" s="61" t="s">
        <v>1316</v>
      </c>
      <c r="B1009" s="14">
        <v>43637</v>
      </c>
      <c r="C1009" s="13">
        <v>1028</v>
      </c>
      <c r="D1009" s="13" t="s">
        <v>971</v>
      </c>
      <c r="E1009" s="13" t="s">
        <v>130</v>
      </c>
      <c r="F1009" s="37">
        <v>6030</v>
      </c>
      <c r="G1009" s="29" t="s">
        <v>153</v>
      </c>
      <c r="H1009" s="14">
        <v>43585</v>
      </c>
      <c r="I1009" s="4" t="s">
        <v>182</v>
      </c>
    </row>
    <row r="1010" spans="1:12" x14ac:dyDescent="0.25">
      <c r="A1010" s="61" t="s">
        <v>1148</v>
      </c>
      <c r="B1010" s="14">
        <v>43637</v>
      </c>
      <c r="C1010" s="13">
        <v>1028</v>
      </c>
      <c r="D1010" s="13" t="s">
        <v>971</v>
      </c>
      <c r="E1010" s="13" t="s">
        <v>130</v>
      </c>
      <c r="F1010" s="37">
        <v>48240</v>
      </c>
      <c r="G1010" s="29" t="s">
        <v>1510</v>
      </c>
      <c r="H1010" s="14">
        <v>43616</v>
      </c>
      <c r="I1010" s="4" t="s">
        <v>182</v>
      </c>
    </row>
    <row r="1011" spans="1:12" x14ac:dyDescent="0.25">
      <c r="A1011" s="61" t="s">
        <v>1316</v>
      </c>
      <c r="B1011" s="14">
        <v>43637</v>
      </c>
      <c r="C1011" s="13">
        <v>1028</v>
      </c>
      <c r="D1011" s="13" t="s">
        <v>971</v>
      </c>
      <c r="E1011" s="13" t="s">
        <v>130</v>
      </c>
      <c r="F1011" s="37">
        <v>12060</v>
      </c>
      <c r="G1011" s="29" t="s">
        <v>1164</v>
      </c>
      <c r="H1011" s="14">
        <v>43616</v>
      </c>
      <c r="I1011" s="4" t="s">
        <v>182</v>
      </c>
    </row>
    <row r="1012" spans="1:12" ht="13.95" customHeight="1" x14ac:dyDescent="0.25">
      <c r="A1012" s="68" t="s">
        <v>1316</v>
      </c>
      <c r="B1012" s="14">
        <v>43637</v>
      </c>
      <c r="C1012" s="13">
        <v>1167</v>
      </c>
      <c r="D1012" s="32" t="s">
        <v>438</v>
      </c>
      <c r="E1012" s="32" t="s">
        <v>808</v>
      </c>
      <c r="F1012" s="4">
        <v>1160300</v>
      </c>
      <c r="G1012" s="86" t="s">
        <v>7306</v>
      </c>
      <c r="H1012" s="211"/>
      <c r="I1012" s="84" t="s">
        <v>202</v>
      </c>
      <c r="J1012" s="21"/>
      <c r="K1012" s="228"/>
    </row>
    <row r="1013" spans="1:12" s="62" customFormat="1" ht="15" customHeight="1" x14ac:dyDescent="0.25">
      <c r="A1013" s="13" t="s">
        <v>8</v>
      </c>
      <c r="B1013" s="14">
        <v>43637</v>
      </c>
      <c r="C1013" s="13">
        <v>1170</v>
      </c>
      <c r="D1013" s="13" t="s">
        <v>1765</v>
      </c>
      <c r="E1013" s="13" t="s">
        <v>808</v>
      </c>
      <c r="F1013" s="4">
        <v>500000</v>
      </c>
      <c r="G1013" s="69" t="s">
        <v>1766</v>
      </c>
      <c r="H1013" s="14"/>
      <c r="I1013" s="4" t="s">
        <v>1204</v>
      </c>
      <c r="J1013" s="71"/>
    </row>
    <row r="1014" spans="1:12" s="97" customFormat="1" x14ac:dyDescent="0.25">
      <c r="A1014" s="68" t="s">
        <v>160</v>
      </c>
      <c r="B1014" s="14">
        <v>43637</v>
      </c>
      <c r="C1014" s="13">
        <v>1171</v>
      </c>
      <c r="D1014" s="13" t="s">
        <v>982</v>
      </c>
      <c r="E1014" s="13" t="s">
        <v>808</v>
      </c>
      <c r="F1014" s="4">
        <v>750000</v>
      </c>
      <c r="G1014" s="29" t="s">
        <v>1094</v>
      </c>
      <c r="H1014" s="14">
        <v>42992</v>
      </c>
      <c r="I1014" s="4" t="s">
        <v>1093</v>
      </c>
      <c r="J1014" s="133"/>
      <c r="K1014" s="22"/>
      <c r="L1014" s="134"/>
    </row>
    <row r="1015" spans="1:12" x14ac:dyDescent="0.25">
      <c r="A1015" s="61" t="s">
        <v>659</v>
      </c>
      <c r="B1015" s="14">
        <v>43637</v>
      </c>
      <c r="C1015" s="13">
        <v>1165</v>
      </c>
      <c r="D1015" s="13" t="s">
        <v>5888</v>
      </c>
      <c r="E1015" s="13" t="s">
        <v>808</v>
      </c>
      <c r="F1015" s="37">
        <f>303875-200000</f>
        <v>103875</v>
      </c>
      <c r="G1015" s="29" t="s">
        <v>111</v>
      </c>
      <c r="H1015" s="14">
        <v>43577</v>
      </c>
      <c r="I1015" s="4" t="s">
        <v>402</v>
      </c>
    </row>
    <row r="1016" spans="1:12" x14ac:dyDescent="0.25">
      <c r="A1016" s="61" t="s">
        <v>659</v>
      </c>
      <c r="B1016" s="14">
        <v>43637</v>
      </c>
      <c r="C1016" s="13">
        <v>1165</v>
      </c>
      <c r="D1016" s="13" t="s">
        <v>5888</v>
      </c>
      <c r="E1016" s="13" t="s">
        <v>808</v>
      </c>
      <c r="F1016" s="37">
        <v>167875</v>
      </c>
      <c r="G1016" s="29" t="s">
        <v>2819</v>
      </c>
      <c r="H1016" s="14">
        <v>43584</v>
      </c>
      <c r="I1016" s="4" t="s">
        <v>402</v>
      </c>
    </row>
    <row r="1017" spans="1:12" x14ac:dyDescent="0.25">
      <c r="A1017" s="68" t="s">
        <v>639</v>
      </c>
      <c r="B1017" s="14">
        <v>43637</v>
      </c>
      <c r="C1017" s="13">
        <v>703</v>
      </c>
      <c r="D1017" s="32" t="s">
        <v>905</v>
      </c>
      <c r="E1017" s="32" t="s">
        <v>60</v>
      </c>
      <c r="F1017" s="4">
        <v>4500000</v>
      </c>
      <c r="G1017" s="86" t="s">
        <v>1120</v>
      </c>
      <c r="H1017" s="211"/>
      <c r="I1017" s="208" t="s">
        <v>1119</v>
      </c>
      <c r="J1017" s="21"/>
      <c r="K1017" s="228"/>
    </row>
    <row r="1018" spans="1:12" ht="27.6" x14ac:dyDescent="0.25">
      <c r="A1018" s="68" t="s">
        <v>310</v>
      </c>
      <c r="B1018" s="14">
        <v>43637</v>
      </c>
      <c r="C1018" s="13">
        <v>682</v>
      </c>
      <c r="D1018" s="13" t="s">
        <v>9256</v>
      </c>
      <c r="E1018" s="32" t="s">
        <v>958</v>
      </c>
      <c r="F1018" s="4">
        <f>661037.6+991677.04+14318749.28+401526.46+42899.12</f>
        <v>16415889.5</v>
      </c>
      <c r="G1018" s="86" t="s">
        <v>4467</v>
      </c>
      <c r="H1018" s="14"/>
      <c r="I1018" s="4" t="s">
        <v>9257</v>
      </c>
      <c r="J1018" s="71" t="s">
        <v>9258</v>
      </c>
      <c r="K1018" s="62"/>
      <c r="L1018" s="62"/>
    </row>
    <row r="1019" spans="1:12" x14ac:dyDescent="0.25">
      <c r="A1019" s="61" t="s">
        <v>151</v>
      </c>
      <c r="B1019" s="14">
        <v>43637</v>
      </c>
      <c r="C1019" s="13"/>
      <c r="D1019" s="13" t="s">
        <v>3637</v>
      </c>
      <c r="E1019" s="13" t="s">
        <v>4041</v>
      </c>
      <c r="F1019" s="4">
        <f>19*1715</f>
        <v>32585</v>
      </c>
      <c r="G1019" s="28" t="s">
        <v>296</v>
      </c>
      <c r="H1019" s="14"/>
      <c r="I1019" s="4" t="s">
        <v>9204</v>
      </c>
      <c r="J1019" s="128"/>
    </row>
    <row r="1020" spans="1:12" s="50" customFormat="1" ht="27.6" x14ac:dyDescent="0.25">
      <c r="A1020" s="13" t="s">
        <v>92</v>
      </c>
      <c r="B1020" s="14">
        <v>43637</v>
      </c>
      <c r="C1020" s="13">
        <v>1023</v>
      </c>
      <c r="D1020" s="32" t="s">
        <v>373</v>
      </c>
      <c r="E1020" s="218" t="s">
        <v>7168</v>
      </c>
      <c r="F1020" s="224">
        <v>1884400</v>
      </c>
      <c r="G1020" s="28" t="s">
        <v>4765</v>
      </c>
      <c r="H1020" s="14">
        <v>42851</v>
      </c>
      <c r="I1020" s="32" t="s">
        <v>4764</v>
      </c>
      <c r="J1020" s="325"/>
    </row>
    <row r="1021" spans="1:12" x14ac:dyDescent="0.25">
      <c r="A1021" s="68" t="s">
        <v>151</v>
      </c>
      <c r="B1021" s="14">
        <v>43637</v>
      </c>
      <c r="C1021" s="13">
        <v>1</v>
      </c>
      <c r="D1021" s="32" t="s">
        <v>2899</v>
      </c>
      <c r="E1021" s="32" t="s">
        <v>9291</v>
      </c>
      <c r="F1021" s="209">
        <v>4000</v>
      </c>
      <c r="G1021" s="210" t="s">
        <v>9292</v>
      </c>
      <c r="H1021" s="211">
        <v>43602</v>
      </c>
      <c r="I1021" s="208" t="s">
        <v>4399</v>
      </c>
      <c r="J1021" s="21"/>
      <c r="K1021" s="228"/>
    </row>
    <row r="1022" spans="1:12" x14ac:dyDescent="0.25">
      <c r="A1022" s="68" t="s">
        <v>151</v>
      </c>
      <c r="B1022" s="14">
        <v>43637</v>
      </c>
      <c r="C1022" s="13">
        <v>1</v>
      </c>
      <c r="D1022" s="32" t="s">
        <v>2899</v>
      </c>
      <c r="E1022" s="32" t="s">
        <v>9293</v>
      </c>
      <c r="F1022" s="209">
        <v>4000</v>
      </c>
      <c r="G1022" s="210" t="s">
        <v>9294</v>
      </c>
      <c r="H1022" s="211">
        <v>43605</v>
      </c>
      <c r="I1022" s="208" t="s">
        <v>4399</v>
      </c>
      <c r="J1022" s="21"/>
      <c r="K1022" s="228"/>
    </row>
    <row r="1023" spans="1:12" x14ac:dyDescent="0.25">
      <c r="A1023" s="68" t="s">
        <v>151</v>
      </c>
      <c r="B1023" s="14">
        <v>43637</v>
      </c>
      <c r="C1023" s="13">
        <v>1029</v>
      </c>
      <c r="D1023" s="32" t="s">
        <v>2899</v>
      </c>
      <c r="E1023" s="32" t="s">
        <v>130</v>
      </c>
      <c r="F1023" s="209">
        <v>4000</v>
      </c>
      <c r="G1023" s="210" t="s">
        <v>9295</v>
      </c>
      <c r="H1023" s="211">
        <v>43602</v>
      </c>
      <c r="I1023" s="208" t="s">
        <v>4399</v>
      </c>
      <c r="J1023" s="21"/>
      <c r="K1023" s="228"/>
    </row>
    <row r="1024" spans="1:12" ht="27.6" x14ac:dyDescent="0.25">
      <c r="A1024" s="68" t="s">
        <v>151</v>
      </c>
      <c r="B1024" s="14">
        <v>43637</v>
      </c>
      <c r="C1024" s="13">
        <v>2</v>
      </c>
      <c r="D1024" s="32" t="s">
        <v>9296</v>
      </c>
      <c r="E1024" s="32" t="s">
        <v>8494</v>
      </c>
      <c r="F1024" s="209">
        <v>71000</v>
      </c>
      <c r="G1024" s="210" t="s">
        <v>9297</v>
      </c>
      <c r="H1024" s="211">
        <v>43635</v>
      </c>
      <c r="I1024" s="208" t="s">
        <v>9298</v>
      </c>
      <c r="J1024" s="21"/>
      <c r="K1024" s="228"/>
    </row>
    <row r="1025" spans="1:19" ht="27.6" x14ac:dyDescent="0.25">
      <c r="A1025" s="68" t="s">
        <v>151</v>
      </c>
      <c r="B1025" s="14">
        <v>43637</v>
      </c>
      <c r="C1025" s="13">
        <v>3</v>
      </c>
      <c r="D1025" s="32" t="s">
        <v>9300</v>
      </c>
      <c r="E1025" s="32" t="s">
        <v>8494</v>
      </c>
      <c r="F1025" s="209">
        <v>52500</v>
      </c>
      <c r="G1025" s="210"/>
      <c r="H1025" s="211"/>
      <c r="I1025" s="208" t="s">
        <v>9301</v>
      </c>
      <c r="J1025" s="21"/>
      <c r="K1025" s="228"/>
    </row>
    <row r="1026" spans="1:19" x14ac:dyDescent="0.25">
      <c r="A1026" s="68" t="s">
        <v>151</v>
      </c>
      <c r="B1026" s="14">
        <v>43637</v>
      </c>
      <c r="C1026" s="13">
        <v>702</v>
      </c>
      <c r="D1026" s="32" t="s">
        <v>3064</v>
      </c>
      <c r="E1026" s="32" t="s">
        <v>60</v>
      </c>
      <c r="F1026" s="209">
        <v>38110.53</v>
      </c>
      <c r="G1026" s="210"/>
      <c r="H1026" s="211"/>
      <c r="I1026" s="208" t="s">
        <v>9299</v>
      </c>
      <c r="J1026" s="21"/>
      <c r="K1026" s="228"/>
    </row>
    <row r="1027" spans="1:19" s="97" customFormat="1" x14ac:dyDescent="0.25">
      <c r="A1027" s="13" t="s">
        <v>638</v>
      </c>
      <c r="B1027" s="14">
        <v>43640</v>
      </c>
      <c r="C1027" s="13" t="s">
        <v>9314</v>
      </c>
      <c r="D1027" s="13" t="s">
        <v>3056</v>
      </c>
      <c r="E1027" s="13" t="s">
        <v>547</v>
      </c>
      <c r="F1027" s="4">
        <v>6200</v>
      </c>
      <c r="G1027" s="29" t="s">
        <v>9209</v>
      </c>
      <c r="H1027" s="14">
        <v>43634</v>
      </c>
      <c r="I1027" s="4" t="s">
        <v>3057</v>
      </c>
      <c r="J1027" s="358"/>
      <c r="K1027" s="76"/>
      <c r="L1027" s="134"/>
    </row>
    <row r="1028" spans="1:19" s="97" customFormat="1" x14ac:dyDescent="0.25">
      <c r="A1028" s="32" t="s">
        <v>455</v>
      </c>
      <c r="B1028" s="14">
        <v>43640</v>
      </c>
      <c r="C1028" s="13">
        <v>402</v>
      </c>
      <c r="D1028" s="13" t="s">
        <v>3056</v>
      </c>
      <c r="E1028" s="13" t="s">
        <v>440</v>
      </c>
      <c r="F1028" s="4">
        <v>6700</v>
      </c>
      <c r="G1028" s="29" t="s">
        <v>9210</v>
      </c>
      <c r="H1028" s="14">
        <v>43616</v>
      </c>
      <c r="I1028" s="4" t="s">
        <v>3057</v>
      </c>
      <c r="J1028" s="22"/>
      <c r="K1028" s="473"/>
      <c r="L1028" s="134"/>
    </row>
    <row r="1029" spans="1:19" ht="15" customHeight="1" x14ac:dyDescent="0.25">
      <c r="A1029" s="32" t="s">
        <v>455</v>
      </c>
      <c r="B1029" s="14">
        <v>43640</v>
      </c>
      <c r="C1029" s="13">
        <v>403</v>
      </c>
      <c r="D1029" s="32" t="s">
        <v>281</v>
      </c>
      <c r="E1029" s="32" t="s">
        <v>440</v>
      </c>
      <c r="F1029" s="4">
        <v>225638</v>
      </c>
      <c r="G1029" s="29" t="s">
        <v>7637</v>
      </c>
      <c r="H1029" s="14">
        <v>43600</v>
      </c>
      <c r="I1029" s="41" t="s">
        <v>847</v>
      </c>
      <c r="J1029" s="35" t="s">
        <v>526</v>
      </c>
      <c r="K1029" s="35"/>
      <c r="L1029" s="35"/>
    </row>
    <row r="1030" spans="1:19" s="97" customFormat="1" x14ac:dyDescent="0.25">
      <c r="A1030" s="32" t="s">
        <v>442</v>
      </c>
      <c r="B1030" s="14">
        <v>43640</v>
      </c>
      <c r="C1030" s="13">
        <v>1262</v>
      </c>
      <c r="D1030" s="13" t="s">
        <v>3056</v>
      </c>
      <c r="E1030" s="13" t="s">
        <v>494</v>
      </c>
      <c r="F1030" s="37">
        <v>29400</v>
      </c>
      <c r="G1030" s="29" t="s">
        <v>9213</v>
      </c>
      <c r="H1030" s="14">
        <v>43616</v>
      </c>
      <c r="I1030" s="4" t="s">
        <v>3057</v>
      </c>
      <c r="J1030" s="22"/>
      <c r="K1030" s="76"/>
      <c r="L1030" s="134"/>
    </row>
    <row r="1031" spans="1:19" x14ac:dyDescent="0.25">
      <c r="A1031" s="13" t="s">
        <v>310</v>
      </c>
      <c r="B1031" s="14">
        <v>43640</v>
      </c>
      <c r="C1031" s="13">
        <v>267</v>
      </c>
      <c r="D1031" s="13" t="s">
        <v>210</v>
      </c>
      <c r="E1031" s="13" t="s">
        <v>314</v>
      </c>
      <c r="F1031" s="37">
        <v>7760.63</v>
      </c>
      <c r="G1031" s="29" t="s">
        <v>8991</v>
      </c>
      <c r="H1031" s="14">
        <v>43623</v>
      </c>
      <c r="I1031" s="4" t="s">
        <v>426</v>
      </c>
      <c r="J1031" s="22" t="s">
        <v>1386</v>
      </c>
    </row>
    <row r="1032" spans="1:19" s="129" customFormat="1" x14ac:dyDescent="0.25">
      <c r="A1032" s="13" t="s">
        <v>310</v>
      </c>
      <c r="B1032" s="14">
        <v>43640</v>
      </c>
      <c r="C1032" s="13">
        <v>268</v>
      </c>
      <c r="D1032" s="13" t="s">
        <v>210</v>
      </c>
      <c r="E1032" s="13" t="s">
        <v>314</v>
      </c>
      <c r="F1032" s="37">
        <v>25551.33</v>
      </c>
      <c r="G1032" s="29" t="s">
        <v>8992</v>
      </c>
      <c r="H1032" s="14">
        <v>43623</v>
      </c>
      <c r="I1032" s="4" t="s">
        <v>546</v>
      </c>
      <c r="J1032" s="22" t="s">
        <v>1386</v>
      </c>
      <c r="K1032" s="136"/>
    </row>
    <row r="1033" spans="1:19" ht="15" customHeight="1" x14ac:dyDescent="0.25">
      <c r="A1033" s="68" t="s">
        <v>206</v>
      </c>
      <c r="B1033" s="14">
        <v>43640</v>
      </c>
      <c r="C1033" s="13">
        <v>102</v>
      </c>
      <c r="D1033" s="32" t="s">
        <v>281</v>
      </c>
      <c r="E1033" s="32" t="s">
        <v>178</v>
      </c>
      <c r="F1033" s="4">
        <v>9582.2999999999993</v>
      </c>
      <c r="G1033" s="29" t="s">
        <v>8908</v>
      </c>
      <c r="H1033" s="14">
        <v>43626</v>
      </c>
      <c r="I1033" s="41" t="s">
        <v>362</v>
      </c>
      <c r="J1033" s="35" t="s">
        <v>1386</v>
      </c>
      <c r="K1033" s="35"/>
      <c r="L1033" s="35"/>
    </row>
    <row r="1034" spans="1:19" ht="15" customHeight="1" x14ac:dyDescent="0.25">
      <c r="A1034" s="68" t="s">
        <v>206</v>
      </c>
      <c r="B1034" s="14">
        <v>43640</v>
      </c>
      <c r="C1034" s="13">
        <v>103</v>
      </c>
      <c r="D1034" s="32" t="s">
        <v>281</v>
      </c>
      <c r="E1034" s="32" t="s">
        <v>178</v>
      </c>
      <c r="F1034" s="4">
        <v>13327</v>
      </c>
      <c r="G1034" s="29" t="s">
        <v>7640</v>
      </c>
      <c r="H1034" s="14">
        <v>43598</v>
      </c>
      <c r="I1034" s="41" t="s">
        <v>847</v>
      </c>
      <c r="J1034" s="35" t="s">
        <v>526</v>
      </c>
      <c r="K1034" s="35"/>
      <c r="L1034" s="35"/>
    </row>
    <row r="1035" spans="1:19" ht="15" customHeight="1" x14ac:dyDescent="0.25">
      <c r="A1035" s="13" t="s">
        <v>184</v>
      </c>
      <c r="B1035" s="14">
        <v>43640</v>
      </c>
      <c r="C1035" s="67">
        <v>797</v>
      </c>
      <c r="D1035" s="13" t="s">
        <v>238</v>
      </c>
      <c r="E1035" s="32" t="s">
        <v>1121</v>
      </c>
      <c r="F1035" s="4">
        <v>68000</v>
      </c>
      <c r="G1035" s="28" t="s">
        <v>3872</v>
      </c>
      <c r="H1035" s="14">
        <v>43629</v>
      </c>
      <c r="I1035" s="4" t="s">
        <v>7576</v>
      </c>
      <c r="J1035" s="125"/>
    </row>
    <row r="1036" spans="1:19" ht="15" customHeight="1" x14ac:dyDescent="0.25">
      <c r="A1036" s="13" t="s">
        <v>184</v>
      </c>
      <c r="B1036" s="14">
        <v>43640</v>
      </c>
      <c r="C1036" s="13">
        <v>798</v>
      </c>
      <c r="D1036" s="13" t="s">
        <v>348</v>
      </c>
      <c r="E1036" s="32" t="s">
        <v>1121</v>
      </c>
      <c r="F1036" s="4">
        <v>110880</v>
      </c>
      <c r="G1036" s="28" t="s">
        <v>8730</v>
      </c>
      <c r="H1036" s="14">
        <v>43614</v>
      </c>
      <c r="I1036" s="4" t="s">
        <v>8729</v>
      </c>
      <c r="J1036" s="76" t="s">
        <v>8728</v>
      </c>
    </row>
    <row r="1037" spans="1:19" s="62" customFormat="1" ht="15" customHeight="1" x14ac:dyDescent="0.25">
      <c r="A1037" s="13" t="s">
        <v>151</v>
      </c>
      <c r="B1037" s="14">
        <v>43640</v>
      </c>
      <c r="C1037" s="67">
        <v>799</v>
      </c>
      <c r="D1037" s="13" t="s">
        <v>43</v>
      </c>
      <c r="E1037" s="32" t="s">
        <v>1121</v>
      </c>
      <c r="F1037" s="4">
        <v>49455.12</v>
      </c>
      <c r="G1037" s="29" t="s">
        <v>8697</v>
      </c>
      <c r="H1037" s="14">
        <v>43616</v>
      </c>
      <c r="I1037" s="4" t="s">
        <v>3277</v>
      </c>
      <c r="J1037" s="71" t="s">
        <v>1386</v>
      </c>
      <c r="O1037" s="35"/>
      <c r="P1037" s="35"/>
      <c r="Q1037" s="35"/>
      <c r="R1037" s="35"/>
      <c r="S1037" s="35"/>
    </row>
    <row r="1038" spans="1:19" x14ac:dyDescent="0.25">
      <c r="A1038" s="13" t="s">
        <v>151</v>
      </c>
      <c r="B1038" s="14">
        <v>43640</v>
      </c>
      <c r="C1038" s="13">
        <v>179</v>
      </c>
      <c r="D1038" s="13" t="s">
        <v>606</v>
      </c>
      <c r="E1038" s="32" t="s">
        <v>22</v>
      </c>
      <c r="F1038" s="4">
        <f>2375+1950</f>
        <v>4325</v>
      </c>
      <c r="G1038" s="28" t="s">
        <v>9247</v>
      </c>
      <c r="H1038" s="14">
        <v>43636</v>
      </c>
      <c r="I1038" s="4" t="s">
        <v>9246</v>
      </c>
      <c r="J1038" s="125"/>
    </row>
    <row r="1039" spans="1:19" s="129" customFormat="1" ht="13.95" customHeight="1" x14ac:dyDescent="0.25">
      <c r="A1039" s="13" t="s">
        <v>151</v>
      </c>
      <c r="B1039" s="14">
        <v>43640</v>
      </c>
      <c r="C1039" s="28" t="s">
        <v>359</v>
      </c>
      <c r="D1039" s="13" t="s">
        <v>1078</v>
      </c>
      <c r="E1039" s="13" t="s">
        <v>22</v>
      </c>
      <c r="F1039" s="4">
        <v>26168.69</v>
      </c>
      <c r="G1039" s="28" t="s">
        <v>5783</v>
      </c>
      <c r="H1039" s="14">
        <v>43609</v>
      </c>
      <c r="I1039" s="4" t="s">
        <v>3328</v>
      </c>
      <c r="J1039" s="22"/>
      <c r="K1039" s="136"/>
    </row>
    <row r="1040" spans="1:19" s="129" customFormat="1" ht="13.95" customHeight="1" x14ac:dyDescent="0.25">
      <c r="A1040" s="13" t="s">
        <v>151</v>
      </c>
      <c r="B1040" s="14">
        <v>43640</v>
      </c>
      <c r="C1040" s="28" t="s">
        <v>9313</v>
      </c>
      <c r="D1040" s="13" t="s">
        <v>1078</v>
      </c>
      <c r="E1040" s="13" t="s">
        <v>130</v>
      </c>
      <c r="F1040" s="4">
        <v>3400</v>
      </c>
      <c r="G1040" s="28" t="s">
        <v>8917</v>
      </c>
      <c r="H1040" s="14">
        <v>43626</v>
      </c>
      <c r="I1040" s="4" t="s">
        <v>8918</v>
      </c>
      <c r="J1040" s="22"/>
      <c r="K1040" s="136"/>
    </row>
    <row r="1041" spans="1:19" x14ac:dyDescent="0.25">
      <c r="A1041" s="61" t="s">
        <v>103</v>
      </c>
      <c r="B1041" s="14">
        <v>43640</v>
      </c>
      <c r="C1041" s="13">
        <v>1100</v>
      </c>
      <c r="D1041" s="13" t="s">
        <v>7433</v>
      </c>
      <c r="E1041" s="13" t="s">
        <v>62</v>
      </c>
      <c r="F1041" s="4">
        <v>3434.94</v>
      </c>
      <c r="G1041" s="28" t="s">
        <v>7434</v>
      </c>
      <c r="H1041" s="14">
        <v>43580</v>
      </c>
      <c r="I1041" s="4" t="s">
        <v>7435</v>
      </c>
      <c r="J1041" s="128"/>
    </row>
    <row r="1042" spans="1:19" s="93" customFormat="1" x14ac:dyDescent="0.25">
      <c r="A1042" s="61" t="s">
        <v>151</v>
      </c>
      <c r="B1042" s="14">
        <v>43640</v>
      </c>
      <c r="C1042" s="13">
        <v>1098</v>
      </c>
      <c r="D1042" s="13" t="s">
        <v>3021</v>
      </c>
      <c r="E1042" s="13" t="s">
        <v>62</v>
      </c>
      <c r="F1042" s="4">
        <v>2300</v>
      </c>
      <c r="G1042" s="29" t="s">
        <v>9266</v>
      </c>
      <c r="H1042" s="14">
        <v>43627</v>
      </c>
      <c r="I1042" s="4" t="s">
        <v>9267</v>
      </c>
      <c r="J1042" s="130"/>
      <c r="K1042" s="16"/>
      <c r="L1042" s="92"/>
    </row>
    <row r="1043" spans="1:19" s="93" customFormat="1" x14ac:dyDescent="0.25">
      <c r="A1043" s="61" t="s">
        <v>151</v>
      </c>
      <c r="B1043" s="14">
        <v>43640</v>
      </c>
      <c r="C1043" s="13">
        <v>1099</v>
      </c>
      <c r="D1043" s="13" t="s">
        <v>9268</v>
      </c>
      <c r="E1043" s="13" t="s">
        <v>62</v>
      </c>
      <c r="F1043" s="4">
        <v>8900</v>
      </c>
      <c r="G1043" s="29" t="s">
        <v>9082</v>
      </c>
      <c r="H1043" s="14">
        <v>43629</v>
      </c>
      <c r="I1043" s="4" t="s">
        <v>9269</v>
      </c>
      <c r="J1043" s="130"/>
      <c r="K1043" s="16"/>
      <c r="L1043" s="92"/>
    </row>
    <row r="1044" spans="1:19" s="93" customFormat="1" x14ac:dyDescent="0.25">
      <c r="A1044" s="61" t="s">
        <v>151</v>
      </c>
      <c r="B1044" s="14">
        <v>43640</v>
      </c>
      <c r="C1044" s="13">
        <v>1099</v>
      </c>
      <c r="D1044" s="13" t="s">
        <v>9268</v>
      </c>
      <c r="E1044" s="13" t="s">
        <v>62</v>
      </c>
      <c r="F1044" s="4">
        <v>30095</v>
      </c>
      <c r="G1044" s="29" t="s">
        <v>9083</v>
      </c>
      <c r="H1044" s="14">
        <v>43632</v>
      </c>
      <c r="I1044" s="4" t="s">
        <v>9270</v>
      </c>
      <c r="J1044" s="130"/>
      <c r="K1044" s="16"/>
      <c r="L1044" s="92"/>
    </row>
    <row r="1045" spans="1:19" s="93" customFormat="1" x14ac:dyDescent="0.25">
      <c r="A1045" s="61" t="s">
        <v>310</v>
      </c>
      <c r="B1045" s="14">
        <v>43640</v>
      </c>
      <c r="C1045" s="13">
        <v>684</v>
      </c>
      <c r="D1045" s="13" t="s">
        <v>1491</v>
      </c>
      <c r="E1045" s="13" t="s">
        <v>958</v>
      </c>
      <c r="F1045" s="4">
        <f>1477307.19-749760.9-554456.5</f>
        <v>173089.78999999992</v>
      </c>
      <c r="G1045" s="29" t="s">
        <v>1855</v>
      </c>
      <c r="H1045" s="14">
        <v>43572</v>
      </c>
      <c r="I1045" s="4" t="s">
        <v>7478</v>
      </c>
      <c r="J1045" s="130" t="s">
        <v>9200</v>
      </c>
      <c r="K1045" s="16"/>
      <c r="L1045" s="92"/>
    </row>
    <row r="1046" spans="1:19" s="97" customFormat="1" x14ac:dyDescent="0.25">
      <c r="A1046" s="14" t="s">
        <v>151</v>
      </c>
      <c r="B1046" s="14">
        <v>43640</v>
      </c>
      <c r="C1046" s="13">
        <v>685</v>
      </c>
      <c r="D1046" s="13" t="s">
        <v>6148</v>
      </c>
      <c r="E1046" s="13" t="s">
        <v>958</v>
      </c>
      <c r="F1046" s="4">
        <v>6745.2</v>
      </c>
      <c r="G1046" s="29" t="s">
        <v>8607</v>
      </c>
      <c r="H1046" s="14">
        <v>43581</v>
      </c>
      <c r="I1046" s="4" t="s">
        <v>1383</v>
      </c>
      <c r="J1046" s="22" t="s">
        <v>1386</v>
      </c>
      <c r="K1046" s="22"/>
      <c r="L1046" s="134"/>
    </row>
    <row r="1047" spans="1:19" s="97" customFormat="1" x14ac:dyDescent="0.25">
      <c r="A1047" s="14" t="s">
        <v>151</v>
      </c>
      <c r="B1047" s="14">
        <v>43640</v>
      </c>
      <c r="C1047" s="13">
        <v>686</v>
      </c>
      <c r="D1047" s="13" t="s">
        <v>6148</v>
      </c>
      <c r="E1047" s="13" t="s">
        <v>958</v>
      </c>
      <c r="F1047" s="4">
        <v>6778.8</v>
      </c>
      <c r="G1047" s="29" t="s">
        <v>8899</v>
      </c>
      <c r="H1047" s="14">
        <v>43615</v>
      </c>
      <c r="I1047" s="4" t="s">
        <v>1383</v>
      </c>
      <c r="J1047" s="22" t="s">
        <v>526</v>
      </c>
      <c r="K1047" s="22"/>
      <c r="L1047" s="134"/>
    </row>
    <row r="1048" spans="1:19" x14ac:dyDescent="0.25">
      <c r="A1048" s="61" t="s">
        <v>261</v>
      </c>
      <c r="B1048" s="14">
        <v>43640</v>
      </c>
      <c r="C1048" s="13">
        <v>1179</v>
      </c>
      <c r="D1048" s="13" t="s">
        <v>149</v>
      </c>
      <c r="E1048" s="13" t="s">
        <v>808</v>
      </c>
      <c r="F1048" s="37">
        <v>5871</v>
      </c>
      <c r="G1048" s="29" t="s">
        <v>7045</v>
      </c>
      <c r="H1048" s="14">
        <v>43555</v>
      </c>
      <c r="I1048" s="4" t="s">
        <v>7046</v>
      </c>
    </row>
    <row r="1049" spans="1:19" x14ac:dyDescent="0.25">
      <c r="A1049" s="61" t="s">
        <v>659</v>
      </c>
      <c r="B1049" s="14">
        <v>43640</v>
      </c>
      <c r="C1049" s="13">
        <v>1180</v>
      </c>
      <c r="D1049" s="13" t="s">
        <v>149</v>
      </c>
      <c r="E1049" s="13" t="s">
        <v>808</v>
      </c>
      <c r="F1049" s="37">
        <v>10500</v>
      </c>
      <c r="G1049" s="29" t="s">
        <v>7047</v>
      </c>
      <c r="H1049" s="14">
        <v>43555</v>
      </c>
      <c r="I1049" s="4" t="s">
        <v>7046</v>
      </c>
    </row>
    <row r="1050" spans="1:19" x14ac:dyDescent="0.25">
      <c r="A1050" s="61" t="s">
        <v>5258</v>
      </c>
      <c r="B1050" s="14">
        <v>43640</v>
      </c>
      <c r="C1050" s="13">
        <v>1179</v>
      </c>
      <c r="D1050" s="13" t="s">
        <v>149</v>
      </c>
      <c r="E1050" s="13" t="s">
        <v>808</v>
      </c>
      <c r="F1050" s="37">
        <v>14000</v>
      </c>
      <c r="G1050" s="29" t="s">
        <v>7048</v>
      </c>
      <c r="H1050" s="14">
        <v>43555</v>
      </c>
      <c r="I1050" s="4" t="s">
        <v>7046</v>
      </c>
    </row>
    <row r="1051" spans="1:19" s="97" customFormat="1" x14ac:dyDescent="0.25">
      <c r="A1051" s="61" t="s">
        <v>151</v>
      </c>
      <c r="B1051" s="14">
        <v>43640</v>
      </c>
      <c r="C1051" s="13">
        <v>367</v>
      </c>
      <c r="D1051" s="13" t="s">
        <v>9215</v>
      </c>
      <c r="E1051" s="13" t="s">
        <v>481</v>
      </c>
      <c r="F1051" s="4">
        <v>42000</v>
      </c>
      <c r="G1051" s="29" t="s">
        <v>459</v>
      </c>
      <c r="H1051" s="14">
        <v>43634</v>
      </c>
      <c r="I1051" s="4" t="s">
        <v>9216</v>
      </c>
      <c r="J1051" s="133"/>
      <c r="K1051" s="22"/>
      <c r="L1051" s="134"/>
    </row>
    <row r="1052" spans="1:19" ht="27.6" x14ac:dyDescent="0.25">
      <c r="A1052" s="32" t="s">
        <v>349</v>
      </c>
      <c r="B1052" s="14">
        <v>43640</v>
      </c>
      <c r="C1052" s="13">
        <v>1044</v>
      </c>
      <c r="D1052" s="32" t="s">
        <v>9273</v>
      </c>
      <c r="E1052" s="32" t="s">
        <v>130</v>
      </c>
      <c r="F1052" s="4">
        <v>610169.5</v>
      </c>
      <c r="G1052" s="29" t="s">
        <v>9274</v>
      </c>
      <c r="H1052" s="14">
        <v>43640</v>
      </c>
      <c r="I1052" s="41" t="s">
        <v>9275</v>
      </c>
      <c r="J1052" s="71" t="s">
        <v>8676</v>
      </c>
      <c r="K1052" s="35"/>
      <c r="L1052" s="35"/>
    </row>
    <row r="1053" spans="1:19" x14ac:dyDescent="0.25">
      <c r="A1053" s="61" t="s">
        <v>659</v>
      </c>
      <c r="B1053" s="14">
        <v>43640</v>
      </c>
      <c r="C1053" s="13">
        <v>1176</v>
      </c>
      <c r="D1053" s="13" t="s">
        <v>5888</v>
      </c>
      <c r="E1053" s="13" t="s">
        <v>808</v>
      </c>
      <c r="F1053" s="4">
        <v>3000000</v>
      </c>
      <c r="G1053" s="174" t="s">
        <v>5762</v>
      </c>
      <c r="H1053" s="14"/>
      <c r="I1053" s="4" t="s">
        <v>24</v>
      </c>
    </row>
    <row r="1054" spans="1:19" ht="15" customHeight="1" x14ac:dyDescent="0.25">
      <c r="A1054" s="32" t="s">
        <v>310</v>
      </c>
      <c r="B1054" s="14">
        <v>43640</v>
      </c>
      <c r="C1054" s="13">
        <v>269</v>
      </c>
      <c r="D1054" s="32" t="s">
        <v>281</v>
      </c>
      <c r="E1054" s="32" t="s">
        <v>314</v>
      </c>
      <c r="F1054" s="4">
        <v>276825</v>
      </c>
      <c r="G1054" s="29" t="s">
        <v>7633</v>
      </c>
      <c r="H1054" s="14">
        <v>43598</v>
      </c>
      <c r="I1054" s="41" t="s">
        <v>847</v>
      </c>
      <c r="J1054" s="71" t="s">
        <v>526</v>
      </c>
      <c r="K1054" s="35"/>
      <c r="L1054" s="35"/>
    </row>
    <row r="1055" spans="1:19" s="115" customFormat="1" ht="15.6" x14ac:dyDescent="0.25">
      <c r="A1055" s="61" t="s">
        <v>651</v>
      </c>
      <c r="B1055" s="14">
        <v>43640</v>
      </c>
      <c r="C1055" s="13">
        <v>721</v>
      </c>
      <c r="D1055" s="13" t="s">
        <v>813</v>
      </c>
      <c r="E1055" s="13" t="s">
        <v>547</v>
      </c>
      <c r="F1055" s="37">
        <v>3600000</v>
      </c>
      <c r="G1055" s="29" t="s">
        <v>810</v>
      </c>
      <c r="H1055" s="14">
        <v>42340</v>
      </c>
      <c r="I1055" s="41" t="s">
        <v>1560</v>
      </c>
      <c r="J1055" s="258"/>
      <c r="K1055" s="116"/>
      <c r="L1055" s="116"/>
      <c r="M1055" s="116"/>
      <c r="N1055" s="116"/>
      <c r="O1055" s="117"/>
      <c r="P1055" s="117"/>
      <c r="Q1055" s="117"/>
      <c r="R1055" s="117"/>
      <c r="S1055" s="117"/>
    </row>
    <row r="1056" spans="1:19" s="50" customFormat="1" ht="27.6" x14ac:dyDescent="0.25">
      <c r="A1056" s="13" t="s">
        <v>92</v>
      </c>
      <c r="B1056" s="14">
        <v>43640</v>
      </c>
      <c r="C1056" s="13">
        <v>1049</v>
      </c>
      <c r="D1056" s="32" t="s">
        <v>373</v>
      </c>
      <c r="E1056" s="218" t="s">
        <v>7168</v>
      </c>
      <c r="F1056" s="224">
        <v>2737150</v>
      </c>
      <c r="G1056" s="28" t="s">
        <v>4765</v>
      </c>
      <c r="H1056" s="14">
        <v>42851</v>
      </c>
      <c r="I1056" s="32" t="s">
        <v>4764</v>
      </c>
      <c r="J1056" s="325"/>
    </row>
    <row r="1057" spans="1:16" s="50" customFormat="1" ht="27.6" x14ac:dyDescent="0.25">
      <c r="A1057" s="13" t="s">
        <v>92</v>
      </c>
      <c r="B1057" s="14">
        <v>43640</v>
      </c>
      <c r="C1057" s="13">
        <v>1050</v>
      </c>
      <c r="D1057" s="32" t="s">
        <v>373</v>
      </c>
      <c r="E1057" s="218" t="s">
        <v>7168</v>
      </c>
      <c r="F1057" s="224">
        <v>2675120</v>
      </c>
      <c r="G1057" s="28" t="s">
        <v>4765</v>
      </c>
      <c r="H1057" s="14">
        <v>42851</v>
      </c>
      <c r="I1057" s="32" t="s">
        <v>4764</v>
      </c>
      <c r="J1057" s="325"/>
    </row>
    <row r="1058" spans="1:16" s="50" customFormat="1" x14ac:dyDescent="0.25">
      <c r="A1058" s="61" t="s">
        <v>151</v>
      </c>
      <c r="B1058" s="14">
        <v>43640</v>
      </c>
      <c r="C1058" s="13">
        <v>1101</v>
      </c>
      <c r="D1058" s="32" t="s">
        <v>4047</v>
      </c>
      <c r="E1058" s="218" t="s">
        <v>62</v>
      </c>
      <c r="F1058" s="224">
        <v>16000</v>
      </c>
      <c r="G1058" s="70" t="s">
        <v>6539</v>
      </c>
      <c r="H1058" s="211">
        <v>43616</v>
      </c>
      <c r="I1058" s="32" t="s">
        <v>9315</v>
      </c>
      <c r="J1058" s="325"/>
    </row>
    <row r="1059" spans="1:16" s="50" customFormat="1" ht="27.6" x14ac:dyDescent="0.25">
      <c r="A1059" s="61" t="s">
        <v>442</v>
      </c>
      <c r="B1059" s="14">
        <v>43640</v>
      </c>
      <c r="C1059" s="13">
        <v>1261</v>
      </c>
      <c r="D1059" s="32" t="s">
        <v>9317</v>
      </c>
      <c r="E1059" s="218" t="s">
        <v>494</v>
      </c>
      <c r="F1059" s="224">
        <v>2513760.66</v>
      </c>
      <c r="G1059" s="70" t="s">
        <v>3375</v>
      </c>
      <c r="H1059" s="211">
        <v>43636</v>
      </c>
      <c r="I1059" s="32" t="s">
        <v>9316</v>
      </c>
      <c r="J1059" s="325" t="s">
        <v>9318</v>
      </c>
    </row>
    <row r="1060" spans="1:16" x14ac:dyDescent="0.25">
      <c r="A1060" s="32" t="s">
        <v>212</v>
      </c>
      <c r="B1060" s="14">
        <v>43640</v>
      </c>
      <c r="C1060" s="13">
        <v>546</v>
      </c>
      <c r="D1060" s="32" t="s">
        <v>212</v>
      </c>
      <c r="E1060" s="32" t="s">
        <v>136</v>
      </c>
      <c r="F1060" s="4">
        <v>3000000</v>
      </c>
      <c r="G1060" s="28" t="s">
        <v>7220</v>
      </c>
      <c r="H1060" s="14">
        <v>41218</v>
      </c>
      <c r="I1060" s="41" t="s">
        <v>277</v>
      </c>
      <c r="K1060" s="63"/>
      <c r="L1060" s="62"/>
    </row>
    <row r="1061" spans="1:16" s="97" customFormat="1" x14ac:dyDescent="0.25">
      <c r="A1061" s="32" t="s">
        <v>311</v>
      </c>
      <c r="B1061" s="14">
        <v>43641</v>
      </c>
      <c r="C1061" s="13">
        <v>351</v>
      </c>
      <c r="D1061" s="13" t="s">
        <v>3056</v>
      </c>
      <c r="E1061" s="13" t="s">
        <v>408</v>
      </c>
      <c r="F1061" s="37">
        <v>3100</v>
      </c>
      <c r="G1061" s="29" t="s">
        <v>9214</v>
      </c>
      <c r="H1061" s="14">
        <v>43616</v>
      </c>
      <c r="I1061" s="4" t="s">
        <v>3057</v>
      </c>
      <c r="J1061" s="22"/>
      <c r="K1061" s="76"/>
      <c r="L1061" s="134"/>
    </row>
    <row r="1062" spans="1:16" ht="15" customHeight="1" x14ac:dyDescent="0.25">
      <c r="A1062" s="32" t="s">
        <v>311</v>
      </c>
      <c r="B1062" s="14">
        <v>43641</v>
      </c>
      <c r="C1062" s="13">
        <v>352</v>
      </c>
      <c r="D1062" s="32" t="s">
        <v>281</v>
      </c>
      <c r="E1062" s="32" t="s">
        <v>408</v>
      </c>
      <c r="F1062" s="4">
        <v>306833</v>
      </c>
      <c r="G1062" s="29" t="s">
        <v>7635</v>
      </c>
      <c r="H1062" s="14">
        <v>43597</v>
      </c>
      <c r="I1062" s="41" t="s">
        <v>847</v>
      </c>
      <c r="J1062" s="35" t="s">
        <v>526</v>
      </c>
      <c r="K1062" s="35"/>
      <c r="L1062" s="35"/>
    </row>
    <row r="1063" spans="1:16" s="97" customFormat="1" x14ac:dyDescent="0.25">
      <c r="A1063" s="32" t="s">
        <v>1148</v>
      </c>
      <c r="B1063" s="14">
        <v>43641</v>
      </c>
      <c r="C1063" s="13">
        <v>549</v>
      </c>
      <c r="D1063" s="13" t="s">
        <v>3056</v>
      </c>
      <c r="E1063" s="13" t="s">
        <v>136</v>
      </c>
      <c r="F1063" s="4">
        <v>19600</v>
      </c>
      <c r="G1063" s="29" t="s">
        <v>9211</v>
      </c>
      <c r="H1063" s="14">
        <v>43616</v>
      </c>
      <c r="I1063" s="4" t="s">
        <v>3057</v>
      </c>
      <c r="J1063" s="22"/>
      <c r="K1063" s="473"/>
      <c r="L1063" s="134"/>
    </row>
    <row r="1064" spans="1:16" s="97" customFormat="1" x14ac:dyDescent="0.25">
      <c r="A1064" s="32" t="s">
        <v>1147</v>
      </c>
      <c r="B1064" s="14">
        <v>43641</v>
      </c>
      <c r="C1064" s="13">
        <v>549</v>
      </c>
      <c r="D1064" s="13" t="s">
        <v>3056</v>
      </c>
      <c r="E1064" s="13" t="s">
        <v>136</v>
      </c>
      <c r="F1064" s="4">
        <v>3100</v>
      </c>
      <c r="G1064" s="29" t="s">
        <v>9211</v>
      </c>
      <c r="H1064" s="14">
        <v>43616</v>
      </c>
      <c r="I1064" s="4" t="s">
        <v>3057</v>
      </c>
      <c r="J1064" s="22"/>
      <c r="K1064" s="473"/>
      <c r="L1064" s="134"/>
    </row>
    <row r="1065" spans="1:16" ht="15" customHeight="1" x14ac:dyDescent="0.25">
      <c r="A1065" s="61" t="s">
        <v>1934</v>
      </c>
      <c r="B1065" s="14">
        <v>43641</v>
      </c>
      <c r="C1065" s="13">
        <v>550</v>
      </c>
      <c r="D1065" s="32" t="s">
        <v>281</v>
      </c>
      <c r="E1065" s="32" t="s">
        <v>136</v>
      </c>
      <c r="F1065" s="4">
        <v>505685</v>
      </c>
      <c r="G1065" s="29" t="s">
        <v>7643</v>
      </c>
      <c r="H1065" s="14">
        <v>43598</v>
      </c>
      <c r="I1065" s="41" t="s">
        <v>847</v>
      </c>
      <c r="J1065" s="35" t="s">
        <v>526</v>
      </c>
      <c r="K1065" s="35"/>
      <c r="L1065" s="35"/>
    </row>
    <row r="1066" spans="1:16" x14ac:dyDescent="0.25">
      <c r="A1066" s="32" t="s">
        <v>1350</v>
      </c>
      <c r="B1066" s="14">
        <v>43641</v>
      </c>
      <c r="C1066" s="13" t="s">
        <v>9354</v>
      </c>
      <c r="D1066" s="32" t="s">
        <v>7304</v>
      </c>
      <c r="E1066" s="13" t="s">
        <v>691</v>
      </c>
      <c r="F1066" s="4">
        <v>300000</v>
      </c>
      <c r="G1066" s="69" t="s">
        <v>7305</v>
      </c>
      <c r="H1066" s="211"/>
      <c r="I1066" s="4" t="s">
        <v>202</v>
      </c>
      <c r="J1066" s="228"/>
      <c r="K1066" s="228"/>
    </row>
    <row r="1067" spans="1:16" x14ac:dyDescent="0.25">
      <c r="A1067" s="68" t="s">
        <v>637</v>
      </c>
      <c r="B1067" s="14">
        <v>43641</v>
      </c>
      <c r="C1067" s="13" t="s">
        <v>9349</v>
      </c>
      <c r="D1067" s="32" t="s">
        <v>837</v>
      </c>
      <c r="E1067" s="32" t="s">
        <v>691</v>
      </c>
      <c r="F1067" s="4">
        <v>300000</v>
      </c>
      <c r="G1067" s="210" t="s">
        <v>207</v>
      </c>
      <c r="H1067" s="211"/>
      <c r="I1067" s="208" t="s">
        <v>838</v>
      </c>
      <c r="J1067" s="228"/>
      <c r="K1067" s="228"/>
    </row>
    <row r="1068" spans="1:16" x14ac:dyDescent="0.25">
      <c r="A1068" s="13" t="s">
        <v>1350</v>
      </c>
      <c r="B1068" s="14">
        <v>43641</v>
      </c>
      <c r="C1068" s="13">
        <v>505</v>
      </c>
      <c r="D1068" s="32" t="s">
        <v>3662</v>
      </c>
      <c r="E1068" s="13" t="s">
        <v>691</v>
      </c>
      <c r="F1068" s="4">
        <v>600652.80000000005</v>
      </c>
      <c r="G1068" s="29" t="s">
        <v>9259</v>
      </c>
      <c r="H1068" s="14">
        <v>43635</v>
      </c>
      <c r="I1068" s="4" t="s">
        <v>3664</v>
      </c>
      <c r="J1068" s="62"/>
      <c r="K1068" s="62"/>
      <c r="L1068" s="35"/>
      <c r="M1068" s="35"/>
      <c r="N1068" s="35"/>
      <c r="O1068" s="35"/>
      <c r="P1068" s="35"/>
    </row>
    <row r="1069" spans="1:16" x14ac:dyDescent="0.25">
      <c r="A1069" s="13" t="s">
        <v>1350</v>
      </c>
      <c r="B1069" s="14">
        <v>43641</v>
      </c>
      <c r="C1069" s="13">
        <v>507</v>
      </c>
      <c r="D1069" s="32" t="s">
        <v>93</v>
      </c>
      <c r="E1069" s="13" t="s">
        <v>691</v>
      </c>
      <c r="F1069" s="4">
        <v>75020</v>
      </c>
      <c r="G1069" s="29" t="s">
        <v>9260</v>
      </c>
      <c r="H1069" s="14">
        <v>43634</v>
      </c>
      <c r="I1069" s="4" t="s">
        <v>9261</v>
      </c>
      <c r="J1069" s="62"/>
      <c r="K1069" s="62"/>
      <c r="L1069" s="35"/>
      <c r="M1069" s="35"/>
      <c r="N1069" s="35"/>
      <c r="O1069" s="35"/>
      <c r="P1069" s="35"/>
    </row>
    <row r="1070" spans="1:16" x14ac:dyDescent="0.25">
      <c r="A1070" s="13" t="s">
        <v>1350</v>
      </c>
      <c r="B1070" s="14">
        <v>43641</v>
      </c>
      <c r="C1070" s="13">
        <v>507</v>
      </c>
      <c r="D1070" s="32" t="s">
        <v>93</v>
      </c>
      <c r="E1070" s="13" t="s">
        <v>691</v>
      </c>
      <c r="F1070" s="4">
        <v>499900</v>
      </c>
      <c r="G1070" s="29" t="s">
        <v>9262</v>
      </c>
      <c r="H1070" s="14">
        <v>43612</v>
      </c>
      <c r="I1070" s="4" t="s">
        <v>9263</v>
      </c>
      <c r="J1070" s="62"/>
      <c r="K1070" s="62"/>
      <c r="L1070" s="35"/>
      <c r="M1070" s="35"/>
      <c r="N1070" s="35"/>
      <c r="O1070" s="35"/>
      <c r="P1070" s="35"/>
    </row>
    <row r="1071" spans="1:16" x14ac:dyDescent="0.25">
      <c r="A1071" s="13" t="s">
        <v>637</v>
      </c>
      <c r="B1071" s="14">
        <v>43641</v>
      </c>
      <c r="C1071" s="13">
        <v>510</v>
      </c>
      <c r="D1071" s="13" t="s">
        <v>1789</v>
      </c>
      <c r="E1071" s="13" t="s">
        <v>691</v>
      </c>
      <c r="F1071" s="4">
        <v>300000</v>
      </c>
      <c r="G1071" s="69" t="s">
        <v>1791</v>
      </c>
      <c r="H1071" s="14"/>
      <c r="I1071" s="4" t="s">
        <v>1790</v>
      </c>
      <c r="J1071" s="62"/>
      <c r="K1071" s="62"/>
      <c r="L1071" s="35"/>
      <c r="M1071" s="35"/>
      <c r="N1071" s="35"/>
      <c r="O1071" s="35"/>
      <c r="P1071" s="35"/>
    </row>
    <row r="1072" spans="1:16" x14ac:dyDescent="0.25">
      <c r="A1072" s="32" t="s">
        <v>1350</v>
      </c>
      <c r="B1072" s="14">
        <v>43641</v>
      </c>
      <c r="C1072" s="13">
        <v>508</v>
      </c>
      <c r="D1072" s="32" t="s">
        <v>825</v>
      </c>
      <c r="E1072" s="13" t="s">
        <v>691</v>
      </c>
      <c r="F1072" s="4">
        <v>199118.5</v>
      </c>
      <c r="G1072" s="69" t="s">
        <v>1643</v>
      </c>
      <c r="H1072" s="211"/>
      <c r="I1072" s="4" t="s">
        <v>82</v>
      </c>
      <c r="J1072" s="228"/>
      <c r="K1072" s="228"/>
    </row>
    <row r="1073" spans="1:19" x14ac:dyDescent="0.25">
      <c r="A1073" s="32" t="s">
        <v>1350</v>
      </c>
      <c r="B1073" s="14">
        <v>43641</v>
      </c>
      <c r="C1073" s="13">
        <v>509</v>
      </c>
      <c r="D1073" s="32" t="s">
        <v>825</v>
      </c>
      <c r="E1073" s="13" t="s">
        <v>691</v>
      </c>
      <c r="F1073" s="4">
        <v>800881.5</v>
      </c>
      <c r="G1073" s="69" t="s">
        <v>1643</v>
      </c>
      <c r="H1073" s="211"/>
      <c r="I1073" s="4" t="s">
        <v>82</v>
      </c>
      <c r="J1073" s="228"/>
      <c r="K1073" s="228"/>
    </row>
    <row r="1074" spans="1:19" s="93" customFormat="1" x14ac:dyDescent="0.25">
      <c r="A1074" s="61" t="s">
        <v>637</v>
      </c>
      <c r="B1074" s="14">
        <v>43641</v>
      </c>
      <c r="C1074" s="13">
        <v>506</v>
      </c>
      <c r="D1074" s="13" t="s">
        <v>9264</v>
      </c>
      <c r="E1074" s="13" t="s">
        <v>691</v>
      </c>
      <c r="F1074" s="4">
        <v>40000</v>
      </c>
      <c r="G1074" s="29" t="s">
        <v>150</v>
      </c>
      <c r="H1074" s="14">
        <v>43607</v>
      </c>
      <c r="I1074" s="4" t="s">
        <v>9265</v>
      </c>
      <c r="J1074" s="130"/>
      <c r="K1074" s="16"/>
      <c r="L1074" s="92"/>
    </row>
    <row r="1075" spans="1:19" x14ac:dyDescent="0.25">
      <c r="A1075" s="61" t="s">
        <v>460</v>
      </c>
      <c r="B1075" s="14">
        <v>43641</v>
      </c>
      <c r="C1075" s="13">
        <v>86</v>
      </c>
      <c r="D1075" s="13" t="s">
        <v>7312</v>
      </c>
      <c r="E1075" s="13" t="s">
        <v>742</v>
      </c>
      <c r="F1075" s="4">
        <f>1917594-100000</f>
        <v>1817594</v>
      </c>
      <c r="G1075" s="69" t="s">
        <v>7313</v>
      </c>
      <c r="H1075" s="14">
        <v>43581</v>
      </c>
      <c r="I1075" s="274"/>
      <c r="J1075" s="169"/>
    </row>
    <row r="1076" spans="1:19" ht="15" customHeight="1" x14ac:dyDescent="0.25">
      <c r="A1076" s="13" t="s">
        <v>184</v>
      </c>
      <c r="B1076" s="14">
        <v>43641</v>
      </c>
      <c r="C1076" s="13">
        <v>800</v>
      </c>
      <c r="D1076" s="13" t="s">
        <v>348</v>
      </c>
      <c r="E1076" s="32" t="s">
        <v>1121</v>
      </c>
      <c r="F1076" s="4">
        <f>390000</f>
        <v>390000</v>
      </c>
      <c r="G1076" s="28" t="s">
        <v>3152</v>
      </c>
      <c r="H1076" s="14">
        <v>43614</v>
      </c>
      <c r="I1076" s="4" t="s">
        <v>8727</v>
      </c>
      <c r="J1076" s="76" t="s">
        <v>8728</v>
      </c>
    </row>
    <row r="1077" spans="1:19" s="62" customFormat="1" ht="15" customHeight="1" x14ac:dyDescent="0.25">
      <c r="A1077" s="13" t="s">
        <v>151</v>
      </c>
      <c r="B1077" s="14">
        <v>43641</v>
      </c>
      <c r="C1077" s="28" t="s">
        <v>6483</v>
      </c>
      <c r="D1077" s="13" t="s">
        <v>1555</v>
      </c>
      <c r="E1077" s="32" t="s">
        <v>1121</v>
      </c>
      <c r="F1077" s="4">
        <v>51468.6</v>
      </c>
      <c r="G1077" s="29" t="s">
        <v>8670</v>
      </c>
      <c r="H1077" s="14">
        <v>43616</v>
      </c>
      <c r="I1077" s="4" t="s">
        <v>3277</v>
      </c>
      <c r="J1077" s="71" t="s">
        <v>526</v>
      </c>
      <c r="O1077" s="35"/>
      <c r="P1077" s="35"/>
      <c r="Q1077" s="35"/>
      <c r="R1077" s="35"/>
      <c r="S1077" s="35"/>
    </row>
    <row r="1078" spans="1:19" s="62" customFormat="1" ht="13.95" customHeight="1" x14ac:dyDescent="0.25">
      <c r="A1078" s="13" t="s">
        <v>151</v>
      </c>
      <c r="B1078" s="14">
        <v>43641</v>
      </c>
      <c r="C1078" s="13">
        <v>804</v>
      </c>
      <c r="D1078" s="13" t="s">
        <v>593</v>
      </c>
      <c r="E1078" s="13" t="s">
        <v>1121</v>
      </c>
      <c r="F1078" s="4">
        <v>1735</v>
      </c>
      <c r="G1078" s="29" t="s">
        <v>4250</v>
      </c>
      <c r="H1078" s="14">
        <v>42024</v>
      </c>
      <c r="I1078" s="4" t="s">
        <v>594</v>
      </c>
      <c r="J1078" s="22" t="s">
        <v>400</v>
      </c>
      <c r="O1078" s="35"/>
      <c r="P1078" s="35"/>
      <c r="Q1078" s="35"/>
      <c r="R1078" s="35"/>
      <c r="S1078" s="35"/>
    </row>
    <row r="1079" spans="1:19" s="62" customFormat="1" ht="13.95" customHeight="1" x14ac:dyDescent="0.25">
      <c r="A1079" s="61" t="s">
        <v>151</v>
      </c>
      <c r="B1079" s="14">
        <v>43641</v>
      </c>
      <c r="C1079" s="13">
        <v>803</v>
      </c>
      <c r="D1079" s="13" t="s">
        <v>593</v>
      </c>
      <c r="E1079" s="13" t="s">
        <v>1121</v>
      </c>
      <c r="F1079" s="4">
        <v>1070</v>
      </c>
      <c r="G1079" s="29" t="s">
        <v>2614</v>
      </c>
      <c r="H1079" s="14">
        <v>43466</v>
      </c>
      <c r="I1079" s="4" t="s">
        <v>1796</v>
      </c>
      <c r="J1079" s="22" t="s">
        <v>400</v>
      </c>
      <c r="O1079" s="35"/>
      <c r="P1079" s="35"/>
      <c r="Q1079" s="35"/>
      <c r="R1079" s="35"/>
      <c r="S1079" s="35"/>
    </row>
    <row r="1080" spans="1:19" s="129" customFormat="1" x14ac:dyDescent="0.25">
      <c r="A1080" s="13" t="s">
        <v>151</v>
      </c>
      <c r="B1080" s="14">
        <v>43641</v>
      </c>
      <c r="C1080" s="28" t="s">
        <v>1893</v>
      </c>
      <c r="D1080" s="13" t="s">
        <v>711</v>
      </c>
      <c r="E1080" s="32" t="s">
        <v>1121</v>
      </c>
      <c r="F1080" s="4">
        <f>2250+1100</f>
        <v>3350</v>
      </c>
      <c r="G1080" s="28" t="s">
        <v>9289</v>
      </c>
      <c r="H1080" s="28" t="s">
        <v>9290</v>
      </c>
      <c r="I1080" s="4" t="s">
        <v>712</v>
      </c>
      <c r="J1080" s="170"/>
      <c r="K1080" s="136"/>
    </row>
    <row r="1081" spans="1:19" ht="15" customHeight="1" x14ac:dyDescent="0.25">
      <c r="A1081" s="13" t="s">
        <v>184</v>
      </c>
      <c r="B1081" s="14">
        <v>43641</v>
      </c>
      <c r="C1081" s="13">
        <v>568</v>
      </c>
      <c r="D1081" s="32" t="s">
        <v>1359</v>
      </c>
      <c r="E1081" s="32" t="s">
        <v>144</v>
      </c>
      <c r="F1081" s="4">
        <v>200838</v>
      </c>
      <c r="G1081" s="25" t="s">
        <v>7316</v>
      </c>
      <c r="H1081" s="14">
        <v>43617</v>
      </c>
      <c r="I1081" s="4" t="s">
        <v>294</v>
      </c>
      <c r="J1081" s="76" t="s">
        <v>526</v>
      </c>
    </row>
    <row r="1082" spans="1:19" ht="27.6" x14ac:dyDescent="0.25">
      <c r="A1082" s="32" t="s">
        <v>261</v>
      </c>
      <c r="B1082" s="14">
        <v>43641</v>
      </c>
      <c r="C1082" s="67">
        <v>1060</v>
      </c>
      <c r="D1082" s="32" t="s">
        <v>595</v>
      </c>
      <c r="E1082" s="32" t="s">
        <v>5586</v>
      </c>
      <c r="F1082" s="4">
        <v>612868.57999999996</v>
      </c>
      <c r="G1082" s="29" t="s">
        <v>3284</v>
      </c>
      <c r="H1082" s="14">
        <v>43555</v>
      </c>
      <c r="I1082" s="41" t="s">
        <v>949</v>
      </c>
      <c r="J1082" s="35" t="s">
        <v>366</v>
      </c>
      <c r="K1082" s="167"/>
      <c r="L1082" s="35"/>
    </row>
    <row r="1083" spans="1:19" s="97" customFormat="1" x14ac:dyDescent="0.25">
      <c r="A1083" s="61" t="s">
        <v>358</v>
      </c>
      <c r="B1083" s="14">
        <v>43641</v>
      </c>
      <c r="C1083" s="13">
        <v>1105</v>
      </c>
      <c r="D1083" s="13" t="s">
        <v>157</v>
      </c>
      <c r="E1083" s="13" t="s">
        <v>62</v>
      </c>
      <c r="F1083" s="37">
        <v>400000</v>
      </c>
      <c r="G1083" s="29" t="s">
        <v>8840</v>
      </c>
      <c r="H1083" s="14">
        <v>43602</v>
      </c>
      <c r="I1083" s="4" t="s">
        <v>305</v>
      </c>
      <c r="J1083" s="133"/>
      <c r="K1083" s="22"/>
      <c r="L1083" s="134"/>
    </row>
    <row r="1084" spans="1:19" s="97" customFormat="1" x14ac:dyDescent="0.25">
      <c r="A1084" s="13" t="s">
        <v>442</v>
      </c>
      <c r="B1084" s="14">
        <v>43641</v>
      </c>
      <c r="C1084" s="13">
        <v>1106</v>
      </c>
      <c r="D1084" s="13" t="s">
        <v>589</v>
      </c>
      <c r="E1084" s="13" t="s">
        <v>62</v>
      </c>
      <c r="F1084" s="4">
        <f>852592-410000</f>
        <v>442592</v>
      </c>
      <c r="G1084" s="28" t="s">
        <v>7474</v>
      </c>
      <c r="H1084" s="14">
        <v>43584</v>
      </c>
      <c r="I1084" s="4" t="s">
        <v>423</v>
      </c>
      <c r="J1084" s="133"/>
      <c r="K1084" s="22"/>
      <c r="L1084" s="134"/>
    </row>
    <row r="1085" spans="1:19" s="97" customFormat="1" x14ac:dyDescent="0.25">
      <c r="A1085" s="61" t="s">
        <v>442</v>
      </c>
      <c r="B1085" s="14">
        <v>43641</v>
      </c>
      <c r="C1085" s="13">
        <v>1106</v>
      </c>
      <c r="D1085" s="13" t="s">
        <v>589</v>
      </c>
      <c r="E1085" s="13" t="s">
        <v>62</v>
      </c>
      <c r="F1085" s="4">
        <v>848000</v>
      </c>
      <c r="G1085" s="29" t="s">
        <v>8108</v>
      </c>
      <c r="H1085" s="14">
        <v>43601</v>
      </c>
      <c r="I1085" s="4" t="s">
        <v>423</v>
      </c>
      <c r="J1085" s="133"/>
      <c r="K1085" s="22"/>
      <c r="L1085" s="134"/>
    </row>
    <row r="1086" spans="1:19" s="97" customFormat="1" x14ac:dyDescent="0.25">
      <c r="A1086" s="61" t="s">
        <v>442</v>
      </c>
      <c r="B1086" s="14">
        <v>43641</v>
      </c>
      <c r="C1086" s="13">
        <v>1106</v>
      </c>
      <c r="D1086" s="13" t="s">
        <v>589</v>
      </c>
      <c r="E1086" s="13" t="s">
        <v>62</v>
      </c>
      <c r="F1086" s="4">
        <v>766141.5</v>
      </c>
      <c r="G1086" s="29" t="s">
        <v>8110</v>
      </c>
      <c r="H1086" s="14">
        <v>43606</v>
      </c>
      <c r="I1086" s="4" t="s">
        <v>421</v>
      </c>
      <c r="J1086" s="133"/>
      <c r="K1086" s="22"/>
      <c r="L1086" s="134"/>
    </row>
    <row r="1087" spans="1:19" s="97" customFormat="1" x14ac:dyDescent="0.25">
      <c r="A1087" s="61" t="s">
        <v>92</v>
      </c>
      <c r="B1087" s="14">
        <v>43641</v>
      </c>
      <c r="C1087" s="13">
        <v>1107</v>
      </c>
      <c r="D1087" s="13" t="s">
        <v>7839</v>
      </c>
      <c r="E1087" s="13" t="s">
        <v>62</v>
      </c>
      <c r="F1087" s="4">
        <f>300000-50000</f>
        <v>250000</v>
      </c>
      <c r="G1087" s="29" t="s">
        <v>1451</v>
      </c>
      <c r="H1087" s="14">
        <v>43598</v>
      </c>
      <c r="I1087" s="4" t="s">
        <v>6866</v>
      </c>
      <c r="J1087" s="133"/>
      <c r="K1087" s="22"/>
      <c r="L1087" s="134"/>
    </row>
    <row r="1088" spans="1:19" s="97" customFormat="1" x14ac:dyDescent="0.25">
      <c r="A1088" s="61" t="s">
        <v>442</v>
      </c>
      <c r="B1088" s="14">
        <v>43641</v>
      </c>
      <c r="C1088" s="13">
        <v>1108</v>
      </c>
      <c r="D1088" s="13" t="s">
        <v>869</v>
      </c>
      <c r="E1088" s="13" t="s">
        <v>62</v>
      </c>
      <c r="F1088" s="4">
        <v>200000</v>
      </c>
      <c r="G1088" s="28" t="s">
        <v>7838</v>
      </c>
      <c r="H1088" s="14">
        <v>43600</v>
      </c>
      <c r="I1088" s="4" t="s">
        <v>572</v>
      </c>
      <c r="J1088" s="133"/>
      <c r="K1088" s="22"/>
      <c r="L1088" s="134"/>
    </row>
    <row r="1089" spans="1:12" s="97" customFormat="1" x14ac:dyDescent="0.25">
      <c r="A1089" s="13" t="s">
        <v>358</v>
      </c>
      <c r="B1089" s="14">
        <v>43641</v>
      </c>
      <c r="C1089" s="13">
        <v>1109</v>
      </c>
      <c r="D1089" s="13" t="s">
        <v>1065</v>
      </c>
      <c r="E1089" s="13" t="s">
        <v>62</v>
      </c>
      <c r="F1089" s="4">
        <v>4285.96</v>
      </c>
      <c r="G1089" s="28" t="s">
        <v>1188</v>
      </c>
      <c r="H1089" s="14">
        <v>43600</v>
      </c>
      <c r="I1089" s="4" t="s">
        <v>7823</v>
      </c>
      <c r="J1089" s="133"/>
      <c r="K1089" s="22"/>
      <c r="L1089" s="134"/>
    </row>
    <row r="1090" spans="1:12" s="97" customFormat="1" x14ac:dyDescent="0.25">
      <c r="A1090" s="61" t="s">
        <v>91</v>
      </c>
      <c r="B1090" s="14">
        <v>43641</v>
      </c>
      <c r="C1090" s="13">
        <v>1110</v>
      </c>
      <c r="D1090" s="13" t="s">
        <v>280</v>
      </c>
      <c r="E1090" s="13" t="s">
        <v>62</v>
      </c>
      <c r="F1090" s="4">
        <v>14745</v>
      </c>
      <c r="G1090" s="29" t="s">
        <v>3122</v>
      </c>
      <c r="H1090" s="14">
        <v>43585</v>
      </c>
      <c r="I1090" s="4" t="s">
        <v>7804</v>
      </c>
      <c r="J1090" s="133"/>
      <c r="K1090" s="22"/>
      <c r="L1090" s="134"/>
    </row>
    <row r="1091" spans="1:12" s="97" customFormat="1" x14ac:dyDescent="0.25">
      <c r="A1091" s="61" t="s">
        <v>92</v>
      </c>
      <c r="B1091" s="14">
        <v>43641</v>
      </c>
      <c r="C1091" s="13">
        <v>1111</v>
      </c>
      <c r="D1091" s="13" t="s">
        <v>280</v>
      </c>
      <c r="E1091" s="13" t="s">
        <v>62</v>
      </c>
      <c r="F1091" s="4">
        <v>144845</v>
      </c>
      <c r="G1091" s="29" t="s">
        <v>3872</v>
      </c>
      <c r="H1091" s="14">
        <v>43599</v>
      </c>
      <c r="I1091" s="4" t="s">
        <v>7811</v>
      </c>
      <c r="J1091" s="133"/>
      <c r="K1091" s="22"/>
      <c r="L1091" s="134"/>
    </row>
    <row r="1092" spans="1:12" s="97" customFormat="1" x14ac:dyDescent="0.25">
      <c r="A1092" s="61" t="s">
        <v>91</v>
      </c>
      <c r="B1092" s="14">
        <v>43641</v>
      </c>
      <c r="C1092" s="13">
        <v>1112</v>
      </c>
      <c r="D1092" s="13" t="s">
        <v>814</v>
      </c>
      <c r="E1092" s="13" t="s">
        <v>62</v>
      </c>
      <c r="F1092" s="4">
        <v>8738</v>
      </c>
      <c r="G1092" s="29" t="s">
        <v>7803</v>
      </c>
      <c r="H1092" s="14">
        <v>43593</v>
      </c>
      <c r="I1092" s="4" t="s">
        <v>5049</v>
      </c>
      <c r="J1092" s="133"/>
      <c r="K1092" s="22"/>
      <c r="L1092" s="134"/>
    </row>
    <row r="1093" spans="1:12" s="97" customFormat="1" x14ac:dyDescent="0.25">
      <c r="A1093" s="61" t="s">
        <v>442</v>
      </c>
      <c r="B1093" s="14">
        <v>43641</v>
      </c>
      <c r="C1093" s="13">
        <v>1112</v>
      </c>
      <c r="D1093" s="13" t="s">
        <v>814</v>
      </c>
      <c r="E1093" s="13" t="s">
        <v>62</v>
      </c>
      <c r="F1093" s="37">
        <v>17771.8</v>
      </c>
      <c r="G1093" s="29" t="s">
        <v>8434</v>
      </c>
      <c r="H1093" s="14">
        <v>43601</v>
      </c>
      <c r="I1093" s="4" t="s">
        <v>8435</v>
      </c>
      <c r="J1093" s="133"/>
      <c r="K1093" s="22"/>
      <c r="L1093" s="134"/>
    </row>
    <row r="1094" spans="1:12" s="97" customFormat="1" x14ac:dyDescent="0.25">
      <c r="A1094" s="61" t="s">
        <v>92</v>
      </c>
      <c r="B1094" s="14">
        <v>43641</v>
      </c>
      <c r="C1094" s="13">
        <v>1113</v>
      </c>
      <c r="D1094" s="13" t="s">
        <v>304</v>
      </c>
      <c r="E1094" s="13" t="s">
        <v>62</v>
      </c>
      <c r="F1094" s="4">
        <v>136006</v>
      </c>
      <c r="G1094" s="29" t="s">
        <v>7801</v>
      </c>
      <c r="H1094" s="14">
        <v>43600</v>
      </c>
      <c r="I1094" s="4" t="s">
        <v>7802</v>
      </c>
      <c r="J1094" s="133"/>
      <c r="K1094" s="22"/>
      <c r="L1094" s="134"/>
    </row>
    <row r="1095" spans="1:12" s="93" customFormat="1" x14ac:dyDescent="0.25">
      <c r="A1095" s="61" t="s">
        <v>442</v>
      </c>
      <c r="B1095" s="14">
        <v>43641</v>
      </c>
      <c r="C1095" s="13">
        <v>1114</v>
      </c>
      <c r="D1095" s="13" t="s">
        <v>203</v>
      </c>
      <c r="E1095" s="13" t="s">
        <v>62</v>
      </c>
      <c r="F1095" s="4">
        <v>166758</v>
      </c>
      <c r="G1095" s="29" t="s">
        <v>7791</v>
      </c>
      <c r="H1095" s="14">
        <v>43600</v>
      </c>
      <c r="I1095" s="4" t="s">
        <v>7792</v>
      </c>
      <c r="J1095" s="130"/>
      <c r="K1095" s="16"/>
      <c r="L1095" s="92"/>
    </row>
    <row r="1096" spans="1:12" s="97" customFormat="1" x14ac:dyDescent="0.25">
      <c r="A1096" s="61" t="s">
        <v>442</v>
      </c>
      <c r="B1096" s="14">
        <v>43641</v>
      </c>
      <c r="C1096" s="13">
        <v>1115</v>
      </c>
      <c r="D1096" s="13" t="s">
        <v>157</v>
      </c>
      <c r="E1096" s="13" t="s">
        <v>62</v>
      </c>
      <c r="F1096" s="37">
        <v>101835.9</v>
      </c>
      <c r="G1096" s="29" t="s">
        <v>8394</v>
      </c>
      <c r="H1096" s="14">
        <v>43600</v>
      </c>
      <c r="I1096" s="4" t="s">
        <v>8395</v>
      </c>
      <c r="J1096" s="133"/>
      <c r="K1096" s="22"/>
      <c r="L1096" s="134"/>
    </row>
    <row r="1097" spans="1:12" s="97" customFormat="1" x14ac:dyDescent="0.25">
      <c r="A1097" s="61" t="s">
        <v>91</v>
      </c>
      <c r="B1097" s="14">
        <v>43641</v>
      </c>
      <c r="C1097" s="13">
        <v>1115</v>
      </c>
      <c r="D1097" s="13" t="s">
        <v>157</v>
      </c>
      <c r="E1097" s="13" t="s">
        <v>62</v>
      </c>
      <c r="F1097" s="37">
        <v>49451.12</v>
      </c>
      <c r="G1097" s="29" t="s">
        <v>8396</v>
      </c>
      <c r="H1097" s="14">
        <v>43600</v>
      </c>
      <c r="I1097" s="4" t="s">
        <v>8397</v>
      </c>
      <c r="J1097" s="133"/>
      <c r="K1097" s="22"/>
      <c r="L1097" s="134"/>
    </row>
    <row r="1098" spans="1:12" s="97" customFormat="1" x14ac:dyDescent="0.25">
      <c r="A1098" s="61" t="s">
        <v>91</v>
      </c>
      <c r="B1098" s="14">
        <v>43641</v>
      </c>
      <c r="C1098" s="13">
        <v>1115</v>
      </c>
      <c r="D1098" s="13" t="s">
        <v>157</v>
      </c>
      <c r="E1098" s="13" t="s">
        <v>62</v>
      </c>
      <c r="F1098" s="37">
        <v>23640</v>
      </c>
      <c r="G1098" s="29" t="s">
        <v>8398</v>
      </c>
      <c r="H1098" s="14">
        <v>43601</v>
      </c>
      <c r="I1098" s="4" t="s">
        <v>966</v>
      </c>
      <c r="J1098" s="133"/>
      <c r="K1098" s="22"/>
      <c r="L1098" s="134"/>
    </row>
    <row r="1099" spans="1:12" s="93" customFormat="1" x14ac:dyDescent="0.25">
      <c r="A1099" s="61" t="s">
        <v>442</v>
      </c>
      <c r="B1099" s="14">
        <v>43641</v>
      </c>
      <c r="C1099" s="13">
        <v>1116</v>
      </c>
      <c r="D1099" s="13" t="s">
        <v>1491</v>
      </c>
      <c r="E1099" s="13" t="s">
        <v>62</v>
      </c>
      <c r="F1099" s="4">
        <v>84641.43</v>
      </c>
      <c r="G1099" s="29" t="s">
        <v>7481</v>
      </c>
      <c r="H1099" s="14">
        <v>43581</v>
      </c>
      <c r="I1099" s="4" t="s">
        <v>7478</v>
      </c>
      <c r="J1099" s="130"/>
      <c r="K1099" s="16"/>
      <c r="L1099" s="92"/>
    </row>
    <row r="1100" spans="1:12" s="97" customFormat="1" x14ac:dyDescent="0.25">
      <c r="A1100" s="61" t="s">
        <v>91</v>
      </c>
      <c r="B1100" s="14">
        <v>43641</v>
      </c>
      <c r="C1100" s="13">
        <v>1117</v>
      </c>
      <c r="D1100" s="13" t="s">
        <v>811</v>
      </c>
      <c r="E1100" s="13" t="s">
        <v>62</v>
      </c>
      <c r="F1100" s="37">
        <v>29750</v>
      </c>
      <c r="G1100" s="29" t="s">
        <v>6445</v>
      </c>
      <c r="H1100" s="14">
        <v>43636</v>
      </c>
      <c r="I1100" s="4" t="s">
        <v>9276</v>
      </c>
      <c r="J1100" s="133"/>
      <c r="K1100" s="22"/>
      <c r="L1100" s="134"/>
    </row>
    <row r="1101" spans="1:12" x14ac:dyDescent="0.25">
      <c r="A1101" s="61" t="s">
        <v>442</v>
      </c>
      <c r="B1101" s="14">
        <v>43641</v>
      </c>
      <c r="C1101" s="13">
        <v>1118</v>
      </c>
      <c r="D1101" s="13" t="s">
        <v>282</v>
      </c>
      <c r="E1101" s="13" t="s">
        <v>62</v>
      </c>
      <c r="F1101" s="37">
        <v>49335</v>
      </c>
      <c r="G1101" s="29" t="s">
        <v>8261</v>
      </c>
      <c r="H1101" s="14">
        <v>43608</v>
      </c>
      <c r="I1101" s="4" t="s">
        <v>283</v>
      </c>
    </row>
    <row r="1102" spans="1:12" x14ac:dyDescent="0.25">
      <c r="A1102" s="61" t="s">
        <v>91</v>
      </c>
      <c r="B1102" s="14">
        <v>43641</v>
      </c>
      <c r="C1102" s="13">
        <v>1118</v>
      </c>
      <c r="D1102" s="13" t="s">
        <v>282</v>
      </c>
      <c r="E1102" s="13" t="s">
        <v>62</v>
      </c>
      <c r="F1102" s="37">
        <v>23595</v>
      </c>
      <c r="G1102" s="29" t="s">
        <v>8262</v>
      </c>
      <c r="H1102" s="14">
        <v>43608</v>
      </c>
      <c r="I1102" s="4" t="s">
        <v>283</v>
      </c>
    </row>
    <row r="1103" spans="1:12" x14ac:dyDescent="0.25">
      <c r="A1103" s="61" t="s">
        <v>92</v>
      </c>
      <c r="B1103" s="14">
        <v>43641</v>
      </c>
      <c r="C1103" s="13">
        <v>1118</v>
      </c>
      <c r="D1103" s="13" t="s">
        <v>282</v>
      </c>
      <c r="E1103" s="13" t="s">
        <v>62</v>
      </c>
      <c r="F1103" s="37">
        <v>23595</v>
      </c>
      <c r="G1103" s="29" t="s">
        <v>8263</v>
      </c>
      <c r="H1103" s="14">
        <v>43608</v>
      </c>
      <c r="I1103" s="4" t="s">
        <v>283</v>
      </c>
    </row>
    <row r="1104" spans="1:12" x14ac:dyDescent="0.25">
      <c r="A1104" s="61" t="s">
        <v>358</v>
      </c>
      <c r="B1104" s="14">
        <v>43641</v>
      </c>
      <c r="C1104" s="13">
        <v>1118</v>
      </c>
      <c r="D1104" s="13" t="s">
        <v>282</v>
      </c>
      <c r="E1104" s="13" t="s">
        <v>62</v>
      </c>
      <c r="F1104" s="37">
        <v>7150</v>
      </c>
      <c r="G1104" s="29" t="s">
        <v>8264</v>
      </c>
      <c r="H1104" s="14">
        <v>43608</v>
      </c>
      <c r="I1104" s="4" t="s">
        <v>283</v>
      </c>
    </row>
    <row r="1105" spans="1:12" x14ac:dyDescent="0.25">
      <c r="A1105" s="61" t="s">
        <v>358</v>
      </c>
      <c r="B1105" s="14">
        <v>43641</v>
      </c>
      <c r="C1105" s="13">
        <v>1119</v>
      </c>
      <c r="D1105" s="13" t="s">
        <v>29</v>
      </c>
      <c r="E1105" s="13" t="s">
        <v>62</v>
      </c>
      <c r="F1105" s="37">
        <v>161200</v>
      </c>
      <c r="G1105" s="29" t="s">
        <v>5376</v>
      </c>
      <c r="H1105" s="14">
        <v>43577</v>
      </c>
      <c r="I1105" s="4" t="s">
        <v>419</v>
      </c>
    </row>
    <row r="1106" spans="1:12" x14ac:dyDescent="0.25">
      <c r="A1106" s="61" t="s">
        <v>442</v>
      </c>
      <c r="B1106" s="14">
        <v>43641</v>
      </c>
      <c r="C1106" s="13">
        <v>1120</v>
      </c>
      <c r="D1106" s="13" t="s">
        <v>2115</v>
      </c>
      <c r="E1106" s="13" t="s">
        <v>62</v>
      </c>
      <c r="F1106" s="37">
        <v>331500</v>
      </c>
      <c r="G1106" s="29" t="s">
        <v>3813</v>
      </c>
      <c r="H1106" s="14">
        <v>43585</v>
      </c>
      <c r="I1106" s="4" t="s">
        <v>8271</v>
      </c>
    </row>
    <row r="1107" spans="1:12" x14ac:dyDescent="0.25">
      <c r="A1107" s="61" t="s">
        <v>358</v>
      </c>
      <c r="B1107" s="14">
        <v>43641</v>
      </c>
      <c r="C1107" s="13">
        <v>1121</v>
      </c>
      <c r="D1107" s="13" t="s">
        <v>431</v>
      </c>
      <c r="E1107" s="13" t="s">
        <v>62</v>
      </c>
      <c r="F1107" s="37">
        <v>69700</v>
      </c>
      <c r="G1107" s="29" t="s">
        <v>3432</v>
      </c>
      <c r="H1107" s="14">
        <v>43602</v>
      </c>
      <c r="I1107" s="4" t="s">
        <v>95</v>
      </c>
    </row>
    <row r="1108" spans="1:12" x14ac:dyDescent="0.25">
      <c r="A1108" s="61" t="s">
        <v>349</v>
      </c>
      <c r="B1108" s="14">
        <v>43641</v>
      </c>
      <c r="C1108" s="13">
        <v>1122</v>
      </c>
      <c r="D1108" s="13" t="s">
        <v>149</v>
      </c>
      <c r="E1108" s="13" t="s">
        <v>62</v>
      </c>
      <c r="F1108" s="37">
        <v>40500</v>
      </c>
      <c r="G1108" s="29" t="s">
        <v>7049</v>
      </c>
      <c r="H1108" s="14">
        <v>43555</v>
      </c>
      <c r="I1108" s="4" t="s">
        <v>7046</v>
      </c>
    </row>
    <row r="1109" spans="1:12" s="97" customFormat="1" x14ac:dyDescent="0.25">
      <c r="A1109" s="61" t="s">
        <v>455</v>
      </c>
      <c r="B1109" s="14">
        <v>43641</v>
      </c>
      <c r="C1109" s="13">
        <v>692</v>
      </c>
      <c r="D1109" s="13" t="s">
        <v>254</v>
      </c>
      <c r="E1109" s="13" t="s">
        <v>958</v>
      </c>
      <c r="F1109" s="37">
        <v>835999.92</v>
      </c>
      <c r="G1109" s="29" t="s">
        <v>8288</v>
      </c>
      <c r="H1109" s="14">
        <v>43606</v>
      </c>
      <c r="I1109" s="4" t="s">
        <v>421</v>
      </c>
      <c r="J1109" s="133"/>
      <c r="K1109" s="22"/>
      <c r="L1109" s="134"/>
    </row>
    <row r="1110" spans="1:12" s="97" customFormat="1" ht="27.6" x14ac:dyDescent="0.25">
      <c r="A1110" s="61" t="s">
        <v>455</v>
      </c>
      <c r="B1110" s="14">
        <v>43641</v>
      </c>
      <c r="C1110" s="13">
        <v>691</v>
      </c>
      <c r="D1110" s="13" t="s">
        <v>7763</v>
      </c>
      <c r="E1110" s="13" t="s">
        <v>958</v>
      </c>
      <c r="F1110" s="37">
        <v>436500</v>
      </c>
      <c r="G1110" s="29" t="s">
        <v>8623</v>
      </c>
      <c r="H1110" s="14">
        <v>43612</v>
      </c>
      <c r="I1110" s="4" t="s">
        <v>6138</v>
      </c>
      <c r="J1110" s="133"/>
      <c r="K1110" s="22"/>
      <c r="L1110" s="134"/>
    </row>
    <row r="1111" spans="1:12" s="97" customFormat="1" x14ac:dyDescent="0.25">
      <c r="A1111" s="13" t="s">
        <v>311</v>
      </c>
      <c r="B1111" s="14">
        <v>43641</v>
      </c>
      <c r="C1111" s="13">
        <v>687</v>
      </c>
      <c r="D1111" s="13" t="s">
        <v>249</v>
      </c>
      <c r="E1111" s="13" t="s">
        <v>958</v>
      </c>
      <c r="F1111" s="4">
        <v>844843.44</v>
      </c>
      <c r="G1111" s="28" t="s">
        <v>7475</v>
      </c>
      <c r="H1111" s="14">
        <v>43577</v>
      </c>
      <c r="I1111" s="4" t="s">
        <v>7476</v>
      </c>
      <c r="J1111" s="133"/>
      <c r="K1111" s="22"/>
      <c r="L1111" s="134"/>
    </row>
    <row r="1112" spans="1:12" s="97" customFormat="1" x14ac:dyDescent="0.25">
      <c r="A1112" s="13" t="s">
        <v>311</v>
      </c>
      <c r="B1112" s="14">
        <v>43641</v>
      </c>
      <c r="C1112" s="13">
        <v>687</v>
      </c>
      <c r="D1112" s="13" t="s">
        <v>249</v>
      </c>
      <c r="E1112" s="13" t="s">
        <v>958</v>
      </c>
      <c r="F1112" s="4">
        <v>756285.9</v>
      </c>
      <c r="G1112" s="28" t="s">
        <v>960</v>
      </c>
      <c r="H1112" s="14">
        <v>43577</v>
      </c>
      <c r="I1112" s="4" t="s">
        <v>421</v>
      </c>
      <c r="J1112" s="133"/>
      <c r="K1112" s="22"/>
      <c r="L1112" s="134"/>
    </row>
    <row r="1113" spans="1:12" s="97" customFormat="1" x14ac:dyDescent="0.25">
      <c r="A1113" s="61" t="s">
        <v>310</v>
      </c>
      <c r="B1113" s="14">
        <v>43641</v>
      </c>
      <c r="C1113" s="13">
        <v>693</v>
      </c>
      <c r="D1113" s="13" t="s">
        <v>868</v>
      </c>
      <c r="E1113" s="13" t="s">
        <v>958</v>
      </c>
      <c r="F1113" s="4">
        <v>17085</v>
      </c>
      <c r="G1113" s="29" t="s">
        <v>7820</v>
      </c>
      <c r="H1113" s="14">
        <v>43600</v>
      </c>
      <c r="I1113" s="4" t="s">
        <v>345</v>
      </c>
      <c r="J1113" s="133"/>
      <c r="K1113" s="22"/>
      <c r="L1113" s="134"/>
    </row>
    <row r="1114" spans="1:12" s="97" customFormat="1" x14ac:dyDescent="0.25">
      <c r="A1114" s="61" t="s">
        <v>310</v>
      </c>
      <c r="B1114" s="14">
        <v>43641</v>
      </c>
      <c r="C1114" s="13">
        <v>694</v>
      </c>
      <c r="D1114" s="13" t="s">
        <v>280</v>
      </c>
      <c r="E1114" s="13" t="s">
        <v>958</v>
      </c>
      <c r="F1114" s="4">
        <v>158285</v>
      </c>
      <c r="G1114" s="29" t="s">
        <v>1403</v>
      </c>
      <c r="H1114" s="14">
        <v>43600</v>
      </c>
      <c r="I1114" s="4" t="s">
        <v>7812</v>
      </c>
      <c r="J1114" s="133"/>
      <c r="K1114" s="22"/>
      <c r="L1114" s="134"/>
    </row>
    <row r="1115" spans="1:12" s="97" customFormat="1" x14ac:dyDescent="0.25">
      <c r="A1115" s="61" t="s">
        <v>455</v>
      </c>
      <c r="B1115" s="14">
        <v>43641</v>
      </c>
      <c r="C1115" s="13">
        <v>702</v>
      </c>
      <c r="D1115" s="13" t="s">
        <v>6177</v>
      </c>
      <c r="E1115" s="13" t="s">
        <v>958</v>
      </c>
      <c r="F1115" s="4">
        <f>429062.5-200000</f>
        <v>229062.5</v>
      </c>
      <c r="G1115" s="29" t="s">
        <v>7246</v>
      </c>
      <c r="H1115" s="14">
        <v>43599</v>
      </c>
      <c r="I1115" s="4" t="s">
        <v>7796</v>
      </c>
      <c r="J1115" s="133"/>
      <c r="K1115" s="22"/>
      <c r="L1115" s="134"/>
    </row>
    <row r="1116" spans="1:12" s="97" customFormat="1" x14ac:dyDescent="0.25">
      <c r="A1116" s="61" t="s">
        <v>311</v>
      </c>
      <c r="B1116" s="14">
        <v>43641</v>
      </c>
      <c r="C1116" s="13">
        <v>688</v>
      </c>
      <c r="D1116" s="13" t="s">
        <v>3438</v>
      </c>
      <c r="E1116" s="13" t="s">
        <v>958</v>
      </c>
      <c r="F1116" s="4">
        <v>48123.45</v>
      </c>
      <c r="G1116" s="29" t="s">
        <v>4755</v>
      </c>
      <c r="H1116" s="14">
        <v>43592</v>
      </c>
      <c r="I1116" s="4" t="s">
        <v>7793</v>
      </c>
      <c r="J1116" s="133"/>
      <c r="K1116" s="22"/>
      <c r="L1116" s="134"/>
    </row>
    <row r="1117" spans="1:12" s="97" customFormat="1" x14ac:dyDescent="0.25">
      <c r="A1117" s="61" t="s">
        <v>455</v>
      </c>
      <c r="B1117" s="14">
        <v>43641</v>
      </c>
      <c r="C1117" s="13">
        <v>705</v>
      </c>
      <c r="D1117" s="13" t="s">
        <v>157</v>
      </c>
      <c r="E1117" s="13" t="s">
        <v>958</v>
      </c>
      <c r="F1117" s="4">
        <v>72000</v>
      </c>
      <c r="G1117" s="29" t="s">
        <v>7776</v>
      </c>
      <c r="H1117" s="14">
        <v>43593</v>
      </c>
      <c r="I1117" s="4" t="s">
        <v>6502</v>
      </c>
      <c r="J1117" s="133"/>
      <c r="K1117" s="22"/>
      <c r="L1117" s="134"/>
    </row>
    <row r="1118" spans="1:12" s="97" customFormat="1" x14ac:dyDescent="0.25">
      <c r="A1118" s="61" t="s">
        <v>455</v>
      </c>
      <c r="B1118" s="14">
        <v>43641</v>
      </c>
      <c r="C1118" s="13">
        <v>705</v>
      </c>
      <c r="D1118" s="13" t="s">
        <v>157</v>
      </c>
      <c r="E1118" s="13" t="s">
        <v>958</v>
      </c>
      <c r="F1118" s="4">
        <v>37218.800000000003</v>
      </c>
      <c r="G1118" s="29" t="s">
        <v>7786</v>
      </c>
      <c r="H1118" s="14">
        <v>43599</v>
      </c>
      <c r="I1118" s="4" t="s">
        <v>6502</v>
      </c>
      <c r="J1118" s="133"/>
      <c r="K1118" s="22"/>
      <c r="L1118" s="134"/>
    </row>
    <row r="1119" spans="1:12" s="93" customFormat="1" x14ac:dyDescent="0.25">
      <c r="A1119" s="61" t="s">
        <v>455</v>
      </c>
      <c r="B1119" s="14">
        <v>43641</v>
      </c>
      <c r="C1119" s="13">
        <v>704</v>
      </c>
      <c r="D1119" s="13" t="s">
        <v>1491</v>
      </c>
      <c r="E1119" s="13" t="s">
        <v>958</v>
      </c>
      <c r="F1119" s="4">
        <f>338942.8-100000</f>
        <v>238942.8</v>
      </c>
      <c r="G1119" s="29" t="s">
        <v>7775</v>
      </c>
      <c r="H1119" s="14">
        <v>43591</v>
      </c>
      <c r="I1119" s="4" t="s">
        <v>7478</v>
      </c>
      <c r="J1119" s="130"/>
      <c r="K1119" s="16"/>
      <c r="L1119" s="92"/>
    </row>
    <row r="1120" spans="1:12" x14ac:dyDescent="0.25">
      <c r="A1120" s="61" t="s">
        <v>455</v>
      </c>
      <c r="B1120" s="14">
        <v>43641</v>
      </c>
      <c r="C1120" s="13">
        <v>703</v>
      </c>
      <c r="D1120" s="13" t="s">
        <v>5345</v>
      </c>
      <c r="E1120" s="13" t="s">
        <v>958</v>
      </c>
      <c r="F1120" s="37">
        <v>65000</v>
      </c>
      <c r="G1120" s="29" t="s">
        <v>4</v>
      </c>
      <c r="H1120" s="14">
        <v>43575</v>
      </c>
      <c r="I1120" s="4" t="s">
        <v>5346</v>
      </c>
    </row>
    <row r="1121" spans="1:12" x14ac:dyDescent="0.25">
      <c r="A1121" s="61" t="s">
        <v>455</v>
      </c>
      <c r="B1121" s="14">
        <v>43641</v>
      </c>
      <c r="C1121" s="13">
        <v>695</v>
      </c>
      <c r="D1121" s="13" t="s">
        <v>282</v>
      </c>
      <c r="E1121" s="13" t="s">
        <v>958</v>
      </c>
      <c r="F1121" s="37">
        <v>23595</v>
      </c>
      <c r="G1121" s="29" t="s">
        <v>8055</v>
      </c>
      <c r="H1121" s="14">
        <v>43601</v>
      </c>
      <c r="I1121" s="4" t="s">
        <v>283</v>
      </c>
    </row>
    <row r="1122" spans="1:12" x14ac:dyDescent="0.25">
      <c r="A1122" s="61" t="s">
        <v>310</v>
      </c>
      <c r="B1122" s="14">
        <v>43641</v>
      </c>
      <c r="C1122" s="13">
        <v>701</v>
      </c>
      <c r="D1122" s="13" t="s">
        <v>692</v>
      </c>
      <c r="E1122" s="13" t="s">
        <v>958</v>
      </c>
      <c r="F1122" s="37">
        <v>11000</v>
      </c>
      <c r="G1122" s="29" t="s">
        <v>762</v>
      </c>
      <c r="H1122" s="14">
        <v>43605</v>
      </c>
      <c r="I1122" s="4" t="s">
        <v>419</v>
      </c>
    </row>
    <row r="1123" spans="1:12" x14ac:dyDescent="0.25">
      <c r="A1123" s="61" t="s">
        <v>310</v>
      </c>
      <c r="B1123" s="14">
        <v>43641</v>
      </c>
      <c r="C1123" s="13">
        <v>701</v>
      </c>
      <c r="D1123" s="13" t="s">
        <v>692</v>
      </c>
      <c r="E1123" s="13" t="s">
        <v>958</v>
      </c>
      <c r="F1123" s="37">
        <v>72000</v>
      </c>
      <c r="G1123" s="29" t="s">
        <v>791</v>
      </c>
      <c r="H1123" s="14">
        <v>43605</v>
      </c>
      <c r="I1123" s="4" t="s">
        <v>419</v>
      </c>
    </row>
    <row r="1124" spans="1:12" s="97" customFormat="1" x14ac:dyDescent="0.25">
      <c r="A1124" s="61" t="s">
        <v>1149</v>
      </c>
      <c r="B1124" s="14">
        <v>43641</v>
      </c>
      <c r="C1124" s="13">
        <v>1184</v>
      </c>
      <c r="D1124" s="13" t="s">
        <v>487</v>
      </c>
      <c r="E1124" s="13" t="s">
        <v>808</v>
      </c>
      <c r="F1124" s="4">
        <f>861393.6-270000-227800</f>
        <v>363593.6</v>
      </c>
      <c r="G1124" s="29" t="s">
        <v>2955</v>
      </c>
      <c r="H1124" s="14">
        <v>43543</v>
      </c>
      <c r="I1124" s="4" t="s">
        <v>421</v>
      </c>
      <c r="J1124" s="133"/>
      <c r="K1124" s="22"/>
      <c r="L1124" s="134"/>
    </row>
    <row r="1125" spans="1:12" s="97" customFormat="1" x14ac:dyDescent="0.25">
      <c r="A1125" s="61" t="s">
        <v>1148</v>
      </c>
      <c r="B1125" s="14">
        <v>43641</v>
      </c>
      <c r="C1125" s="13">
        <v>1185</v>
      </c>
      <c r="D1125" s="13" t="s">
        <v>539</v>
      </c>
      <c r="E1125" s="13" t="s">
        <v>808</v>
      </c>
      <c r="F1125" s="4">
        <v>948600</v>
      </c>
      <c r="G1125" s="29" t="s">
        <v>7517</v>
      </c>
      <c r="H1125" s="14">
        <v>43606</v>
      </c>
      <c r="I1125" s="4" t="s">
        <v>1998</v>
      </c>
      <c r="J1125" s="133"/>
      <c r="K1125" s="22"/>
      <c r="L1125" s="134"/>
    </row>
    <row r="1126" spans="1:12" s="97" customFormat="1" x14ac:dyDescent="0.25">
      <c r="A1126" s="61" t="s">
        <v>1148</v>
      </c>
      <c r="B1126" s="14">
        <v>43641</v>
      </c>
      <c r="C1126" s="13">
        <v>1186</v>
      </c>
      <c r="D1126" s="13" t="s">
        <v>276</v>
      </c>
      <c r="E1126" s="13" t="s">
        <v>808</v>
      </c>
      <c r="F1126" s="4">
        <f>876040-350000-200000</f>
        <v>326040</v>
      </c>
      <c r="G1126" s="29" t="s">
        <v>2152</v>
      </c>
      <c r="H1126" s="14">
        <v>43563</v>
      </c>
      <c r="I1126" s="4" t="s">
        <v>421</v>
      </c>
      <c r="J1126" s="133"/>
      <c r="K1126" s="22"/>
      <c r="L1126" s="134"/>
    </row>
    <row r="1127" spans="1:12" s="97" customFormat="1" x14ac:dyDescent="0.25">
      <c r="A1127" s="61" t="s">
        <v>1148</v>
      </c>
      <c r="B1127" s="14">
        <v>43641</v>
      </c>
      <c r="C1127" s="13">
        <v>1186</v>
      </c>
      <c r="D1127" s="13" t="s">
        <v>276</v>
      </c>
      <c r="E1127" s="13" t="s">
        <v>808</v>
      </c>
      <c r="F1127" s="4">
        <v>850000</v>
      </c>
      <c r="G1127" s="29" t="s">
        <v>5132</v>
      </c>
      <c r="H1127" s="14">
        <v>43573</v>
      </c>
      <c r="I1127" s="4" t="s">
        <v>1349</v>
      </c>
      <c r="J1127" s="133"/>
      <c r="K1127" s="22"/>
      <c r="L1127" s="134"/>
    </row>
    <row r="1128" spans="1:12" s="97" customFormat="1" x14ac:dyDescent="0.25">
      <c r="A1128" s="61" t="s">
        <v>659</v>
      </c>
      <c r="B1128" s="14">
        <v>43641</v>
      </c>
      <c r="C1128" s="13">
        <v>1186</v>
      </c>
      <c r="D1128" s="13" t="s">
        <v>276</v>
      </c>
      <c r="E1128" s="13" t="s">
        <v>808</v>
      </c>
      <c r="F1128" s="4">
        <v>858000</v>
      </c>
      <c r="G1128" s="29" t="s">
        <v>4668</v>
      </c>
      <c r="H1128" s="14">
        <v>43574</v>
      </c>
      <c r="I1128" s="4" t="s">
        <v>423</v>
      </c>
      <c r="J1128" s="133"/>
      <c r="K1128" s="22"/>
      <c r="L1128" s="134"/>
    </row>
    <row r="1129" spans="1:12" s="97" customFormat="1" x14ac:dyDescent="0.25">
      <c r="A1129" s="61" t="s">
        <v>1147</v>
      </c>
      <c r="B1129" s="14">
        <v>43641</v>
      </c>
      <c r="C1129" s="13">
        <v>1187</v>
      </c>
      <c r="D1129" s="13" t="s">
        <v>254</v>
      </c>
      <c r="E1129" s="13" t="s">
        <v>808</v>
      </c>
      <c r="F1129" s="37">
        <f>838000.08-738537.92</f>
        <v>99462.159999999916</v>
      </c>
      <c r="G1129" s="29" t="s">
        <v>8287</v>
      </c>
      <c r="H1129" s="14">
        <v>43605</v>
      </c>
      <c r="I1129" s="4" t="s">
        <v>1207</v>
      </c>
      <c r="J1129" s="133"/>
      <c r="K1129" s="22"/>
      <c r="L1129" s="134"/>
    </row>
    <row r="1130" spans="1:12" s="97" customFormat="1" x14ac:dyDescent="0.25">
      <c r="A1130" s="61" t="s">
        <v>659</v>
      </c>
      <c r="B1130" s="14">
        <v>43641</v>
      </c>
      <c r="C1130" s="13">
        <v>1188</v>
      </c>
      <c r="D1130" s="13" t="s">
        <v>6642</v>
      </c>
      <c r="E1130" s="13" t="s">
        <v>808</v>
      </c>
      <c r="F1130" s="4">
        <v>841712.5</v>
      </c>
      <c r="G1130" s="29" t="s">
        <v>5764</v>
      </c>
      <c r="H1130" s="14">
        <v>43600</v>
      </c>
      <c r="I1130" s="4" t="s">
        <v>8107</v>
      </c>
      <c r="J1130" s="133"/>
      <c r="K1130" s="22"/>
      <c r="L1130" s="134"/>
    </row>
    <row r="1131" spans="1:12" s="97" customFormat="1" x14ac:dyDescent="0.25">
      <c r="A1131" s="61" t="s">
        <v>1316</v>
      </c>
      <c r="B1131" s="14">
        <v>43641</v>
      </c>
      <c r="C1131" s="13">
        <v>1189</v>
      </c>
      <c r="D1131" s="13" t="s">
        <v>8111</v>
      </c>
      <c r="E1131" s="13" t="s">
        <v>808</v>
      </c>
      <c r="F1131" s="4">
        <v>950000</v>
      </c>
      <c r="G1131" s="29" t="s">
        <v>8116</v>
      </c>
      <c r="H1131" s="14">
        <v>43601</v>
      </c>
      <c r="I1131" s="4" t="s">
        <v>443</v>
      </c>
      <c r="J1131" s="133"/>
      <c r="K1131" s="22"/>
      <c r="L1131" s="134"/>
    </row>
    <row r="1132" spans="1:12" s="97" customFormat="1" x14ac:dyDescent="0.25">
      <c r="A1132" s="61" t="s">
        <v>1148</v>
      </c>
      <c r="B1132" s="14">
        <v>43641</v>
      </c>
      <c r="C1132" s="13">
        <v>1190</v>
      </c>
      <c r="D1132" s="13" t="s">
        <v>1827</v>
      </c>
      <c r="E1132" s="13" t="s">
        <v>808</v>
      </c>
      <c r="F1132" s="4">
        <v>864000</v>
      </c>
      <c r="G1132" s="29" t="s">
        <v>66</v>
      </c>
      <c r="H1132" s="14">
        <v>43573</v>
      </c>
      <c r="I1132" s="4" t="s">
        <v>4921</v>
      </c>
      <c r="J1132" s="133"/>
      <c r="K1132" s="22"/>
      <c r="L1132" s="134"/>
    </row>
    <row r="1133" spans="1:12" s="97" customFormat="1" x14ac:dyDescent="0.25">
      <c r="A1133" s="61" t="s">
        <v>1147</v>
      </c>
      <c r="B1133" s="14">
        <v>43641</v>
      </c>
      <c r="C1133" s="13">
        <v>1191</v>
      </c>
      <c r="D1133" s="13" t="s">
        <v>243</v>
      </c>
      <c r="E1133" s="13" t="s">
        <v>808</v>
      </c>
      <c r="F1133" s="4">
        <v>501060</v>
      </c>
      <c r="G1133" s="29" t="s">
        <v>2001</v>
      </c>
      <c r="H1133" s="14">
        <v>43582</v>
      </c>
      <c r="I1133" s="4" t="s">
        <v>1207</v>
      </c>
      <c r="J1133" s="133"/>
      <c r="K1133" s="22"/>
      <c r="L1133" s="134"/>
    </row>
    <row r="1134" spans="1:12" s="97" customFormat="1" x14ac:dyDescent="0.25">
      <c r="A1134" s="61" t="s">
        <v>1147</v>
      </c>
      <c r="B1134" s="14">
        <v>43641</v>
      </c>
      <c r="C1134" s="13">
        <v>1191</v>
      </c>
      <c r="D1134" s="13" t="s">
        <v>243</v>
      </c>
      <c r="E1134" s="13" t="s">
        <v>808</v>
      </c>
      <c r="F1134" s="4">
        <v>939257.5</v>
      </c>
      <c r="G1134" s="29" t="s">
        <v>1205</v>
      </c>
      <c r="H1134" s="14">
        <v>43601</v>
      </c>
      <c r="I1134" s="4" t="s">
        <v>8117</v>
      </c>
      <c r="J1134" s="133"/>
      <c r="K1134" s="22"/>
      <c r="L1134" s="134"/>
    </row>
    <row r="1135" spans="1:12" s="97" customFormat="1" x14ac:dyDescent="0.25">
      <c r="A1135" s="61" t="s">
        <v>1149</v>
      </c>
      <c r="B1135" s="14">
        <v>43641</v>
      </c>
      <c r="C1135" s="13">
        <v>1192</v>
      </c>
      <c r="D1135" s="13" t="s">
        <v>249</v>
      </c>
      <c r="E1135" s="13" t="s">
        <v>808</v>
      </c>
      <c r="F1135" s="4">
        <v>824767.5</v>
      </c>
      <c r="G1135" s="29" t="s">
        <v>6826</v>
      </c>
      <c r="H1135" s="14">
        <v>43574</v>
      </c>
      <c r="I1135" s="4" t="s">
        <v>423</v>
      </c>
      <c r="J1135" s="133"/>
      <c r="K1135" s="22"/>
      <c r="L1135" s="134"/>
    </row>
    <row r="1136" spans="1:12" s="97" customFormat="1" x14ac:dyDescent="0.25">
      <c r="A1136" s="61" t="s">
        <v>1149</v>
      </c>
      <c r="B1136" s="14">
        <v>43641</v>
      </c>
      <c r="C1136" s="13">
        <v>1192</v>
      </c>
      <c r="D1136" s="13" t="s">
        <v>249</v>
      </c>
      <c r="E1136" s="13" t="s">
        <v>808</v>
      </c>
      <c r="F1136" s="4">
        <v>765506.4</v>
      </c>
      <c r="G1136" s="29" t="s">
        <v>7132</v>
      </c>
      <c r="H1136" s="14">
        <v>43574</v>
      </c>
      <c r="I1136" s="4" t="s">
        <v>421</v>
      </c>
      <c r="J1136" s="133"/>
      <c r="K1136" s="22"/>
      <c r="L1136" s="134"/>
    </row>
    <row r="1137" spans="1:12" s="97" customFormat="1" x14ac:dyDescent="0.25">
      <c r="A1137" s="13" t="s">
        <v>1147</v>
      </c>
      <c r="B1137" s="14">
        <v>43641</v>
      </c>
      <c r="C1137" s="13">
        <v>1193</v>
      </c>
      <c r="D1137" s="13" t="s">
        <v>1032</v>
      </c>
      <c r="E1137" s="13" t="s">
        <v>808</v>
      </c>
      <c r="F1137" s="4">
        <v>171150</v>
      </c>
      <c r="G1137" s="28" t="s">
        <v>7829</v>
      </c>
      <c r="H1137" s="14">
        <v>43579</v>
      </c>
      <c r="I1137" s="4" t="s">
        <v>142</v>
      </c>
      <c r="J1137" s="133"/>
      <c r="K1137" s="22"/>
      <c r="L1137" s="134"/>
    </row>
    <row r="1138" spans="1:12" s="97" customFormat="1" x14ac:dyDescent="0.25">
      <c r="A1138" s="32" t="s">
        <v>659</v>
      </c>
      <c r="B1138" s="14">
        <v>43641</v>
      </c>
      <c r="C1138" s="13">
        <v>1194</v>
      </c>
      <c r="D1138" s="13" t="s">
        <v>814</v>
      </c>
      <c r="E1138" s="13" t="s">
        <v>808</v>
      </c>
      <c r="F1138" s="4">
        <f>40200-88.02</f>
        <v>40111.980000000003</v>
      </c>
      <c r="G1138" s="28" t="s">
        <v>9302</v>
      </c>
      <c r="H1138" s="14">
        <v>43584</v>
      </c>
      <c r="I1138" s="4" t="s">
        <v>7518</v>
      </c>
      <c r="J1138" s="133"/>
      <c r="K1138" s="22"/>
      <c r="L1138" s="134"/>
    </row>
    <row r="1139" spans="1:12" s="97" customFormat="1" x14ac:dyDescent="0.25">
      <c r="A1139" s="61" t="s">
        <v>1316</v>
      </c>
      <c r="B1139" s="14">
        <v>43641</v>
      </c>
      <c r="C1139" s="13">
        <v>1195</v>
      </c>
      <c r="D1139" s="13" t="s">
        <v>157</v>
      </c>
      <c r="E1139" s="13" t="s">
        <v>808</v>
      </c>
      <c r="F1139" s="4">
        <v>5574.8</v>
      </c>
      <c r="G1139" s="29" t="s">
        <v>7789</v>
      </c>
      <c r="H1139" s="14">
        <v>43599</v>
      </c>
      <c r="I1139" s="4" t="s">
        <v>395</v>
      </c>
      <c r="J1139" s="133"/>
      <c r="K1139" s="22"/>
      <c r="L1139" s="134"/>
    </row>
    <row r="1140" spans="1:12" s="97" customFormat="1" x14ac:dyDescent="0.25">
      <c r="A1140" s="61" t="s">
        <v>1148</v>
      </c>
      <c r="B1140" s="14">
        <v>43641</v>
      </c>
      <c r="C1140" s="13">
        <v>1196</v>
      </c>
      <c r="D1140" s="13" t="s">
        <v>516</v>
      </c>
      <c r="E1140" s="13" t="s">
        <v>808</v>
      </c>
      <c r="F1140" s="37">
        <v>100000</v>
      </c>
      <c r="G1140" s="29" t="s">
        <v>6185</v>
      </c>
      <c r="H1140" s="14">
        <v>43600</v>
      </c>
      <c r="I1140" s="4" t="s">
        <v>8373</v>
      </c>
      <c r="J1140" s="133"/>
      <c r="K1140" s="22"/>
      <c r="L1140" s="134"/>
    </row>
    <row r="1141" spans="1:12" ht="27.6" x14ac:dyDescent="0.25">
      <c r="A1141" s="61" t="s">
        <v>7653</v>
      </c>
      <c r="B1141" s="14">
        <v>43641</v>
      </c>
      <c r="C1141" s="13">
        <v>1197</v>
      </c>
      <c r="D1141" s="13" t="s">
        <v>381</v>
      </c>
      <c r="E1141" s="13" t="s">
        <v>808</v>
      </c>
      <c r="F1141" s="37">
        <f>244800-50000*2-75000</f>
        <v>69800</v>
      </c>
      <c r="G1141" s="29" t="s">
        <v>3362</v>
      </c>
      <c r="H1141" s="14">
        <v>43585</v>
      </c>
      <c r="I1141" s="4" t="s">
        <v>95</v>
      </c>
    </row>
    <row r="1142" spans="1:12" x14ac:dyDescent="0.25">
      <c r="A1142" s="61" t="s">
        <v>659</v>
      </c>
      <c r="B1142" s="14">
        <v>43641</v>
      </c>
      <c r="C1142" s="13">
        <v>1198</v>
      </c>
      <c r="D1142" s="13" t="s">
        <v>250</v>
      </c>
      <c r="E1142" s="13" t="s">
        <v>808</v>
      </c>
      <c r="F1142" s="37">
        <v>500000</v>
      </c>
      <c r="G1142" s="29" t="s">
        <v>7425</v>
      </c>
      <c r="H1142" s="14">
        <v>43569</v>
      </c>
      <c r="I1142" s="4" t="s">
        <v>402</v>
      </c>
    </row>
    <row r="1143" spans="1:12" ht="27.6" x14ac:dyDescent="0.25">
      <c r="A1143" s="61" t="s">
        <v>1894</v>
      </c>
      <c r="B1143" s="14">
        <v>43641</v>
      </c>
      <c r="C1143" s="13">
        <v>1199</v>
      </c>
      <c r="D1143" s="13" t="s">
        <v>29</v>
      </c>
      <c r="E1143" s="13" t="s">
        <v>808</v>
      </c>
      <c r="F1143" s="4">
        <v>127450</v>
      </c>
      <c r="G1143" s="28" t="s">
        <v>1239</v>
      </c>
      <c r="H1143" s="14">
        <v>43573</v>
      </c>
      <c r="I1143" s="4" t="s">
        <v>87</v>
      </c>
    </row>
    <row r="1144" spans="1:12" x14ac:dyDescent="0.25">
      <c r="A1144" s="61" t="s">
        <v>1316</v>
      </c>
      <c r="B1144" s="14">
        <v>43641</v>
      </c>
      <c r="C1144" s="13">
        <v>1199</v>
      </c>
      <c r="D1144" s="13" t="s">
        <v>29</v>
      </c>
      <c r="E1144" s="13" t="s">
        <v>808</v>
      </c>
      <c r="F1144" s="4">
        <v>19950</v>
      </c>
      <c r="G1144" s="28" t="s">
        <v>5465</v>
      </c>
      <c r="H1144" s="14">
        <v>43577</v>
      </c>
      <c r="I1144" s="4" t="s">
        <v>87</v>
      </c>
    </row>
    <row r="1145" spans="1:12" x14ac:dyDescent="0.25">
      <c r="A1145" s="61" t="s">
        <v>8068</v>
      </c>
      <c r="B1145" s="14">
        <v>43641</v>
      </c>
      <c r="C1145" s="13">
        <v>1200</v>
      </c>
      <c r="D1145" s="13" t="s">
        <v>2047</v>
      </c>
      <c r="E1145" s="13" t="s">
        <v>808</v>
      </c>
      <c r="F1145" s="37">
        <v>56100</v>
      </c>
      <c r="G1145" s="29" t="s">
        <v>7689</v>
      </c>
      <c r="H1145" s="14">
        <v>43600</v>
      </c>
      <c r="I1145" s="4" t="s">
        <v>95</v>
      </c>
    </row>
    <row r="1146" spans="1:12" ht="27.6" x14ac:dyDescent="0.25">
      <c r="A1146" s="61" t="s">
        <v>3851</v>
      </c>
      <c r="B1146" s="14">
        <v>43641</v>
      </c>
      <c r="C1146" s="13">
        <v>1200</v>
      </c>
      <c r="D1146" s="13" t="s">
        <v>2047</v>
      </c>
      <c r="E1146" s="13" t="s">
        <v>808</v>
      </c>
      <c r="F1146" s="37">
        <v>56100</v>
      </c>
      <c r="G1146" s="29" t="s">
        <v>6793</v>
      </c>
      <c r="H1146" s="14">
        <v>43600</v>
      </c>
      <c r="I1146" s="4" t="s">
        <v>95</v>
      </c>
    </row>
    <row r="1147" spans="1:12" x14ac:dyDescent="0.25">
      <c r="A1147" s="61" t="s">
        <v>659</v>
      </c>
      <c r="B1147" s="14">
        <v>43641</v>
      </c>
      <c r="C1147" s="13">
        <v>1201</v>
      </c>
      <c r="D1147" s="13" t="s">
        <v>5888</v>
      </c>
      <c r="E1147" s="13" t="s">
        <v>808</v>
      </c>
      <c r="F1147" s="37">
        <v>129375</v>
      </c>
      <c r="G1147" s="29" t="s">
        <v>299</v>
      </c>
      <c r="H1147" s="14">
        <v>43591</v>
      </c>
      <c r="I1147" s="4" t="s">
        <v>402</v>
      </c>
    </row>
    <row r="1148" spans="1:12" x14ac:dyDescent="0.25">
      <c r="A1148" s="61" t="s">
        <v>1148</v>
      </c>
      <c r="B1148" s="14">
        <v>43641</v>
      </c>
      <c r="C1148" s="13">
        <v>1202</v>
      </c>
      <c r="D1148" s="13" t="s">
        <v>6788</v>
      </c>
      <c r="E1148" s="13" t="s">
        <v>808</v>
      </c>
      <c r="F1148" s="37">
        <v>15000</v>
      </c>
      <c r="G1148" s="29" t="s">
        <v>5130</v>
      </c>
      <c r="H1148" s="14">
        <v>43599</v>
      </c>
      <c r="I1148" s="4" t="s">
        <v>354</v>
      </c>
    </row>
    <row r="1149" spans="1:12" x14ac:dyDescent="0.25">
      <c r="A1149" s="61" t="s">
        <v>5258</v>
      </c>
      <c r="B1149" s="14">
        <v>43641</v>
      </c>
      <c r="C1149" s="13">
        <v>1202</v>
      </c>
      <c r="D1149" s="13" t="s">
        <v>6788</v>
      </c>
      <c r="E1149" s="13" t="s">
        <v>808</v>
      </c>
      <c r="F1149" s="37">
        <v>13750</v>
      </c>
      <c r="G1149" s="29" t="s">
        <v>8589</v>
      </c>
      <c r="H1149" s="14">
        <v>43602</v>
      </c>
      <c r="I1149" s="4" t="s">
        <v>354</v>
      </c>
    </row>
    <row r="1150" spans="1:12" x14ac:dyDescent="0.25">
      <c r="A1150" s="61" t="s">
        <v>1148</v>
      </c>
      <c r="B1150" s="14">
        <v>43641</v>
      </c>
      <c r="C1150" s="13">
        <v>1202</v>
      </c>
      <c r="D1150" s="13" t="s">
        <v>6788</v>
      </c>
      <c r="E1150" s="13" t="s">
        <v>808</v>
      </c>
      <c r="F1150" s="37">
        <v>13750</v>
      </c>
      <c r="G1150" s="29" t="s">
        <v>8590</v>
      </c>
      <c r="H1150" s="14">
        <v>43610</v>
      </c>
      <c r="I1150" s="4" t="s">
        <v>354</v>
      </c>
    </row>
    <row r="1151" spans="1:12" ht="27.6" x14ac:dyDescent="0.25">
      <c r="A1151" s="13" t="s">
        <v>91</v>
      </c>
      <c r="B1151" s="14">
        <v>43641</v>
      </c>
      <c r="C1151" s="13">
        <v>567</v>
      </c>
      <c r="D1151" s="13" t="s">
        <v>9312</v>
      </c>
      <c r="E1151" s="13" t="s">
        <v>9348</v>
      </c>
      <c r="F1151" s="4">
        <v>9125</v>
      </c>
      <c r="G1151" s="28" t="s">
        <v>2963</v>
      </c>
      <c r="H1151" s="14">
        <v>43640</v>
      </c>
      <c r="I1151" s="4" t="s">
        <v>7649</v>
      </c>
    </row>
    <row r="1152" spans="1:12" x14ac:dyDescent="0.25">
      <c r="A1152" s="61" t="s">
        <v>460</v>
      </c>
      <c r="B1152" s="14">
        <v>43641</v>
      </c>
      <c r="C1152" s="13">
        <v>569</v>
      </c>
      <c r="D1152" s="13" t="s">
        <v>6921</v>
      </c>
      <c r="E1152" s="32" t="s">
        <v>144</v>
      </c>
      <c r="F1152" s="4">
        <v>86515</v>
      </c>
      <c r="G1152" s="86" t="s">
        <v>6922</v>
      </c>
      <c r="H1152" s="211"/>
      <c r="I1152" s="326"/>
      <c r="K1152" s="62"/>
    </row>
    <row r="1153" spans="1:12" x14ac:dyDescent="0.25">
      <c r="A1153" s="61" t="s">
        <v>460</v>
      </c>
      <c r="B1153" s="14">
        <v>43641</v>
      </c>
      <c r="C1153" s="13">
        <v>570</v>
      </c>
      <c r="D1153" s="13" t="s">
        <v>6921</v>
      </c>
      <c r="E1153" s="32" t="s">
        <v>144</v>
      </c>
      <c r="F1153" s="4">
        <v>96195</v>
      </c>
      <c r="G1153" s="86" t="s">
        <v>6923</v>
      </c>
      <c r="H1153" s="211"/>
      <c r="I1153" s="326"/>
      <c r="K1153" s="62"/>
    </row>
    <row r="1154" spans="1:12" x14ac:dyDescent="0.25">
      <c r="A1154" s="61" t="s">
        <v>460</v>
      </c>
      <c r="B1154" s="14">
        <v>43641</v>
      </c>
      <c r="C1154" s="13">
        <v>571</v>
      </c>
      <c r="D1154" s="13" t="s">
        <v>6921</v>
      </c>
      <c r="E1154" s="32" t="s">
        <v>144</v>
      </c>
      <c r="F1154" s="4">
        <v>108295</v>
      </c>
      <c r="G1154" s="86" t="s">
        <v>6924</v>
      </c>
      <c r="H1154" s="211"/>
      <c r="I1154" s="326"/>
      <c r="K1154" s="62"/>
    </row>
    <row r="1155" spans="1:12" s="192" customFormat="1" x14ac:dyDescent="0.25">
      <c r="A1155" s="147" t="s">
        <v>242</v>
      </c>
      <c r="B1155" s="14">
        <v>43641</v>
      </c>
      <c r="C1155" s="187">
        <v>573</v>
      </c>
      <c r="D1155" s="149" t="s">
        <v>291</v>
      </c>
      <c r="E1155" s="147" t="s">
        <v>144</v>
      </c>
      <c r="F1155" s="158">
        <v>89976</v>
      </c>
      <c r="G1155" s="150" t="s">
        <v>1529</v>
      </c>
      <c r="H1155" s="148">
        <v>43630</v>
      </c>
      <c r="I1155" s="149" t="s">
        <v>143</v>
      </c>
      <c r="J1155" s="193"/>
      <c r="K1155" s="194"/>
      <c r="L1155" s="190"/>
    </row>
    <row r="1156" spans="1:12" s="192" customFormat="1" ht="14.85" customHeight="1" x14ac:dyDescent="0.25">
      <c r="A1156" s="147" t="s">
        <v>242</v>
      </c>
      <c r="B1156" s="14">
        <v>43641</v>
      </c>
      <c r="C1156" s="195">
        <v>572</v>
      </c>
      <c r="D1156" s="149" t="s">
        <v>840</v>
      </c>
      <c r="E1156" s="147" t="s">
        <v>144</v>
      </c>
      <c r="F1156" s="158">
        <v>81244.800000000003</v>
      </c>
      <c r="G1156" s="150" t="s">
        <v>1579</v>
      </c>
      <c r="H1156" s="148">
        <v>43615</v>
      </c>
      <c r="I1156" s="149" t="s">
        <v>143</v>
      </c>
      <c r="J1156" s="193"/>
      <c r="K1156" s="194"/>
      <c r="L1156" s="190"/>
    </row>
    <row r="1157" spans="1:12" s="192" customFormat="1" x14ac:dyDescent="0.25">
      <c r="A1157" s="147" t="s">
        <v>242</v>
      </c>
      <c r="B1157" s="14">
        <v>43641</v>
      </c>
      <c r="C1157" s="195">
        <v>574</v>
      </c>
      <c r="D1157" s="149" t="s">
        <v>388</v>
      </c>
      <c r="E1157" s="147" t="s">
        <v>144</v>
      </c>
      <c r="F1157" s="158">
        <v>116101.75</v>
      </c>
      <c r="G1157" s="150" t="s">
        <v>1210</v>
      </c>
      <c r="H1157" s="148">
        <v>43630</v>
      </c>
      <c r="I1157" s="149" t="s">
        <v>143</v>
      </c>
      <c r="J1157" s="193"/>
      <c r="K1157" s="194"/>
      <c r="L1157" s="190"/>
    </row>
    <row r="1158" spans="1:12" ht="15" customHeight="1" x14ac:dyDescent="0.25">
      <c r="A1158" s="68" t="s">
        <v>206</v>
      </c>
      <c r="B1158" s="14">
        <v>43641</v>
      </c>
      <c r="C1158" s="67">
        <v>104</v>
      </c>
      <c r="D1158" s="32" t="s">
        <v>156</v>
      </c>
      <c r="E1158" s="32" t="s">
        <v>178</v>
      </c>
      <c r="F1158" s="4">
        <v>361119.2</v>
      </c>
      <c r="G1158" s="28" t="s">
        <v>1700</v>
      </c>
      <c r="H1158" s="14">
        <v>42644</v>
      </c>
      <c r="I1158" s="4" t="s">
        <v>362</v>
      </c>
      <c r="J1158" s="166" t="s">
        <v>1386</v>
      </c>
      <c r="K1158" s="167"/>
      <c r="L1158" s="35"/>
    </row>
    <row r="1159" spans="1:12" ht="15.6" customHeight="1" x14ac:dyDescent="0.25">
      <c r="A1159" s="13" t="s">
        <v>1596</v>
      </c>
      <c r="B1159" s="14">
        <v>43641</v>
      </c>
      <c r="C1159" s="13">
        <v>1056</v>
      </c>
      <c r="D1159" s="32" t="s">
        <v>285</v>
      </c>
      <c r="E1159" s="32" t="s">
        <v>130</v>
      </c>
      <c r="F1159" s="4">
        <v>5000000</v>
      </c>
      <c r="G1159" s="69" t="s">
        <v>1597</v>
      </c>
      <c r="H1159" s="14"/>
      <c r="I1159" s="41" t="s">
        <v>190</v>
      </c>
      <c r="K1159" s="62"/>
    </row>
    <row r="1160" spans="1:12" ht="13.95" customHeight="1" x14ac:dyDescent="0.25">
      <c r="A1160" s="61" t="s">
        <v>107</v>
      </c>
      <c r="B1160" s="14">
        <v>43641</v>
      </c>
      <c r="C1160" s="13">
        <v>720</v>
      </c>
      <c r="D1160" s="13" t="s">
        <v>438</v>
      </c>
      <c r="E1160" s="32" t="s">
        <v>60</v>
      </c>
      <c r="F1160" s="4">
        <v>700000</v>
      </c>
      <c r="G1160" s="86" t="s">
        <v>9283</v>
      </c>
      <c r="H1160" s="211"/>
      <c r="I1160" s="4" t="s">
        <v>252</v>
      </c>
      <c r="J1160" s="21"/>
      <c r="K1160" s="228"/>
    </row>
    <row r="1161" spans="1:12" x14ac:dyDescent="0.25">
      <c r="A1161" s="13" t="s">
        <v>659</v>
      </c>
      <c r="B1161" s="14">
        <v>43641</v>
      </c>
      <c r="C1161" s="13">
        <v>1181</v>
      </c>
      <c r="D1161" s="13" t="s">
        <v>9306</v>
      </c>
      <c r="E1161" s="13" t="s">
        <v>808</v>
      </c>
      <c r="F1161" s="4">
        <v>139500</v>
      </c>
      <c r="G1161" s="28" t="s">
        <v>5849</v>
      </c>
      <c r="H1161" s="14">
        <v>43637</v>
      </c>
      <c r="I1161" s="4" t="s">
        <v>9307</v>
      </c>
      <c r="J1161" s="128"/>
    </row>
    <row r="1162" spans="1:12" ht="16.2" customHeight="1" x14ac:dyDescent="0.25">
      <c r="A1162" s="68" t="s">
        <v>536</v>
      </c>
      <c r="B1162" s="14">
        <v>43641</v>
      </c>
      <c r="C1162" s="13">
        <v>1104</v>
      </c>
      <c r="D1162" s="13" t="s">
        <v>456</v>
      </c>
      <c r="E1162" s="32" t="s">
        <v>62</v>
      </c>
      <c r="F1162" s="4">
        <v>5000000</v>
      </c>
      <c r="G1162" s="86" t="s">
        <v>8503</v>
      </c>
      <c r="H1162" s="14"/>
      <c r="I1162" s="4" t="s">
        <v>361</v>
      </c>
      <c r="J1162" s="71"/>
      <c r="K1162" s="62"/>
      <c r="L1162" s="62"/>
    </row>
    <row r="1163" spans="1:12" ht="13.95" customHeight="1" x14ac:dyDescent="0.25">
      <c r="A1163" s="68" t="s">
        <v>310</v>
      </c>
      <c r="B1163" s="14">
        <v>43641</v>
      </c>
      <c r="C1163" s="13">
        <v>696</v>
      </c>
      <c r="D1163" s="13" t="s">
        <v>30</v>
      </c>
      <c r="E1163" s="32" t="s">
        <v>958</v>
      </c>
      <c r="F1163" s="4">
        <v>1100000</v>
      </c>
      <c r="G1163" s="86" t="s">
        <v>4462</v>
      </c>
      <c r="H1163" s="211"/>
      <c r="I1163" s="208" t="s">
        <v>79</v>
      </c>
      <c r="J1163" s="21"/>
      <c r="K1163" s="228"/>
    </row>
    <row r="1164" spans="1:12" ht="13.8" customHeight="1" x14ac:dyDescent="0.25">
      <c r="A1164" s="32" t="s">
        <v>311</v>
      </c>
      <c r="B1164" s="14">
        <v>43641</v>
      </c>
      <c r="C1164" s="13">
        <v>689</v>
      </c>
      <c r="D1164" s="32" t="s">
        <v>2439</v>
      </c>
      <c r="E1164" s="32" t="s">
        <v>958</v>
      </c>
      <c r="F1164" s="4">
        <v>18360</v>
      </c>
      <c r="G1164" s="29" t="s">
        <v>6597</v>
      </c>
      <c r="H1164" s="14">
        <v>43634</v>
      </c>
      <c r="I1164" s="4" t="s">
        <v>9218</v>
      </c>
      <c r="J1164" s="21"/>
      <c r="K1164" s="228"/>
    </row>
    <row r="1165" spans="1:12" s="2" customFormat="1" x14ac:dyDescent="0.25">
      <c r="A1165" s="61" t="s">
        <v>311</v>
      </c>
      <c r="B1165" s="14">
        <v>43641</v>
      </c>
      <c r="C1165" s="13">
        <v>690</v>
      </c>
      <c r="D1165" s="13" t="s">
        <v>8280</v>
      </c>
      <c r="E1165" s="13" t="s">
        <v>958</v>
      </c>
      <c r="F1165" s="37">
        <v>61795.199999999997</v>
      </c>
      <c r="G1165" s="29" t="s">
        <v>8281</v>
      </c>
      <c r="H1165" s="14">
        <v>43606</v>
      </c>
      <c r="I1165" s="4" t="s">
        <v>8282</v>
      </c>
      <c r="J1165" s="121"/>
      <c r="K1165" s="5"/>
    </row>
    <row r="1166" spans="1:12" x14ac:dyDescent="0.25">
      <c r="A1166" s="61" t="s">
        <v>455</v>
      </c>
      <c r="B1166" s="14">
        <v>43641</v>
      </c>
      <c r="C1166" s="13">
        <v>697</v>
      </c>
      <c r="D1166" s="13" t="s">
        <v>371</v>
      </c>
      <c r="E1166" s="13" t="s">
        <v>958</v>
      </c>
      <c r="F1166" s="4">
        <v>46000</v>
      </c>
      <c r="G1166" s="28" t="s">
        <v>8837</v>
      </c>
      <c r="H1166" s="14">
        <v>43613</v>
      </c>
      <c r="I1166" s="4" t="s">
        <v>319</v>
      </c>
      <c r="J1166" s="128"/>
    </row>
    <row r="1167" spans="1:12" x14ac:dyDescent="0.25">
      <c r="A1167" s="61" t="s">
        <v>455</v>
      </c>
      <c r="B1167" s="14">
        <v>43641</v>
      </c>
      <c r="C1167" s="13">
        <v>698</v>
      </c>
      <c r="D1167" s="13" t="s">
        <v>5918</v>
      </c>
      <c r="E1167" s="13" t="s">
        <v>958</v>
      </c>
      <c r="F1167" s="4">
        <v>4800</v>
      </c>
      <c r="G1167" s="28" t="s">
        <v>84</v>
      </c>
      <c r="H1167" s="14">
        <v>43612</v>
      </c>
      <c r="I1167" s="4" t="s">
        <v>8601</v>
      </c>
      <c r="J1167" s="128"/>
    </row>
    <row r="1168" spans="1:12" x14ac:dyDescent="0.25">
      <c r="A1168" s="61" t="s">
        <v>455</v>
      </c>
      <c r="B1168" s="14">
        <v>43641</v>
      </c>
      <c r="C1168" s="13">
        <v>699</v>
      </c>
      <c r="D1168" s="13" t="s">
        <v>340</v>
      </c>
      <c r="E1168" s="13" t="s">
        <v>958</v>
      </c>
      <c r="F1168" s="37">
        <v>11500</v>
      </c>
      <c r="G1168" s="29" t="s">
        <v>3813</v>
      </c>
      <c r="H1168" s="14">
        <v>43598</v>
      </c>
      <c r="I1168" s="4" t="s">
        <v>7727</v>
      </c>
      <c r="J1168" s="128"/>
    </row>
    <row r="1169" spans="1:12" x14ac:dyDescent="0.25">
      <c r="A1169" s="61" t="s">
        <v>310</v>
      </c>
      <c r="B1169" s="14">
        <v>43641</v>
      </c>
      <c r="C1169" s="13">
        <v>700</v>
      </c>
      <c r="D1169" s="13" t="s">
        <v>149</v>
      </c>
      <c r="E1169" s="13" t="s">
        <v>958</v>
      </c>
      <c r="F1169" s="37">
        <v>7000</v>
      </c>
      <c r="G1169" s="29" t="s">
        <v>7053</v>
      </c>
      <c r="H1169" s="14">
        <v>43555</v>
      </c>
      <c r="I1169" s="4" t="s">
        <v>7046</v>
      </c>
    </row>
    <row r="1170" spans="1:12" x14ac:dyDescent="0.25">
      <c r="A1170" s="61" t="s">
        <v>455</v>
      </c>
      <c r="B1170" s="14">
        <v>43641</v>
      </c>
      <c r="C1170" s="13">
        <v>700</v>
      </c>
      <c r="D1170" s="13" t="s">
        <v>149</v>
      </c>
      <c r="E1170" s="13" t="s">
        <v>958</v>
      </c>
      <c r="F1170" s="37">
        <v>7000</v>
      </c>
      <c r="G1170" s="29" t="s">
        <v>7055</v>
      </c>
      <c r="H1170" s="14">
        <v>43555</v>
      </c>
      <c r="I1170" s="4" t="s">
        <v>7046</v>
      </c>
    </row>
    <row r="1171" spans="1:12" s="97" customFormat="1" x14ac:dyDescent="0.25">
      <c r="A1171" s="61" t="s">
        <v>639</v>
      </c>
      <c r="B1171" s="14">
        <v>43641</v>
      </c>
      <c r="C1171" s="13">
        <v>744</v>
      </c>
      <c r="D1171" s="13" t="s">
        <v>3056</v>
      </c>
      <c r="E1171" s="13" t="s">
        <v>547</v>
      </c>
      <c r="F1171" s="4">
        <v>20100</v>
      </c>
      <c r="G1171" s="29" t="s">
        <v>9325</v>
      </c>
      <c r="H1171" s="14">
        <v>43546</v>
      </c>
      <c r="I1171" s="4" t="s">
        <v>3057</v>
      </c>
      <c r="J1171" s="358"/>
      <c r="K1171" s="76"/>
      <c r="L1171" s="134"/>
    </row>
    <row r="1172" spans="1:12" ht="27.6" x14ac:dyDescent="0.25">
      <c r="A1172" s="32" t="s">
        <v>1147</v>
      </c>
      <c r="B1172" s="14">
        <v>43641</v>
      </c>
      <c r="C1172" s="67">
        <v>1183</v>
      </c>
      <c r="D1172" s="32" t="s">
        <v>3551</v>
      </c>
      <c r="E1172" s="13" t="s">
        <v>808</v>
      </c>
      <c r="F1172" s="4">
        <f>4578025</f>
        <v>4578025</v>
      </c>
      <c r="G1172" s="67" t="s">
        <v>9234</v>
      </c>
      <c r="H1172" s="14">
        <v>43633</v>
      </c>
      <c r="I1172" s="4" t="s">
        <v>9235</v>
      </c>
      <c r="J1172" s="21"/>
      <c r="K1172" s="228"/>
    </row>
    <row r="1173" spans="1:12" x14ac:dyDescent="0.25">
      <c r="A1173" s="61" t="s">
        <v>151</v>
      </c>
      <c r="B1173" s="14">
        <v>43641</v>
      </c>
      <c r="C1173" s="13"/>
      <c r="D1173" s="13" t="s">
        <v>3637</v>
      </c>
      <c r="E1173" s="13" t="s">
        <v>4041</v>
      </c>
      <c r="F1173" s="4">
        <v>1715</v>
      </c>
      <c r="G1173" s="28" t="s">
        <v>296</v>
      </c>
      <c r="H1173" s="14"/>
      <c r="I1173" s="4" t="s">
        <v>9204</v>
      </c>
      <c r="J1173" s="128"/>
    </row>
    <row r="1174" spans="1:12" x14ac:dyDescent="0.25">
      <c r="A1174" s="68" t="s">
        <v>151</v>
      </c>
      <c r="B1174" s="14">
        <v>43641</v>
      </c>
      <c r="C1174" s="13">
        <v>2</v>
      </c>
      <c r="D1174" s="32" t="s">
        <v>2899</v>
      </c>
      <c r="E1174" s="32" t="s">
        <v>6714</v>
      </c>
      <c r="F1174" s="209">
        <v>4000</v>
      </c>
      <c r="G1174" s="210" t="s">
        <v>9350</v>
      </c>
      <c r="H1174" s="211">
        <v>43602</v>
      </c>
      <c r="I1174" s="208" t="s">
        <v>4399</v>
      </c>
      <c r="J1174" s="21"/>
      <c r="K1174" s="228"/>
    </row>
    <row r="1175" spans="1:12" x14ac:dyDescent="0.25">
      <c r="A1175" s="13" t="s">
        <v>184</v>
      </c>
      <c r="B1175" s="14">
        <v>43641</v>
      </c>
      <c r="C1175" s="13">
        <v>565</v>
      </c>
      <c r="D1175" s="13" t="s">
        <v>8363</v>
      </c>
      <c r="E1175" s="13" t="s">
        <v>144</v>
      </c>
      <c r="F1175" s="37">
        <v>35235</v>
      </c>
      <c r="G1175" s="29" t="s">
        <v>8365</v>
      </c>
      <c r="H1175" s="14">
        <v>43581</v>
      </c>
      <c r="I1175" s="4" t="s">
        <v>8364</v>
      </c>
      <c r="J1175" s="22" t="s">
        <v>526</v>
      </c>
    </row>
    <row r="1176" spans="1:12" s="50" customFormat="1" ht="27.6" x14ac:dyDescent="0.25">
      <c r="A1176" s="13" t="s">
        <v>92</v>
      </c>
      <c r="B1176" s="14">
        <v>43641</v>
      </c>
      <c r="C1176" s="13">
        <v>1055</v>
      </c>
      <c r="D1176" s="32" t="s">
        <v>373</v>
      </c>
      <c r="E1176" s="218" t="s">
        <v>7168</v>
      </c>
      <c r="F1176" s="224">
        <v>839350</v>
      </c>
      <c r="G1176" s="28" t="s">
        <v>4765</v>
      </c>
      <c r="H1176" s="14">
        <v>42851</v>
      </c>
      <c r="I1176" s="32" t="s">
        <v>4764</v>
      </c>
      <c r="J1176" s="325"/>
    </row>
    <row r="1177" spans="1:12" ht="27.6" x14ac:dyDescent="0.25">
      <c r="A1177" s="68" t="s">
        <v>908</v>
      </c>
      <c r="B1177" s="14">
        <v>43641</v>
      </c>
      <c r="C1177" s="13">
        <v>1270</v>
      </c>
      <c r="D1177" s="32" t="s">
        <v>1077</v>
      </c>
      <c r="E1177" s="32" t="s">
        <v>9351</v>
      </c>
      <c r="F1177" s="4">
        <v>3376205</v>
      </c>
      <c r="G1177" s="86" t="s">
        <v>591</v>
      </c>
      <c r="H1177" s="211"/>
      <c r="I1177" s="208" t="s">
        <v>581</v>
      </c>
      <c r="J1177" s="21" t="s">
        <v>655</v>
      </c>
      <c r="K1177" s="228"/>
    </row>
    <row r="1178" spans="1:12" ht="27.6" x14ac:dyDescent="0.25">
      <c r="A1178" s="68" t="s">
        <v>908</v>
      </c>
      <c r="B1178" s="14">
        <v>43641</v>
      </c>
      <c r="C1178" s="13">
        <v>1278</v>
      </c>
      <c r="D1178" s="32" t="s">
        <v>1077</v>
      </c>
      <c r="E1178" s="32" t="s">
        <v>9351</v>
      </c>
      <c r="F1178" s="4">
        <v>1794170</v>
      </c>
      <c r="G1178" s="86" t="s">
        <v>591</v>
      </c>
      <c r="H1178" s="211"/>
      <c r="I1178" s="208" t="s">
        <v>581</v>
      </c>
      <c r="J1178" s="21" t="s">
        <v>655</v>
      </c>
      <c r="K1178" s="228"/>
    </row>
    <row r="1179" spans="1:12" ht="27.6" x14ac:dyDescent="0.25">
      <c r="A1179" s="68" t="s">
        <v>908</v>
      </c>
      <c r="B1179" s="14">
        <v>43641</v>
      </c>
      <c r="C1179" s="13">
        <v>1271</v>
      </c>
      <c r="D1179" s="32" t="s">
        <v>1077</v>
      </c>
      <c r="E1179" s="32" t="s">
        <v>9351</v>
      </c>
      <c r="F1179" s="4">
        <v>1543465</v>
      </c>
      <c r="G1179" s="86" t="s">
        <v>591</v>
      </c>
      <c r="H1179" s="211"/>
      <c r="I1179" s="208" t="s">
        <v>581</v>
      </c>
      <c r="J1179" s="21" t="s">
        <v>655</v>
      </c>
      <c r="K1179" s="228"/>
    </row>
    <row r="1180" spans="1:12" s="97" customFormat="1" ht="27.6" x14ac:dyDescent="0.25">
      <c r="A1180" s="13" t="s">
        <v>92</v>
      </c>
      <c r="B1180" s="164">
        <v>43642</v>
      </c>
      <c r="C1180" s="13">
        <v>1066</v>
      </c>
      <c r="D1180" s="13" t="s">
        <v>3056</v>
      </c>
      <c r="E1180" s="147" t="s">
        <v>7168</v>
      </c>
      <c r="F1180" s="4">
        <v>13400</v>
      </c>
      <c r="G1180" s="29" t="s">
        <v>9212</v>
      </c>
      <c r="H1180" s="14">
        <v>43616</v>
      </c>
      <c r="I1180" s="4" t="s">
        <v>3057</v>
      </c>
      <c r="J1180" s="358"/>
      <c r="K1180" s="473"/>
      <c r="L1180" s="134"/>
    </row>
    <row r="1181" spans="1:12" ht="27.6" x14ac:dyDescent="0.25">
      <c r="A1181" s="32" t="s">
        <v>129</v>
      </c>
      <c r="B1181" s="14">
        <v>43642</v>
      </c>
      <c r="C1181" s="67">
        <v>1065</v>
      </c>
      <c r="D1181" s="32" t="s">
        <v>373</v>
      </c>
      <c r="E1181" s="32" t="s">
        <v>1427</v>
      </c>
      <c r="F1181" s="4">
        <v>1225789.4399999999</v>
      </c>
      <c r="G1181" s="28" t="s">
        <v>1405</v>
      </c>
      <c r="H1181" s="14">
        <v>43152</v>
      </c>
      <c r="I1181" s="4" t="s">
        <v>362</v>
      </c>
      <c r="J1181" s="166" t="s">
        <v>771</v>
      </c>
      <c r="K1181" s="167"/>
      <c r="L1181" s="35"/>
    </row>
    <row r="1182" spans="1:12" x14ac:dyDescent="0.25">
      <c r="A1182" s="61" t="s">
        <v>460</v>
      </c>
      <c r="B1182" s="14">
        <v>43642</v>
      </c>
      <c r="C1182" s="13">
        <v>158</v>
      </c>
      <c r="D1182" s="14" t="s">
        <v>7183</v>
      </c>
      <c r="E1182" s="32" t="s">
        <v>483</v>
      </c>
      <c r="F1182" s="4">
        <v>114000</v>
      </c>
      <c r="G1182" s="86" t="s">
        <v>7184</v>
      </c>
      <c r="H1182" s="211"/>
      <c r="I1182" s="326"/>
      <c r="K1182" s="62"/>
    </row>
    <row r="1183" spans="1:12" x14ac:dyDescent="0.25">
      <c r="A1183" s="61" t="s">
        <v>460</v>
      </c>
      <c r="B1183" s="14">
        <v>43642</v>
      </c>
      <c r="C1183" s="13">
        <v>159</v>
      </c>
      <c r="D1183" s="14" t="s">
        <v>7185</v>
      </c>
      <c r="E1183" s="32" t="s">
        <v>483</v>
      </c>
      <c r="F1183" s="4">
        <v>49680</v>
      </c>
      <c r="G1183" s="86" t="s">
        <v>7186</v>
      </c>
      <c r="H1183" s="211"/>
      <c r="I1183" s="326"/>
      <c r="K1183" s="62"/>
    </row>
    <row r="1184" spans="1:12" x14ac:dyDescent="0.25">
      <c r="A1184" s="61" t="s">
        <v>460</v>
      </c>
      <c r="B1184" s="14">
        <v>43642</v>
      </c>
      <c r="C1184" s="13">
        <v>160</v>
      </c>
      <c r="D1184" s="14" t="s">
        <v>7187</v>
      </c>
      <c r="E1184" s="32" t="s">
        <v>483</v>
      </c>
      <c r="F1184" s="4">
        <v>43920</v>
      </c>
      <c r="G1184" s="86" t="s">
        <v>7188</v>
      </c>
      <c r="H1184" s="211"/>
      <c r="I1184" s="326"/>
      <c r="K1184" s="62"/>
    </row>
    <row r="1185" spans="1:12" x14ac:dyDescent="0.25">
      <c r="A1185" s="61" t="s">
        <v>460</v>
      </c>
      <c r="B1185" s="14">
        <v>43642</v>
      </c>
      <c r="C1185" s="13">
        <v>161</v>
      </c>
      <c r="D1185" s="14" t="s">
        <v>7189</v>
      </c>
      <c r="E1185" s="32" t="s">
        <v>483</v>
      </c>
      <c r="F1185" s="4">
        <v>48140</v>
      </c>
      <c r="G1185" s="86" t="s">
        <v>7190</v>
      </c>
      <c r="H1185" s="211"/>
      <c r="I1185" s="326"/>
      <c r="K1185" s="62"/>
    </row>
    <row r="1186" spans="1:12" ht="27.6" x14ac:dyDescent="0.25">
      <c r="A1186" s="32" t="s">
        <v>2020</v>
      </c>
      <c r="B1186" s="14">
        <v>43642</v>
      </c>
      <c r="C1186" s="13">
        <v>1061</v>
      </c>
      <c r="D1186" s="32" t="s">
        <v>392</v>
      </c>
      <c r="E1186" s="32" t="s">
        <v>5586</v>
      </c>
      <c r="F1186" s="4">
        <v>745506.23</v>
      </c>
      <c r="G1186" s="28" t="s">
        <v>5601</v>
      </c>
      <c r="H1186" s="14">
        <v>43619</v>
      </c>
      <c r="I1186" s="41" t="s">
        <v>620</v>
      </c>
      <c r="J1186" s="35" t="s">
        <v>1386</v>
      </c>
      <c r="K1186" s="167"/>
      <c r="L1186" s="35"/>
    </row>
    <row r="1187" spans="1:12" x14ac:dyDescent="0.25">
      <c r="A1187" s="61" t="s">
        <v>455</v>
      </c>
      <c r="B1187" s="14">
        <v>43642</v>
      </c>
      <c r="C1187" s="13">
        <v>1070</v>
      </c>
      <c r="D1187" s="13" t="s">
        <v>1430</v>
      </c>
      <c r="E1187" s="13" t="s">
        <v>130</v>
      </c>
      <c r="F1187" s="37">
        <v>253260</v>
      </c>
      <c r="G1187" s="29" t="s">
        <v>8576</v>
      </c>
      <c r="H1187" s="14">
        <v>43616</v>
      </c>
      <c r="I1187" s="4" t="s">
        <v>182</v>
      </c>
    </row>
    <row r="1188" spans="1:12" x14ac:dyDescent="0.25">
      <c r="A1188" s="61" t="s">
        <v>637</v>
      </c>
      <c r="B1188" s="14">
        <v>43642</v>
      </c>
      <c r="C1188" s="13">
        <v>1070</v>
      </c>
      <c r="D1188" s="13" t="s">
        <v>1430</v>
      </c>
      <c r="E1188" s="13" t="s">
        <v>130</v>
      </c>
      <c r="F1188" s="37">
        <v>126630</v>
      </c>
      <c r="G1188" s="29" t="s">
        <v>8578</v>
      </c>
      <c r="H1188" s="14">
        <v>43616</v>
      </c>
      <c r="I1188" s="4" t="s">
        <v>182</v>
      </c>
    </row>
    <row r="1189" spans="1:12" x14ac:dyDescent="0.25">
      <c r="A1189" s="61" t="s">
        <v>91</v>
      </c>
      <c r="B1189" s="14">
        <v>43642</v>
      </c>
      <c r="C1189" s="13">
        <v>1069</v>
      </c>
      <c r="D1189" s="13" t="s">
        <v>971</v>
      </c>
      <c r="E1189" s="13" t="s">
        <v>130</v>
      </c>
      <c r="F1189" s="37">
        <v>400000</v>
      </c>
      <c r="G1189" s="29" t="s">
        <v>3870</v>
      </c>
      <c r="H1189" s="14">
        <v>43585</v>
      </c>
      <c r="I1189" s="4" t="s">
        <v>182</v>
      </c>
    </row>
    <row r="1190" spans="1:12" s="97" customFormat="1" x14ac:dyDescent="0.25">
      <c r="A1190" s="68" t="s">
        <v>1350</v>
      </c>
      <c r="B1190" s="14">
        <v>43642</v>
      </c>
      <c r="C1190" s="13">
        <v>514</v>
      </c>
      <c r="D1190" s="13" t="s">
        <v>740</v>
      </c>
      <c r="E1190" s="218" t="s">
        <v>691</v>
      </c>
      <c r="F1190" s="4">
        <v>823000</v>
      </c>
      <c r="G1190" s="70" t="s">
        <v>7445</v>
      </c>
      <c r="H1190" s="211">
        <v>43563</v>
      </c>
      <c r="I1190" s="32" t="s">
        <v>1876</v>
      </c>
      <c r="J1190" s="133"/>
      <c r="K1190" s="22"/>
      <c r="L1190" s="134"/>
    </row>
    <row r="1191" spans="1:12" s="97" customFormat="1" x14ac:dyDescent="0.25">
      <c r="A1191" s="61" t="s">
        <v>1350</v>
      </c>
      <c r="B1191" s="14">
        <v>43642</v>
      </c>
      <c r="C1191" s="13">
        <v>515</v>
      </c>
      <c r="D1191" s="13" t="s">
        <v>249</v>
      </c>
      <c r="E1191" s="13" t="s">
        <v>691</v>
      </c>
      <c r="F1191" s="4">
        <v>113680</v>
      </c>
      <c r="G1191" s="28" t="s">
        <v>5494</v>
      </c>
      <c r="H1191" s="14">
        <v>43581</v>
      </c>
      <c r="I1191" s="4" t="s">
        <v>3526</v>
      </c>
      <c r="J1191" s="133"/>
      <c r="K1191" s="22"/>
      <c r="L1191" s="134"/>
    </row>
    <row r="1192" spans="1:12" s="97" customFormat="1" x14ac:dyDescent="0.25">
      <c r="A1192" s="61" t="s">
        <v>1350</v>
      </c>
      <c r="B1192" s="14">
        <v>43642</v>
      </c>
      <c r="C1192" s="13">
        <v>516</v>
      </c>
      <c r="D1192" s="13" t="s">
        <v>7839</v>
      </c>
      <c r="E1192" s="13" t="s">
        <v>691</v>
      </c>
      <c r="F1192" s="37">
        <v>43660</v>
      </c>
      <c r="G1192" s="29" t="s">
        <v>2002</v>
      </c>
      <c r="H1192" s="14">
        <v>43598</v>
      </c>
      <c r="I1192" s="4" t="s">
        <v>63</v>
      </c>
      <c r="J1192" s="133"/>
      <c r="K1192" s="22"/>
      <c r="L1192" s="134"/>
    </row>
    <row r="1193" spans="1:12" s="97" customFormat="1" x14ac:dyDescent="0.25">
      <c r="A1193" s="61" t="s">
        <v>1350</v>
      </c>
      <c r="B1193" s="14">
        <v>43642</v>
      </c>
      <c r="C1193" s="13">
        <v>523</v>
      </c>
      <c r="D1193" s="13" t="s">
        <v>5047</v>
      </c>
      <c r="E1193" s="13" t="s">
        <v>691</v>
      </c>
      <c r="F1193" s="4">
        <f>209392-100000</f>
        <v>109392</v>
      </c>
      <c r="G1193" s="28" t="s">
        <v>5640</v>
      </c>
      <c r="H1193" s="14">
        <v>43593</v>
      </c>
      <c r="I1193" s="4" t="s">
        <v>5048</v>
      </c>
      <c r="J1193" s="133"/>
      <c r="K1193" s="22"/>
      <c r="L1193" s="134"/>
    </row>
    <row r="1194" spans="1:12" s="97" customFormat="1" x14ac:dyDescent="0.25">
      <c r="A1194" s="61" t="s">
        <v>637</v>
      </c>
      <c r="B1194" s="14">
        <v>43642</v>
      </c>
      <c r="C1194" s="13">
        <v>517</v>
      </c>
      <c r="D1194" s="13" t="s">
        <v>157</v>
      </c>
      <c r="E1194" s="13" t="s">
        <v>691</v>
      </c>
      <c r="F1194" s="4">
        <v>25998.799999999999</v>
      </c>
      <c r="G1194" s="29" t="s">
        <v>7790</v>
      </c>
      <c r="H1194" s="14">
        <v>43599</v>
      </c>
      <c r="I1194" s="4" t="s">
        <v>6170</v>
      </c>
      <c r="J1194" s="133"/>
      <c r="K1194" s="22"/>
      <c r="L1194" s="134"/>
    </row>
    <row r="1195" spans="1:12" x14ac:dyDescent="0.25">
      <c r="A1195" s="61" t="s">
        <v>1350</v>
      </c>
      <c r="B1195" s="14">
        <v>43642</v>
      </c>
      <c r="C1195" s="13">
        <v>518</v>
      </c>
      <c r="D1195" s="13" t="s">
        <v>944</v>
      </c>
      <c r="E1195" s="13" t="s">
        <v>691</v>
      </c>
      <c r="F1195" s="37">
        <v>164250</v>
      </c>
      <c r="G1195" s="29" t="s">
        <v>3387</v>
      </c>
      <c r="H1195" s="14">
        <v>43578</v>
      </c>
      <c r="I1195" s="4" t="s">
        <v>402</v>
      </c>
    </row>
    <row r="1196" spans="1:12" x14ac:dyDescent="0.25">
      <c r="A1196" s="61" t="s">
        <v>637</v>
      </c>
      <c r="B1196" s="14">
        <v>43642</v>
      </c>
      <c r="C1196" s="13">
        <v>519</v>
      </c>
      <c r="D1196" s="13" t="s">
        <v>1099</v>
      </c>
      <c r="E1196" s="13" t="s">
        <v>691</v>
      </c>
      <c r="F1196" s="37">
        <v>51417</v>
      </c>
      <c r="G1196" s="29" t="s">
        <v>8260</v>
      </c>
      <c r="H1196" s="14">
        <v>43579</v>
      </c>
      <c r="I1196" s="4" t="s">
        <v>461</v>
      </c>
    </row>
    <row r="1197" spans="1:12" x14ac:dyDescent="0.25">
      <c r="A1197" s="61" t="s">
        <v>1350</v>
      </c>
      <c r="B1197" s="14">
        <v>43642</v>
      </c>
      <c r="C1197" s="13">
        <v>524</v>
      </c>
      <c r="D1197" s="13" t="s">
        <v>447</v>
      </c>
      <c r="E1197" s="13" t="s">
        <v>691</v>
      </c>
      <c r="F1197" s="37">
        <v>50000</v>
      </c>
      <c r="G1197" s="29" t="s">
        <v>1529</v>
      </c>
      <c r="H1197" s="14">
        <v>43592</v>
      </c>
      <c r="I1197" s="4" t="s">
        <v>6425</v>
      </c>
    </row>
    <row r="1198" spans="1:12" x14ac:dyDescent="0.25">
      <c r="A1198" s="61" t="s">
        <v>1350</v>
      </c>
      <c r="B1198" s="14">
        <v>43642</v>
      </c>
      <c r="C1198" s="13">
        <v>520</v>
      </c>
      <c r="D1198" s="13" t="s">
        <v>4870</v>
      </c>
      <c r="E1198" s="13" t="s">
        <v>691</v>
      </c>
      <c r="F1198" s="37">
        <v>30000</v>
      </c>
      <c r="G1198" s="29" t="s">
        <v>8269</v>
      </c>
      <c r="H1198" s="14">
        <v>43585</v>
      </c>
      <c r="I1198" s="4" t="s">
        <v>5346</v>
      </c>
    </row>
    <row r="1199" spans="1:12" x14ac:dyDescent="0.25">
      <c r="A1199" s="61" t="s">
        <v>1350</v>
      </c>
      <c r="B1199" s="14">
        <v>43642</v>
      </c>
      <c r="C1199" s="13">
        <v>521</v>
      </c>
      <c r="D1199" s="13" t="s">
        <v>1688</v>
      </c>
      <c r="E1199" s="13" t="s">
        <v>691</v>
      </c>
      <c r="F1199" s="37">
        <v>18240</v>
      </c>
      <c r="G1199" s="29" t="s">
        <v>8586</v>
      </c>
      <c r="H1199" s="14">
        <v>43600</v>
      </c>
      <c r="I1199" s="4" t="s">
        <v>8587</v>
      </c>
    </row>
    <row r="1200" spans="1:12" x14ac:dyDescent="0.25">
      <c r="A1200" s="61" t="s">
        <v>1350</v>
      </c>
      <c r="B1200" s="14">
        <v>43642</v>
      </c>
      <c r="C1200" s="13">
        <v>522</v>
      </c>
      <c r="D1200" s="13" t="s">
        <v>692</v>
      </c>
      <c r="E1200" s="13" t="s">
        <v>691</v>
      </c>
      <c r="F1200" s="37">
        <v>26125</v>
      </c>
      <c r="G1200" s="29" t="s">
        <v>558</v>
      </c>
      <c r="H1200" s="14">
        <v>43605</v>
      </c>
      <c r="I1200" s="4" t="s">
        <v>419</v>
      </c>
    </row>
    <row r="1201" spans="1:19" x14ac:dyDescent="0.25">
      <c r="A1201" s="61" t="s">
        <v>460</v>
      </c>
      <c r="B1201" s="14">
        <v>43642</v>
      </c>
      <c r="C1201" s="13">
        <v>358</v>
      </c>
      <c r="D1201" s="13" t="s">
        <v>8335</v>
      </c>
      <c r="E1201" s="13" t="s">
        <v>408</v>
      </c>
      <c r="F1201" s="256">
        <v>701000</v>
      </c>
      <c r="G1201" s="69" t="s">
        <v>8336</v>
      </c>
      <c r="H1201" s="14">
        <v>43602</v>
      </c>
      <c r="I1201" s="274" t="s">
        <v>8702</v>
      </c>
      <c r="J1201" s="169"/>
    </row>
    <row r="1202" spans="1:19" x14ac:dyDescent="0.25">
      <c r="A1202" s="13" t="s">
        <v>184</v>
      </c>
      <c r="B1202" s="14">
        <v>43642</v>
      </c>
      <c r="C1202" s="67">
        <v>806</v>
      </c>
      <c r="D1202" s="32" t="s">
        <v>1785</v>
      </c>
      <c r="E1202" s="32" t="s">
        <v>1121</v>
      </c>
      <c r="F1202" s="208">
        <f>1654587-500000-439807-357390</f>
        <v>357390</v>
      </c>
      <c r="G1202" s="28" t="s">
        <v>4080</v>
      </c>
      <c r="H1202" s="14">
        <v>43560</v>
      </c>
      <c r="I1202" s="208" t="s">
        <v>6974</v>
      </c>
      <c r="J1202" s="76" t="s">
        <v>6975</v>
      </c>
      <c r="K1202" s="260"/>
      <c r="L1202" s="62"/>
    </row>
    <row r="1203" spans="1:19" ht="16.5" customHeight="1" x14ac:dyDescent="0.25">
      <c r="A1203" s="13" t="s">
        <v>184</v>
      </c>
      <c r="B1203" s="14">
        <v>43642</v>
      </c>
      <c r="C1203" s="67">
        <v>807</v>
      </c>
      <c r="D1203" s="32" t="s">
        <v>1359</v>
      </c>
      <c r="E1203" s="32" t="s">
        <v>1121</v>
      </c>
      <c r="F1203" s="208">
        <v>200000</v>
      </c>
      <c r="G1203" s="25" t="s">
        <v>7317</v>
      </c>
      <c r="H1203" s="14">
        <v>43617</v>
      </c>
      <c r="I1203" s="4" t="s">
        <v>294</v>
      </c>
      <c r="J1203" s="76" t="s">
        <v>526</v>
      </c>
      <c r="K1203" s="260"/>
      <c r="L1203" s="62"/>
    </row>
    <row r="1204" spans="1:19" x14ac:dyDescent="0.25">
      <c r="A1204" s="13" t="s">
        <v>184</v>
      </c>
      <c r="B1204" s="14">
        <v>43642</v>
      </c>
      <c r="C1204" s="13">
        <v>808</v>
      </c>
      <c r="D1204" s="13" t="s">
        <v>491</v>
      </c>
      <c r="E1204" s="32" t="s">
        <v>1121</v>
      </c>
      <c r="F1204" s="4">
        <v>70000</v>
      </c>
      <c r="G1204" s="28" t="s">
        <v>9056</v>
      </c>
      <c r="H1204" s="14">
        <v>43626</v>
      </c>
      <c r="I1204" s="4" t="s">
        <v>571</v>
      </c>
      <c r="J1204" s="125">
        <v>43633</v>
      </c>
    </row>
    <row r="1205" spans="1:19" ht="15" customHeight="1" x14ac:dyDescent="0.25">
      <c r="A1205" s="13" t="s">
        <v>184</v>
      </c>
      <c r="B1205" s="14">
        <v>43642</v>
      </c>
      <c r="C1205" s="13">
        <v>809</v>
      </c>
      <c r="D1205" s="13" t="s">
        <v>897</v>
      </c>
      <c r="E1205" s="32" t="s">
        <v>1121</v>
      </c>
      <c r="F1205" s="4">
        <v>55000</v>
      </c>
      <c r="G1205" s="28" t="s">
        <v>9051</v>
      </c>
      <c r="H1205" s="14">
        <v>43609</v>
      </c>
      <c r="I1205" s="4" t="s">
        <v>9052</v>
      </c>
      <c r="J1205" s="76"/>
    </row>
    <row r="1206" spans="1:19" s="192" customFormat="1" x14ac:dyDescent="0.25">
      <c r="A1206" s="147" t="s">
        <v>242</v>
      </c>
      <c r="B1206" s="14">
        <v>43642</v>
      </c>
      <c r="C1206" s="187">
        <v>810</v>
      </c>
      <c r="D1206" s="149" t="s">
        <v>2426</v>
      </c>
      <c r="E1206" s="147" t="s">
        <v>1121</v>
      </c>
      <c r="F1206" s="158">
        <v>98513.35</v>
      </c>
      <c r="G1206" s="150" t="s">
        <v>5412</v>
      </c>
      <c r="H1206" s="148">
        <v>43615</v>
      </c>
      <c r="I1206" s="149" t="s">
        <v>143</v>
      </c>
      <c r="J1206" s="193"/>
      <c r="K1206" s="194"/>
      <c r="L1206" s="190"/>
    </row>
    <row r="1207" spans="1:19" s="192" customFormat="1" x14ac:dyDescent="0.25">
      <c r="A1207" s="147" t="s">
        <v>242</v>
      </c>
      <c r="B1207" s="14">
        <v>43642</v>
      </c>
      <c r="C1207" s="195">
        <v>811</v>
      </c>
      <c r="D1207" s="149" t="s">
        <v>490</v>
      </c>
      <c r="E1207" s="147" t="s">
        <v>1121</v>
      </c>
      <c r="F1207" s="158">
        <v>563936.84</v>
      </c>
      <c r="G1207" s="150" t="s">
        <v>8990</v>
      </c>
      <c r="H1207" s="148">
        <v>43581</v>
      </c>
      <c r="I1207" s="149" t="s">
        <v>143</v>
      </c>
      <c r="J1207" s="193"/>
      <c r="K1207" s="194"/>
      <c r="L1207" s="190"/>
    </row>
    <row r="1208" spans="1:19" s="192" customFormat="1" x14ac:dyDescent="0.25">
      <c r="A1208" s="147" t="s">
        <v>242</v>
      </c>
      <c r="B1208" s="14">
        <v>43642</v>
      </c>
      <c r="C1208" s="195">
        <v>812</v>
      </c>
      <c r="D1208" s="149" t="s">
        <v>784</v>
      </c>
      <c r="E1208" s="147" t="s">
        <v>1121</v>
      </c>
      <c r="F1208" s="158">
        <v>759146.4</v>
      </c>
      <c r="G1208" s="150" t="s">
        <v>191</v>
      </c>
      <c r="H1208" s="148">
        <v>43630</v>
      </c>
      <c r="I1208" s="149" t="s">
        <v>143</v>
      </c>
      <c r="J1208" s="193"/>
      <c r="K1208" s="194"/>
      <c r="L1208" s="190"/>
    </row>
    <row r="1209" spans="1:19" s="192" customFormat="1" x14ac:dyDescent="0.25">
      <c r="A1209" s="147" t="s">
        <v>242</v>
      </c>
      <c r="B1209" s="14">
        <v>43642</v>
      </c>
      <c r="C1209" s="187">
        <v>813</v>
      </c>
      <c r="D1209" s="149" t="s">
        <v>388</v>
      </c>
      <c r="E1209" s="147" t="s">
        <v>1121</v>
      </c>
      <c r="F1209" s="158">
        <v>302265.59999999998</v>
      </c>
      <c r="G1209" s="150" t="s">
        <v>248</v>
      </c>
      <c r="H1209" s="148">
        <v>43630</v>
      </c>
      <c r="I1209" s="149" t="s">
        <v>143</v>
      </c>
      <c r="J1209" s="193"/>
      <c r="K1209" s="194"/>
      <c r="L1209" s="190"/>
    </row>
    <row r="1210" spans="1:19" s="192" customFormat="1" x14ac:dyDescent="0.25">
      <c r="A1210" s="147" t="s">
        <v>242</v>
      </c>
      <c r="B1210" s="14">
        <v>43642</v>
      </c>
      <c r="C1210" s="187">
        <v>814</v>
      </c>
      <c r="D1210" s="149" t="s">
        <v>388</v>
      </c>
      <c r="E1210" s="147" t="s">
        <v>1121</v>
      </c>
      <c r="F1210" s="158">
        <v>155636</v>
      </c>
      <c r="G1210" s="150" t="s">
        <v>106</v>
      </c>
      <c r="H1210" s="148">
        <v>43630</v>
      </c>
      <c r="I1210" s="149" t="s">
        <v>143</v>
      </c>
      <c r="J1210" s="193"/>
      <c r="K1210" s="194"/>
      <c r="L1210" s="190"/>
    </row>
    <row r="1211" spans="1:19" s="62" customFormat="1" ht="13.95" customHeight="1" x14ac:dyDescent="0.25">
      <c r="A1211" s="61" t="s">
        <v>151</v>
      </c>
      <c r="B1211" s="14">
        <v>43642</v>
      </c>
      <c r="C1211" s="13">
        <v>815</v>
      </c>
      <c r="D1211" s="13" t="s">
        <v>592</v>
      </c>
      <c r="E1211" s="13" t="s">
        <v>1121</v>
      </c>
      <c r="F1211" s="4">
        <v>4366</v>
      </c>
      <c r="G1211" s="29" t="s">
        <v>4249</v>
      </c>
      <c r="H1211" s="14">
        <v>42005</v>
      </c>
      <c r="I1211" s="4" t="s">
        <v>565</v>
      </c>
      <c r="J1211" s="170" t="s">
        <v>400</v>
      </c>
      <c r="O1211" s="35"/>
      <c r="P1211" s="35"/>
      <c r="Q1211" s="35"/>
      <c r="R1211" s="35"/>
      <c r="S1211" s="35"/>
    </row>
    <row r="1212" spans="1:19" s="62" customFormat="1" ht="15" customHeight="1" x14ac:dyDescent="0.25">
      <c r="A1212" s="13" t="s">
        <v>151</v>
      </c>
      <c r="B1212" s="14">
        <v>43642</v>
      </c>
      <c r="C1212" s="13">
        <v>816</v>
      </c>
      <c r="D1212" s="13" t="s">
        <v>1277</v>
      </c>
      <c r="E1212" s="13" t="s">
        <v>1121</v>
      </c>
      <c r="F1212" s="4">
        <v>49200</v>
      </c>
      <c r="G1212" s="29" t="s">
        <v>8914</v>
      </c>
      <c r="H1212" s="14">
        <v>43616</v>
      </c>
      <c r="I1212" s="4" t="s">
        <v>3278</v>
      </c>
      <c r="J1212" s="71" t="s">
        <v>1386</v>
      </c>
      <c r="O1212" s="35"/>
      <c r="P1212" s="35"/>
      <c r="Q1212" s="35"/>
      <c r="R1212" s="35"/>
      <c r="S1212" s="35"/>
    </row>
    <row r="1213" spans="1:19" ht="27.6" x14ac:dyDescent="0.25">
      <c r="A1213" s="32" t="s">
        <v>151</v>
      </c>
      <c r="B1213" s="14">
        <v>43642</v>
      </c>
      <c r="C1213" s="67">
        <v>817</v>
      </c>
      <c r="D1213" s="32" t="s">
        <v>412</v>
      </c>
      <c r="E1213" s="13" t="s">
        <v>1121</v>
      </c>
      <c r="F1213" s="4">
        <v>96000</v>
      </c>
      <c r="G1213" s="13">
        <v>38</v>
      </c>
      <c r="H1213" s="14">
        <v>43619</v>
      </c>
      <c r="I1213" s="4" t="s">
        <v>2078</v>
      </c>
      <c r="J1213" s="22" t="s">
        <v>526</v>
      </c>
      <c r="K1213" s="245"/>
    </row>
    <row r="1214" spans="1:19" ht="13.95" customHeight="1" x14ac:dyDescent="0.25">
      <c r="A1214" s="32" t="s">
        <v>151</v>
      </c>
      <c r="B1214" s="14">
        <v>43642</v>
      </c>
      <c r="C1214" s="67">
        <v>818</v>
      </c>
      <c r="D1214" s="32" t="s">
        <v>412</v>
      </c>
      <c r="E1214" s="13" t="s">
        <v>1121</v>
      </c>
      <c r="F1214" s="4">
        <v>20000</v>
      </c>
      <c r="G1214" s="13">
        <v>37</v>
      </c>
      <c r="H1214" s="14">
        <v>43619</v>
      </c>
      <c r="I1214" s="4" t="s">
        <v>1908</v>
      </c>
      <c r="J1214" s="22" t="s">
        <v>526</v>
      </c>
      <c r="K1214" s="245"/>
    </row>
    <row r="1215" spans="1:19" ht="27.6" x14ac:dyDescent="0.25">
      <c r="A1215" s="32" t="s">
        <v>215</v>
      </c>
      <c r="B1215" s="14">
        <v>43642</v>
      </c>
      <c r="C1215" s="67">
        <v>1062</v>
      </c>
      <c r="D1215" s="32" t="s">
        <v>373</v>
      </c>
      <c r="E1215" s="32" t="s">
        <v>1427</v>
      </c>
      <c r="F1215" s="4">
        <v>359976.69</v>
      </c>
      <c r="G1215" s="28" t="s">
        <v>1406</v>
      </c>
      <c r="H1215" s="14">
        <v>43152</v>
      </c>
      <c r="I1215" s="4" t="s">
        <v>362</v>
      </c>
      <c r="J1215" s="166" t="s">
        <v>771</v>
      </c>
      <c r="K1215" s="167"/>
      <c r="L1215" s="35"/>
    </row>
    <row r="1216" spans="1:19" ht="27.6" x14ac:dyDescent="0.25">
      <c r="A1216" s="32" t="s">
        <v>214</v>
      </c>
      <c r="B1216" s="14">
        <v>43642</v>
      </c>
      <c r="C1216" s="67">
        <v>1063</v>
      </c>
      <c r="D1216" s="32" t="s">
        <v>373</v>
      </c>
      <c r="E1216" s="32" t="s">
        <v>1427</v>
      </c>
      <c r="F1216" s="4">
        <v>533552.51</v>
      </c>
      <c r="G1216" s="28" t="s">
        <v>1407</v>
      </c>
      <c r="H1216" s="14">
        <v>43152</v>
      </c>
      <c r="I1216" s="4" t="s">
        <v>362</v>
      </c>
      <c r="J1216" s="166" t="s">
        <v>771</v>
      </c>
      <c r="K1216" s="167"/>
      <c r="L1216" s="35"/>
    </row>
    <row r="1217" spans="1:12" ht="27.6" x14ac:dyDescent="0.25">
      <c r="A1217" s="32" t="s">
        <v>55</v>
      </c>
      <c r="B1217" s="14">
        <v>43642</v>
      </c>
      <c r="C1217" s="67">
        <v>1064</v>
      </c>
      <c r="D1217" s="32" t="s">
        <v>373</v>
      </c>
      <c r="E1217" s="32" t="s">
        <v>1427</v>
      </c>
      <c r="F1217" s="4">
        <v>105048.4</v>
      </c>
      <c r="G1217" s="28" t="s">
        <v>7241</v>
      </c>
      <c r="H1217" s="14">
        <v>43546</v>
      </c>
      <c r="I1217" s="4" t="s">
        <v>7239</v>
      </c>
      <c r="J1217" s="166" t="s">
        <v>771</v>
      </c>
      <c r="K1217" s="167"/>
      <c r="L1217" s="35"/>
    </row>
    <row r="1218" spans="1:12" x14ac:dyDescent="0.25">
      <c r="A1218" s="32" t="s">
        <v>1147</v>
      </c>
      <c r="B1218" s="14">
        <v>43642</v>
      </c>
      <c r="C1218" s="13">
        <v>552</v>
      </c>
      <c r="D1218" s="32" t="s">
        <v>4006</v>
      </c>
      <c r="E1218" s="32" t="s">
        <v>136</v>
      </c>
      <c r="F1218" s="4">
        <v>2000000</v>
      </c>
      <c r="G1218" s="174" t="s">
        <v>9308</v>
      </c>
      <c r="H1218" s="14">
        <v>43486</v>
      </c>
      <c r="I1218" s="41" t="s">
        <v>490</v>
      </c>
      <c r="K1218" s="63"/>
      <c r="L1218" s="62"/>
    </row>
    <row r="1219" spans="1:12" ht="13.95" customHeight="1" x14ac:dyDescent="0.25">
      <c r="A1219" s="32" t="s">
        <v>91</v>
      </c>
      <c r="B1219" s="14">
        <v>43642</v>
      </c>
      <c r="C1219" s="13">
        <v>1067</v>
      </c>
      <c r="D1219" s="32" t="s">
        <v>470</v>
      </c>
      <c r="E1219" s="32" t="s">
        <v>130</v>
      </c>
      <c r="F1219" s="4">
        <v>2000000</v>
      </c>
      <c r="G1219" s="86" t="s">
        <v>9309</v>
      </c>
      <c r="H1219" s="211">
        <v>43636</v>
      </c>
      <c r="I1219" s="208" t="s">
        <v>9310</v>
      </c>
      <c r="J1219" s="21"/>
      <c r="K1219" s="228"/>
    </row>
    <row r="1220" spans="1:12" x14ac:dyDescent="0.25">
      <c r="A1220" s="13" t="s">
        <v>550</v>
      </c>
      <c r="B1220" s="14">
        <v>43642</v>
      </c>
      <c r="C1220" s="13">
        <v>1068</v>
      </c>
      <c r="D1220" s="32" t="s">
        <v>1980</v>
      </c>
      <c r="E1220" s="32" t="s">
        <v>130</v>
      </c>
      <c r="F1220" s="4">
        <v>1000000</v>
      </c>
      <c r="G1220" s="69" t="s">
        <v>5423</v>
      </c>
      <c r="H1220" s="14"/>
      <c r="I1220" s="41" t="s">
        <v>5424</v>
      </c>
      <c r="K1220" s="62"/>
    </row>
    <row r="1221" spans="1:12" ht="13.95" customHeight="1" x14ac:dyDescent="0.25">
      <c r="A1221" s="61" t="s">
        <v>188</v>
      </c>
      <c r="B1221" s="14">
        <v>43642</v>
      </c>
      <c r="C1221" s="13">
        <v>1203</v>
      </c>
      <c r="D1221" s="13" t="s">
        <v>881</v>
      </c>
      <c r="E1221" s="32" t="s">
        <v>808</v>
      </c>
      <c r="F1221" s="4">
        <v>86012.5</v>
      </c>
      <c r="G1221" s="86" t="s">
        <v>967</v>
      </c>
      <c r="H1221" s="211"/>
      <c r="I1221" s="4" t="s">
        <v>968</v>
      </c>
      <c r="J1221" s="21"/>
      <c r="K1221" s="228"/>
    </row>
    <row r="1222" spans="1:12" ht="13.95" customHeight="1" x14ac:dyDescent="0.25">
      <c r="A1222" s="61" t="s">
        <v>261</v>
      </c>
      <c r="B1222" s="14">
        <v>43642</v>
      </c>
      <c r="C1222" s="13">
        <v>1204</v>
      </c>
      <c r="D1222" s="13" t="s">
        <v>881</v>
      </c>
      <c r="E1222" s="32" t="s">
        <v>808</v>
      </c>
      <c r="F1222" s="4">
        <v>125819.97</v>
      </c>
      <c r="G1222" s="86" t="s">
        <v>1414</v>
      </c>
      <c r="H1222" s="211"/>
      <c r="I1222" s="4" t="s">
        <v>968</v>
      </c>
      <c r="J1222" s="21"/>
      <c r="K1222" s="228"/>
    </row>
    <row r="1223" spans="1:12" x14ac:dyDescent="0.25">
      <c r="A1223" s="68" t="s">
        <v>1148</v>
      </c>
      <c r="B1223" s="14">
        <v>43642</v>
      </c>
      <c r="C1223" s="13">
        <v>1205</v>
      </c>
      <c r="D1223" s="13" t="s">
        <v>447</v>
      </c>
      <c r="E1223" s="218" t="s">
        <v>808</v>
      </c>
      <c r="F1223" s="4">
        <v>240000</v>
      </c>
      <c r="G1223" s="29" t="s">
        <v>1493</v>
      </c>
      <c r="H1223" s="14">
        <v>43598</v>
      </c>
      <c r="I1223" s="4" t="s">
        <v>1315</v>
      </c>
      <c r="J1223" s="128"/>
    </row>
    <row r="1224" spans="1:12" x14ac:dyDescent="0.25">
      <c r="A1224" s="61" t="s">
        <v>1148</v>
      </c>
      <c r="B1224" s="14">
        <v>43642</v>
      </c>
      <c r="C1224" s="13">
        <v>1206</v>
      </c>
      <c r="D1224" s="13" t="s">
        <v>447</v>
      </c>
      <c r="E1224" s="13" t="s">
        <v>808</v>
      </c>
      <c r="F1224" s="37">
        <v>325500</v>
      </c>
      <c r="G1224" s="29" t="s">
        <v>339</v>
      </c>
      <c r="H1224" s="14">
        <v>43616</v>
      </c>
      <c r="I1224" s="4" t="s">
        <v>1328</v>
      </c>
      <c r="J1224" s="128"/>
    </row>
    <row r="1225" spans="1:12" x14ac:dyDescent="0.25">
      <c r="A1225" s="13" t="s">
        <v>659</v>
      </c>
      <c r="B1225" s="14">
        <v>43642</v>
      </c>
      <c r="C1225" s="13">
        <v>1207</v>
      </c>
      <c r="D1225" s="13" t="s">
        <v>381</v>
      </c>
      <c r="E1225" s="13" t="s">
        <v>808</v>
      </c>
      <c r="F1225" s="4">
        <v>8000</v>
      </c>
      <c r="G1225" s="28" t="s">
        <v>3184</v>
      </c>
      <c r="H1225" s="14">
        <v>43577</v>
      </c>
      <c r="I1225" s="4" t="s">
        <v>7442</v>
      </c>
      <c r="J1225" s="128"/>
    </row>
    <row r="1226" spans="1:12" x14ac:dyDescent="0.25">
      <c r="A1226" s="61" t="s">
        <v>1316</v>
      </c>
      <c r="B1226" s="14">
        <v>43642</v>
      </c>
      <c r="C1226" s="13">
        <v>1208</v>
      </c>
      <c r="D1226" s="13" t="s">
        <v>1130</v>
      </c>
      <c r="E1226" s="13" t="s">
        <v>808</v>
      </c>
      <c r="F1226" s="37">
        <v>16080</v>
      </c>
      <c r="G1226" s="29" t="s">
        <v>3432</v>
      </c>
      <c r="H1226" s="14">
        <v>43599</v>
      </c>
      <c r="I1226" s="4" t="s">
        <v>1131</v>
      </c>
      <c r="J1226" s="128"/>
    </row>
    <row r="1227" spans="1:12" x14ac:dyDescent="0.25">
      <c r="A1227" s="61" t="s">
        <v>1316</v>
      </c>
      <c r="B1227" s="14">
        <v>43642</v>
      </c>
      <c r="C1227" s="13">
        <v>1209</v>
      </c>
      <c r="D1227" s="13" t="s">
        <v>340</v>
      </c>
      <c r="E1227" s="13" t="s">
        <v>808</v>
      </c>
      <c r="F1227" s="37">
        <v>15300</v>
      </c>
      <c r="G1227" s="29" t="s">
        <v>3601</v>
      </c>
      <c r="H1227" s="14">
        <v>43573</v>
      </c>
      <c r="I1227" s="4" t="s">
        <v>1345</v>
      </c>
      <c r="J1227" s="128"/>
    </row>
    <row r="1228" spans="1:12" x14ac:dyDescent="0.25">
      <c r="A1228" s="61" t="s">
        <v>1316</v>
      </c>
      <c r="B1228" s="14">
        <v>43642</v>
      </c>
      <c r="C1228" s="13">
        <v>1210</v>
      </c>
      <c r="D1228" s="13" t="s">
        <v>340</v>
      </c>
      <c r="E1228" s="13" t="s">
        <v>808</v>
      </c>
      <c r="F1228" s="37">
        <v>6400</v>
      </c>
      <c r="G1228" s="29" t="s">
        <v>9081</v>
      </c>
      <c r="H1228" s="14">
        <v>43573</v>
      </c>
      <c r="I1228" s="4" t="s">
        <v>1345</v>
      </c>
      <c r="J1228" s="128"/>
    </row>
    <row r="1229" spans="1:12" x14ac:dyDescent="0.25">
      <c r="A1229" s="13" t="s">
        <v>1316</v>
      </c>
      <c r="B1229" s="14">
        <v>43642</v>
      </c>
      <c r="C1229" s="13">
        <v>1211</v>
      </c>
      <c r="D1229" s="13" t="s">
        <v>340</v>
      </c>
      <c r="E1229" s="13" t="s">
        <v>808</v>
      </c>
      <c r="F1229" s="4">
        <v>9100</v>
      </c>
      <c r="G1229" s="28" t="s">
        <v>462</v>
      </c>
      <c r="H1229" s="14">
        <v>43573</v>
      </c>
      <c r="I1229" s="4" t="s">
        <v>1345</v>
      </c>
      <c r="J1229" s="128"/>
    </row>
    <row r="1230" spans="1:12" x14ac:dyDescent="0.25">
      <c r="A1230" s="61" t="s">
        <v>659</v>
      </c>
      <c r="B1230" s="14">
        <v>43642</v>
      </c>
      <c r="C1230" s="13">
        <v>1212</v>
      </c>
      <c r="D1230" s="13" t="s">
        <v>340</v>
      </c>
      <c r="E1230" s="13" t="s">
        <v>808</v>
      </c>
      <c r="F1230" s="37">
        <v>3100</v>
      </c>
      <c r="G1230" s="29" t="s">
        <v>1428</v>
      </c>
      <c r="H1230" s="14">
        <v>43600</v>
      </c>
      <c r="I1230" s="4" t="s">
        <v>1346</v>
      </c>
      <c r="J1230" s="128"/>
    </row>
    <row r="1231" spans="1:12" ht="13.95" customHeight="1" x14ac:dyDescent="0.25">
      <c r="A1231" s="13" t="s">
        <v>358</v>
      </c>
      <c r="B1231" s="14">
        <v>43642</v>
      </c>
      <c r="C1231" s="13">
        <v>1123</v>
      </c>
      <c r="D1231" s="32" t="s">
        <v>667</v>
      </c>
      <c r="E1231" s="32" t="s">
        <v>62</v>
      </c>
      <c r="F1231" s="4">
        <v>1070000</v>
      </c>
      <c r="G1231" s="69" t="s">
        <v>8703</v>
      </c>
      <c r="H1231" s="14"/>
      <c r="I1231" s="41" t="s">
        <v>978</v>
      </c>
      <c r="K1231" s="62"/>
    </row>
    <row r="1232" spans="1:12" ht="13.95" customHeight="1" x14ac:dyDescent="0.25">
      <c r="A1232" s="61" t="s">
        <v>92</v>
      </c>
      <c r="B1232" s="14">
        <v>43642</v>
      </c>
      <c r="C1232" s="13">
        <v>1124</v>
      </c>
      <c r="D1232" s="32" t="s">
        <v>667</v>
      </c>
      <c r="E1232" s="32" t="s">
        <v>62</v>
      </c>
      <c r="F1232" s="4">
        <v>248084.5</v>
      </c>
      <c r="G1232" s="86" t="s">
        <v>8253</v>
      </c>
      <c r="H1232" s="211"/>
      <c r="I1232" s="208" t="s">
        <v>8254</v>
      </c>
      <c r="J1232" s="21"/>
      <c r="K1232" s="228"/>
    </row>
    <row r="1233" spans="1:19" ht="13.95" customHeight="1" x14ac:dyDescent="0.25">
      <c r="A1233" s="61" t="s">
        <v>92</v>
      </c>
      <c r="B1233" s="14">
        <v>43642</v>
      </c>
      <c r="C1233" s="13">
        <v>1125</v>
      </c>
      <c r="D1233" s="32" t="s">
        <v>667</v>
      </c>
      <c r="E1233" s="32" t="s">
        <v>62</v>
      </c>
      <c r="F1233" s="4">
        <v>681915.5</v>
      </c>
      <c r="G1233" s="86" t="s">
        <v>2202</v>
      </c>
      <c r="H1233" s="211"/>
      <c r="I1233" s="208" t="s">
        <v>3650</v>
      </c>
      <c r="J1233" s="21"/>
      <c r="K1233" s="228"/>
    </row>
    <row r="1234" spans="1:19" ht="13.95" customHeight="1" x14ac:dyDescent="0.25">
      <c r="A1234" s="68" t="s">
        <v>91</v>
      </c>
      <c r="B1234" s="14">
        <v>43642</v>
      </c>
      <c r="C1234" s="13">
        <v>1126</v>
      </c>
      <c r="D1234" s="32" t="s">
        <v>1767</v>
      </c>
      <c r="E1234" s="32" t="s">
        <v>62</v>
      </c>
      <c r="F1234" s="4">
        <v>677007.38999999966</v>
      </c>
      <c r="G1234" s="86" t="s">
        <v>1768</v>
      </c>
      <c r="H1234" s="14"/>
      <c r="I1234" s="41" t="s">
        <v>1676</v>
      </c>
      <c r="K1234" s="62"/>
    </row>
    <row r="1235" spans="1:19" ht="13.95" customHeight="1" x14ac:dyDescent="0.25">
      <c r="A1235" s="32" t="s">
        <v>442</v>
      </c>
      <c r="B1235" s="14">
        <v>43642</v>
      </c>
      <c r="C1235" s="13">
        <v>1127</v>
      </c>
      <c r="D1235" s="32" t="s">
        <v>844</v>
      </c>
      <c r="E1235" s="32" t="s">
        <v>62</v>
      </c>
      <c r="F1235" s="4">
        <v>1668608.3</v>
      </c>
      <c r="G1235" s="174" t="s">
        <v>845</v>
      </c>
      <c r="H1235" s="14"/>
      <c r="I1235" s="41" t="s">
        <v>503</v>
      </c>
      <c r="K1235" s="62"/>
    </row>
    <row r="1236" spans="1:19" ht="13.95" customHeight="1" x14ac:dyDescent="0.25">
      <c r="A1236" s="61" t="s">
        <v>442</v>
      </c>
      <c r="B1236" s="14">
        <v>43642</v>
      </c>
      <c r="C1236" s="13">
        <v>1128</v>
      </c>
      <c r="D1236" s="13" t="s">
        <v>432</v>
      </c>
      <c r="E1236" s="32" t="s">
        <v>62</v>
      </c>
      <c r="F1236" s="4">
        <v>2000000</v>
      </c>
      <c r="G1236" s="86" t="s">
        <v>1939</v>
      </c>
      <c r="H1236" s="211"/>
      <c r="I1236" s="4" t="s">
        <v>788</v>
      </c>
      <c r="J1236" s="21"/>
      <c r="K1236" s="228"/>
    </row>
    <row r="1237" spans="1:19" x14ac:dyDescent="0.25">
      <c r="A1237" s="61" t="s">
        <v>442</v>
      </c>
      <c r="B1237" s="14">
        <v>43642</v>
      </c>
      <c r="C1237" s="13">
        <v>1129</v>
      </c>
      <c r="D1237" s="13" t="s">
        <v>447</v>
      </c>
      <c r="E1237" s="13" t="s">
        <v>62</v>
      </c>
      <c r="F1237" s="4">
        <v>125000</v>
      </c>
      <c r="G1237" s="28" t="s">
        <v>13</v>
      </c>
      <c r="H1237" s="14">
        <v>43585</v>
      </c>
      <c r="I1237" s="4" t="s">
        <v>1328</v>
      </c>
      <c r="J1237" s="128"/>
    </row>
    <row r="1238" spans="1:19" x14ac:dyDescent="0.25">
      <c r="A1238" s="61" t="s">
        <v>442</v>
      </c>
      <c r="B1238" s="14">
        <v>43642</v>
      </c>
      <c r="C1238" s="13">
        <v>1130</v>
      </c>
      <c r="D1238" s="13" t="s">
        <v>340</v>
      </c>
      <c r="E1238" s="13" t="s">
        <v>62</v>
      </c>
      <c r="F1238" s="37">
        <v>12100</v>
      </c>
      <c r="G1238" s="29" t="s">
        <v>67</v>
      </c>
      <c r="H1238" s="14">
        <v>43573</v>
      </c>
      <c r="I1238" s="4" t="s">
        <v>1345</v>
      </c>
      <c r="J1238" s="128"/>
    </row>
    <row r="1239" spans="1:19" x14ac:dyDescent="0.25">
      <c r="A1239" s="61" t="s">
        <v>358</v>
      </c>
      <c r="B1239" s="14">
        <v>43642</v>
      </c>
      <c r="C1239" s="13">
        <v>1131</v>
      </c>
      <c r="D1239" s="13" t="s">
        <v>8834</v>
      </c>
      <c r="E1239" s="13" t="s">
        <v>62</v>
      </c>
      <c r="F1239" s="4">
        <v>107740</v>
      </c>
      <c r="G1239" s="28" t="s">
        <v>308</v>
      </c>
      <c r="H1239" s="14">
        <v>43622</v>
      </c>
      <c r="I1239" s="4" t="s">
        <v>8835</v>
      </c>
      <c r="J1239" s="128"/>
    </row>
    <row r="1240" spans="1:19" x14ac:dyDescent="0.25">
      <c r="A1240" s="13" t="s">
        <v>637</v>
      </c>
      <c r="B1240" s="14">
        <v>43642</v>
      </c>
      <c r="C1240" s="13">
        <v>512</v>
      </c>
      <c r="D1240" s="13" t="s">
        <v>1739</v>
      </c>
      <c r="E1240" s="13" t="s">
        <v>691</v>
      </c>
      <c r="F1240" s="4">
        <v>41400</v>
      </c>
      <c r="G1240" s="28" t="s">
        <v>5533</v>
      </c>
      <c r="H1240" s="14">
        <v>43605</v>
      </c>
      <c r="I1240" s="4" t="s">
        <v>8602</v>
      </c>
      <c r="J1240" s="128"/>
    </row>
    <row r="1241" spans="1:19" x14ac:dyDescent="0.25">
      <c r="A1241" s="61" t="s">
        <v>637</v>
      </c>
      <c r="B1241" s="14">
        <v>43642</v>
      </c>
      <c r="C1241" s="13">
        <v>512</v>
      </c>
      <c r="D1241" s="13" t="s">
        <v>1739</v>
      </c>
      <c r="E1241" s="13" t="s">
        <v>691</v>
      </c>
      <c r="F1241" s="37">
        <v>48000</v>
      </c>
      <c r="G1241" s="29" t="s">
        <v>1403</v>
      </c>
      <c r="H1241" s="14">
        <v>43605</v>
      </c>
      <c r="I1241" s="4" t="s">
        <v>319</v>
      </c>
      <c r="J1241" s="128"/>
    </row>
    <row r="1242" spans="1:19" x14ac:dyDescent="0.25">
      <c r="A1242" s="61" t="s">
        <v>637</v>
      </c>
      <c r="B1242" s="14">
        <v>43642</v>
      </c>
      <c r="C1242" s="13">
        <v>513</v>
      </c>
      <c r="D1242" s="13" t="s">
        <v>340</v>
      </c>
      <c r="E1242" s="13" t="s">
        <v>691</v>
      </c>
      <c r="F1242" s="37">
        <v>2200</v>
      </c>
      <c r="G1242" s="29" t="s">
        <v>65</v>
      </c>
      <c r="H1242" s="14">
        <v>43600</v>
      </c>
      <c r="I1242" s="4" t="s">
        <v>767</v>
      </c>
      <c r="J1242" s="128"/>
    </row>
    <row r="1243" spans="1:19" x14ac:dyDescent="0.25">
      <c r="A1243" s="61" t="s">
        <v>637</v>
      </c>
      <c r="B1243" s="14">
        <v>43642</v>
      </c>
      <c r="C1243" s="13">
        <v>513</v>
      </c>
      <c r="D1243" s="13" t="s">
        <v>340</v>
      </c>
      <c r="E1243" s="13" t="s">
        <v>691</v>
      </c>
      <c r="F1243" s="37">
        <v>16200</v>
      </c>
      <c r="G1243" s="29" t="s">
        <v>1129</v>
      </c>
      <c r="H1243" s="14">
        <v>43615</v>
      </c>
      <c r="I1243" s="4" t="s">
        <v>1345</v>
      </c>
      <c r="J1243" s="128"/>
    </row>
    <row r="1244" spans="1:19" s="2" customFormat="1" x14ac:dyDescent="0.25">
      <c r="A1244" s="13" t="s">
        <v>6</v>
      </c>
      <c r="B1244" s="14">
        <v>43642</v>
      </c>
      <c r="C1244" s="13">
        <v>306</v>
      </c>
      <c r="D1244" s="13" t="s">
        <v>9340</v>
      </c>
      <c r="E1244" s="13" t="s">
        <v>183</v>
      </c>
      <c r="F1244" s="4">
        <v>10000</v>
      </c>
      <c r="G1244" s="28" t="s">
        <v>9341</v>
      </c>
      <c r="H1244" s="14">
        <v>43635</v>
      </c>
      <c r="I1244" s="4" t="s">
        <v>9342</v>
      </c>
      <c r="J1244" s="341"/>
      <c r="K1244" s="31"/>
      <c r="L1244" s="31"/>
      <c r="M1244" s="31"/>
      <c r="N1244" s="31"/>
      <c r="O1244" s="34"/>
      <c r="P1244" s="34"/>
      <c r="Q1244" s="34"/>
      <c r="R1244" s="34"/>
      <c r="S1244" s="34"/>
    </row>
    <row r="1245" spans="1:19" s="97" customFormat="1" x14ac:dyDescent="0.25">
      <c r="A1245" s="13" t="s">
        <v>6</v>
      </c>
      <c r="B1245" s="14">
        <v>43642</v>
      </c>
      <c r="C1245" s="67">
        <v>307</v>
      </c>
      <c r="D1245" s="13" t="s">
        <v>1572</v>
      </c>
      <c r="E1245" s="13" t="s">
        <v>183</v>
      </c>
      <c r="F1245" s="4">
        <v>9012</v>
      </c>
      <c r="G1245" s="29" t="s">
        <v>9338</v>
      </c>
      <c r="H1245" s="14">
        <v>43634</v>
      </c>
      <c r="I1245" s="4" t="s">
        <v>1573</v>
      </c>
      <c r="J1245" s="22"/>
      <c r="K1245" s="22"/>
      <c r="L1245" s="134"/>
    </row>
    <row r="1246" spans="1:19" s="2" customFormat="1" x14ac:dyDescent="0.25">
      <c r="A1246" s="61" t="s">
        <v>6</v>
      </c>
      <c r="B1246" s="14">
        <v>43642</v>
      </c>
      <c r="C1246" s="13">
        <v>308</v>
      </c>
      <c r="D1246" s="32" t="s">
        <v>902</v>
      </c>
      <c r="E1246" s="13" t="s">
        <v>183</v>
      </c>
      <c r="F1246" s="4">
        <v>2558.19</v>
      </c>
      <c r="G1246" s="29" t="s">
        <v>9337</v>
      </c>
      <c r="H1246" s="14">
        <v>43634</v>
      </c>
      <c r="I1246" s="4" t="s">
        <v>1067</v>
      </c>
      <c r="J1246" s="341"/>
      <c r="K1246" s="31"/>
      <c r="L1246" s="31"/>
      <c r="M1246" s="31"/>
      <c r="N1246" s="31"/>
      <c r="O1246" s="34"/>
      <c r="P1246" s="34"/>
      <c r="Q1246" s="34"/>
      <c r="R1246" s="34"/>
      <c r="S1246" s="34"/>
    </row>
    <row r="1247" spans="1:19" s="2" customFormat="1" ht="15" customHeight="1" x14ac:dyDescent="0.25">
      <c r="A1247" s="13" t="s">
        <v>6</v>
      </c>
      <c r="B1247" s="14">
        <v>43642</v>
      </c>
      <c r="C1247" s="13">
        <v>309</v>
      </c>
      <c r="D1247" s="13" t="s">
        <v>1394</v>
      </c>
      <c r="E1247" s="13" t="s">
        <v>183</v>
      </c>
      <c r="F1247" s="4">
        <v>128160</v>
      </c>
      <c r="G1247" s="29" t="s">
        <v>5527</v>
      </c>
      <c r="H1247" s="14">
        <v>43637</v>
      </c>
      <c r="I1247" s="4" t="s">
        <v>9339</v>
      </c>
      <c r="J1247" s="341"/>
      <c r="K1247" s="31"/>
      <c r="L1247" s="31"/>
      <c r="M1247" s="31"/>
      <c r="N1247" s="31"/>
      <c r="O1247" s="34"/>
      <c r="P1247" s="34"/>
      <c r="Q1247" s="34"/>
      <c r="R1247" s="34"/>
      <c r="S1247" s="34"/>
    </row>
    <row r="1248" spans="1:19" s="2" customFormat="1" x14ac:dyDescent="0.25">
      <c r="A1248" s="13" t="s">
        <v>6</v>
      </c>
      <c r="B1248" s="14">
        <v>43642</v>
      </c>
      <c r="C1248" s="13">
        <v>310</v>
      </c>
      <c r="D1248" s="32" t="s">
        <v>530</v>
      </c>
      <c r="E1248" s="13" t="s">
        <v>183</v>
      </c>
      <c r="F1248" s="4">
        <v>13500</v>
      </c>
      <c r="G1248" s="29" t="s">
        <v>2835</v>
      </c>
      <c r="H1248" s="14">
        <v>43629</v>
      </c>
      <c r="I1248" s="4" t="s">
        <v>165</v>
      </c>
      <c r="J1248" s="341"/>
      <c r="K1248" s="31"/>
      <c r="L1248" s="31"/>
      <c r="M1248" s="31"/>
      <c r="N1248" s="31"/>
      <c r="O1248" s="34"/>
      <c r="P1248" s="34"/>
      <c r="Q1248" s="34"/>
      <c r="R1248" s="34"/>
      <c r="S1248" s="34"/>
    </row>
    <row r="1249" spans="1:256" ht="16.5" customHeight="1" x14ac:dyDescent="0.25">
      <c r="A1249" s="68" t="s">
        <v>442</v>
      </c>
      <c r="B1249" s="14">
        <v>43642</v>
      </c>
      <c r="C1249" s="13">
        <v>1133</v>
      </c>
      <c r="D1249" s="32" t="s">
        <v>34</v>
      </c>
      <c r="E1249" s="32" t="s">
        <v>62</v>
      </c>
      <c r="F1249" s="4">
        <v>574000</v>
      </c>
      <c r="G1249" s="69" t="s">
        <v>1778</v>
      </c>
      <c r="H1249" s="14"/>
      <c r="I1249" s="41" t="s">
        <v>1777</v>
      </c>
      <c r="K1249" s="62"/>
    </row>
    <row r="1250" spans="1:256" ht="13.95" customHeight="1" x14ac:dyDescent="0.25">
      <c r="A1250" s="32" t="s">
        <v>358</v>
      </c>
      <c r="B1250" s="14">
        <v>43642</v>
      </c>
      <c r="C1250" s="13">
        <v>1132</v>
      </c>
      <c r="D1250" s="13" t="s">
        <v>632</v>
      </c>
      <c r="E1250" s="32" t="s">
        <v>62</v>
      </c>
      <c r="F1250" s="4">
        <v>1771200</v>
      </c>
      <c r="G1250" s="86" t="s">
        <v>6605</v>
      </c>
      <c r="H1250" s="211"/>
      <c r="I1250" s="4" t="s">
        <v>1918</v>
      </c>
      <c r="J1250" s="21"/>
      <c r="K1250" s="228"/>
    </row>
    <row r="1251" spans="1:256" ht="13.95" customHeight="1" x14ac:dyDescent="0.25">
      <c r="A1251" s="61" t="s">
        <v>455</v>
      </c>
      <c r="B1251" s="14">
        <v>43642</v>
      </c>
      <c r="C1251" s="13">
        <v>709</v>
      </c>
      <c r="D1251" s="32" t="s">
        <v>4461</v>
      </c>
      <c r="E1251" s="32" t="s">
        <v>958</v>
      </c>
      <c r="F1251" s="4">
        <v>2000000</v>
      </c>
      <c r="G1251" s="86" t="s">
        <v>4460</v>
      </c>
      <c r="H1251" s="211"/>
      <c r="I1251" s="4" t="s">
        <v>82</v>
      </c>
      <c r="J1251" s="21"/>
      <c r="K1251" s="228"/>
    </row>
    <row r="1252" spans="1:256" ht="13.95" customHeight="1" x14ac:dyDescent="0.25">
      <c r="A1252" s="13" t="s">
        <v>455</v>
      </c>
      <c r="B1252" s="14">
        <v>43642</v>
      </c>
      <c r="C1252" s="13">
        <v>712</v>
      </c>
      <c r="D1252" s="13" t="s">
        <v>4438</v>
      </c>
      <c r="E1252" s="32" t="s">
        <v>958</v>
      </c>
      <c r="F1252" s="4">
        <v>2484600</v>
      </c>
      <c r="G1252" s="69" t="s">
        <v>4437</v>
      </c>
      <c r="H1252" s="14"/>
      <c r="I1252" s="4" t="s">
        <v>24</v>
      </c>
      <c r="J1252" s="71"/>
      <c r="K1252" s="62"/>
      <c r="L1252" s="62"/>
      <c r="M1252" s="35"/>
      <c r="N1252" s="35"/>
      <c r="O1252" s="35"/>
      <c r="P1252" s="35"/>
      <c r="Q1252" s="35"/>
    </row>
    <row r="1253" spans="1:256" ht="13.95" customHeight="1" x14ac:dyDescent="0.25">
      <c r="A1253" s="61" t="s">
        <v>310</v>
      </c>
      <c r="B1253" s="14">
        <v>43642</v>
      </c>
      <c r="C1253" s="13">
        <v>710</v>
      </c>
      <c r="D1253" s="13" t="s">
        <v>632</v>
      </c>
      <c r="E1253" s="32" t="s">
        <v>958</v>
      </c>
      <c r="F1253" s="4">
        <v>828800</v>
      </c>
      <c r="G1253" s="86" t="s">
        <v>7311</v>
      </c>
      <c r="H1253" s="211"/>
      <c r="I1253" s="4" t="s">
        <v>218</v>
      </c>
      <c r="J1253" s="21"/>
      <c r="K1253" s="228"/>
    </row>
    <row r="1254" spans="1:256" ht="13.95" customHeight="1" x14ac:dyDescent="0.25">
      <c r="A1254" s="68" t="s">
        <v>310</v>
      </c>
      <c r="B1254" s="14">
        <v>43642</v>
      </c>
      <c r="C1254" s="13">
        <v>711</v>
      </c>
      <c r="D1254" s="32" t="s">
        <v>588</v>
      </c>
      <c r="E1254" s="32" t="s">
        <v>958</v>
      </c>
      <c r="F1254" s="4">
        <v>1568000</v>
      </c>
      <c r="G1254" s="69" t="s">
        <v>9279</v>
      </c>
      <c r="H1254" s="14"/>
      <c r="I1254" s="41" t="s">
        <v>82</v>
      </c>
      <c r="K1254" s="62"/>
    </row>
    <row r="1255" spans="1:256" ht="13.95" customHeight="1" x14ac:dyDescent="0.25">
      <c r="A1255" s="32" t="s">
        <v>1350</v>
      </c>
      <c r="B1255" s="14">
        <v>43642</v>
      </c>
      <c r="C1255" s="13">
        <v>525</v>
      </c>
      <c r="D1255" s="32" t="s">
        <v>732</v>
      </c>
      <c r="E1255" s="32" t="s">
        <v>691</v>
      </c>
      <c r="F1255" s="4">
        <v>3000000</v>
      </c>
      <c r="G1255" s="174" t="s">
        <v>9334</v>
      </c>
      <c r="H1255" s="14">
        <v>43556</v>
      </c>
      <c r="I1255" s="41" t="s">
        <v>24</v>
      </c>
      <c r="K1255" s="62"/>
    </row>
    <row r="1256" spans="1:256" ht="13.95" customHeight="1" x14ac:dyDescent="0.25">
      <c r="A1256" s="61" t="s">
        <v>1149</v>
      </c>
      <c r="B1256" s="14">
        <v>43642</v>
      </c>
      <c r="C1256" s="13">
        <v>1213</v>
      </c>
      <c r="D1256" s="32" t="s">
        <v>588</v>
      </c>
      <c r="E1256" s="32" t="s">
        <v>808</v>
      </c>
      <c r="F1256" s="4">
        <v>1432000</v>
      </c>
      <c r="G1256" s="86" t="s">
        <v>2597</v>
      </c>
      <c r="H1256" s="211"/>
      <c r="I1256" s="4" t="s">
        <v>82</v>
      </c>
      <c r="J1256" s="21"/>
      <c r="K1256" s="228"/>
    </row>
    <row r="1257" spans="1:256" ht="13.95" customHeight="1" x14ac:dyDescent="0.25">
      <c r="A1257" s="68" t="s">
        <v>1148</v>
      </c>
      <c r="B1257" s="14">
        <v>43642</v>
      </c>
      <c r="C1257" s="13">
        <v>1215</v>
      </c>
      <c r="D1257" s="32" t="s">
        <v>1736</v>
      </c>
      <c r="E1257" s="32" t="s">
        <v>808</v>
      </c>
      <c r="F1257" s="4">
        <v>5000000</v>
      </c>
      <c r="G1257" s="86" t="s">
        <v>2596</v>
      </c>
      <c r="H1257" s="211"/>
      <c r="I1257" s="41" t="s">
        <v>24</v>
      </c>
      <c r="J1257" s="21"/>
      <c r="K1257" s="228"/>
    </row>
    <row r="1258" spans="1:256" s="62" customFormat="1" ht="15" customHeight="1" x14ac:dyDescent="0.25">
      <c r="A1258" s="13" t="s">
        <v>8</v>
      </c>
      <c r="B1258" s="14">
        <v>43642</v>
      </c>
      <c r="C1258" s="13">
        <v>1216</v>
      </c>
      <c r="D1258" s="13" t="s">
        <v>1765</v>
      </c>
      <c r="E1258" s="13" t="s">
        <v>808</v>
      </c>
      <c r="F1258" s="4">
        <v>400000</v>
      </c>
      <c r="G1258" s="69" t="s">
        <v>1766</v>
      </c>
      <c r="H1258" s="14"/>
      <c r="I1258" s="4" t="s">
        <v>1204</v>
      </c>
      <c r="J1258" s="71"/>
    </row>
    <row r="1259" spans="1:256" s="62" customFormat="1" ht="15" customHeight="1" x14ac:dyDescent="0.25">
      <c r="A1259" s="13" t="s">
        <v>1316</v>
      </c>
      <c r="B1259" s="14">
        <v>43642</v>
      </c>
      <c r="C1259" s="28" t="s">
        <v>9443</v>
      </c>
      <c r="D1259" s="13" t="s">
        <v>1555</v>
      </c>
      <c r="E1259" s="32" t="s">
        <v>808</v>
      </c>
      <c r="F1259" s="4">
        <v>18840</v>
      </c>
      <c r="G1259" s="29" t="s">
        <v>8672</v>
      </c>
      <c r="H1259" s="14">
        <v>43616</v>
      </c>
      <c r="I1259" s="4" t="s">
        <v>118</v>
      </c>
      <c r="J1259" s="71" t="s">
        <v>526</v>
      </c>
      <c r="O1259" s="35"/>
      <c r="P1259" s="35"/>
      <c r="Q1259" s="35"/>
      <c r="R1259" s="35"/>
      <c r="S1259" s="35"/>
    </row>
    <row r="1260" spans="1:256" s="50" customFormat="1" x14ac:dyDescent="0.25">
      <c r="A1260" s="13" t="s">
        <v>442</v>
      </c>
      <c r="B1260" s="14">
        <v>43642</v>
      </c>
      <c r="C1260" s="13">
        <v>1268</v>
      </c>
      <c r="D1260" s="13" t="s">
        <v>8961</v>
      </c>
      <c r="E1260" s="218" t="s">
        <v>494</v>
      </c>
      <c r="F1260" s="224">
        <v>37366.800000000003</v>
      </c>
      <c r="G1260" s="28" t="s">
        <v>9444</v>
      </c>
      <c r="H1260" s="14">
        <v>43635</v>
      </c>
      <c r="I1260" s="32" t="s">
        <v>8962</v>
      </c>
      <c r="J1260" s="325"/>
    </row>
    <row r="1261" spans="1:256" s="97" customFormat="1" ht="14.1" customHeight="1" x14ac:dyDescent="0.25">
      <c r="A1261" s="211" t="s">
        <v>956</v>
      </c>
      <c r="B1261" s="14">
        <v>43643</v>
      </c>
      <c r="C1261" s="13">
        <v>369</v>
      </c>
      <c r="D1261" s="218" t="s">
        <v>590</v>
      </c>
      <c r="E1261" s="218" t="s">
        <v>481</v>
      </c>
      <c r="F1261" s="4">
        <v>1100000</v>
      </c>
      <c r="G1261" s="28" t="s">
        <v>5771</v>
      </c>
      <c r="H1261" s="14">
        <v>43347</v>
      </c>
      <c r="I1261" s="32" t="s">
        <v>159</v>
      </c>
      <c r="J1261" s="50"/>
      <c r="K1261" s="50"/>
      <c r="L1261" s="50"/>
      <c r="M1261" s="50"/>
      <c r="N1261" s="50"/>
      <c r="O1261" s="50"/>
      <c r="P1261" s="50"/>
      <c r="Q1261" s="50"/>
      <c r="R1261" s="50"/>
      <c r="S1261" s="50"/>
      <c r="T1261" s="50"/>
      <c r="U1261" s="50"/>
      <c r="V1261" s="50"/>
      <c r="W1261" s="50"/>
      <c r="X1261" s="50"/>
      <c r="Y1261" s="50"/>
      <c r="Z1261" s="50"/>
      <c r="AA1261" s="50"/>
      <c r="AB1261" s="50"/>
      <c r="AC1261" s="50"/>
      <c r="AD1261" s="50"/>
      <c r="AE1261" s="50"/>
      <c r="AF1261" s="50"/>
      <c r="AG1261" s="50"/>
      <c r="AH1261" s="50"/>
      <c r="AI1261" s="50"/>
      <c r="AJ1261" s="50"/>
      <c r="AK1261" s="50"/>
      <c r="AL1261" s="50"/>
      <c r="AM1261" s="50"/>
      <c r="AN1261" s="50"/>
      <c r="AO1261" s="50"/>
      <c r="AP1261" s="50"/>
      <c r="AQ1261" s="50"/>
      <c r="AR1261" s="50"/>
      <c r="AS1261" s="50"/>
      <c r="AT1261" s="50"/>
      <c r="AU1261" s="50"/>
      <c r="AV1261" s="50"/>
      <c r="AW1261" s="50"/>
      <c r="AX1261" s="50"/>
      <c r="AY1261" s="50"/>
      <c r="AZ1261" s="50"/>
      <c r="BA1261" s="50"/>
      <c r="BB1261" s="50"/>
      <c r="BC1261" s="50"/>
      <c r="BD1261" s="50"/>
      <c r="BE1261" s="50"/>
      <c r="BF1261" s="50"/>
      <c r="BG1261" s="50"/>
      <c r="BH1261" s="50"/>
      <c r="BI1261" s="50"/>
      <c r="BJ1261" s="50"/>
      <c r="BK1261" s="50"/>
      <c r="BL1261" s="50"/>
      <c r="BM1261" s="50"/>
      <c r="BN1261" s="50"/>
      <c r="BO1261" s="50"/>
      <c r="BP1261" s="50"/>
      <c r="BQ1261" s="50"/>
      <c r="BR1261" s="50"/>
      <c r="BS1261" s="50"/>
      <c r="BT1261" s="50"/>
      <c r="BU1261" s="50"/>
      <c r="BV1261" s="50"/>
      <c r="BW1261" s="50"/>
      <c r="BX1261" s="50"/>
      <c r="BY1261" s="50"/>
      <c r="BZ1261" s="50"/>
      <c r="CA1261" s="50"/>
      <c r="CB1261" s="50"/>
      <c r="CC1261" s="50"/>
      <c r="CD1261" s="50"/>
      <c r="CE1261" s="50"/>
      <c r="CF1261" s="50"/>
      <c r="CG1261" s="50"/>
      <c r="CH1261" s="50"/>
      <c r="CI1261" s="50"/>
      <c r="CJ1261" s="50"/>
      <c r="CK1261" s="50"/>
      <c r="CL1261" s="50"/>
      <c r="CM1261" s="50"/>
      <c r="CN1261" s="50"/>
      <c r="CO1261" s="50"/>
      <c r="CP1261" s="50"/>
      <c r="CQ1261" s="50"/>
      <c r="CR1261" s="50"/>
      <c r="CS1261" s="50"/>
      <c r="CT1261" s="50"/>
      <c r="CU1261" s="50"/>
      <c r="CV1261" s="50"/>
      <c r="CW1261" s="50"/>
      <c r="CX1261" s="50"/>
      <c r="CY1261" s="50"/>
      <c r="CZ1261" s="50"/>
      <c r="DA1261" s="50"/>
      <c r="DB1261" s="50"/>
      <c r="DC1261" s="50"/>
      <c r="DD1261" s="50"/>
      <c r="DE1261" s="50"/>
      <c r="DF1261" s="50"/>
      <c r="DG1261" s="50"/>
      <c r="DH1261" s="50"/>
      <c r="DI1261" s="50"/>
      <c r="DJ1261" s="50"/>
      <c r="DK1261" s="50"/>
      <c r="DL1261" s="50"/>
      <c r="DM1261" s="50"/>
      <c r="DN1261" s="50"/>
      <c r="DO1261" s="50"/>
      <c r="DP1261" s="50"/>
      <c r="DQ1261" s="50"/>
      <c r="DR1261" s="50"/>
      <c r="DS1261" s="50"/>
      <c r="DT1261" s="50"/>
      <c r="DU1261" s="50"/>
      <c r="DV1261" s="50"/>
      <c r="DW1261" s="50"/>
      <c r="DX1261" s="50"/>
      <c r="DY1261" s="50"/>
      <c r="DZ1261" s="50"/>
      <c r="EA1261" s="50"/>
      <c r="EB1261" s="50"/>
      <c r="EC1261" s="50"/>
      <c r="ED1261" s="50"/>
      <c r="EE1261" s="50"/>
      <c r="EF1261" s="50"/>
      <c r="EG1261" s="50"/>
      <c r="EH1261" s="50"/>
      <c r="EI1261" s="50"/>
      <c r="EJ1261" s="50"/>
      <c r="EK1261" s="50"/>
      <c r="EL1261" s="50"/>
      <c r="EM1261" s="50"/>
      <c r="EN1261" s="50"/>
      <c r="EO1261" s="50"/>
      <c r="EP1261" s="50"/>
      <c r="EQ1261" s="50"/>
      <c r="ER1261" s="50"/>
      <c r="ES1261" s="50"/>
      <c r="ET1261" s="50"/>
      <c r="EU1261" s="50"/>
      <c r="EV1261" s="50"/>
      <c r="EW1261" s="50"/>
      <c r="EX1261" s="50"/>
      <c r="EY1261" s="50"/>
      <c r="EZ1261" s="50"/>
      <c r="FA1261" s="50"/>
      <c r="FB1261" s="50"/>
      <c r="FC1261" s="50"/>
      <c r="FD1261" s="50"/>
      <c r="FE1261" s="50"/>
      <c r="FF1261" s="50"/>
      <c r="FG1261" s="50"/>
      <c r="FH1261" s="50"/>
      <c r="FI1261" s="50"/>
      <c r="FJ1261" s="50"/>
      <c r="FK1261" s="50"/>
      <c r="FL1261" s="50"/>
      <c r="FM1261" s="50"/>
      <c r="FN1261" s="50"/>
      <c r="FO1261" s="50"/>
      <c r="FP1261" s="50"/>
      <c r="FQ1261" s="50"/>
      <c r="FR1261" s="50"/>
      <c r="FS1261" s="50"/>
      <c r="FT1261" s="50"/>
      <c r="FU1261" s="50"/>
      <c r="FV1261" s="50"/>
      <c r="FW1261" s="50"/>
      <c r="FX1261" s="50"/>
      <c r="FY1261" s="50"/>
      <c r="FZ1261" s="50"/>
      <c r="GA1261" s="50"/>
      <c r="GB1261" s="50"/>
      <c r="GC1261" s="50"/>
      <c r="GD1261" s="50"/>
      <c r="GE1261" s="50"/>
      <c r="GF1261" s="50"/>
      <c r="GG1261" s="50"/>
      <c r="GH1261" s="50"/>
      <c r="GI1261" s="50"/>
      <c r="GJ1261" s="50"/>
      <c r="GK1261" s="50"/>
      <c r="GL1261" s="50"/>
      <c r="GM1261" s="50"/>
      <c r="GN1261" s="50"/>
      <c r="GO1261" s="50"/>
      <c r="GP1261" s="50"/>
      <c r="GQ1261" s="50"/>
      <c r="GR1261" s="50"/>
      <c r="GS1261" s="50"/>
      <c r="GT1261" s="50"/>
      <c r="GU1261" s="50"/>
      <c r="GV1261" s="50"/>
      <c r="GW1261" s="50"/>
      <c r="GX1261" s="50"/>
      <c r="GY1261" s="50"/>
      <c r="GZ1261" s="50"/>
      <c r="HA1261" s="50"/>
      <c r="HB1261" s="50"/>
      <c r="HC1261" s="50"/>
      <c r="HD1261" s="50"/>
      <c r="HE1261" s="50"/>
      <c r="HF1261" s="50"/>
      <c r="HG1261" s="50"/>
      <c r="HH1261" s="50"/>
      <c r="HI1261" s="50"/>
      <c r="HJ1261" s="50"/>
      <c r="HK1261" s="50"/>
      <c r="HL1261" s="50"/>
      <c r="HM1261" s="50"/>
      <c r="HN1261" s="50"/>
      <c r="HO1261" s="50"/>
      <c r="HP1261" s="50"/>
      <c r="HQ1261" s="50"/>
      <c r="HR1261" s="50"/>
      <c r="HS1261" s="50"/>
      <c r="HT1261" s="50"/>
      <c r="HU1261" s="50"/>
      <c r="HV1261" s="50"/>
      <c r="HW1261" s="50"/>
      <c r="HX1261" s="50"/>
      <c r="HY1261" s="50"/>
      <c r="HZ1261" s="50"/>
      <c r="IA1261" s="50"/>
      <c r="IB1261" s="50"/>
      <c r="IC1261" s="50"/>
      <c r="ID1261" s="50"/>
      <c r="IE1261" s="50"/>
      <c r="IF1261" s="50"/>
      <c r="IG1261" s="50"/>
      <c r="IH1261" s="50"/>
      <c r="II1261" s="50"/>
      <c r="IJ1261" s="50"/>
      <c r="IK1261" s="50"/>
      <c r="IL1261" s="50"/>
      <c r="IM1261" s="50"/>
      <c r="IN1261" s="50"/>
      <c r="IO1261" s="50"/>
      <c r="IP1261" s="50"/>
      <c r="IQ1261" s="50"/>
      <c r="IR1261" s="50"/>
      <c r="IS1261" s="50"/>
      <c r="IT1261" s="50"/>
      <c r="IU1261" s="50"/>
      <c r="IV1261" s="50"/>
    </row>
    <row r="1262" spans="1:256" x14ac:dyDescent="0.25">
      <c r="A1262" s="61" t="s">
        <v>956</v>
      </c>
      <c r="B1262" s="14">
        <v>43643</v>
      </c>
      <c r="C1262" s="13">
        <v>370</v>
      </c>
      <c r="D1262" s="13" t="s">
        <v>149</v>
      </c>
      <c r="E1262" s="13" t="s">
        <v>481</v>
      </c>
      <c r="F1262" s="37">
        <v>4290</v>
      </c>
      <c r="G1262" s="29" t="s">
        <v>7052</v>
      </c>
      <c r="H1262" s="14">
        <v>43555</v>
      </c>
      <c r="I1262" s="4" t="s">
        <v>7046</v>
      </c>
    </row>
    <row r="1263" spans="1:256" x14ac:dyDescent="0.25">
      <c r="A1263" s="61" t="s">
        <v>956</v>
      </c>
      <c r="B1263" s="14">
        <v>43643</v>
      </c>
      <c r="C1263" s="13">
        <v>371</v>
      </c>
      <c r="D1263" s="13" t="s">
        <v>149</v>
      </c>
      <c r="E1263" s="13" t="s">
        <v>481</v>
      </c>
      <c r="F1263" s="37">
        <v>500</v>
      </c>
      <c r="G1263" s="29" t="s">
        <v>7057</v>
      </c>
      <c r="H1263" s="14">
        <v>43571</v>
      </c>
      <c r="I1263" s="4" t="s">
        <v>7056</v>
      </c>
    </row>
    <row r="1264" spans="1:256" x14ac:dyDescent="0.25">
      <c r="A1264" s="13" t="s">
        <v>956</v>
      </c>
      <c r="B1264" s="14">
        <v>43643</v>
      </c>
      <c r="C1264" s="13">
        <v>371</v>
      </c>
      <c r="D1264" s="13" t="s">
        <v>149</v>
      </c>
      <c r="E1264" s="13" t="s">
        <v>481</v>
      </c>
      <c r="F1264" s="4">
        <v>500</v>
      </c>
      <c r="G1264" s="28" t="s">
        <v>8081</v>
      </c>
      <c r="H1264" s="14">
        <v>43600</v>
      </c>
      <c r="I1264" s="4" t="s">
        <v>8078</v>
      </c>
    </row>
    <row r="1265" spans="1:12" ht="15" customHeight="1" x14ac:dyDescent="0.25">
      <c r="A1265" s="68" t="s">
        <v>198</v>
      </c>
      <c r="B1265" s="14">
        <v>43643</v>
      </c>
      <c r="C1265" s="13">
        <v>156</v>
      </c>
      <c r="D1265" s="32" t="s">
        <v>279</v>
      </c>
      <c r="E1265" s="32" t="s">
        <v>195</v>
      </c>
      <c r="F1265" s="4">
        <v>8676.7199999999993</v>
      </c>
      <c r="G1265" s="28" t="s">
        <v>2817</v>
      </c>
      <c r="H1265" s="14">
        <v>43616</v>
      </c>
      <c r="I1265" s="4" t="s">
        <v>335</v>
      </c>
      <c r="J1265" s="170" t="s">
        <v>1386</v>
      </c>
      <c r="K1265" s="246"/>
    </row>
    <row r="1266" spans="1:12" s="129" customFormat="1" x14ac:dyDescent="0.25">
      <c r="A1266" s="356" t="s">
        <v>460</v>
      </c>
      <c r="B1266" s="102">
        <v>43643</v>
      </c>
      <c r="C1266" s="328">
        <v>162</v>
      </c>
      <c r="D1266" s="340" t="s">
        <v>1135</v>
      </c>
      <c r="E1266" s="340" t="s">
        <v>483</v>
      </c>
      <c r="F1266" s="327">
        <v>1464.5</v>
      </c>
      <c r="G1266" s="567" t="s">
        <v>9326</v>
      </c>
      <c r="H1266" s="350">
        <v>43635</v>
      </c>
      <c r="I1266" s="327" t="s">
        <v>9327</v>
      </c>
      <c r="J1266" s="136"/>
    </row>
    <row r="1267" spans="1:12" x14ac:dyDescent="0.25">
      <c r="A1267" s="61" t="s">
        <v>460</v>
      </c>
      <c r="B1267" s="14">
        <v>43643</v>
      </c>
      <c r="C1267" s="13">
        <v>163</v>
      </c>
      <c r="D1267" s="14" t="s">
        <v>7347</v>
      </c>
      <c r="E1267" s="32" t="s">
        <v>483</v>
      </c>
      <c r="F1267" s="4">
        <v>41300</v>
      </c>
      <c r="G1267" s="86" t="s">
        <v>7348</v>
      </c>
      <c r="H1267" s="211"/>
      <c r="I1267" s="326"/>
      <c r="K1267" s="62"/>
    </row>
    <row r="1268" spans="1:12" x14ac:dyDescent="0.25">
      <c r="A1268" s="68" t="s">
        <v>188</v>
      </c>
      <c r="B1268" s="14">
        <v>43643</v>
      </c>
      <c r="C1268" s="13">
        <v>164</v>
      </c>
      <c r="D1268" s="14" t="s">
        <v>7321</v>
      </c>
      <c r="E1268" s="32" t="s">
        <v>483</v>
      </c>
      <c r="F1268" s="4">
        <v>69750</v>
      </c>
      <c r="G1268" s="86" t="s">
        <v>7322</v>
      </c>
      <c r="H1268" s="211"/>
      <c r="I1268" s="326"/>
      <c r="K1268" s="62"/>
    </row>
    <row r="1269" spans="1:12" x14ac:dyDescent="0.25">
      <c r="A1269" s="61" t="s">
        <v>460</v>
      </c>
      <c r="B1269" s="14">
        <v>43643</v>
      </c>
      <c r="C1269" s="13">
        <v>819</v>
      </c>
      <c r="D1269" s="14" t="s">
        <v>7191</v>
      </c>
      <c r="E1269" s="32" t="s">
        <v>1121</v>
      </c>
      <c r="F1269" s="4">
        <v>38625</v>
      </c>
      <c r="G1269" s="86" t="s">
        <v>7192</v>
      </c>
      <c r="H1269" s="211"/>
      <c r="I1269" s="326"/>
      <c r="K1269" s="62"/>
    </row>
    <row r="1270" spans="1:12" x14ac:dyDescent="0.25">
      <c r="A1270" s="61" t="s">
        <v>460</v>
      </c>
      <c r="B1270" s="14">
        <v>43643</v>
      </c>
      <c r="C1270" s="13">
        <v>820</v>
      </c>
      <c r="D1270" s="14" t="s">
        <v>7349</v>
      </c>
      <c r="E1270" s="32" t="s">
        <v>1121</v>
      </c>
      <c r="F1270" s="4">
        <v>45600</v>
      </c>
      <c r="G1270" s="86" t="s">
        <v>7350</v>
      </c>
      <c r="H1270" s="211"/>
      <c r="I1270" s="326"/>
      <c r="K1270" s="62"/>
    </row>
    <row r="1271" spans="1:12" ht="15" customHeight="1" x14ac:dyDescent="0.25">
      <c r="A1271" s="13" t="s">
        <v>184</v>
      </c>
      <c r="B1271" s="14">
        <v>43643</v>
      </c>
      <c r="C1271" s="13">
        <v>828</v>
      </c>
      <c r="D1271" s="13" t="s">
        <v>348</v>
      </c>
      <c r="E1271" s="32" t="s">
        <v>1121</v>
      </c>
      <c r="F1271" s="4">
        <f>1759220.57</f>
        <v>1759220.57</v>
      </c>
      <c r="G1271" s="28" t="s">
        <v>9041</v>
      </c>
      <c r="H1271" s="14">
        <v>43617</v>
      </c>
      <c r="I1271" s="4" t="s">
        <v>309</v>
      </c>
      <c r="J1271" s="76" t="s">
        <v>526</v>
      </c>
    </row>
    <row r="1272" spans="1:12" ht="15" customHeight="1" x14ac:dyDescent="0.25">
      <c r="A1272" s="13" t="s">
        <v>184</v>
      </c>
      <c r="B1272" s="14">
        <v>43643</v>
      </c>
      <c r="C1272" s="13">
        <v>828</v>
      </c>
      <c r="D1272" s="13" t="s">
        <v>348</v>
      </c>
      <c r="E1272" s="32" t="s">
        <v>1121</v>
      </c>
      <c r="F1272" s="4">
        <v>222124.79999999999</v>
      </c>
      <c r="G1272" s="28" t="s">
        <v>8731</v>
      </c>
      <c r="H1272" s="14">
        <v>43620</v>
      </c>
      <c r="I1272" s="4" t="s">
        <v>6578</v>
      </c>
      <c r="J1272" s="76" t="s">
        <v>8732</v>
      </c>
    </row>
    <row r="1273" spans="1:12" ht="15" customHeight="1" x14ac:dyDescent="0.25">
      <c r="A1273" s="13" t="s">
        <v>184</v>
      </c>
      <c r="B1273" s="14">
        <v>43643</v>
      </c>
      <c r="C1273" s="13">
        <v>821</v>
      </c>
      <c r="D1273" s="13" t="s">
        <v>1533</v>
      </c>
      <c r="E1273" s="32" t="s">
        <v>1121</v>
      </c>
      <c r="F1273" s="4">
        <v>229500</v>
      </c>
      <c r="G1273" s="28" t="s">
        <v>8226</v>
      </c>
      <c r="H1273" s="14">
        <v>43600</v>
      </c>
      <c r="I1273" s="4" t="s">
        <v>1931</v>
      </c>
      <c r="J1273" s="125" t="s">
        <v>526</v>
      </c>
    </row>
    <row r="1274" spans="1:12" ht="15" customHeight="1" x14ac:dyDescent="0.25">
      <c r="A1274" s="13" t="s">
        <v>184</v>
      </c>
      <c r="B1274" s="14">
        <v>43643</v>
      </c>
      <c r="C1274" s="13">
        <v>822</v>
      </c>
      <c r="D1274" s="13" t="s">
        <v>393</v>
      </c>
      <c r="E1274" s="32" t="s">
        <v>1121</v>
      </c>
      <c r="F1274" s="4">
        <v>96000</v>
      </c>
      <c r="G1274" s="28" t="s">
        <v>1811</v>
      </c>
      <c r="H1274" s="14">
        <v>43599</v>
      </c>
      <c r="I1274" s="4" t="s">
        <v>7896</v>
      </c>
      <c r="J1274" s="125" t="s">
        <v>526</v>
      </c>
    </row>
    <row r="1275" spans="1:12" ht="30" customHeight="1" x14ac:dyDescent="0.25">
      <c r="A1275" s="13" t="s">
        <v>184</v>
      </c>
      <c r="B1275" s="14">
        <v>43643</v>
      </c>
      <c r="C1275" s="13">
        <v>823</v>
      </c>
      <c r="D1275" s="13" t="s">
        <v>104</v>
      </c>
      <c r="E1275" s="32" t="s">
        <v>1121</v>
      </c>
      <c r="F1275" s="4">
        <v>150000</v>
      </c>
      <c r="G1275" s="28" t="s">
        <v>1605</v>
      </c>
      <c r="H1275" s="14">
        <v>43609</v>
      </c>
      <c r="I1275" s="4" t="s">
        <v>3483</v>
      </c>
      <c r="J1275" s="76" t="s">
        <v>8743</v>
      </c>
    </row>
    <row r="1276" spans="1:12" x14ac:dyDescent="0.25">
      <c r="A1276" s="13" t="s">
        <v>184</v>
      </c>
      <c r="B1276" s="14">
        <v>43643</v>
      </c>
      <c r="C1276" s="13">
        <v>824</v>
      </c>
      <c r="D1276" s="13" t="s">
        <v>5240</v>
      </c>
      <c r="E1276" s="32" t="s">
        <v>1121</v>
      </c>
      <c r="F1276" s="4">
        <v>120000</v>
      </c>
      <c r="G1276" s="28" t="s">
        <v>3872</v>
      </c>
      <c r="H1276" s="14">
        <v>43599</v>
      </c>
      <c r="I1276" s="4" t="s">
        <v>5241</v>
      </c>
      <c r="J1276" s="76" t="s">
        <v>9053</v>
      </c>
    </row>
    <row r="1277" spans="1:12" x14ac:dyDescent="0.25">
      <c r="A1277" s="13" t="s">
        <v>184</v>
      </c>
      <c r="B1277" s="14">
        <v>43643</v>
      </c>
      <c r="C1277" s="13">
        <v>825</v>
      </c>
      <c r="D1277" s="13" t="s">
        <v>163</v>
      </c>
      <c r="E1277" s="32" t="s">
        <v>1121</v>
      </c>
      <c r="F1277" s="4">
        <v>63700</v>
      </c>
      <c r="G1277" s="28" t="s">
        <v>714</v>
      </c>
      <c r="H1277" s="14">
        <v>43634</v>
      </c>
      <c r="I1277" s="4" t="s">
        <v>9059</v>
      </c>
      <c r="J1277" s="76"/>
    </row>
    <row r="1278" spans="1:12" s="192" customFormat="1" x14ac:dyDescent="0.25">
      <c r="A1278" s="147" t="s">
        <v>242</v>
      </c>
      <c r="B1278" s="14">
        <v>43643</v>
      </c>
      <c r="C1278" s="195">
        <v>830</v>
      </c>
      <c r="D1278" s="149" t="s">
        <v>784</v>
      </c>
      <c r="E1278" s="147" t="s">
        <v>1121</v>
      </c>
      <c r="F1278" s="158">
        <v>180858.48</v>
      </c>
      <c r="G1278" s="150" t="s">
        <v>96</v>
      </c>
      <c r="H1278" s="148">
        <v>43630</v>
      </c>
      <c r="I1278" s="149" t="s">
        <v>143</v>
      </c>
      <c r="J1278" s="193"/>
      <c r="K1278" s="194"/>
      <c r="L1278" s="190"/>
    </row>
    <row r="1279" spans="1:12" s="192" customFormat="1" x14ac:dyDescent="0.25">
      <c r="A1279" s="147" t="s">
        <v>242</v>
      </c>
      <c r="B1279" s="14">
        <v>43643</v>
      </c>
      <c r="C1279" s="187">
        <v>829</v>
      </c>
      <c r="D1279" s="149" t="s">
        <v>291</v>
      </c>
      <c r="E1279" s="147" t="s">
        <v>1121</v>
      </c>
      <c r="F1279" s="158">
        <v>64338.75</v>
      </c>
      <c r="G1279" s="150" t="s">
        <v>4094</v>
      </c>
      <c r="H1279" s="148">
        <v>43630</v>
      </c>
      <c r="I1279" s="149" t="s">
        <v>143</v>
      </c>
      <c r="J1279" s="193"/>
      <c r="K1279" s="194"/>
      <c r="L1279" s="190"/>
    </row>
    <row r="1280" spans="1:12" s="192" customFormat="1" x14ac:dyDescent="0.25">
      <c r="A1280" s="147" t="s">
        <v>242</v>
      </c>
      <c r="B1280" s="14">
        <v>43643</v>
      </c>
      <c r="C1280" s="187">
        <v>829</v>
      </c>
      <c r="D1280" s="149" t="s">
        <v>291</v>
      </c>
      <c r="E1280" s="147" t="s">
        <v>1121</v>
      </c>
      <c r="F1280" s="158">
        <v>76324.5</v>
      </c>
      <c r="G1280" s="150" t="s">
        <v>3383</v>
      </c>
      <c r="H1280" s="148">
        <v>43630</v>
      </c>
      <c r="I1280" s="149" t="s">
        <v>143</v>
      </c>
      <c r="J1280" s="193"/>
      <c r="K1280" s="194"/>
      <c r="L1280" s="190"/>
    </row>
    <row r="1281" spans="1:16" s="192" customFormat="1" x14ac:dyDescent="0.25">
      <c r="A1281" s="147" t="s">
        <v>242</v>
      </c>
      <c r="B1281" s="14">
        <v>43643</v>
      </c>
      <c r="C1281" s="187">
        <v>829</v>
      </c>
      <c r="D1281" s="149" t="s">
        <v>291</v>
      </c>
      <c r="E1281" s="147" t="s">
        <v>1121</v>
      </c>
      <c r="F1281" s="158">
        <v>83419</v>
      </c>
      <c r="G1281" s="150" t="s">
        <v>4725</v>
      </c>
      <c r="H1281" s="148">
        <v>43630</v>
      </c>
      <c r="I1281" s="149" t="s">
        <v>143</v>
      </c>
      <c r="J1281" s="193"/>
      <c r="K1281" s="194"/>
      <c r="L1281" s="190"/>
    </row>
    <row r="1282" spans="1:16" s="192" customFormat="1" x14ac:dyDescent="0.25">
      <c r="A1282" s="147" t="s">
        <v>242</v>
      </c>
      <c r="B1282" s="14">
        <v>43643</v>
      </c>
      <c r="C1282" s="195">
        <v>826</v>
      </c>
      <c r="D1282" s="149" t="s">
        <v>490</v>
      </c>
      <c r="E1282" s="147" t="s">
        <v>1121</v>
      </c>
      <c r="F1282" s="158">
        <v>156816</v>
      </c>
      <c r="G1282" s="150" t="s">
        <v>8986</v>
      </c>
      <c r="H1282" s="148">
        <v>43592</v>
      </c>
      <c r="I1282" s="149" t="s">
        <v>143</v>
      </c>
      <c r="J1282" s="193"/>
      <c r="K1282" s="194"/>
      <c r="L1282" s="190"/>
    </row>
    <row r="1283" spans="1:16" x14ac:dyDescent="0.25">
      <c r="A1283" s="13" t="s">
        <v>151</v>
      </c>
      <c r="B1283" s="14">
        <v>43643</v>
      </c>
      <c r="C1283" s="13">
        <v>827</v>
      </c>
      <c r="D1283" s="13" t="s">
        <v>5711</v>
      </c>
      <c r="E1283" s="32" t="s">
        <v>1121</v>
      </c>
      <c r="F1283" s="4">
        <v>15000</v>
      </c>
      <c r="G1283" s="28" t="s">
        <v>810</v>
      </c>
      <c r="H1283" s="14">
        <v>43629</v>
      </c>
      <c r="I1283" s="4" t="s">
        <v>7261</v>
      </c>
      <c r="J1283" s="125"/>
    </row>
    <row r="1284" spans="1:16" x14ac:dyDescent="0.25">
      <c r="A1284" s="61" t="s">
        <v>460</v>
      </c>
      <c r="B1284" s="14">
        <v>43643</v>
      </c>
      <c r="C1284" s="13">
        <v>580</v>
      </c>
      <c r="D1284" s="13" t="s">
        <v>7355</v>
      </c>
      <c r="E1284" s="32" t="s">
        <v>144</v>
      </c>
      <c r="F1284" s="4">
        <v>76338</v>
      </c>
      <c r="G1284" s="86" t="s">
        <v>7356</v>
      </c>
      <c r="H1284" s="211"/>
      <c r="I1284" s="326"/>
      <c r="K1284" s="62"/>
    </row>
    <row r="1285" spans="1:16" s="192" customFormat="1" x14ac:dyDescent="0.25">
      <c r="A1285" s="147" t="s">
        <v>242</v>
      </c>
      <c r="B1285" s="14">
        <v>43643</v>
      </c>
      <c r="C1285" s="195">
        <v>584</v>
      </c>
      <c r="D1285" s="149" t="s">
        <v>784</v>
      </c>
      <c r="E1285" s="147" t="s">
        <v>144</v>
      </c>
      <c r="F1285" s="158">
        <v>90332.55</v>
      </c>
      <c r="G1285" s="150" t="s">
        <v>5251</v>
      </c>
      <c r="H1285" s="148">
        <v>43630</v>
      </c>
      <c r="I1285" s="149" t="s">
        <v>143</v>
      </c>
      <c r="J1285" s="193"/>
      <c r="K1285" s="194"/>
      <c r="L1285" s="190"/>
    </row>
    <row r="1286" spans="1:16" s="192" customFormat="1" x14ac:dyDescent="0.25">
      <c r="A1286" s="147" t="s">
        <v>242</v>
      </c>
      <c r="B1286" s="14">
        <v>43643</v>
      </c>
      <c r="C1286" s="195">
        <v>584</v>
      </c>
      <c r="D1286" s="149" t="s">
        <v>784</v>
      </c>
      <c r="E1286" s="147" t="s">
        <v>144</v>
      </c>
      <c r="F1286" s="158">
        <v>694881.05</v>
      </c>
      <c r="G1286" s="150" t="s">
        <v>1510</v>
      </c>
      <c r="H1286" s="148">
        <v>43630</v>
      </c>
      <c r="I1286" s="149" t="s">
        <v>143</v>
      </c>
      <c r="J1286" s="193"/>
      <c r="K1286" s="194"/>
      <c r="L1286" s="190"/>
    </row>
    <row r="1287" spans="1:16" s="192" customFormat="1" x14ac:dyDescent="0.25">
      <c r="A1287" s="147" t="s">
        <v>242</v>
      </c>
      <c r="B1287" s="14">
        <v>43643</v>
      </c>
      <c r="C1287" s="195">
        <v>584</v>
      </c>
      <c r="D1287" s="149" t="s">
        <v>784</v>
      </c>
      <c r="E1287" s="147" t="s">
        <v>144</v>
      </c>
      <c r="F1287" s="158">
        <v>342904</v>
      </c>
      <c r="G1287" s="150" t="s">
        <v>5200</v>
      </c>
      <c r="H1287" s="148">
        <v>43630</v>
      </c>
      <c r="I1287" s="149" t="s">
        <v>143</v>
      </c>
      <c r="J1287" s="193"/>
      <c r="K1287" s="194"/>
      <c r="L1287" s="190"/>
    </row>
    <row r="1288" spans="1:16" s="192" customFormat="1" x14ac:dyDescent="0.25">
      <c r="A1288" s="147" t="s">
        <v>242</v>
      </c>
      <c r="B1288" s="14">
        <v>43643</v>
      </c>
      <c r="C1288" s="187">
        <v>582</v>
      </c>
      <c r="D1288" s="149" t="s">
        <v>291</v>
      </c>
      <c r="E1288" s="147" t="s">
        <v>144</v>
      </c>
      <c r="F1288" s="158">
        <v>89904</v>
      </c>
      <c r="G1288" s="150" t="s">
        <v>3218</v>
      </c>
      <c r="H1288" s="148">
        <v>43630</v>
      </c>
      <c r="I1288" s="149" t="s">
        <v>143</v>
      </c>
      <c r="J1288" s="193"/>
      <c r="K1288" s="194"/>
      <c r="L1288" s="190"/>
    </row>
    <row r="1289" spans="1:16" s="192" customFormat="1" x14ac:dyDescent="0.25">
      <c r="A1289" s="147" t="s">
        <v>242</v>
      </c>
      <c r="B1289" s="14">
        <v>43643</v>
      </c>
      <c r="C1289" s="187">
        <v>583</v>
      </c>
      <c r="D1289" s="149" t="s">
        <v>291</v>
      </c>
      <c r="E1289" s="147" t="s">
        <v>144</v>
      </c>
      <c r="F1289" s="158">
        <v>67544.399999999994</v>
      </c>
      <c r="G1289" s="150" t="s">
        <v>1493</v>
      </c>
      <c r="H1289" s="148">
        <v>43630</v>
      </c>
      <c r="I1289" s="149" t="s">
        <v>143</v>
      </c>
      <c r="J1289" s="193"/>
      <c r="K1289" s="194"/>
      <c r="L1289" s="190"/>
    </row>
    <row r="1290" spans="1:16" s="192" customFormat="1" x14ac:dyDescent="0.25">
      <c r="A1290" s="147" t="s">
        <v>242</v>
      </c>
      <c r="B1290" s="14">
        <v>43643</v>
      </c>
      <c r="C1290" s="195">
        <v>585</v>
      </c>
      <c r="D1290" s="149" t="s">
        <v>388</v>
      </c>
      <c r="E1290" s="147" t="s">
        <v>144</v>
      </c>
      <c r="F1290" s="158">
        <v>83556</v>
      </c>
      <c r="G1290" s="150" t="s">
        <v>1319</v>
      </c>
      <c r="H1290" s="148">
        <v>43630</v>
      </c>
      <c r="I1290" s="149" t="s">
        <v>143</v>
      </c>
      <c r="J1290" s="193"/>
      <c r="K1290" s="194"/>
      <c r="L1290" s="190"/>
    </row>
    <row r="1291" spans="1:16" s="192" customFormat="1" x14ac:dyDescent="0.25">
      <c r="A1291" s="147" t="s">
        <v>242</v>
      </c>
      <c r="B1291" s="14">
        <v>43643</v>
      </c>
      <c r="C1291" s="195">
        <v>581</v>
      </c>
      <c r="D1291" s="149" t="s">
        <v>490</v>
      </c>
      <c r="E1291" s="147" t="s">
        <v>144</v>
      </c>
      <c r="F1291" s="158">
        <v>137052</v>
      </c>
      <c r="G1291" s="150" t="s">
        <v>8497</v>
      </c>
      <c r="H1291" s="148">
        <v>43592</v>
      </c>
      <c r="I1291" s="149" t="s">
        <v>143</v>
      </c>
      <c r="J1291" s="193"/>
      <c r="K1291" s="194"/>
      <c r="L1291" s="190"/>
    </row>
    <row r="1292" spans="1:16" x14ac:dyDescent="0.25">
      <c r="A1292" s="68" t="s">
        <v>90</v>
      </c>
      <c r="B1292" s="14">
        <v>43643</v>
      </c>
      <c r="C1292" s="13">
        <v>1080</v>
      </c>
      <c r="D1292" s="32" t="s">
        <v>507</v>
      </c>
      <c r="E1292" s="32" t="s">
        <v>130</v>
      </c>
      <c r="F1292" s="4">
        <v>2000000</v>
      </c>
      <c r="G1292" s="210" t="s">
        <v>9329</v>
      </c>
      <c r="H1292" s="211"/>
      <c r="I1292" s="4" t="s">
        <v>9330</v>
      </c>
      <c r="J1292" s="21"/>
      <c r="K1292" s="228"/>
    </row>
    <row r="1293" spans="1:16" ht="13.95" customHeight="1" x14ac:dyDescent="0.25">
      <c r="A1293" s="32" t="s">
        <v>90</v>
      </c>
      <c r="B1293" s="14">
        <v>43643</v>
      </c>
      <c r="C1293" s="13">
        <v>1081</v>
      </c>
      <c r="D1293" s="13" t="s">
        <v>34</v>
      </c>
      <c r="E1293" s="32" t="s">
        <v>130</v>
      </c>
      <c r="F1293" s="4">
        <v>426000</v>
      </c>
      <c r="G1293" s="86" t="s">
        <v>2022</v>
      </c>
      <c r="H1293" s="14"/>
      <c r="I1293" s="4" t="s">
        <v>315</v>
      </c>
      <c r="J1293" s="21"/>
      <c r="K1293" s="228"/>
    </row>
    <row r="1294" spans="1:16" x14ac:dyDescent="0.25">
      <c r="A1294" s="13" t="s">
        <v>637</v>
      </c>
      <c r="B1294" s="126">
        <v>43643</v>
      </c>
      <c r="C1294" s="13">
        <v>530</v>
      </c>
      <c r="D1294" s="13" t="s">
        <v>528</v>
      </c>
      <c r="E1294" s="13" t="s">
        <v>691</v>
      </c>
      <c r="F1294" s="4">
        <v>3000000</v>
      </c>
      <c r="G1294" s="69" t="s">
        <v>1649</v>
      </c>
      <c r="H1294" s="14"/>
      <c r="I1294" s="4" t="s">
        <v>1650</v>
      </c>
      <c r="J1294" s="62"/>
      <c r="K1294" s="62"/>
      <c r="L1294" s="35"/>
      <c r="M1294" s="35"/>
      <c r="N1294" s="35"/>
      <c r="O1294" s="35"/>
      <c r="P1294" s="35"/>
    </row>
    <row r="1295" spans="1:16" s="50" customFormat="1" x14ac:dyDescent="0.25">
      <c r="A1295" s="68" t="s">
        <v>660</v>
      </c>
      <c r="B1295" s="14">
        <v>43643</v>
      </c>
      <c r="C1295" s="13">
        <v>531</v>
      </c>
      <c r="D1295" s="218" t="s">
        <v>385</v>
      </c>
      <c r="E1295" s="218" t="s">
        <v>691</v>
      </c>
      <c r="F1295" s="4">
        <v>500000</v>
      </c>
      <c r="G1295" s="28" t="s">
        <v>1541</v>
      </c>
      <c r="H1295" s="14"/>
      <c r="I1295" s="127" t="s">
        <v>1542</v>
      </c>
    </row>
    <row r="1296" spans="1:16" x14ac:dyDescent="0.25">
      <c r="A1296" s="61" t="s">
        <v>460</v>
      </c>
      <c r="B1296" s="14">
        <v>43643</v>
      </c>
      <c r="C1296" s="13">
        <v>165</v>
      </c>
      <c r="D1296" s="14" t="s">
        <v>7412</v>
      </c>
      <c r="E1296" s="32" t="s">
        <v>483</v>
      </c>
      <c r="F1296" s="4">
        <v>33550</v>
      </c>
      <c r="G1296" s="86" t="s">
        <v>7413</v>
      </c>
      <c r="H1296" s="211"/>
      <c r="I1296" s="326"/>
      <c r="K1296" s="62"/>
    </row>
    <row r="1297" spans="1:19" x14ac:dyDescent="0.25">
      <c r="A1297" s="61" t="s">
        <v>460</v>
      </c>
      <c r="B1297" s="14">
        <v>43643</v>
      </c>
      <c r="C1297" s="13">
        <v>586</v>
      </c>
      <c r="D1297" s="13" t="s">
        <v>7325</v>
      </c>
      <c r="E1297" s="32" t="s">
        <v>144</v>
      </c>
      <c r="F1297" s="4">
        <v>54144</v>
      </c>
      <c r="G1297" s="86" t="s">
        <v>7326</v>
      </c>
      <c r="H1297" s="211"/>
      <c r="I1297" s="326"/>
      <c r="K1297" s="62"/>
    </row>
    <row r="1298" spans="1:19" x14ac:dyDescent="0.25">
      <c r="A1298" s="61" t="s">
        <v>460</v>
      </c>
      <c r="B1298" s="14">
        <v>43643</v>
      </c>
      <c r="C1298" s="13">
        <v>587</v>
      </c>
      <c r="D1298" s="13" t="s">
        <v>7351</v>
      </c>
      <c r="E1298" s="32" t="s">
        <v>144</v>
      </c>
      <c r="F1298" s="4">
        <v>49280</v>
      </c>
      <c r="G1298" s="86" t="s">
        <v>7352</v>
      </c>
      <c r="H1298" s="211"/>
      <c r="I1298" s="326"/>
      <c r="K1298" s="62"/>
    </row>
    <row r="1299" spans="1:19" x14ac:dyDescent="0.25">
      <c r="A1299" s="61" t="s">
        <v>460</v>
      </c>
      <c r="B1299" s="14">
        <v>43643</v>
      </c>
      <c r="C1299" s="13">
        <v>588</v>
      </c>
      <c r="D1299" s="13" t="s">
        <v>7353</v>
      </c>
      <c r="E1299" s="32" t="s">
        <v>144</v>
      </c>
      <c r="F1299" s="4">
        <v>48787</v>
      </c>
      <c r="G1299" s="86" t="s">
        <v>7354</v>
      </c>
      <c r="H1299" s="211"/>
      <c r="I1299" s="326"/>
      <c r="K1299" s="62"/>
    </row>
    <row r="1300" spans="1:19" x14ac:dyDescent="0.25">
      <c r="A1300" s="61" t="s">
        <v>460</v>
      </c>
      <c r="B1300" s="14">
        <v>43643</v>
      </c>
      <c r="C1300" s="13">
        <v>589</v>
      </c>
      <c r="D1300" s="13" t="s">
        <v>7357</v>
      </c>
      <c r="E1300" s="32" t="s">
        <v>144</v>
      </c>
      <c r="F1300" s="4">
        <v>45600</v>
      </c>
      <c r="G1300" s="86" t="s">
        <v>7358</v>
      </c>
      <c r="H1300" s="211"/>
      <c r="I1300" s="326"/>
      <c r="K1300" s="62"/>
    </row>
    <row r="1301" spans="1:19" x14ac:dyDescent="0.25">
      <c r="A1301" s="13" t="s">
        <v>184</v>
      </c>
      <c r="B1301" s="14">
        <v>43643</v>
      </c>
      <c r="C1301" s="13">
        <v>592</v>
      </c>
      <c r="D1301" s="13" t="s">
        <v>781</v>
      </c>
      <c r="E1301" s="13" t="s">
        <v>144</v>
      </c>
      <c r="F1301" s="37">
        <v>16000</v>
      </c>
      <c r="G1301" s="29" t="s">
        <v>173</v>
      </c>
      <c r="H1301" s="14">
        <v>43613</v>
      </c>
      <c r="I1301" s="4" t="s">
        <v>782</v>
      </c>
      <c r="J1301" s="128" t="s">
        <v>526</v>
      </c>
    </row>
    <row r="1302" spans="1:19" x14ac:dyDescent="0.25">
      <c r="A1302" s="13" t="s">
        <v>184</v>
      </c>
      <c r="B1302" s="14">
        <v>43643</v>
      </c>
      <c r="C1302" s="13">
        <v>592</v>
      </c>
      <c r="D1302" s="13" t="s">
        <v>781</v>
      </c>
      <c r="E1302" s="13" t="s">
        <v>144</v>
      </c>
      <c r="F1302" s="37">
        <v>24000</v>
      </c>
      <c r="G1302" s="29" t="s">
        <v>2910</v>
      </c>
      <c r="H1302" s="14">
        <v>43613</v>
      </c>
      <c r="I1302" s="4" t="s">
        <v>934</v>
      </c>
      <c r="J1302" s="128" t="s">
        <v>526</v>
      </c>
    </row>
    <row r="1303" spans="1:19" x14ac:dyDescent="0.25">
      <c r="A1303" s="13" t="s">
        <v>184</v>
      </c>
      <c r="B1303" s="14">
        <v>43643</v>
      </c>
      <c r="C1303" s="13">
        <v>592</v>
      </c>
      <c r="D1303" s="13" t="s">
        <v>781</v>
      </c>
      <c r="E1303" s="13" t="s">
        <v>144</v>
      </c>
      <c r="F1303" s="37">
        <v>24000</v>
      </c>
      <c r="G1303" s="29" t="s">
        <v>1146</v>
      </c>
      <c r="H1303" s="14">
        <v>43613</v>
      </c>
      <c r="I1303" s="4" t="s">
        <v>934</v>
      </c>
      <c r="J1303" s="128" t="s">
        <v>526</v>
      </c>
    </row>
    <row r="1304" spans="1:19" s="192" customFormat="1" x14ac:dyDescent="0.25">
      <c r="A1304" s="147" t="s">
        <v>242</v>
      </c>
      <c r="B1304" s="14">
        <v>43643</v>
      </c>
      <c r="C1304" s="195">
        <v>590</v>
      </c>
      <c r="D1304" s="149" t="s">
        <v>490</v>
      </c>
      <c r="E1304" s="147" t="s">
        <v>144</v>
      </c>
      <c r="F1304" s="158">
        <v>120331.78</v>
      </c>
      <c r="G1304" s="150" t="s">
        <v>8978</v>
      </c>
      <c r="H1304" s="148">
        <v>43581</v>
      </c>
      <c r="I1304" s="149" t="s">
        <v>143</v>
      </c>
      <c r="J1304" s="193"/>
      <c r="K1304" s="194"/>
      <c r="L1304" s="190"/>
    </row>
    <row r="1305" spans="1:19" s="192" customFormat="1" x14ac:dyDescent="0.25">
      <c r="A1305" s="147" t="s">
        <v>242</v>
      </c>
      <c r="B1305" s="14">
        <v>43643</v>
      </c>
      <c r="C1305" s="195">
        <v>591</v>
      </c>
      <c r="D1305" s="149" t="s">
        <v>490</v>
      </c>
      <c r="E1305" s="147" t="s">
        <v>144</v>
      </c>
      <c r="F1305" s="158">
        <v>354887.8</v>
      </c>
      <c r="G1305" s="150" t="s">
        <v>8977</v>
      </c>
      <c r="H1305" s="148">
        <v>43581</v>
      </c>
      <c r="I1305" s="149" t="s">
        <v>143</v>
      </c>
      <c r="J1305" s="193"/>
      <c r="K1305" s="194"/>
      <c r="L1305" s="190"/>
    </row>
    <row r="1306" spans="1:19" s="115" customFormat="1" ht="15.6" customHeight="1" x14ac:dyDescent="0.25">
      <c r="A1306" s="61" t="s">
        <v>455</v>
      </c>
      <c r="B1306" s="14">
        <v>43643</v>
      </c>
      <c r="C1306" s="13">
        <v>411</v>
      </c>
      <c r="D1306" s="13" t="s">
        <v>873</v>
      </c>
      <c r="E1306" s="13" t="s">
        <v>440</v>
      </c>
      <c r="F1306" s="4">
        <v>368185.81</v>
      </c>
      <c r="G1306" s="13" t="s">
        <v>874</v>
      </c>
      <c r="H1306" s="126">
        <v>43593</v>
      </c>
      <c r="I1306" s="29" t="s">
        <v>875</v>
      </c>
      <c r="J1306" s="258"/>
      <c r="K1306" s="116"/>
      <c r="L1306" s="116"/>
      <c r="M1306" s="116"/>
      <c r="N1306" s="116"/>
      <c r="O1306" s="117"/>
      <c r="P1306" s="117"/>
      <c r="Q1306" s="117"/>
      <c r="R1306" s="117"/>
      <c r="S1306" s="117"/>
    </row>
    <row r="1307" spans="1:19" ht="15.6" customHeight="1" x14ac:dyDescent="0.25">
      <c r="A1307" s="13" t="s">
        <v>1596</v>
      </c>
      <c r="B1307" s="14">
        <v>43643</v>
      </c>
      <c r="C1307" s="13">
        <v>1082</v>
      </c>
      <c r="D1307" s="32" t="s">
        <v>285</v>
      </c>
      <c r="E1307" s="32" t="s">
        <v>130</v>
      </c>
      <c r="F1307" s="4">
        <v>5000000</v>
      </c>
      <c r="G1307" s="69" t="s">
        <v>1597</v>
      </c>
      <c r="H1307" s="14"/>
      <c r="I1307" s="41" t="s">
        <v>190</v>
      </c>
      <c r="K1307" s="62"/>
    </row>
    <row r="1308" spans="1:19" s="62" customFormat="1" ht="27.6" x14ac:dyDescent="0.25">
      <c r="A1308" s="13" t="s">
        <v>55</v>
      </c>
      <c r="B1308" s="14">
        <v>43643</v>
      </c>
      <c r="C1308" s="13">
        <v>1293</v>
      </c>
      <c r="D1308" s="13" t="s">
        <v>9359</v>
      </c>
      <c r="E1308" s="13" t="s">
        <v>38</v>
      </c>
      <c r="F1308" s="37">
        <v>189000</v>
      </c>
      <c r="G1308" s="29" t="s">
        <v>4127</v>
      </c>
      <c r="H1308" s="14">
        <v>43630</v>
      </c>
      <c r="I1308" s="4" t="s">
        <v>9358</v>
      </c>
      <c r="J1308" s="71"/>
      <c r="O1308" s="35"/>
      <c r="P1308" s="35"/>
      <c r="Q1308" s="35"/>
      <c r="R1308" s="35"/>
      <c r="S1308" s="35"/>
    </row>
    <row r="1309" spans="1:19" ht="13.95" customHeight="1" x14ac:dyDescent="0.25">
      <c r="A1309" s="68" t="s">
        <v>358</v>
      </c>
      <c r="B1309" s="14">
        <v>43643</v>
      </c>
      <c r="C1309" s="13">
        <v>1299</v>
      </c>
      <c r="D1309" s="32" t="s">
        <v>1077</v>
      </c>
      <c r="E1309" s="32" t="s">
        <v>38</v>
      </c>
      <c r="F1309" s="4">
        <v>5000000</v>
      </c>
      <c r="G1309" s="86" t="s">
        <v>410</v>
      </c>
      <c r="H1309" s="211"/>
      <c r="I1309" s="208" t="s">
        <v>581</v>
      </c>
      <c r="J1309" s="21"/>
      <c r="K1309" s="228"/>
    </row>
    <row r="1310" spans="1:19" x14ac:dyDescent="0.25">
      <c r="A1310" s="68" t="s">
        <v>639</v>
      </c>
      <c r="B1310" s="14">
        <v>43643</v>
      </c>
      <c r="C1310" s="13">
        <v>725</v>
      </c>
      <c r="D1310" s="32" t="s">
        <v>905</v>
      </c>
      <c r="E1310" s="32" t="s">
        <v>60</v>
      </c>
      <c r="F1310" s="4">
        <v>3800000</v>
      </c>
      <c r="G1310" s="86" t="s">
        <v>1120</v>
      </c>
      <c r="H1310" s="211"/>
      <c r="I1310" s="208" t="s">
        <v>1119</v>
      </c>
      <c r="J1310" s="21"/>
      <c r="K1310" s="228"/>
    </row>
    <row r="1311" spans="1:19" s="97" customFormat="1" x14ac:dyDescent="0.25">
      <c r="A1311" s="61" t="s">
        <v>311</v>
      </c>
      <c r="B1311" s="14">
        <v>43643</v>
      </c>
      <c r="C1311" s="13">
        <v>713</v>
      </c>
      <c r="D1311" s="13" t="s">
        <v>1491</v>
      </c>
      <c r="E1311" s="13" t="s">
        <v>958</v>
      </c>
      <c r="F1311" s="37">
        <v>40487.33</v>
      </c>
      <c r="G1311" s="29" t="s">
        <v>8390</v>
      </c>
      <c r="H1311" s="14">
        <v>43602</v>
      </c>
      <c r="I1311" s="4" t="s">
        <v>7478</v>
      </c>
      <c r="J1311" s="133"/>
      <c r="K1311" s="22"/>
      <c r="L1311" s="134"/>
    </row>
    <row r="1312" spans="1:19" ht="13.95" customHeight="1" x14ac:dyDescent="0.25">
      <c r="A1312" s="13" t="s">
        <v>527</v>
      </c>
      <c r="B1312" s="242">
        <v>43643</v>
      </c>
      <c r="C1312" s="13">
        <v>1135</v>
      </c>
      <c r="D1312" s="13" t="s">
        <v>7288</v>
      </c>
      <c r="E1312" s="13" t="s">
        <v>62</v>
      </c>
      <c r="F1312" s="4">
        <v>5000000</v>
      </c>
      <c r="G1312" s="86" t="s">
        <v>8229</v>
      </c>
      <c r="H1312" s="14"/>
      <c r="I1312" s="4" t="s">
        <v>361</v>
      </c>
      <c r="K1312" s="228"/>
    </row>
    <row r="1313" spans="1:12" s="516" customFormat="1" x14ac:dyDescent="0.25">
      <c r="A1313" s="61" t="s">
        <v>659</v>
      </c>
      <c r="B1313" s="14">
        <v>43643</v>
      </c>
      <c r="C1313" s="13">
        <v>1221</v>
      </c>
      <c r="D1313" s="13" t="s">
        <v>254</v>
      </c>
      <c r="E1313" s="13" t="s">
        <v>808</v>
      </c>
      <c r="F1313" s="37">
        <v>849787.58</v>
      </c>
      <c r="G1313" s="29" t="s">
        <v>8289</v>
      </c>
      <c r="H1313" s="14">
        <v>43609</v>
      </c>
      <c r="I1313" s="4" t="s">
        <v>423</v>
      </c>
      <c r="J1313" s="515"/>
    </row>
    <row r="1314" spans="1:12" s="97" customFormat="1" x14ac:dyDescent="0.25">
      <c r="A1314" s="61" t="s">
        <v>1316</v>
      </c>
      <c r="B1314" s="14">
        <v>43643</v>
      </c>
      <c r="C1314" s="13">
        <v>1222</v>
      </c>
      <c r="D1314" s="13" t="s">
        <v>8620</v>
      </c>
      <c r="E1314" s="13" t="s">
        <v>808</v>
      </c>
      <c r="F1314" s="4">
        <f>912640-568000</f>
        <v>344640</v>
      </c>
      <c r="G1314" s="29" t="s">
        <v>8565</v>
      </c>
      <c r="H1314" s="14">
        <v>43615</v>
      </c>
      <c r="I1314" s="4" t="s">
        <v>5076</v>
      </c>
      <c r="J1314" s="133"/>
      <c r="K1314" s="22"/>
      <c r="L1314" s="134"/>
    </row>
    <row r="1315" spans="1:12" s="97" customFormat="1" x14ac:dyDescent="0.25">
      <c r="A1315" s="61" t="s">
        <v>659</v>
      </c>
      <c r="B1315" s="14">
        <v>43643</v>
      </c>
      <c r="C1315" s="13">
        <v>1222</v>
      </c>
      <c r="D1315" s="13" t="s">
        <v>8620</v>
      </c>
      <c r="E1315" s="13" t="s">
        <v>808</v>
      </c>
      <c r="F1315" s="37">
        <v>834721</v>
      </c>
      <c r="G1315" s="29" t="s">
        <v>8621</v>
      </c>
      <c r="H1315" s="14">
        <v>43615</v>
      </c>
      <c r="I1315" s="4" t="s">
        <v>765</v>
      </c>
      <c r="J1315" s="133"/>
      <c r="K1315" s="22"/>
      <c r="L1315" s="134"/>
    </row>
    <row r="1316" spans="1:12" s="97" customFormat="1" x14ac:dyDescent="0.25">
      <c r="A1316" s="61" t="s">
        <v>1148</v>
      </c>
      <c r="B1316" s="14">
        <v>43643</v>
      </c>
      <c r="C1316" s="13">
        <v>1222</v>
      </c>
      <c r="D1316" s="13" t="s">
        <v>8620</v>
      </c>
      <c r="E1316" s="13" t="s">
        <v>808</v>
      </c>
      <c r="F1316" s="4">
        <v>820000</v>
      </c>
      <c r="G1316" s="28" t="s">
        <v>8622</v>
      </c>
      <c r="H1316" s="14">
        <v>43615</v>
      </c>
      <c r="I1316" s="4" t="s">
        <v>1349</v>
      </c>
      <c r="J1316" s="133"/>
      <c r="K1316" s="22"/>
      <c r="L1316" s="134"/>
    </row>
    <row r="1317" spans="1:12" s="97" customFormat="1" x14ac:dyDescent="0.25">
      <c r="A1317" s="61" t="s">
        <v>659</v>
      </c>
      <c r="B1317" s="14">
        <v>43643</v>
      </c>
      <c r="C1317" s="13">
        <v>1223</v>
      </c>
      <c r="D1317" s="13" t="s">
        <v>243</v>
      </c>
      <c r="E1317" s="13" t="s">
        <v>808</v>
      </c>
      <c r="F1317" s="4">
        <f>889171.44-470000</f>
        <v>419171.43999999994</v>
      </c>
      <c r="G1317" s="28" t="s">
        <v>3388</v>
      </c>
      <c r="H1317" s="14">
        <v>43552</v>
      </c>
      <c r="I1317" s="4" t="s">
        <v>423</v>
      </c>
      <c r="J1317" s="133"/>
      <c r="K1317" s="22"/>
      <c r="L1317" s="134"/>
    </row>
    <row r="1318" spans="1:12" s="97" customFormat="1" x14ac:dyDescent="0.25">
      <c r="A1318" s="61" t="s">
        <v>1316</v>
      </c>
      <c r="B1318" s="14">
        <v>43643</v>
      </c>
      <c r="C1318" s="13">
        <v>1223</v>
      </c>
      <c r="D1318" s="13" t="s">
        <v>243</v>
      </c>
      <c r="E1318" s="13" t="s">
        <v>808</v>
      </c>
      <c r="F1318" s="4">
        <v>828238.2</v>
      </c>
      <c r="G1318" s="29" t="s">
        <v>8118</v>
      </c>
      <c r="H1318" s="14">
        <v>43605</v>
      </c>
      <c r="I1318" s="4" t="s">
        <v>1207</v>
      </c>
      <c r="J1318" s="133"/>
      <c r="K1318" s="22"/>
      <c r="L1318" s="134"/>
    </row>
    <row r="1319" spans="1:12" s="97" customFormat="1" x14ac:dyDescent="0.25">
      <c r="A1319" s="61" t="s">
        <v>1148</v>
      </c>
      <c r="B1319" s="14">
        <v>43643</v>
      </c>
      <c r="C1319" s="13">
        <v>1224</v>
      </c>
      <c r="D1319" s="13" t="s">
        <v>869</v>
      </c>
      <c r="E1319" s="13" t="s">
        <v>808</v>
      </c>
      <c r="F1319" s="37">
        <v>56886.92</v>
      </c>
      <c r="G1319" s="29" t="s">
        <v>8459</v>
      </c>
      <c r="H1319" s="14">
        <v>43608</v>
      </c>
      <c r="I1319" s="4" t="s">
        <v>6211</v>
      </c>
      <c r="J1319" s="133"/>
      <c r="K1319" s="22"/>
      <c r="L1319" s="134"/>
    </row>
    <row r="1320" spans="1:12" s="97" customFormat="1" x14ac:dyDescent="0.25">
      <c r="A1320" s="61" t="s">
        <v>1147</v>
      </c>
      <c r="B1320" s="14">
        <v>43643</v>
      </c>
      <c r="C1320" s="13">
        <v>1224</v>
      </c>
      <c r="D1320" s="13" t="s">
        <v>869</v>
      </c>
      <c r="E1320" s="13" t="s">
        <v>808</v>
      </c>
      <c r="F1320" s="37">
        <v>17782.11</v>
      </c>
      <c r="G1320" s="29" t="s">
        <v>8460</v>
      </c>
      <c r="H1320" s="14">
        <v>43608</v>
      </c>
      <c r="I1320" s="4" t="s">
        <v>268</v>
      </c>
      <c r="J1320" s="133"/>
      <c r="K1320" s="22"/>
      <c r="L1320" s="134"/>
    </row>
    <row r="1321" spans="1:12" s="97" customFormat="1" x14ac:dyDescent="0.25">
      <c r="A1321" s="61" t="s">
        <v>1147</v>
      </c>
      <c r="B1321" s="14">
        <v>43643</v>
      </c>
      <c r="C1321" s="13">
        <v>1224</v>
      </c>
      <c r="D1321" s="13" t="s">
        <v>869</v>
      </c>
      <c r="E1321" s="13" t="s">
        <v>808</v>
      </c>
      <c r="F1321" s="4">
        <v>16982.099999999999</v>
      </c>
      <c r="G1321" s="28" t="s">
        <v>8462</v>
      </c>
      <c r="H1321" s="14">
        <v>43615</v>
      </c>
      <c r="I1321" s="4" t="s">
        <v>268</v>
      </c>
      <c r="J1321" s="133"/>
      <c r="K1321" s="22"/>
      <c r="L1321" s="134"/>
    </row>
    <row r="1322" spans="1:12" s="97" customFormat="1" x14ac:dyDescent="0.25">
      <c r="A1322" s="61" t="s">
        <v>659</v>
      </c>
      <c r="B1322" s="14">
        <v>43643</v>
      </c>
      <c r="C1322" s="13">
        <v>1225</v>
      </c>
      <c r="D1322" s="13" t="s">
        <v>1032</v>
      </c>
      <c r="E1322" s="13" t="s">
        <v>808</v>
      </c>
      <c r="F1322" s="4">
        <f>185850-100000</f>
        <v>85850</v>
      </c>
      <c r="G1322" s="29" t="s">
        <v>7826</v>
      </c>
      <c r="H1322" s="14">
        <v>43557</v>
      </c>
      <c r="I1322" s="4" t="s">
        <v>142</v>
      </c>
      <c r="J1322" s="133"/>
      <c r="K1322" s="22"/>
      <c r="L1322" s="134"/>
    </row>
    <row r="1323" spans="1:12" s="97" customFormat="1" x14ac:dyDescent="0.25">
      <c r="A1323" s="61" t="s">
        <v>1149</v>
      </c>
      <c r="B1323" s="14">
        <v>43643</v>
      </c>
      <c r="C1323" s="13">
        <v>1226</v>
      </c>
      <c r="D1323" s="13" t="s">
        <v>280</v>
      </c>
      <c r="E1323" s="13" t="s">
        <v>808</v>
      </c>
      <c r="F1323" s="37">
        <v>9240</v>
      </c>
      <c r="G1323" s="29" t="s">
        <v>1524</v>
      </c>
      <c r="H1323" s="14">
        <v>43605</v>
      </c>
      <c r="I1323" s="4" t="s">
        <v>8439</v>
      </c>
      <c r="J1323" s="133"/>
      <c r="K1323" s="22"/>
      <c r="L1323" s="134"/>
    </row>
    <row r="1324" spans="1:12" s="97" customFormat="1" x14ac:dyDescent="0.25">
      <c r="A1324" s="61" t="s">
        <v>1147</v>
      </c>
      <c r="B1324" s="14">
        <v>43643</v>
      </c>
      <c r="C1324" s="13">
        <v>1227</v>
      </c>
      <c r="D1324" s="13" t="s">
        <v>280</v>
      </c>
      <c r="E1324" s="13" t="s">
        <v>808</v>
      </c>
      <c r="F1324" s="37">
        <v>12757</v>
      </c>
      <c r="G1324" s="29" t="s">
        <v>1551</v>
      </c>
      <c r="H1324" s="14">
        <v>43608</v>
      </c>
      <c r="I1324" s="4" t="s">
        <v>8442</v>
      </c>
      <c r="J1324" s="133"/>
      <c r="K1324" s="22"/>
      <c r="L1324" s="134"/>
    </row>
    <row r="1325" spans="1:12" s="97" customFormat="1" x14ac:dyDescent="0.25">
      <c r="A1325" s="61" t="s">
        <v>659</v>
      </c>
      <c r="B1325" s="14">
        <v>43643</v>
      </c>
      <c r="C1325" s="13">
        <v>1228</v>
      </c>
      <c r="D1325" s="13" t="s">
        <v>157</v>
      </c>
      <c r="E1325" s="13" t="s">
        <v>808</v>
      </c>
      <c r="F1325" s="4">
        <v>25914.799999999999</v>
      </c>
      <c r="G1325" s="29" t="s">
        <v>7495</v>
      </c>
      <c r="H1325" s="14">
        <v>43592</v>
      </c>
      <c r="I1325" s="4" t="s">
        <v>7496</v>
      </c>
      <c r="J1325" s="133"/>
      <c r="K1325" s="22"/>
      <c r="L1325" s="134"/>
    </row>
    <row r="1326" spans="1:12" x14ac:dyDescent="0.25">
      <c r="A1326" s="61" t="s">
        <v>659</v>
      </c>
      <c r="B1326" s="14">
        <v>43643</v>
      </c>
      <c r="C1326" s="13">
        <v>1229</v>
      </c>
      <c r="D1326" s="13" t="s">
        <v>666</v>
      </c>
      <c r="E1326" s="13" t="s">
        <v>808</v>
      </c>
      <c r="F1326" s="37">
        <v>16412.400000000001</v>
      </c>
      <c r="G1326" s="29" t="s">
        <v>6638</v>
      </c>
      <c r="H1326" s="14">
        <v>43607</v>
      </c>
      <c r="I1326" s="4" t="s">
        <v>266</v>
      </c>
    </row>
    <row r="1327" spans="1:12" x14ac:dyDescent="0.25">
      <c r="A1327" s="61" t="s">
        <v>1149</v>
      </c>
      <c r="B1327" s="14">
        <v>43643</v>
      </c>
      <c r="C1327" s="13">
        <v>1230</v>
      </c>
      <c r="D1327" s="13" t="s">
        <v>666</v>
      </c>
      <c r="E1327" s="13" t="s">
        <v>808</v>
      </c>
      <c r="F1327" s="37">
        <v>9500</v>
      </c>
      <c r="G1327" s="29" t="s">
        <v>8290</v>
      </c>
      <c r="H1327" s="14">
        <v>43607</v>
      </c>
      <c r="I1327" s="4" t="s">
        <v>266</v>
      </c>
    </row>
    <row r="1328" spans="1:12" s="97" customFormat="1" x14ac:dyDescent="0.25">
      <c r="A1328" s="61" t="s">
        <v>1148</v>
      </c>
      <c r="B1328" s="14">
        <v>43643</v>
      </c>
      <c r="C1328" s="13">
        <v>1231</v>
      </c>
      <c r="D1328" s="13" t="s">
        <v>516</v>
      </c>
      <c r="E1328" s="13" t="s">
        <v>808</v>
      </c>
      <c r="F1328" s="37">
        <v>100000</v>
      </c>
      <c r="G1328" s="29" t="s">
        <v>6185</v>
      </c>
      <c r="H1328" s="14">
        <v>43600</v>
      </c>
      <c r="I1328" s="4" t="s">
        <v>8373</v>
      </c>
      <c r="J1328" s="133"/>
      <c r="K1328" s="22"/>
      <c r="L1328" s="134"/>
    </row>
    <row r="1329" spans="1:12" s="97" customFormat="1" x14ac:dyDescent="0.25">
      <c r="A1329" s="61" t="s">
        <v>1147</v>
      </c>
      <c r="B1329" s="14">
        <v>43643</v>
      </c>
      <c r="C1329" s="13">
        <v>1232</v>
      </c>
      <c r="D1329" s="13" t="s">
        <v>6487</v>
      </c>
      <c r="E1329" s="13" t="s">
        <v>808</v>
      </c>
      <c r="F1329" s="37">
        <v>15502</v>
      </c>
      <c r="G1329" s="29" t="s">
        <v>68</v>
      </c>
      <c r="H1329" s="14">
        <v>43617</v>
      </c>
      <c r="I1329" s="4" t="s">
        <v>1497</v>
      </c>
      <c r="J1329" s="133"/>
      <c r="K1329" s="22"/>
      <c r="L1329" s="134"/>
    </row>
    <row r="1330" spans="1:12" x14ac:dyDescent="0.25">
      <c r="A1330" s="61" t="s">
        <v>659</v>
      </c>
      <c r="B1330" s="14">
        <v>43643</v>
      </c>
      <c r="C1330" s="13">
        <v>1233</v>
      </c>
      <c r="D1330" s="13" t="s">
        <v>250</v>
      </c>
      <c r="E1330" s="13" t="s">
        <v>808</v>
      </c>
      <c r="F1330" s="37">
        <f>669375-500000</f>
        <v>169375</v>
      </c>
      <c r="G1330" s="29" t="s">
        <v>7425</v>
      </c>
      <c r="H1330" s="14">
        <v>43569</v>
      </c>
      <c r="I1330" s="4" t="s">
        <v>402</v>
      </c>
    </row>
    <row r="1331" spans="1:12" x14ac:dyDescent="0.25">
      <c r="A1331" s="61" t="s">
        <v>659</v>
      </c>
      <c r="B1331" s="14">
        <v>43643</v>
      </c>
      <c r="C1331" s="13">
        <v>1233</v>
      </c>
      <c r="D1331" s="13" t="s">
        <v>250</v>
      </c>
      <c r="E1331" s="13" t="s">
        <v>808</v>
      </c>
      <c r="F1331" s="37">
        <v>93500</v>
      </c>
      <c r="G1331" s="29" t="s">
        <v>7679</v>
      </c>
      <c r="H1331" s="14">
        <v>43573</v>
      </c>
      <c r="I1331" s="4" t="s">
        <v>402</v>
      </c>
    </row>
    <row r="1332" spans="1:12" x14ac:dyDescent="0.25">
      <c r="A1332" s="61" t="s">
        <v>1147</v>
      </c>
      <c r="B1332" s="14">
        <v>43643</v>
      </c>
      <c r="C1332" s="13">
        <v>1234</v>
      </c>
      <c r="D1332" s="13" t="s">
        <v>29</v>
      </c>
      <c r="E1332" s="13" t="s">
        <v>808</v>
      </c>
      <c r="F1332" s="37">
        <v>329175</v>
      </c>
      <c r="G1332" s="29" t="s">
        <v>7690</v>
      </c>
      <c r="H1332" s="14">
        <v>43577</v>
      </c>
      <c r="I1332" s="4" t="s">
        <v>1061</v>
      </c>
    </row>
    <row r="1333" spans="1:12" x14ac:dyDescent="0.25">
      <c r="A1333" s="61" t="s">
        <v>659</v>
      </c>
      <c r="B1333" s="14">
        <v>43643</v>
      </c>
      <c r="C1333" s="13">
        <v>1235</v>
      </c>
      <c r="D1333" s="13" t="s">
        <v>5888</v>
      </c>
      <c r="E1333" s="13" t="s">
        <v>808</v>
      </c>
      <c r="F1333" s="37">
        <v>100000</v>
      </c>
      <c r="G1333" s="29" t="s">
        <v>299</v>
      </c>
      <c r="H1333" s="14">
        <v>43591</v>
      </c>
      <c r="I1333" s="4" t="s">
        <v>402</v>
      </c>
    </row>
    <row r="1334" spans="1:12" ht="27.6" x14ac:dyDescent="0.25">
      <c r="A1334" s="61" t="s">
        <v>1806</v>
      </c>
      <c r="B1334" s="14">
        <v>43643</v>
      </c>
      <c r="C1334" s="13">
        <v>1236</v>
      </c>
      <c r="D1334" s="13" t="s">
        <v>2047</v>
      </c>
      <c r="E1334" s="13" t="s">
        <v>808</v>
      </c>
      <c r="F1334" s="37">
        <v>56100</v>
      </c>
      <c r="G1334" s="29" t="s">
        <v>1670</v>
      </c>
      <c r="H1334" s="14">
        <v>43600</v>
      </c>
      <c r="I1334" s="4" t="s">
        <v>95</v>
      </c>
    </row>
    <row r="1335" spans="1:12" x14ac:dyDescent="0.25">
      <c r="A1335" s="61" t="s">
        <v>1316</v>
      </c>
      <c r="B1335" s="14">
        <v>43643</v>
      </c>
      <c r="C1335" s="13">
        <v>1237</v>
      </c>
      <c r="D1335" s="13" t="s">
        <v>1985</v>
      </c>
      <c r="E1335" s="13" t="s">
        <v>808</v>
      </c>
      <c r="F1335" s="37">
        <v>9200</v>
      </c>
      <c r="G1335" s="29" t="s">
        <v>1368</v>
      </c>
      <c r="H1335" s="14">
        <v>43616</v>
      </c>
      <c r="I1335" s="4" t="s">
        <v>122</v>
      </c>
    </row>
    <row r="1336" spans="1:12" x14ac:dyDescent="0.25">
      <c r="A1336" s="61" t="s">
        <v>1316</v>
      </c>
      <c r="B1336" s="14">
        <v>43643</v>
      </c>
      <c r="C1336" s="13">
        <v>1237</v>
      </c>
      <c r="D1336" s="13" t="s">
        <v>1985</v>
      </c>
      <c r="E1336" s="13" t="s">
        <v>808</v>
      </c>
      <c r="F1336" s="37">
        <v>12400</v>
      </c>
      <c r="G1336" s="29" t="s">
        <v>1436</v>
      </c>
      <c r="H1336" s="14">
        <v>43616</v>
      </c>
      <c r="I1336" s="4" t="s">
        <v>122</v>
      </c>
    </row>
    <row r="1337" spans="1:12" x14ac:dyDescent="0.25">
      <c r="A1337" s="61" t="s">
        <v>1149</v>
      </c>
      <c r="B1337" s="14">
        <v>43643</v>
      </c>
      <c r="C1337" s="13">
        <v>1237</v>
      </c>
      <c r="D1337" s="13" t="s">
        <v>1985</v>
      </c>
      <c r="E1337" s="13" t="s">
        <v>808</v>
      </c>
      <c r="F1337" s="37">
        <v>8800</v>
      </c>
      <c r="G1337" s="29" t="s">
        <v>1453</v>
      </c>
      <c r="H1337" s="14">
        <v>43616</v>
      </c>
      <c r="I1337" s="4" t="s">
        <v>122</v>
      </c>
    </row>
    <row r="1338" spans="1:12" x14ac:dyDescent="0.25">
      <c r="A1338" s="61" t="s">
        <v>160</v>
      </c>
      <c r="B1338" s="14">
        <v>43643</v>
      </c>
      <c r="C1338" s="13">
        <v>1237</v>
      </c>
      <c r="D1338" s="13" t="s">
        <v>1985</v>
      </c>
      <c r="E1338" s="13" t="s">
        <v>808</v>
      </c>
      <c r="F1338" s="37">
        <v>61050</v>
      </c>
      <c r="G1338" s="29" t="s">
        <v>3121</v>
      </c>
      <c r="H1338" s="14">
        <v>43616</v>
      </c>
      <c r="I1338" s="4" t="s">
        <v>122</v>
      </c>
    </row>
    <row r="1339" spans="1:12" x14ac:dyDescent="0.25">
      <c r="A1339" s="61" t="s">
        <v>1147</v>
      </c>
      <c r="B1339" s="14">
        <v>43643</v>
      </c>
      <c r="C1339" s="13">
        <v>1238</v>
      </c>
      <c r="D1339" s="13" t="s">
        <v>692</v>
      </c>
      <c r="E1339" s="13" t="s">
        <v>808</v>
      </c>
      <c r="F1339" s="37">
        <v>105000</v>
      </c>
      <c r="G1339" s="29" t="s">
        <v>1568</v>
      </c>
      <c r="H1339" s="14">
        <v>43605</v>
      </c>
      <c r="I1339" s="4" t="s">
        <v>2027</v>
      </c>
    </row>
    <row r="1340" spans="1:12" x14ac:dyDescent="0.25">
      <c r="A1340" s="61" t="s">
        <v>741</v>
      </c>
      <c r="B1340" s="14">
        <v>43643</v>
      </c>
      <c r="C1340" s="13">
        <v>728</v>
      </c>
      <c r="D1340" s="13" t="s">
        <v>5629</v>
      </c>
      <c r="E1340" s="13" t="s">
        <v>434</v>
      </c>
      <c r="F1340" s="37">
        <v>1191214</v>
      </c>
      <c r="G1340" s="29" t="s">
        <v>141</v>
      </c>
      <c r="H1340" s="14">
        <v>43579</v>
      </c>
      <c r="I1340" s="4" t="s">
        <v>7197</v>
      </c>
    </row>
    <row r="1341" spans="1:12" ht="27.6" x14ac:dyDescent="0.25">
      <c r="A1341" s="61" t="s">
        <v>460</v>
      </c>
      <c r="B1341" s="14">
        <v>43644</v>
      </c>
      <c r="C1341" s="13">
        <v>130</v>
      </c>
      <c r="D1341" s="14" t="s">
        <v>7179</v>
      </c>
      <c r="E1341" s="32" t="s">
        <v>2058</v>
      </c>
      <c r="F1341" s="4">
        <v>89341</v>
      </c>
      <c r="G1341" s="86" t="s">
        <v>7180</v>
      </c>
      <c r="H1341" s="211"/>
      <c r="I1341" s="326"/>
      <c r="K1341" s="62"/>
    </row>
    <row r="1342" spans="1:12" ht="27.6" x14ac:dyDescent="0.25">
      <c r="A1342" s="61" t="s">
        <v>460</v>
      </c>
      <c r="B1342" s="14">
        <v>43644</v>
      </c>
      <c r="C1342" s="13">
        <v>131</v>
      </c>
      <c r="D1342" s="14" t="s">
        <v>7345</v>
      </c>
      <c r="E1342" s="32" t="s">
        <v>2058</v>
      </c>
      <c r="F1342" s="4">
        <v>90279</v>
      </c>
      <c r="G1342" s="86" t="s">
        <v>7346</v>
      </c>
      <c r="H1342" s="211"/>
      <c r="I1342" s="326"/>
      <c r="K1342" s="62"/>
    </row>
    <row r="1343" spans="1:12" x14ac:dyDescent="0.25">
      <c r="A1343" s="32" t="s">
        <v>358</v>
      </c>
      <c r="B1343" s="14"/>
      <c r="C1343" s="13"/>
      <c r="D1343" s="13" t="s">
        <v>373</v>
      </c>
      <c r="E1343" s="32" t="s">
        <v>742</v>
      </c>
      <c r="F1343" s="4">
        <v>11700.19</v>
      </c>
      <c r="G1343" s="29" t="s">
        <v>9352</v>
      </c>
      <c r="H1343" s="14">
        <v>43627</v>
      </c>
      <c r="I1343" s="4" t="s">
        <v>9353</v>
      </c>
      <c r="J1343" s="128"/>
    </row>
    <row r="1344" spans="1:12" x14ac:dyDescent="0.25">
      <c r="A1344" s="61" t="s">
        <v>460</v>
      </c>
      <c r="B1344" s="14"/>
      <c r="C1344" s="13"/>
      <c r="D1344" s="14" t="s">
        <v>7327</v>
      </c>
      <c r="E1344" s="32" t="s">
        <v>888</v>
      </c>
      <c r="F1344" s="4">
        <v>97926</v>
      </c>
      <c r="G1344" s="86" t="s">
        <v>7328</v>
      </c>
      <c r="H1344" s="211"/>
      <c r="I1344" s="326"/>
      <c r="K1344" s="62"/>
    </row>
    <row r="1345" spans="1:12" x14ac:dyDescent="0.25">
      <c r="A1345" s="61" t="s">
        <v>460</v>
      </c>
      <c r="B1345" s="14"/>
      <c r="C1345" s="13"/>
      <c r="D1345" s="14" t="s">
        <v>7329</v>
      </c>
      <c r="E1345" s="32" t="s">
        <v>888</v>
      </c>
      <c r="F1345" s="4">
        <v>95421</v>
      </c>
      <c r="G1345" s="86" t="s">
        <v>7330</v>
      </c>
      <c r="H1345" s="211"/>
      <c r="I1345" s="326"/>
      <c r="K1345" s="62"/>
    </row>
    <row r="1346" spans="1:12" x14ac:dyDescent="0.25">
      <c r="A1346" s="32" t="s">
        <v>129</v>
      </c>
      <c r="B1346" s="14"/>
      <c r="C1346" s="67"/>
      <c r="D1346" s="32" t="s">
        <v>373</v>
      </c>
      <c r="E1346" s="32" t="s">
        <v>888</v>
      </c>
      <c r="F1346" s="4">
        <v>790210.25</v>
      </c>
      <c r="G1346" s="28" t="s">
        <v>1405</v>
      </c>
      <c r="H1346" s="14">
        <v>43152</v>
      </c>
      <c r="I1346" s="4" t="s">
        <v>362</v>
      </c>
      <c r="J1346" s="166" t="s">
        <v>1386</v>
      </c>
      <c r="K1346" s="167"/>
      <c r="L1346" s="35"/>
    </row>
    <row r="1347" spans="1:12" ht="16.5" customHeight="1" x14ac:dyDescent="0.25">
      <c r="A1347" s="13" t="s">
        <v>184</v>
      </c>
      <c r="B1347" s="14"/>
      <c r="C1347" s="67"/>
      <c r="D1347" s="32" t="s">
        <v>1359</v>
      </c>
      <c r="E1347" s="32" t="s">
        <v>1121</v>
      </c>
      <c r="F1347" s="208">
        <f>883068-200000</f>
        <v>683068</v>
      </c>
      <c r="G1347" s="25" t="s">
        <v>7317</v>
      </c>
      <c r="H1347" s="14">
        <v>43617</v>
      </c>
      <c r="I1347" s="4" t="s">
        <v>294</v>
      </c>
      <c r="J1347" s="76" t="s">
        <v>526</v>
      </c>
      <c r="K1347" s="260"/>
      <c r="L1347" s="62"/>
    </row>
    <row r="1348" spans="1:12" x14ac:dyDescent="0.25">
      <c r="A1348" s="13" t="s">
        <v>184</v>
      </c>
      <c r="B1348" s="14"/>
      <c r="C1348" s="13"/>
      <c r="D1348" s="13" t="s">
        <v>197</v>
      </c>
      <c r="E1348" s="32" t="s">
        <v>1121</v>
      </c>
      <c r="F1348" s="4">
        <v>195294</v>
      </c>
      <c r="G1348" s="28" t="s">
        <v>7025</v>
      </c>
      <c r="H1348" s="14">
        <v>43602</v>
      </c>
      <c r="I1348" s="4" t="s">
        <v>1181</v>
      </c>
      <c r="J1348" s="76" t="s">
        <v>526</v>
      </c>
    </row>
    <row r="1349" spans="1:12" ht="16.5" customHeight="1" x14ac:dyDescent="0.25">
      <c r="A1349" s="13" t="s">
        <v>184</v>
      </c>
      <c r="B1349" s="14"/>
      <c r="C1349" s="67"/>
      <c r="D1349" s="32" t="s">
        <v>9356</v>
      </c>
      <c r="E1349" s="32" t="s">
        <v>1121</v>
      </c>
      <c r="F1349" s="208">
        <v>50000</v>
      </c>
      <c r="G1349" s="25" t="s">
        <v>3011</v>
      </c>
      <c r="H1349" s="14">
        <v>43641</v>
      </c>
      <c r="I1349" s="4" t="s">
        <v>9357</v>
      </c>
      <c r="J1349" s="76"/>
      <c r="K1349" s="260"/>
      <c r="L1349" s="62"/>
    </row>
    <row r="1350" spans="1:12" ht="15" customHeight="1" x14ac:dyDescent="0.25">
      <c r="A1350" s="13" t="s">
        <v>184</v>
      </c>
      <c r="B1350" s="14"/>
      <c r="C1350" s="67"/>
      <c r="D1350" s="13" t="s">
        <v>238</v>
      </c>
      <c r="E1350" s="32" t="s">
        <v>1121</v>
      </c>
      <c r="F1350" s="4">
        <v>11849</v>
      </c>
      <c r="G1350" s="28" t="s">
        <v>772</v>
      </c>
      <c r="H1350" s="14">
        <v>43640</v>
      </c>
      <c r="I1350" s="4" t="s">
        <v>179</v>
      </c>
      <c r="J1350" s="125"/>
    </row>
    <row r="1351" spans="1:12" s="192" customFormat="1" x14ac:dyDescent="0.25">
      <c r="A1351" s="147" t="s">
        <v>242</v>
      </c>
      <c r="B1351" s="164"/>
      <c r="C1351" s="187"/>
      <c r="D1351" s="149" t="s">
        <v>388</v>
      </c>
      <c r="E1351" s="147" t="s">
        <v>1121</v>
      </c>
      <c r="F1351" s="158">
        <v>381404.24</v>
      </c>
      <c r="G1351" s="150" t="s">
        <v>6784</v>
      </c>
      <c r="H1351" s="148">
        <v>43630</v>
      </c>
      <c r="I1351" s="149" t="s">
        <v>143</v>
      </c>
      <c r="J1351" s="193"/>
      <c r="K1351" s="194"/>
      <c r="L1351" s="190"/>
    </row>
    <row r="1352" spans="1:12" s="192" customFormat="1" x14ac:dyDescent="0.25">
      <c r="A1352" s="147" t="s">
        <v>242</v>
      </c>
      <c r="B1352" s="164"/>
      <c r="C1352" s="195"/>
      <c r="D1352" s="149" t="s">
        <v>784</v>
      </c>
      <c r="E1352" s="147" t="s">
        <v>1121</v>
      </c>
      <c r="F1352" s="158">
        <v>909452</v>
      </c>
      <c r="G1352" s="150" t="s">
        <v>205</v>
      </c>
      <c r="H1352" s="148">
        <v>43616</v>
      </c>
      <c r="I1352" s="149" t="s">
        <v>143</v>
      </c>
      <c r="J1352" s="193"/>
      <c r="K1352" s="194"/>
      <c r="L1352" s="190"/>
    </row>
    <row r="1353" spans="1:12" ht="13.95" customHeight="1" x14ac:dyDescent="0.25">
      <c r="A1353" s="68" t="s">
        <v>310</v>
      </c>
      <c r="B1353" s="14"/>
      <c r="C1353" s="13"/>
      <c r="D1353" s="32" t="s">
        <v>4487</v>
      </c>
      <c r="E1353" s="32" t="s">
        <v>958</v>
      </c>
      <c r="F1353" s="4">
        <v>5000000</v>
      </c>
      <c r="G1353" s="86" t="s">
        <v>4486</v>
      </c>
      <c r="H1353" s="211"/>
      <c r="I1353" s="84" t="s">
        <v>273</v>
      </c>
      <c r="J1353" s="21"/>
      <c r="K1353" s="228"/>
    </row>
    <row r="1354" spans="1:12" s="97" customFormat="1" x14ac:dyDescent="0.25">
      <c r="A1354" s="61" t="s">
        <v>455</v>
      </c>
      <c r="B1354" s="14"/>
      <c r="C1354" s="13"/>
      <c r="D1354" s="13" t="s">
        <v>257</v>
      </c>
      <c r="E1354" s="13" t="s">
        <v>958</v>
      </c>
      <c r="F1354" s="4">
        <v>907954.5</v>
      </c>
      <c r="G1354" s="29" t="s">
        <v>7451</v>
      </c>
      <c r="H1354" s="14">
        <v>43581</v>
      </c>
      <c r="I1354" s="4" t="s">
        <v>7452</v>
      </c>
      <c r="J1354" s="133"/>
      <c r="K1354" s="22"/>
      <c r="L1354" s="134"/>
    </row>
    <row r="1355" spans="1:12" s="97" customFormat="1" x14ac:dyDescent="0.25">
      <c r="A1355" s="61" t="s">
        <v>455</v>
      </c>
      <c r="B1355" s="14"/>
      <c r="C1355" s="13"/>
      <c r="D1355" s="13" t="s">
        <v>589</v>
      </c>
      <c r="E1355" s="13" t="s">
        <v>958</v>
      </c>
      <c r="F1355" s="4">
        <v>839150</v>
      </c>
      <c r="G1355" s="29" t="s">
        <v>7472</v>
      </c>
      <c r="H1355" s="14">
        <v>43581</v>
      </c>
      <c r="I1355" s="4" t="s">
        <v>7473</v>
      </c>
      <c r="J1355" s="133"/>
      <c r="K1355" s="22"/>
      <c r="L1355" s="134"/>
    </row>
    <row r="1356" spans="1:12" x14ac:dyDescent="0.25">
      <c r="A1356" s="61" t="s">
        <v>455</v>
      </c>
      <c r="B1356" s="14"/>
      <c r="C1356" s="13"/>
      <c r="D1356" s="13" t="s">
        <v>5345</v>
      </c>
      <c r="E1356" s="13" t="s">
        <v>958</v>
      </c>
      <c r="F1356" s="37">
        <f>229900-100000-65000</f>
        <v>64900</v>
      </c>
      <c r="G1356" s="29" t="s">
        <v>4</v>
      </c>
      <c r="H1356" s="14">
        <v>43575</v>
      </c>
      <c r="I1356" s="4" t="s">
        <v>5346</v>
      </c>
    </row>
    <row r="1357" spans="1:12" s="97" customFormat="1" x14ac:dyDescent="0.25">
      <c r="A1357" s="61" t="s">
        <v>92</v>
      </c>
      <c r="B1357" s="14"/>
      <c r="C1357" s="13"/>
      <c r="D1357" s="13" t="s">
        <v>2697</v>
      </c>
      <c r="E1357" s="13" t="s">
        <v>62</v>
      </c>
      <c r="F1357" s="4">
        <v>82908</v>
      </c>
      <c r="G1357" s="28" t="s">
        <v>5663</v>
      </c>
      <c r="H1357" s="14">
        <v>43606</v>
      </c>
      <c r="I1357" s="4" t="s">
        <v>1244</v>
      </c>
      <c r="J1357" s="133"/>
      <c r="K1357" s="22"/>
      <c r="L1357" s="134"/>
    </row>
    <row r="1358" spans="1:12" s="97" customFormat="1" x14ac:dyDescent="0.25">
      <c r="A1358" s="61" t="s">
        <v>442</v>
      </c>
      <c r="B1358" s="14"/>
      <c r="C1358" s="13"/>
      <c r="D1358" s="13" t="s">
        <v>157</v>
      </c>
      <c r="E1358" s="13" t="s">
        <v>62</v>
      </c>
      <c r="F1358" s="37">
        <v>5706</v>
      </c>
      <c r="G1358" s="29" t="s">
        <v>8609</v>
      </c>
      <c r="H1358" s="14">
        <v>43609</v>
      </c>
      <c r="I1358" s="4" t="s">
        <v>305</v>
      </c>
      <c r="J1358" s="133"/>
      <c r="K1358" s="22"/>
      <c r="L1358" s="134"/>
    </row>
    <row r="1359" spans="1:12" s="97" customFormat="1" x14ac:dyDescent="0.25">
      <c r="A1359" s="61" t="s">
        <v>358</v>
      </c>
      <c r="B1359" s="14"/>
      <c r="C1359" s="13"/>
      <c r="D1359" s="13" t="s">
        <v>157</v>
      </c>
      <c r="E1359" s="13" t="s">
        <v>62</v>
      </c>
      <c r="F1359" s="37">
        <f>816000-400000</f>
        <v>416000</v>
      </c>
      <c r="G1359" s="29" t="s">
        <v>8840</v>
      </c>
      <c r="H1359" s="14">
        <v>43602</v>
      </c>
      <c r="I1359" s="4" t="s">
        <v>305</v>
      </c>
      <c r="J1359" s="133"/>
      <c r="K1359" s="22"/>
      <c r="L1359" s="134"/>
    </row>
    <row r="1360" spans="1:12" s="97" customFormat="1" x14ac:dyDescent="0.25">
      <c r="A1360" s="61" t="s">
        <v>92</v>
      </c>
      <c r="B1360" s="14"/>
      <c r="C1360" s="13"/>
      <c r="D1360" s="13" t="s">
        <v>868</v>
      </c>
      <c r="E1360" s="13" t="s">
        <v>62</v>
      </c>
      <c r="F1360" s="37">
        <v>4867.5</v>
      </c>
      <c r="G1360" s="29" t="s">
        <v>8444</v>
      </c>
      <c r="H1360" s="14">
        <v>43607</v>
      </c>
      <c r="I1360" s="4" t="s">
        <v>5692</v>
      </c>
      <c r="J1360" s="133"/>
      <c r="K1360" s="22"/>
      <c r="L1360" s="134"/>
    </row>
    <row r="1361" spans="1:12" s="97" customFormat="1" x14ac:dyDescent="0.25">
      <c r="A1361" s="61" t="s">
        <v>442</v>
      </c>
      <c r="B1361" s="14"/>
      <c r="C1361" s="13"/>
      <c r="D1361" s="13" t="s">
        <v>868</v>
      </c>
      <c r="E1361" s="13" t="s">
        <v>62</v>
      </c>
      <c r="F1361" s="37">
        <v>16648</v>
      </c>
      <c r="G1361" s="29" t="s">
        <v>8445</v>
      </c>
      <c r="H1361" s="14">
        <v>43607</v>
      </c>
      <c r="I1361" s="4" t="s">
        <v>1494</v>
      </c>
      <c r="J1361" s="133"/>
      <c r="K1361" s="22"/>
      <c r="L1361" s="134"/>
    </row>
    <row r="1362" spans="1:12" s="97" customFormat="1" x14ac:dyDescent="0.25">
      <c r="A1362" s="61" t="s">
        <v>442</v>
      </c>
      <c r="B1362" s="14"/>
      <c r="C1362" s="13"/>
      <c r="D1362" s="13" t="s">
        <v>280</v>
      </c>
      <c r="E1362" s="13" t="s">
        <v>62</v>
      </c>
      <c r="F1362" s="4">
        <v>115350</v>
      </c>
      <c r="G1362" s="29" t="s">
        <v>1811</v>
      </c>
      <c r="H1362" s="14">
        <v>43600</v>
      </c>
      <c r="I1362" s="4" t="s">
        <v>7813</v>
      </c>
      <c r="J1362" s="133"/>
      <c r="K1362" s="22"/>
      <c r="L1362" s="134"/>
    </row>
    <row r="1363" spans="1:12" s="97" customFormat="1" x14ac:dyDescent="0.25">
      <c r="A1363" s="61" t="s">
        <v>358</v>
      </c>
      <c r="B1363" s="14"/>
      <c r="C1363" s="13"/>
      <c r="D1363" s="13" t="s">
        <v>157</v>
      </c>
      <c r="E1363" s="13" t="s">
        <v>62</v>
      </c>
      <c r="F1363" s="37">
        <v>94485.23</v>
      </c>
      <c r="G1363" s="29" t="s">
        <v>8401</v>
      </c>
      <c r="H1363" s="14">
        <v>43606</v>
      </c>
      <c r="I1363" s="4" t="s">
        <v>8402</v>
      </c>
      <c r="J1363" s="133"/>
      <c r="K1363" s="22"/>
      <c r="L1363" s="134"/>
    </row>
    <row r="1364" spans="1:12" s="97" customFormat="1" x14ac:dyDescent="0.25">
      <c r="A1364" s="61" t="s">
        <v>92</v>
      </c>
      <c r="B1364" s="14"/>
      <c r="C1364" s="13"/>
      <c r="D1364" s="13" t="s">
        <v>157</v>
      </c>
      <c r="E1364" s="13" t="s">
        <v>62</v>
      </c>
      <c r="F1364" s="37">
        <v>81026.3</v>
      </c>
      <c r="G1364" s="29" t="s">
        <v>8408</v>
      </c>
      <c r="H1364" s="14">
        <v>43608</v>
      </c>
      <c r="I1364" s="4" t="s">
        <v>8409</v>
      </c>
      <c r="J1364" s="133"/>
      <c r="K1364" s="22"/>
      <c r="L1364" s="134"/>
    </row>
    <row r="1365" spans="1:12" x14ac:dyDescent="0.25">
      <c r="A1365" s="61" t="s">
        <v>92</v>
      </c>
      <c r="B1365" s="14"/>
      <c r="C1365" s="13"/>
      <c r="D1365" s="13" t="s">
        <v>250</v>
      </c>
      <c r="E1365" s="13" t="s">
        <v>62</v>
      </c>
      <c r="F1365" s="37">
        <v>93500</v>
      </c>
      <c r="G1365" s="29" t="s">
        <v>8057</v>
      </c>
      <c r="H1365" s="14">
        <v>43577</v>
      </c>
      <c r="I1365" s="4" t="s">
        <v>2159</v>
      </c>
    </row>
    <row r="1366" spans="1:12" x14ac:dyDescent="0.25">
      <c r="A1366" s="61" t="s">
        <v>103</v>
      </c>
      <c r="B1366" s="14"/>
      <c r="C1366" s="13"/>
      <c r="D1366" s="13" t="s">
        <v>1985</v>
      </c>
      <c r="E1366" s="13" t="s">
        <v>62</v>
      </c>
      <c r="F1366" s="37">
        <v>48875</v>
      </c>
      <c r="G1366" s="29" t="s">
        <v>4750</v>
      </c>
      <c r="H1366" s="14">
        <v>43616</v>
      </c>
      <c r="I1366" s="4" t="s">
        <v>8833</v>
      </c>
    </row>
    <row r="1367" spans="1:12" x14ac:dyDescent="0.25">
      <c r="A1367" s="14" t="s">
        <v>442</v>
      </c>
      <c r="B1367" s="14"/>
      <c r="C1367" s="13"/>
      <c r="D1367" s="13" t="s">
        <v>1985</v>
      </c>
      <c r="E1367" s="13" t="s">
        <v>62</v>
      </c>
      <c r="F1367" s="37">
        <v>11000</v>
      </c>
      <c r="G1367" s="29" t="s">
        <v>7898</v>
      </c>
      <c r="H1367" s="14">
        <v>43616</v>
      </c>
      <c r="I1367" s="4" t="s">
        <v>122</v>
      </c>
    </row>
    <row r="1368" spans="1:12" ht="13.8" customHeight="1" x14ac:dyDescent="0.25">
      <c r="A1368" s="32" t="s">
        <v>442</v>
      </c>
      <c r="B1368" s="14"/>
      <c r="C1368" s="13"/>
      <c r="D1368" s="32" t="s">
        <v>181</v>
      </c>
      <c r="E1368" s="32" t="s">
        <v>62</v>
      </c>
      <c r="F1368" s="4">
        <v>92280</v>
      </c>
      <c r="G1368" s="29" t="s">
        <v>3157</v>
      </c>
      <c r="H1368" s="14">
        <v>43616</v>
      </c>
      <c r="I1368" s="4" t="s">
        <v>102</v>
      </c>
      <c r="J1368" s="21"/>
      <c r="K1368" s="228"/>
    </row>
    <row r="1369" spans="1:12" s="97" customFormat="1" x14ac:dyDescent="0.25">
      <c r="A1369" s="68" t="s">
        <v>1350</v>
      </c>
      <c r="B1369" s="14"/>
      <c r="C1369" s="13"/>
      <c r="D1369" s="13" t="s">
        <v>740</v>
      </c>
      <c r="E1369" s="218" t="s">
        <v>691</v>
      </c>
      <c r="F1369" s="4">
        <f>1347580-823000</f>
        <v>524580</v>
      </c>
      <c r="G1369" s="70" t="s">
        <v>7445</v>
      </c>
      <c r="H1369" s="211">
        <v>43563</v>
      </c>
      <c r="I1369" s="32" t="s">
        <v>1876</v>
      </c>
      <c r="J1369" s="133"/>
      <c r="K1369" s="22"/>
      <c r="L1369" s="134"/>
    </row>
    <row r="1370" spans="1:12" s="97" customFormat="1" x14ac:dyDescent="0.25">
      <c r="A1370" s="61" t="s">
        <v>1350</v>
      </c>
      <c r="B1370" s="14"/>
      <c r="C1370" s="13"/>
      <c r="D1370" s="13" t="s">
        <v>740</v>
      </c>
      <c r="E1370" s="13" t="s">
        <v>691</v>
      </c>
      <c r="F1370" s="4">
        <v>630000</v>
      </c>
      <c r="G1370" s="28" t="s">
        <v>7446</v>
      </c>
      <c r="H1370" s="14">
        <v>43563</v>
      </c>
      <c r="I1370" s="4" t="s">
        <v>1876</v>
      </c>
      <c r="J1370" s="133"/>
      <c r="K1370" s="22"/>
      <c r="L1370" s="134"/>
    </row>
    <row r="1371" spans="1:12" s="97" customFormat="1" x14ac:dyDescent="0.25">
      <c r="A1371" s="13" t="s">
        <v>1350</v>
      </c>
      <c r="B1371" s="14"/>
      <c r="C1371" s="13"/>
      <c r="D1371" s="13" t="s">
        <v>869</v>
      </c>
      <c r="E1371" s="13" t="s">
        <v>691</v>
      </c>
      <c r="F1371" s="4">
        <v>23400</v>
      </c>
      <c r="G1371" s="28" t="s">
        <v>8463</v>
      </c>
      <c r="H1371" s="14">
        <v>43615</v>
      </c>
      <c r="I1371" s="4" t="s">
        <v>8464</v>
      </c>
      <c r="J1371" s="133"/>
      <c r="K1371" s="22"/>
      <c r="L1371" s="134"/>
    </row>
    <row r="1372" spans="1:12" s="97" customFormat="1" x14ac:dyDescent="0.25">
      <c r="A1372" s="61" t="s">
        <v>637</v>
      </c>
      <c r="B1372" s="14"/>
      <c r="C1372" s="13"/>
      <c r="D1372" s="13" t="s">
        <v>1491</v>
      </c>
      <c r="E1372" s="13" t="s">
        <v>691</v>
      </c>
      <c r="F1372" s="37">
        <v>245103.62</v>
      </c>
      <c r="G1372" s="29" t="s">
        <v>8389</v>
      </c>
      <c r="H1372" s="14">
        <v>43601</v>
      </c>
      <c r="I1372" s="4" t="s">
        <v>7478</v>
      </c>
      <c r="J1372" s="133"/>
      <c r="K1372" s="22"/>
      <c r="L1372" s="134"/>
    </row>
    <row r="1373" spans="1:12" s="97" customFormat="1" x14ac:dyDescent="0.25">
      <c r="A1373" s="61" t="s">
        <v>1350</v>
      </c>
      <c r="B1373" s="14"/>
      <c r="C1373" s="13"/>
      <c r="D1373" s="13" t="s">
        <v>6487</v>
      </c>
      <c r="E1373" s="13" t="s">
        <v>691</v>
      </c>
      <c r="F1373" s="37">
        <v>14000</v>
      </c>
      <c r="G1373" s="29" t="s">
        <v>65</v>
      </c>
      <c r="H1373" s="14">
        <v>43619</v>
      </c>
      <c r="I1373" s="4" t="s">
        <v>1497</v>
      </c>
      <c r="J1373" s="133"/>
      <c r="K1373" s="22"/>
      <c r="L1373" s="134"/>
    </row>
    <row r="1374" spans="1:12" x14ac:dyDescent="0.25">
      <c r="A1374" s="61" t="s">
        <v>1350</v>
      </c>
      <c r="B1374" s="14"/>
      <c r="C1374" s="13"/>
      <c r="D1374" s="13" t="s">
        <v>944</v>
      </c>
      <c r="E1374" s="13" t="s">
        <v>691</v>
      </c>
      <c r="F1374" s="37">
        <v>148500</v>
      </c>
      <c r="G1374" s="29" t="s">
        <v>5495</v>
      </c>
      <c r="H1374" s="14">
        <v>43585</v>
      </c>
      <c r="I1374" s="4" t="s">
        <v>402</v>
      </c>
    </row>
    <row r="1375" spans="1:12" x14ac:dyDescent="0.25">
      <c r="A1375" s="61" t="s">
        <v>637</v>
      </c>
      <c r="B1375" s="14"/>
      <c r="C1375" s="13"/>
      <c r="D1375" s="13" t="s">
        <v>282</v>
      </c>
      <c r="E1375" s="13" t="s">
        <v>691</v>
      </c>
      <c r="F1375" s="37">
        <v>34320</v>
      </c>
      <c r="G1375" s="29" t="s">
        <v>5647</v>
      </c>
      <c r="H1375" s="14">
        <v>43608</v>
      </c>
      <c r="I1375" s="4" t="s">
        <v>283</v>
      </c>
    </row>
    <row r="1376" spans="1:12" x14ac:dyDescent="0.25">
      <c r="A1376" s="61" t="s">
        <v>637</v>
      </c>
      <c r="B1376" s="14"/>
      <c r="C1376" s="13"/>
      <c r="D1376" s="13" t="s">
        <v>282</v>
      </c>
      <c r="E1376" s="13" t="s">
        <v>691</v>
      </c>
      <c r="F1376" s="37">
        <v>30030</v>
      </c>
      <c r="G1376" s="29" t="s">
        <v>8803</v>
      </c>
      <c r="H1376" s="14">
        <v>43616</v>
      </c>
      <c r="I1376" s="4" t="s">
        <v>283</v>
      </c>
    </row>
    <row r="1377" spans="1:17" x14ac:dyDescent="0.25">
      <c r="A1377" s="61" t="s">
        <v>1350</v>
      </c>
      <c r="B1377" s="14"/>
      <c r="C1377" s="13"/>
      <c r="D1377" s="13" t="s">
        <v>2115</v>
      </c>
      <c r="E1377" s="13" t="s">
        <v>691</v>
      </c>
      <c r="F1377" s="37">
        <v>166950</v>
      </c>
      <c r="G1377" s="29" t="s">
        <v>2806</v>
      </c>
      <c r="H1377" s="14">
        <v>43585</v>
      </c>
      <c r="I1377" s="4" t="s">
        <v>164</v>
      </c>
    </row>
    <row r="1378" spans="1:17" x14ac:dyDescent="0.25">
      <c r="A1378" s="13" t="s">
        <v>1350</v>
      </c>
      <c r="B1378" s="126"/>
      <c r="C1378" s="28"/>
      <c r="D1378" s="32" t="s">
        <v>432</v>
      </c>
      <c r="E1378" s="32" t="s">
        <v>691</v>
      </c>
      <c r="F1378" s="4">
        <v>270000</v>
      </c>
      <c r="G1378" s="69" t="s">
        <v>8230</v>
      </c>
      <c r="H1378" s="14"/>
      <c r="I1378" s="4" t="s">
        <v>433</v>
      </c>
      <c r="J1378" s="21"/>
      <c r="K1378" s="228"/>
    </row>
    <row r="1379" spans="1:17" s="534" customFormat="1" ht="13.95" customHeight="1" x14ac:dyDescent="0.25">
      <c r="A1379" s="571" t="s">
        <v>311</v>
      </c>
      <c r="B1379" s="521"/>
      <c r="C1379" s="522"/>
      <c r="D1379" s="520" t="s">
        <v>272</v>
      </c>
      <c r="E1379" s="520" t="s">
        <v>958</v>
      </c>
      <c r="F1379" s="525">
        <v>11812363.300000001</v>
      </c>
      <c r="G1379" s="572" t="s">
        <v>4485</v>
      </c>
      <c r="H1379" s="573"/>
      <c r="I1379" s="574" t="s">
        <v>273</v>
      </c>
      <c r="J1379" s="533" t="s">
        <v>6392</v>
      </c>
    </row>
    <row r="1380" spans="1:17" s="534" customFormat="1" ht="13.95" customHeight="1" x14ac:dyDescent="0.25">
      <c r="A1380" s="571" t="s">
        <v>311</v>
      </c>
      <c r="B1380" s="521"/>
      <c r="C1380" s="522"/>
      <c r="D1380" s="520" t="s">
        <v>1077</v>
      </c>
      <c r="E1380" s="520" t="s">
        <v>958</v>
      </c>
      <c r="F1380" s="525">
        <v>133192</v>
      </c>
      <c r="G1380" s="572" t="s">
        <v>4456</v>
      </c>
      <c r="H1380" s="573"/>
      <c r="I1380" s="575" t="s">
        <v>4455</v>
      </c>
      <c r="J1380" s="533" t="s">
        <v>6392</v>
      </c>
    </row>
    <row r="1381" spans="1:17" s="534" customFormat="1" x14ac:dyDescent="0.25">
      <c r="A1381" s="522" t="s">
        <v>311</v>
      </c>
      <c r="B1381" s="521"/>
      <c r="C1381" s="522"/>
      <c r="D1381" s="520" t="s">
        <v>194</v>
      </c>
      <c r="E1381" s="520" t="s">
        <v>958</v>
      </c>
      <c r="F1381" s="525">
        <v>5209635.3</v>
      </c>
      <c r="G1381" s="576" t="s">
        <v>4447</v>
      </c>
      <c r="H1381" s="521"/>
      <c r="I1381" s="577" t="s">
        <v>202</v>
      </c>
      <c r="J1381" s="533" t="s">
        <v>6392</v>
      </c>
      <c r="K1381" s="529"/>
      <c r="L1381" s="529"/>
      <c r="M1381" s="528"/>
      <c r="N1381" s="528"/>
      <c r="O1381" s="528"/>
      <c r="P1381" s="528"/>
      <c r="Q1381" s="528"/>
    </row>
    <row r="1382" spans="1:17" s="534" customFormat="1" ht="13.95" customHeight="1" x14ac:dyDescent="0.25">
      <c r="A1382" s="571" t="s">
        <v>311</v>
      </c>
      <c r="B1382" s="521"/>
      <c r="C1382" s="522"/>
      <c r="D1382" s="520" t="s">
        <v>1736</v>
      </c>
      <c r="E1382" s="520" t="s">
        <v>958</v>
      </c>
      <c r="F1382" s="525">
        <v>4372160</v>
      </c>
      <c r="G1382" s="572" t="s">
        <v>4439</v>
      </c>
      <c r="H1382" s="573"/>
      <c r="I1382" s="577" t="s">
        <v>24</v>
      </c>
      <c r="J1382" s="533" t="s">
        <v>6392</v>
      </c>
    </row>
    <row r="1383" spans="1:17" s="534" customFormat="1" ht="13.95" customHeight="1" x14ac:dyDescent="0.25">
      <c r="A1383" s="522" t="s">
        <v>311</v>
      </c>
      <c r="B1383" s="578"/>
      <c r="C1383" s="522"/>
      <c r="D1383" s="522" t="s">
        <v>7288</v>
      </c>
      <c r="E1383" s="522" t="s">
        <v>958</v>
      </c>
      <c r="F1383" s="525">
        <v>12575286</v>
      </c>
      <c r="G1383" s="572" t="s">
        <v>4480</v>
      </c>
      <c r="H1383" s="521"/>
      <c r="I1383" s="525" t="s">
        <v>4479</v>
      </c>
      <c r="J1383" s="533" t="s">
        <v>6392</v>
      </c>
    </row>
    <row r="1384" spans="1:17" s="534" customFormat="1" ht="13.95" customHeight="1" x14ac:dyDescent="0.25">
      <c r="A1384" s="522" t="s">
        <v>311</v>
      </c>
      <c r="B1384" s="578"/>
      <c r="C1384" s="522"/>
      <c r="D1384" s="522" t="s">
        <v>456</v>
      </c>
      <c r="E1384" s="522" t="s">
        <v>958</v>
      </c>
      <c r="F1384" s="525">
        <v>11679186</v>
      </c>
      <c r="G1384" s="572" t="s">
        <v>4482</v>
      </c>
      <c r="H1384" s="521"/>
      <c r="I1384" s="525" t="s">
        <v>4481</v>
      </c>
      <c r="J1384" s="533" t="s">
        <v>6392</v>
      </c>
    </row>
    <row r="1385" spans="1:17" s="534" customFormat="1" ht="13.95" customHeight="1" x14ac:dyDescent="0.25">
      <c r="A1385" s="571" t="s">
        <v>311</v>
      </c>
      <c r="B1385" s="521"/>
      <c r="C1385" s="522"/>
      <c r="D1385" s="520" t="s">
        <v>8162</v>
      </c>
      <c r="E1385" s="520" t="s">
        <v>958</v>
      </c>
      <c r="F1385" s="525">
        <v>1618727.9</v>
      </c>
      <c r="G1385" s="572" t="s">
        <v>8164</v>
      </c>
      <c r="H1385" s="573"/>
      <c r="I1385" s="575" t="s">
        <v>8682</v>
      </c>
      <c r="J1385" s="533" t="s">
        <v>6392</v>
      </c>
    </row>
    <row r="1386" spans="1:17" s="534" customFormat="1" ht="13.95" customHeight="1" x14ac:dyDescent="0.25">
      <c r="A1386" s="530" t="s">
        <v>311</v>
      </c>
      <c r="B1386" s="521"/>
      <c r="C1386" s="522"/>
      <c r="D1386" s="522" t="s">
        <v>1144</v>
      </c>
      <c r="E1386" s="520" t="s">
        <v>958</v>
      </c>
      <c r="F1386" s="525">
        <v>971297.41</v>
      </c>
      <c r="G1386" s="572" t="s">
        <v>6911</v>
      </c>
      <c r="H1386" s="573"/>
      <c r="I1386" s="525" t="s">
        <v>6912</v>
      </c>
      <c r="J1386" s="533" t="s">
        <v>6392</v>
      </c>
    </row>
    <row r="1387" spans="1:17" s="534" customFormat="1" ht="14.1" customHeight="1" x14ac:dyDescent="0.25">
      <c r="A1387" s="571" t="s">
        <v>311</v>
      </c>
      <c r="B1387" s="521"/>
      <c r="C1387" s="522"/>
      <c r="D1387" s="520" t="s">
        <v>5516</v>
      </c>
      <c r="E1387" s="522" t="s">
        <v>958</v>
      </c>
      <c r="F1387" s="525">
        <v>2886001.72</v>
      </c>
      <c r="G1387" s="572" t="s">
        <v>4990</v>
      </c>
      <c r="H1387" s="573"/>
      <c r="I1387" s="575" t="s">
        <v>229</v>
      </c>
      <c r="J1387" s="533" t="s">
        <v>6392</v>
      </c>
    </row>
    <row r="1388" spans="1:17" s="582" customFormat="1" ht="55.2" x14ac:dyDescent="0.25">
      <c r="A1388" s="530" t="s">
        <v>311</v>
      </c>
      <c r="B1388" s="521" t="s">
        <v>9009</v>
      </c>
      <c r="C1388" s="522"/>
      <c r="D1388" s="522" t="s">
        <v>249</v>
      </c>
      <c r="E1388" s="522" t="s">
        <v>958</v>
      </c>
      <c r="F1388" s="579">
        <v>597857.22</v>
      </c>
      <c r="G1388" s="580" t="s">
        <v>1153</v>
      </c>
      <c r="H1388" s="521">
        <v>43579</v>
      </c>
      <c r="I1388" s="525" t="s">
        <v>421</v>
      </c>
      <c r="J1388" s="533" t="s">
        <v>6392</v>
      </c>
      <c r="K1388" s="532"/>
      <c r="L1388" s="581"/>
    </row>
    <row r="1389" spans="1:17" s="582" customFormat="1" x14ac:dyDescent="0.25">
      <c r="A1389" s="522" t="s">
        <v>311</v>
      </c>
      <c r="B1389" s="521"/>
      <c r="C1389" s="522"/>
      <c r="D1389" s="522" t="s">
        <v>249</v>
      </c>
      <c r="E1389" s="522" t="s">
        <v>958</v>
      </c>
      <c r="F1389" s="525">
        <v>712519.26</v>
      </c>
      <c r="G1389" s="580" t="s">
        <v>6712</v>
      </c>
      <c r="H1389" s="521">
        <v>43574</v>
      </c>
      <c r="I1389" s="525" t="s">
        <v>1207</v>
      </c>
      <c r="J1389" s="533" t="s">
        <v>6392</v>
      </c>
      <c r="K1389" s="532"/>
      <c r="L1389" s="581"/>
    </row>
    <row r="1390" spans="1:17" s="582" customFormat="1" x14ac:dyDescent="0.25">
      <c r="A1390" s="530" t="s">
        <v>311</v>
      </c>
      <c r="B1390" s="521"/>
      <c r="C1390" s="522"/>
      <c r="D1390" s="522" t="s">
        <v>249</v>
      </c>
      <c r="E1390" s="522" t="s">
        <v>958</v>
      </c>
      <c r="F1390" s="525">
        <v>645516.96</v>
      </c>
      <c r="G1390" s="580" t="s">
        <v>1514</v>
      </c>
      <c r="H1390" s="521">
        <v>43580</v>
      </c>
      <c r="I1390" s="525" t="s">
        <v>421</v>
      </c>
      <c r="J1390" s="533" t="s">
        <v>6392</v>
      </c>
      <c r="K1390" s="532"/>
      <c r="L1390" s="581"/>
    </row>
    <row r="1391" spans="1:17" s="582" customFormat="1" x14ac:dyDescent="0.25">
      <c r="A1391" s="530" t="s">
        <v>311</v>
      </c>
      <c r="B1391" s="521"/>
      <c r="C1391" s="522"/>
      <c r="D1391" s="522" t="s">
        <v>249</v>
      </c>
      <c r="E1391" s="522" t="s">
        <v>958</v>
      </c>
      <c r="F1391" s="525">
        <v>825016.8</v>
      </c>
      <c r="G1391" s="580" t="s">
        <v>1205</v>
      </c>
      <c r="H1391" s="521">
        <v>43579</v>
      </c>
      <c r="I1391" s="525" t="s">
        <v>423</v>
      </c>
      <c r="J1391" s="533" t="s">
        <v>6392</v>
      </c>
      <c r="K1391" s="532"/>
      <c r="L1391" s="581"/>
    </row>
    <row r="1392" spans="1:17" ht="13.95" customHeight="1" x14ac:dyDescent="0.25">
      <c r="A1392" s="68" t="s">
        <v>209</v>
      </c>
      <c r="B1392" s="14"/>
      <c r="C1392" s="67"/>
      <c r="D1392" s="32" t="s">
        <v>595</v>
      </c>
      <c r="E1392" s="32" t="s">
        <v>134</v>
      </c>
      <c r="F1392" s="4">
        <f>1849879.78-198921.26-1000000</f>
        <v>650958.52</v>
      </c>
      <c r="G1392" s="28" t="s">
        <v>9016</v>
      </c>
      <c r="H1392" s="14">
        <v>43585</v>
      </c>
      <c r="I1392" s="41" t="s">
        <v>949</v>
      </c>
      <c r="J1392" s="166" t="s">
        <v>771</v>
      </c>
      <c r="K1392" s="167"/>
      <c r="L1392" s="35"/>
    </row>
    <row r="1393" spans="1:19" ht="13.95" customHeight="1" x14ac:dyDescent="0.25">
      <c r="A1393" s="68" t="s">
        <v>209</v>
      </c>
      <c r="B1393" s="14"/>
      <c r="C1393" s="67"/>
      <c r="D1393" s="32" t="s">
        <v>595</v>
      </c>
      <c r="E1393" s="32" t="s">
        <v>134</v>
      </c>
      <c r="F1393" s="4">
        <v>349041.48</v>
      </c>
      <c r="G1393" s="28" t="s">
        <v>5825</v>
      </c>
      <c r="H1393" s="14">
        <v>43616</v>
      </c>
      <c r="I1393" s="41" t="s">
        <v>949</v>
      </c>
      <c r="J1393" s="166" t="s">
        <v>1386</v>
      </c>
      <c r="K1393" s="167"/>
      <c r="L1393" s="35"/>
    </row>
    <row r="1394" spans="1:19" x14ac:dyDescent="0.25">
      <c r="A1394" s="32" t="s">
        <v>90</v>
      </c>
      <c r="B1394" s="14"/>
      <c r="C1394" s="67"/>
      <c r="D1394" s="32" t="s">
        <v>373</v>
      </c>
      <c r="E1394" s="32" t="s">
        <v>877</v>
      </c>
      <c r="F1394" s="4">
        <v>608391.34</v>
      </c>
      <c r="G1394" s="28" t="s">
        <v>2143</v>
      </c>
      <c r="H1394" s="14"/>
      <c r="I1394" s="4" t="s">
        <v>362</v>
      </c>
      <c r="J1394" s="166" t="s">
        <v>1386</v>
      </c>
      <c r="K1394" s="167"/>
      <c r="L1394" s="35"/>
    </row>
    <row r="1395" spans="1:19" s="129" customFormat="1" x14ac:dyDescent="0.25">
      <c r="A1395" s="13" t="s">
        <v>90</v>
      </c>
      <c r="B1395" s="14"/>
      <c r="C1395" s="13"/>
      <c r="D1395" s="13" t="s">
        <v>1392</v>
      </c>
      <c r="E1395" s="13" t="s">
        <v>877</v>
      </c>
      <c r="F1395" s="37">
        <v>157948.76999999999</v>
      </c>
      <c r="G1395" s="29" t="s">
        <v>1132</v>
      </c>
      <c r="H1395" s="14">
        <v>43616</v>
      </c>
      <c r="I1395" s="4" t="s">
        <v>618</v>
      </c>
      <c r="J1395" s="35" t="s">
        <v>1386</v>
      </c>
      <c r="K1395" s="136"/>
    </row>
    <row r="1396" spans="1:19" x14ac:dyDescent="0.25">
      <c r="A1396" s="32" t="s">
        <v>55</v>
      </c>
      <c r="B1396" s="14"/>
      <c r="C1396" s="67"/>
      <c r="D1396" s="32" t="s">
        <v>373</v>
      </c>
      <c r="E1396" s="32" t="s">
        <v>888</v>
      </c>
      <c r="F1396" s="4">
        <v>85350.42</v>
      </c>
      <c r="G1396" s="28" t="s">
        <v>7236</v>
      </c>
      <c r="H1396" s="14">
        <v>43546</v>
      </c>
      <c r="I1396" s="4" t="s">
        <v>7237</v>
      </c>
      <c r="J1396" s="166" t="s">
        <v>1386</v>
      </c>
      <c r="K1396" s="167"/>
      <c r="L1396" s="35"/>
    </row>
    <row r="1397" spans="1:19" x14ac:dyDescent="0.25">
      <c r="A1397" s="32" t="s">
        <v>55</v>
      </c>
      <c r="B1397" s="14"/>
      <c r="C1397" s="67"/>
      <c r="D1397" s="32" t="s">
        <v>373</v>
      </c>
      <c r="E1397" s="32" t="s">
        <v>888</v>
      </c>
      <c r="F1397" s="4">
        <v>35263.199999999997</v>
      </c>
      <c r="G1397" s="28" t="s">
        <v>7240</v>
      </c>
      <c r="H1397" s="14">
        <v>43546</v>
      </c>
      <c r="I1397" s="4" t="s">
        <v>7238</v>
      </c>
      <c r="J1397" s="166" t="s">
        <v>1386</v>
      </c>
      <c r="K1397" s="167"/>
      <c r="L1397" s="35"/>
    </row>
    <row r="1398" spans="1:19" x14ac:dyDescent="0.25">
      <c r="A1398" s="32" t="s">
        <v>55</v>
      </c>
      <c r="B1398" s="14"/>
      <c r="C1398" s="67"/>
      <c r="D1398" s="32" t="s">
        <v>373</v>
      </c>
      <c r="E1398" s="32" t="s">
        <v>888</v>
      </c>
      <c r="F1398" s="4">
        <v>45392.94</v>
      </c>
      <c r="G1398" s="28" t="s">
        <v>7241</v>
      </c>
      <c r="H1398" s="14">
        <v>43546</v>
      </c>
      <c r="I1398" s="4" t="s">
        <v>7239</v>
      </c>
      <c r="J1398" s="166" t="s">
        <v>1386</v>
      </c>
      <c r="K1398" s="167"/>
      <c r="L1398" s="35"/>
    </row>
    <row r="1399" spans="1:19" x14ac:dyDescent="0.25">
      <c r="A1399" s="32" t="s">
        <v>215</v>
      </c>
      <c r="B1399" s="14"/>
      <c r="C1399" s="67"/>
      <c r="D1399" s="32" t="s">
        <v>373</v>
      </c>
      <c r="E1399" s="32" t="s">
        <v>888</v>
      </c>
      <c r="F1399" s="4">
        <v>228222.57</v>
      </c>
      <c r="G1399" s="28" t="s">
        <v>1406</v>
      </c>
      <c r="H1399" s="14">
        <v>43152</v>
      </c>
      <c r="I1399" s="4" t="s">
        <v>362</v>
      </c>
      <c r="J1399" s="166" t="s">
        <v>1386</v>
      </c>
      <c r="K1399" s="167"/>
      <c r="L1399" s="35"/>
    </row>
    <row r="1400" spans="1:19" x14ac:dyDescent="0.25">
      <c r="A1400" s="32" t="s">
        <v>214</v>
      </c>
      <c r="B1400" s="14"/>
      <c r="C1400" s="67"/>
      <c r="D1400" s="32" t="s">
        <v>373</v>
      </c>
      <c r="E1400" s="32" t="s">
        <v>888</v>
      </c>
      <c r="F1400" s="4">
        <v>245607.11</v>
      </c>
      <c r="G1400" s="28" t="s">
        <v>1407</v>
      </c>
      <c r="H1400" s="14">
        <v>43152</v>
      </c>
      <c r="I1400" s="4" t="s">
        <v>362</v>
      </c>
      <c r="J1400" s="166" t="s">
        <v>1386</v>
      </c>
      <c r="K1400" s="167"/>
      <c r="L1400" s="35"/>
    </row>
    <row r="1401" spans="1:19" s="129" customFormat="1" x14ac:dyDescent="0.25">
      <c r="A1401" s="13" t="s">
        <v>55</v>
      </c>
      <c r="B1401" s="14"/>
      <c r="C1401" s="13"/>
      <c r="D1401" s="13" t="s">
        <v>1392</v>
      </c>
      <c r="E1401" s="13" t="s">
        <v>888</v>
      </c>
      <c r="F1401" s="37">
        <v>753804.06</v>
      </c>
      <c r="G1401" s="29" t="s">
        <v>1340</v>
      </c>
      <c r="H1401" s="14">
        <v>43585</v>
      </c>
      <c r="I1401" s="4" t="s">
        <v>618</v>
      </c>
      <c r="J1401" s="35" t="s">
        <v>771</v>
      </c>
      <c r="K1401" s="136"/>
    </row>
    <row r="1402" spans="1:19" s="129" customFormat="1" x14ac:dyDescent="0.25">
      <c r="A1402" s="13" t="s">
        <v>55</v>
      </c>
      <c r="B1402" s="14"/>
      <c r="C1402" s="13"/>
      <c r="D1402" s="13" t="s">
        <v>1392</v>
      </c>
      <c r="E1402" s="13" t="s">
        <v>888</v>
      </c>
      <c r="F1402" s="37">
        <f>613308.64</f>
        <v>613308.64</v>
      </c>
      <c r="G1402" s="29" t="s">
        <v>7169</v>
      </c>
      <c r="H1402" s="14">
        <v>43616</v>
      </c>
      <c r="I1402" s="4" t="s">
        <v>618</v>
      </c>
      <c r="J1402" s="35" t="s">
        <v>1386</v>
      </c>
      <c r="K1402" s="136"/>
    </row>
    <row r="1403" spans="1:19" x14ac:dyDescent="0.25">
      <c r="A1403" s="61" t="s">
        <v>659</v>
      </c>
      <c r="B1403" s="14"/>
      <c r="C1403" s="13"/>
      <c r="D1403" s="13" t="s">
        <v>5347</v>
      </c>
      <c r="E1403" s="13" t="s">
        <v>808</v>
      </c>
      <c r="F1403" s="37">
        <v>45600</v>
      </c>
      <c r="G1403" s="29" t="s">
        <v>111</v>
      </c>
      <c r="H1403" s="14">
        <v>43605</v>
      </c>
      <c r="I1403" s="4" t="s">
        <v>164</v>
      </c>
    </row>
    <row r="1404" spans="1:19" x14ac:dyDescent="0.25">
      <c r="A1404" s="61" t="s">
        <v>151</v>
      </c>
      <c r="B1404" s="14"/>
      <c r="C1404" s="13"/>
      <c r="D1404" s="13" t="s">
        <v>3637</v>
      </c>
      <c r="E1404" s="13" t="s">
        <v>4041</v>
      </c>
      <c r="F1404" s="4">
        <f>5*1715</f>
        <v>8575</v>
      </c>
      <c r="G1404" s="28" t="s">
        <v>296</v>
      </c>
      <c r="H1404" s="14"/>
      <c r="I1404" s="4" t="s">
        <v>9204</v>
      </c>
      <c r="J1404" s="128"/>
    </row>
    <row r="1405" spans="1:19" s="97" customFormat="1" x14ac:dyDescent="0.25">
      <c r="A1405" s="13" t="s">
        <v>1316</v>
      </c>
      <c r="B1405" s="14"/>
      <c r="C1405" s="13"/>
      <c r="D1405" s="13" t="s">
        <v>4133</v>
      </c>
      <c r="E1405" s="13" t="s">
        <v>808</v>
      </c>
      <c r="F1405" s="4">
        <v>468135</v>
      </c>
      <c r="G1405" s="28" t="s">
        <v>1211</v>
      </c>
      <c r="H1405" s="14">
        <v>43581</v>
      </c>
      <c r="I1405" s="4" t="s">
        <v>443</v>
      </c>
      <c r="J1405" s="133"/>
      <c r="K1405" s="22"/>
      <c r="L1405" s="134"/>
    </row>
    <row r="1406" spans="1:19" s="97" customFormat="1" x14ac:dyDescent="0.25">
      <c r="A1406" s="13" t="s">
        <v>310</v>
      </c>
      <c r="B1406" s="14"/>
      <c r="C1406" s="13"/>
      <c r="D1406" s="13" t="s">
        <v>3056</v>
      </c>
      <c r="E1406" s="13" t="s">
        <v>314</v>
      </c>
      <c r="F1406" s="4">
        <v>49000</v>
      </c>
      <c r="G1406" s="29" t="s">
        <v>6287</v>
      </c>
      <c r="H1406" s="14">
        <v>43524</v>
      </c>
      <c r="I1406" s="4" t="s">
        <v>3057</v>
      </c>
      <c r="J1406" s="358"/>
      <c r="K1406" s="76"/>
      <c r="L1406" s="134"/>
    </row>
    <row r="1407" spans="1:19" s="22" customFormat="1" ht="13.8" customHeight="1" x14ac:dyDescent="0.25">
      <c r="A1407" s="160"/>
      <c r="B1407" s="39"/>
      <c r="C1407" s="13"/>
      <c r="D1407" s="161"/>
      <c r="E1407" s="161"/>
      <c r="F1407" s="4"/>
      <c r="G1407" s="119"/>
      <c r="H1407" s="161"/>
      <c r="I1407" s="161"/>
      <c r="K1407" s="21"/>
      <c r="L1407" s="228"/>
      <c r="M1407" s="228"/>
      <c r="N1407" s="228"/>
      <c r="O1407" s="228"/>
      <c r="P1407" s="228"/>
      <c r="Q1407" s="228"/>
      <c r="R1407" s="228"/>
      <c r="S1407" s="228"/>
    </row>
    <row r="1408" spans="1:19" x14ac:dyDescent="0.25">
      <c r="C1408" s="273"/>
    </row>
    <row r="1413" spans="1:19" s="22" customFormat="1" x14ac:dyDescent="0.25">
      <c r="A1413" s="228" t="s">
        <v>46</v>
      </c>
      <c r="B1413" s="57"/>
      <c r="C1413" s="124"/>
      <c r="D1413" s="228"/>
      <c r="E1413" s="228"/>
      <c r="F1413" s="62"/>
      <c r="G1413" s="50"/>
      <c r="H1413" s="228"/>
      <c r="I1413" s="228"/>
      <c r="K1413" s="21"/>
      <c r="L1413" s="228"/>
      <c r="M1413" s="228"/>
      <c r="N1413" s="228"/>
      <c r="O1413" s="228"/>
      <c r="P1413" s="228"/>
      <c r="Q1413" s="228"/>
      <c r="R1413" s="228"/>
      <c r="S1413" s="228"/>
    </row>
  </sheetData>
  <autoFilter ref="A2:J1408"/>
  <pageMargins left="0.59055118110236227" right="0.39370078740157483" top="0.78740157480314965" bottom="0.19685039370078741" header="0.51181102362204722" footer="0.51181102362204722"/>
  <pageSetup paperSize="9" scale="71" fitToHeight="0" orientation="landscape" r:id="rId1"/>
  <headerFooter alignWithMargins="0"/>
  <colBreaks count="2" manualBreakCount="2">
    <brk id="10" max="1048575" man="1"/>
    <brk id="102" max="285" man="1"/>
  </col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IV1152"/>
  <sheetViews>
    <sheetView zoomScaleNormal="100" workbookViewId="0">
      <pane ySplit="2" topLeftCell="A3" activePane="bottomLeft" state="frozen"/>
      <selection activeCell="D147" sqref="D147"/>
      <selection pane="bottomLeft" activeCell="A921" sqref="A921:XFD921"/>
    </sheetView>
  </sheetViews>
  <sheetFormatPr defaultColWidth="9.44140625" defaultRowHeight="13.8" x14ac:dyDescent="0.25"/>
  <cols>
    <col min="1" max="1" width="14.44140625" style="228" customWidth="1"/>
    <col min="2" max="2" width="10.5546875" style="57" customWidth="1"/>
    <col min="3" max="3" width="9.21875" style="124" customWidth="1"/>
    <col min="4" max="4" width="27" style="228" customWidth="1"/>
    <col min="5" max="5" width="11" style="228" customWidth="1"/>
    <col min="6" max="6" width="16.44140625" style="62" customWidth="1"/>
    <col min="7" max="7" width="26.109375" style="50" customWidth="1"/>
    <col min="8" max="8" width="11.44140625" style="228" customWidth="1"/>
    <col min="9" max="9" width="37.88671875" style="228" customWidth="1"/>
    <col min="10" max="10" width="17.5546875" style="22" customWidth="1"/>
    <col min="11" max="11" width="14.44140625" style="21" customWidth="1"/>
    <col min="12" max="16384" width="9.44140625" style="228"/>
  </cols>
  <sheetData>
    <row r="1" spans="1:12" ht="19.5" customHeight="1" x14ac:dyDescent="0.25">
      <c r="F1" s="72">
        <f>SUM(F3:F1148)</f>
        <v>710428463.21999991</v>
      </c>
      <c r="G1" s="62"/>
    </row>
    <row r="2" spans="1:12" s="50" customFormat="1" ht="24.6" customHeight="1" x14ac:dyDescent="0.25">
      <c r="A2" s="79" t="s">
        <v>192</v>
      </c>
      <c r="B2" s="80" t="s">
        <v>123</v>
      </c>
      <c r="C2" s="78" t="s">
        <v>51</v>
      </c>
      <c r="D2" s="79" t="s">
        <v>109</v>
      </c>
      <c r="E2" s="79" t="s">
        <v>9</v>
      </c>
      <c r="F2" s="423" t="s">
        <v>56</v>
      </c>
      <c r="G2" s="79" t="s">
        <v>58</v>
      </c>
      <c r="H2" s="79" t="s">
        <v>57</v>
      </c>
      <c r="I2" s="81" t="s">
        <v>10</v>
      </c>
      <c r="J2" s="22"/>
      <c r="K2" s="21"/>
    </row>
    <row r="3" spans="1:12" ht="15" hidden="1" customHeight="1" x14ac:dyDescent="0.25">
      <c r="A3" s="61" t="s">
        <v>1934</v>
      </c>
      <c r="B3" s="14">
        <v>43591</v>
      </c>
      <c r="C3" s="13">
        <v>395</v>
      </c>
      <c r="D3" s="32" t="s">
        <v>281</v>
      </c>
      <c r="E3" s="32" t="s">
        <v>136</v>
      </c>
      <c r="F3" s="4">
        <v>519197</v>
      </c>
      <c r="G3" s="29" t="s">
        <v>6685</v>
      </c>
      <c r="H3" s="14">
        <v>43567</v>
      </c>
      <c r="I3" s="41" t="s">
        <v>852</v>
      </c>
      <c r="J3" s="35" t="s">
        <v>1386</v>
      </c>
      <c r="K3" s="35"/>
      <c r="L3" s="35"/>
    </row>
    <row r="4" spans="1:12" ht="15" hidden="1" customHeight="1" x14ac:dyDescent="0.25">
      <c r="A4" s="68" t="s">
        <v>206</v>
      </c>
      <c r="B4" s="14">
        <v>43591</v>
      </c>
      <c r="C4" s="13">
        <v>80</v>
      </c>
      <c r="D4" s="32" t="s">
        <v>281</v>
      </c>
      <c r="E4" s="32" t="s">
        <v>178</v>
      </c>
      <c r="F4" s="4">
        <v>12064</v>
      </c>
      <c r="G4" s="29" t="s">
        <v>6683</v>
      </c>
      <c r="H4" s="14">
        <v>43567</v>
      </c>
      <c r="I4" s="41" t="s">
        <v>852</v>
      </c>
      <c r="J4" s="35" t="s">
        <v>1386</v>
      </c>
      <c r="K4" s="35"/>
      <c r="L4" s="35"/>
    </row>
    <row r="5" spans="1:12" ht="15" hidden="1" customHeight="1" x14ac:dyDescent="0.25">
      <c r="A5" s="68" t="s">
        <v>455</v>
      </c>
      <c r="B5" s="14">
        <v>43591</v>
      </c>
      <c r="C5" s="13">
        <v>322</v>
      </c>
      <c r="D5" s="32" t="s">
        <v>281</v>
      </c>
      <c r="E5" s="32" t="s">
        <v>440</v>
      </c>
      <c r="F5" s="4">
        <v>260581</v>
      </c>
      <c r="G5" s="29" t="s">
        <v>6687</v>
      </c>
      <c r="H5" s="14">
        <v>43570</v>
      </c>
      <c r="I5" s="41" t="s">
        <v>852</v>
      </c>
      <c r="J5" s="35" t="s">
        <v>1386</v>
      </c>
      <c r="K5" s="35"/>
      <c r="L5" s="35"/>
    </row>
    <row r="6" spans="1:12" ht="15" hidden="1" customHeight="1" x14ac:dyDescent="0.25">
      <c r="A6" s="68" t="s">
        <v>310</v>
      </c>
      <c r="B6" s="14">
        <v>43591</v>
      </c>
      <c r="C6" s="13">
        <v>135</v>
      </c>
      <c r="D6" s="32" t="s">
        <v>281</v>
      </c>
      <c r="E6" s="32" t="s">
        <v>314</v>
      </c>
      <c r="F6" s="4">
        <v>268249</v>
      </c>
      <c r="G6" s="29" t="s">
        <v>6680</v>
      </c>
      <c r="H6" s="14">
        <v>43567</v>
      </c>
      <c r="I6" s="41" t="s">
        <v>852</v>
      </c>
      <c r="J6" s="35" t="s">
        <v>1386</v>
      </c>
      <c r="K6" s="35"/>
      <c r="L6" s="35"/>
    </row>
    <row r="7" spans="1:12" ht="15" hidden="1" customHeight="1" x14ac:dyDescent="0.25">
      <c r="A7" s="68" t="s">
        <v>311</v>
      </c>
      <c r="B7" s="14">
        <v>43591</v>
      </c>
      <c r="C7" s="13">
        <v>242</v>
      </c>
      <c r="D7" s="32" t="s">
        <v>281</v>
      </c>
      <c r="E7" s="32" t="s">
        <v>408</v>
      </c>
      <c r="F7" s="4">
        <v>358609</v>
      </c>
      <c r="G7" s="29" t="s">
        <v>6676</v>
      </c>
      <c r="H7" s="14">
        <v>43567</v>
      </c>
      <c r="I7" s="41" t="s">
        <v>852</v>
      </c>
      <c r="J7" s="35" t="s">
        <v>1386</v>
      </c>
      <c r="K7" s="35"/>
      <c r="L7" s="35"/>
    </row>
    <row r="8" spans="1:12" ht="16.2" hidden="1" customHeight="1" x14ac:dyDescent="0.25">
      <c r="A8" s="68" t="s">
        <v>151</v>
      </c>
      <c r="B8" s="14">
        <v>43591</v>
      </c>
      <c r="C8" s="13">
        <v>761</v>
      </c>
      <c r="D8" s="13" t="s">
        <v>4047</v>
      </c>
      <c r="E8" s="32" t="s">
        <v>62</v>
      </c>
      <c r="F8" s="4">
        <v>100000</v>
      </c>
      <c r="G8" s="210" t="s">
        <v>1754</v>
      </c>
      <c r="H8" s="14">
        <v>43591</v>
      </c>
      <c r="I8" s="4" t="s">
        <v>7371</v>
      </c>
      <c r="J8" s="71"/>
      <c r="K8" s="62"/>
      <c r="L8" s="62"/>
    </row>
    <row r="9" spans="1:12" hidden="1" x14ac:dyDescent="0.25">
      <c r="A9" s="32" t="s">
        <v>1934</v>
      </c>
      <c r="B9" s="14">
        <v>43591</v>
      </c>
      <c r="C9" s="13">
        <v>392</v>
      </c>
      <c r="D9" s="32" t="s">
        <v>1356</v>
      </c>
      <c r="E9" s="32" t="s">
        <v>136</v>
      </c>
      <c r="F9" s="4">
        <v>17500000</v>
      </c>
      <c r="G9" s="28" t="s">
        <v>7373</v>
      </c>
      <c r="H9" s="14"/>
      <c r="I9" s="41" t="s">
        <v>7374</v>
      </c>
      <c r="K9" s="63"/>
      <c r="L9" s="62"/>
    </row>
    <row r="10" spans="1:12" ht="27.6" hidden="1" x14ac:dyDescent="0.25">
      <c r="A10" s="68" t="s">
        <v>495</v>
      </c>
      <c r="B10" s="14">
        <v>43591</v>
      </c>
      <c r="C10" s="13">
        <v>71</v>
      </c>
      <c r="D10" s="13" t="s">
        <v>5528</v>
      </c>
      <c r="E10" s="32" t="s">
        <v>6289</v>
      </c>
      <c r="F10" s="4">
        <v>1195000</v>
      </c>
      <c r="G10" s="210" t="s">
        <v>7372</v>
      </c>
      <c r="H10" s="14">
        <v>43494</v>
      </c>
      <c r="I10" s="4"/>
      <c r="J10" s="71"/>
      <c r="K10" s="62"/>
      <c r="L10" s="62"/>
    </row>
    <row r="11" spans="1:12" hidden="1" x14ac:dyDescent="0.25">
      <c r="A11" s="13" t="s">
        <v>151</v>
      </c>
      <c r="B11" s="14">
        <v>43591</v>
      </c>
      <c r="C11" s="13">
        <v>355</v>
      </c>
      <c r="D11" s="32" t="s">
        <v>3533</v>
      </c>
      <c r="E11" s="32" t="s">
        <v>144</v>
      </c>
      <c r="F11" s="4">
        <v>400000</v>
      </c>
      <c r="G11" s="210" t="s">
        <v>3534</v>
      </c>
      <c r="H11" s="211">
        <v>42853</v>
      </c>
      <c r="I11" s="4" t="s">
        <v>4807</v>
      </c>
      <c r="J11" s="166"/>
      <c r="K11" s="228"/>
    </row>
    <row r="12" spans="1:12" hidden="1" x14ac:dyDescent="0.25">
      <c r="A12" s="61" t="s">
        <v>460</v>
      </c>
      <c r="B12" s="14">
        <v>43592</v>
      </c>
      <c r="C12" s="13">
        <v>137</v>
      </c>
      <c r="D12" s="13" t="s">
        <v>5327</v>
      </c>
      <c r="E12" s="13" t="s">
        <v>314</v>
      </c>
      <c r="F12" s="256">
        <f>5020000</f>
        <v>5020000</v>
      </c>
      <c r="G12" s="69" t="s">
        <v>5328</v>
      </c>
      <c r="H12" s="14">
        <v>43537</v>
      </c>
      <c r="I12" s="274" t="s">
        <v>6907</v>
      </c>
      <c r="J12" s="169"/>
    </row>
    <row r="13" spans="1:12" s="129" customFormat="1" ht="13.95" hidden="1" customHeight="1" x14ac:dyDescent="0.25">
      <c r="A13" s="13" t="s">
        <v>151</v>
      </c>
      <c r="B13" s="14">
        <v>43592</v>
      </c>
      <c r="C13" s="28" t="s">
        <v>7122</v>
      </c>
      <c r="D13" s="13" t="s">
        <v>811</v>
      </c>
      <c r="E13" s="13" t="s">
        <v>1121</v>
      </c>
      <c r="F13" s="4">
        <v>6250</v>
      </c>
      <c r="G13" s="28" t="s">
        <v>1605</v>
      </c>
      <c r="H13" s="14">
        <v>43584</v>
      </c>
      <c r="I13" s="4" t="s">
        <v>7318</v>
      </c>
      <c r="J13" s="22"/>
      <c r="K13" s="136"/>
    </row>
    <row r="14" spans="1:12" s="129" customFormat="1" hidden="1" x14ac:dyDescent="0.25">
      <c r="A14" s="13" t="s">
        <v>151</v>
      </c>
      <c r="B14" s="14">
        <v>43592</v>
      </c>
      <c r="C14" s="28" t="s">
        <v>7121</v>
      </c>
      <c r="D14" s="13" t="s">
        <v>711</v>
      </c>
      <c r="E14" s="32" t="s">
        <v>1121</v>
      </c>
      <c r="F14" s="37">
        <f>1500+2300+1150+6100</f>
        <v>11050</v>
      </c>
      <c r="G14" s="28" t="s">
        <v>7335</v>
      </c>
      <c r="H14" s="28" t="s">
        <v>7336</v>
      </c>
      <c r="I14" s="4" t="s">
        <v>712</v>
      </c>
      <c r="J14" s="170"/>
      <c r="K14" s="136"/>
    </row>
    <row r="15" spans="1:12" ht="15" hidden="1" customHeight="1" x14ac:dyDescent="0.25">
      <c r="A15" s="13" t="s">
        <v>184</v>
      </c>
      <c r="B15" s="14">
        <v>43592</v>
      </c>
      <c r="C15" s="13">
        <v>358</v>
      </c>
      <c r="D15" s="32" t="s">
        <v>6969</v>
      </c>
      <c r="E15" s="32" t="s">
        <v>144</v>
      </c>
      <c r="F15" s="4">
        <v>18000</v>
      </c>
      <c r="G15" s="25" t="s">
        <v>31</v>
      </c>
      <c r="H15" s="14">
        <v>43581</v>
      </c>
      <c r="I15" s="4" t="s">
        <v>7320</v>
      </c>
      <c r="J15" s="76"/>
    </row>
    <row r="16" spans="1:12" ht="16.5" hidden="1" customHeight="1" x14ac:dyDescent="0.25">
      <c r="A16" s="13" t="s">
        <v>184</v>
      </c>
      <c r="B16" s="14">
        <v>43592</v>
      </c>
      <c r="C16" s="67">
        <v>359</v>
      </c>
      <c r="D16" s="32" t="s">
        <v>2147</v>
      </c>
      <c r="E16" s="32" t="s">
        <v>144</v>
      </c>
      <c r="F16" s="4">
        <v>78540</v>
      </c>
      <c r="G16" s="28" t="s">
        <v>1295</v>
      </c>
      <c r="H16" s="14">
        <v>43580</v>
      </c>
      <c r="I16" s="4" t="s">
        <v>2148</v>
      </c>
      <c r="J16" s="263"/>
      <c r="K16" s="63"/>
      <c r="L16" s="62"/>
    </row>
    <row r="17" spans="1:19" s="129" customFormat="1" ht="13.95" hidden="1" customHeight="1" x14ac:dyDescent="0.25">
      <c r="A17" s="13" t="s">
        <v>151</v>
      </c>
      <c r="B17" s="14">
        <v>43592</v>
      </c>
      <c r="C17" s="28" t="s">
        <v>85</v>
      </c>
      <c r="D17" s="13" t="s">
        <v>1078</v>
      </c>
      <c r="E17" s="13" t="s">
        <v>22</v>
      </c>
      <c r="F17" s="4">
        <v>8360</v>
      </c>
      <c r="G17" s="28" t="s">
        <v>2024</v>
      </c>
      <c r="H17" s="14">
        <v>43584</v>
      </c>
      <c r="I17" s="4" t="s">
        <v>3722</v>
      </c>
      <c r="J17" s="22"/>
      <c r="K17" s="136"/>
    </row>
    <row r="18" spans="1:19" hidden="1" x14ac:dyDescent="0.25">
      <c r="A18" s="13" t="s">
        <v>151</v>
      </c>
      <c r="B18" s="14">
        <v>43592</v>
      </c>
      <c r="C18" s="13">
        <v>125</v>
      </c>
      <c r="D18" s="13" t="s">
        <v>606</v>
      </c>
      <c r="E18" s="32" t="s">
        <v>22</v>
      </c>
      <c r="F18" s="4">
        <f>875+4750</f>
        <v>5625</v>
      </c>
      <c r="G18" s="28" t="s">
        <v>7294</v>
      </c>
      <c r="H18" s="14">
        <v>43584</v>
      </c>
      <c r="I18" s="4" t="s">
        <v>7295</v>
      </c>
      <c r="J18" s="125"/>
    </row>
    <row r="19" spans="1:19" hidden="1" x14ac:dyDescent="0.25">
      <c r="A19" s="32" t="s">
        <v>1148</v>
      </c>
      <c r="B19" s="14">
        <v>43592</v>
      </c>
      <c r="C19" s="13">
        <v>398</v>
      </c>
      <c r="D19" s="32" t="s">
        <v>4006</v>
      </c>
      <c r="E19" s="32" t="s">
        <v>136</v>
      </c>
      <c r="F19" s="4">
        <v>2000000</v>
      </c>
      <c r="G19" s="174" t="s">
        <v>5821</v>
      </c>
      <c r="H19" s="14">
        <v>43486</v>
      </c>
      <c r="I19" s="41" t="s">
        <v>490</v>
      </c>
      <c r="K19" s="63"/>
      <c r="L19" s="62"/>
    </row>
    <row r="20" spans="1:19" ht="13.95" hidden="1" customHeight="1" x14ac:dyDescent="0.25">
      <c r="A20" s="61" t="s">
        <v>1291</v>
      </c>
      <c r="B20" s="14">
        <v>43592</v>
      </c>
      <c r="C20" s="13">
        <v>757</v>
      </c>
      <c r="D20" s="13" t="s">
        <v>7263</v>
      </c>
      <c r="E20" s="32" t="s">
        <v>130</v>
      </c>
      <c r="F20" s="4">
        <v>27000</v>
      </c>
      <c r="G20" s="86" t="s">
        <v>7264</v>
      </c>
      <c r="H20" s="211"/>
      <c r="I20" s="4" t="s">
        <v>1834</v>
      </c>
      <c r="J20" s="21"/>
      <c r="K20" s="228"/>
    </row>
    <row r="21" spans="1:19" ht="13.95" hidden="1" customHeight="1" x14ac:dyDescent="0.25">
      <c r="A21" s="13" t="s">
        <v>91</v>
      </c>
      <c r="B21" s="14">
        <v>43592</v>
      </c>
      <c r="C21" s="13">
        <v>758</v>
      </c>
      <c r="D21" s="32" t="s">
        <v>285</v>
      </c>
      <c r="E21" s="32" t="s">
        <v>130</v>
      </c>
      <c r="F21" s="4">
        <v>1806404</v>
      </c>
      <c r="G21" s="69" t="s">
        <v>2612</v>
      </c>
      <c r="H21" s="14"/>
      <c r="I21" s="41" t="s">
        <v>2613</v>
      </c>
      <c r="K21" s="62"/>
    </row>
    <row r="22" spans="1:19" ht="13.95" hidden="1" customHeight="1" x14ac:dyDescent="0.25">
      <c r="A22" s="13" t="s">
        <v>213</v>
      </c>
      <c r="B22" s="14">
        <v>43592</v>
      </c>
      <c r="C22" s="13">
        <v>759</v>
      </c>
      <c r="D22" s="32" t="s">
        <v>285</v>
      </c>
      <c r="E22" s="32" t="s">
        <v>130</v>
      </c>
      <c r="F22" s="4">
        <v>2105560.69</v>
      </c>
      <c r="G22" s="69" t="s">
        <v>6284</v>
      </c>
      <c r="H22" s="14"/>
      <c r="I22" s="41" t="s">
        <v>6285</v>
      </c>
      <c r="K22" s="62"/>
    </row>
    <row r="23" spans="1:19" hidden="1" x14ac:dyDescent="0.25">
      <c r="A23" s="32" t="s">
        <v>151</v>
      </c>
      <c r="B23" s="14">
        <v>43592</v>
      </c>
      <c r="C23" s="13">
        <v>756</v>
      </c>
      <c r="D23" s="32" t="s">
        <v>437</v>
      </c>
      <c r="E23" s="32" t="s">
        <v>130</v>
      </c>
      <c r="F23" s="4">
        <v>8000</v>
      </c>
      <c r="G23" s="13">
        <v>623</v>
      </c>
      <c r="H23" s="14">
        <v>43591</v>
      </c>
      <c r="I23" s="4" t="s">
        <v>1324</v>
      </c>
      <c r="J23" s="22" t="s">
        <v>1386</v>
      </c>
      <c r="K23" s="62"/>
      <c r="L23" s="62"/>
      <c r="M23" s="62"/>
      <c r="N23" s="62"/>
      <c r="O23" s="35"/>
      <c r="P23" s="35"/>
      <c r="Q23" s="35"/>
      <c r="R23" s="35"/>
      <c r="S23" s="35"/>
    </row>
    <row r="24" spans="1:19" hidden="1" x14ac:dyDescent="0.25">
      <c r="A24" s="68" t="s">
        <v>904</v>
      </c>
      <c r="B24" s="14">
        <v>43592</v>
      </c>
      <c r="C24" s="13">
        <v>591</v>
      </c>
      <c r="D24" s="32" t="s">
        <v>905</v>
      </c>
      <c r="E24" s="32" t="s">
        <v>38</v>
      </c>
      <c r="F24" s="4">
        <v>3000000</v>
      </c>
      <c r="G24" s="86" t="s">
        <v>906</v>
      </c>
      <c r="H24" s="211"/>
      <c r="I24" s="208" t="s">
        <v>581</v>
      </c>
      <c r="J24" s="21"/>
      <c r="K24" s="228"/>
    </row>
    <row r="25" spans="1:19" hidden="1" x14ac:dyDescent="0.25">
      <c r="A25" s="32" t="s">
        <v>151</v>
      </c>
      <c r="B25" s="14">
        <v>43592</v>
      </c>
      <c r="C25" s="13">
        <v>531</v>
      </c>
      <c r="D25" s="32" t="s">
        <v>437</v>
      </c>
      <c r="E25" s="32" t="s">
        <v>60</v>
      </c>
      <c r="F25" s="4">
        <f>8000*3</f>
        <v>24000</v>
      </c>
      <c r="G25" s="13">
        <v>619</v>
      </c>
      <c r="H25" s="14">
        <v>43591</v>
      </c>
      <c r="I25" s="4" t="s">
        <v>1324</v>
      </c>
      <c r="J25" s="22" t="s">
        <v>7359</v>
      </c>
      <c r="K25" s="62"/>
      <c r="L25" s="62"/>
      <c r="M25" s="62"/>
      <c r="N25" s="62"/>
      <c r="O25" s="35"/>
      <c r="P25" s="35"/>
      <c r="Q25" s="35"/>
      <c r="R25" s="35"/>
      <c r="S25" s="35"/>
    </row>
    <row r="26" spans="1:19" hidden="1" x14ac:dyDescent="0.25">
      <c r="A26" s="13" t="s">
        <v>151</v>
      </c>
      <c r="B26" s="14">
        <v>43592</v>
      </c>
      <c r="C26" s="13">
        <v>280</v>
      </c>
      <c r="D26" s="13" t="s">
        <v>5553</v>
      </c>
      <c r="E26" s="32" t="s">
        <v>481</v>
      </c>
      <c r="F26" s="4">
        <v>7500</v>
      </c>
      <c r="G26" s="28" t="s">
        <v>7044</v>
      </c>
      <c r="H26" s="14">
        <v>43585</v>
      </c>
      <c r="I26" s="4" t="s">
        <v>7360</v>
      </c>
      <c r="J26" s="125"/>
    </row>
    <row r="27" spans="1:19" ht="13.95" hidden="1" customHeight="1" x14ac:dyDescent="0.25">
      <c r="A27" s="68" t="s">
        <v>455</v>
      </c>
      <c r="B27" s="14">
        <v>43592</v>
      </c>
      <c r="C27" s="13">
        <v>410</v>
      </c>
      <c r="D27" s="32" t="s">
        <v>2144</v>
      </c>
      <c r="E27" s="32" t="s">
        <v>958</v>
      </c>
      <c r="F27" s="4">
        <v>1000000</v>
      </c>
      <c r="G27" s="86" t="s">
        <v>7300</v>
      </c>
      <c r="H27" s="211"/>
      <c r="I27" s="41" t="s">
        <v>8046</v>
      </c>
      <c r="J27" s="21"/>
      <c r="K27" s="228"/>
    </row>
    <row r="28" spans="1:19" ht="13.95" hidden="1" customHeight="1" x14ac:dyDescent="0.25">
      <c r="A28" s="61" t="s">
        <v>92</v>
      </c>
      <c r="B28" s="14">
        <v>43592</v>
      </c>
      <c r="C28" s="13">
        <v>765</v>
      </c>
      <c r="D28" s="32" t="s">
        <v>667</v>
      </c>
      <c r="E28" s="32" t="s">
        <v>62</v>
      </c>
      <c r="F28" s="4">
        <v>500000</v>
      </c>
      <c r="G28" s="86" t="s">
        <v>2202</v>
      </c>
      <c r="H28" s="211"/>
      <c r="I28" s="208" t="s">
        <v>3650</v>
      </c>
      <c r="J28" s="21"/>
      <c r="K28" s="228"/>
    </row>
    <row r="29" spans="1:19" ht="13.95" hidden="1" customHeight="1" x14ac:dyDescent="0.25">
      <c r="A29" s="61" t="s">
        <v>92</v>
      </c>
      <c r="B29" s="14">
        <v>43592</v>
      </c>
      <c r="C29" s="13">
        <v>763</v>
      </c>
      <c r="D29" s="32" t="s">
        <v>7231</v>
      </c>
      <c r="E29" s="32" t="s">
        <v>62</v>
      </c>
      <c r="F29" s="4">
        <v>3000000</v>
      </c>
      <c r="G29" s="86" t="s">
        <v>7232</v>
      </c>
      <c r="H29" s="211"/>
      <c r="I29" s="4" t="s">
        <v>190</v>
      </c>
      <c r="J29" s="21"/>
      <c r="K29" s="228"/>
    </row>
    <row r="30" spans="1:19" ht="13.95" hidden="1" customHeight="1" x14ac:dyDescent="0.25">
      <c r="A30" s="13" t="s">
        <v>505</v>
      </c>
      <c r="B30" s="14">
        <v>43592</v>
      </c>
      <c r="C30" s="13">
        <v>762</v>
      </c>
      <c r="D30" s="32" t="s">
        <v>285</v>
      </c>
      <c r="E30" s="32" t="s">
        <v>62</v>
      </c>
      <c r="F30" s="4">
        <f>1969685.96-1586304.75</f>
        <v>383381.20999999996</v>
      </c>
      <c r="G30" s="69" t="s">
        <v>1681</v>
      </c>
      <c r="H30" s="14"/>
      <c r="I30" s="41" t="s">
        <v>1682</v>
      </c>
      <c r="K30" s="62"/>
    </row>
    <row r="31" spans="1:19" ht="13.95" hidden="1" customHeight="1" x14ac:dyDescent="0.25">
      <c r="A31" s="61" t="s">
        <v>442</v>
      </c>
      <c r="B31" s="14">
        <v>43592</v>
      </c>
      <c r="C31" s="13">
        <v>766</v>
      </c>
      <c r="D31" s="13" t="s">
        <v>432</v>
      </c>
      <c r="E31" s="32" t="s">
        <v>62</v>
      </c>
      <c r="F31" s="4">
        <v>1000000</v>
      </c>
      <c r="G31" s="86" t="s">
        <v>1939</v>
      </c>
      <c r="H31" s="211"/>
      <c r="I31" s="4" t="s">
        <v>788</v>
      </c>
      <c r="J31" s="21"/>
      <c r="K31" s="228"/>
    </row>
    <row r="32" spans="1:19" s="97" customFormat="1" hidden="1" x14ac:dyDescent="0.25">
      <c r="A32" s="61" t="s">
        <v>442</v>
      </c>
      <c r="B32" s="14">
        <v>43592</v>
      </c>
      <c r="C32" s="13">
        <v>767</v>
      </c>
      <c r="D32" s="13" t="s">
        <v>869</v>
      </c>
      <c r="E32" s="13" t="s">
        <v>62</v>
      </c>
      <c r="F32" s="4">
        <v>100000</v>
      </c>
      <c r="G32" s="29" t="s">
        <v>6208</v>
      </c>
      <c r="H32" s="14">
        <v>43552</v>
      </c>
      <c r="I32" s="4" t="s">
        <v>6209</v>
      </c>
      <c r="J32" s="133"/>
      <c r="K32" s="22"/>
      <c r="L32" s="134"/>
    </row>
    <row r="33" spans="1:12" s="97" customFormat="1" hidden="1" x14ac:dyDescent="0.25">
      <c r="A33" s="61" t="s">
        <v>442</v>
      </c>
      <c r="B33" s="14">
        <v>43592</v>
      </c>
      <c r="C33" s="13">
        <v>768</v>
      </c>
      <c r="D33" s="13" t="s">
        <v>868</v>
      </c>
      <c r="E33" s="13" t="s">
        <v>62</v>
      </c>
      <c r="F33" s="4">
        <v>37189.019999999997</v>
      </c>
      <c r="G33" s="29" t="s">
        <v>6200</v>
      </c>
      <c r="H33" s="14">
        <v>43552</v>
      </c>
      <c r="I33" s="4" t="s">
        <v>6201</v>
      </c>
      <c r="J33" s="133"/>
      <c r="K33" s="22"/>
      <c r="L33" s="134"/>
    </row>
    <row r="34" spans="1:12" s="97" customFormat="1" hidden="1" x14ac:dyDescent="0.25">
      <c r="A34" s="32" t="s">
        <v>442</v>
      </c>
      <c r="B34" s="14">
        <v>43592</v>
      </c>
      <c r="C34" s="13">
        <v>769</v>
      </c>
      <c r="D34" s="13" t="s">
        <v>814</v>
      </c>
      <c r="E34" s="13" t="s">
        <v>62</v>
      </c>
      <c r="F34" s="4">
        <v>59005.8</v>
      </c>
      <c r="G34" s="28" t="s">
        <v>6185</v>
      </c>
      <c r="H34" s="14">
        <v>43552</v>
      </c>
      <c r="I34" s="4" t="s">
        <v>142</v>
      </c>
      <c r="J34" s="133"/>
      <c r="K34" s="22"/>
      <c r="L34" s="134"/>
    </row>
    <row r="35" spans="1:12" s="97" customFormat="1" hidden="1" x14ac:dyDescent="0.25">
      <c r="A35" s="61" t="s">
        <v>91</v>
      </c>
      <c r="B35" s="14">
        <v>43592</v>
      </c>
      <c r="C35" s="13">
        <v>770</v>
      </c>
      <c r="D35" s="13" t="s">
        <v>304</v>
      </c>
      <c r="E35" s="13" t="s">
        <v>62</v>
      </c>
      <c r="F35" s="4">
        <v>27253</v>
      </c>
      <c r="G35" s="29" t="s">
        <v>6180</v>
      </c>
      <c r="H35" s="14">
        <v>43552</v>
      </c>
      <c r="I35" s="4" t="s">
        <v>6181</v>
      </c>
      <c r="J35" s="133"/>
      <c r="K35" s="22"/>
      <c r="L35" s="134"/>
    </row>
    <row r="36" spans="1:12" s="97" customFormat="1" hidden="1" x14ac:dyDescent="0.25">
      <c r="A36" s="61" t="s">
        <v>442</v>
      </c>
      <c r="B36" s="14">
        <v>43592</v>
      </c>
      <c r="C36" s="13">
        <v>771</v>
      </c>
      <c r="D36" s="13" t="s">
        <v>157</v>
      </c>
      <c r="E36" s="13" t="s">
        <v>62</v>
      </c>
      <c r="F36" s="4">
        <v>82549</v>
      </c>
      <c r="G36" s="28" t="s">
        <v>6166</v>
      </c>
      <c r="H36" s="14">
        <v>43552</v>
      </c>
      <c r="I36" s="4" t="s">
        <v>6167</v>
      </c>
      <c r="J36" s="133"/>
      <c r="K36" s="22"/>
      <c r="L36" s="134"/>
    </row>
    <row r="37" spans="1:12" hidden="1" x14ac:dyDescent="0.25">
      <c r="A37" s="61" t="s">
        <v>92</v>
      </c>
      <c r="B37" s="14">
        <v>43592</v>
      </c>
      <c r="C37" s="13">
        <v>772</v>
      </c>
      <c r="D37" s="13" t="s">
        <v>282</v>
      </c>
      <c r="E37" s="13" t="s">
        <v>62</v>
      </c>
      <c r="F37" s="37">
        <v>15015</v>
      </c>
      <c r="G37" s="29" t="s">
        <v>6073</v>
      </c>
      <c r="H37" s="14">
        <v>43555</v>
      </c>
      <c r="I37" s="4" t="s">
        <v>283</v>
      </c>
    </row>
    <row r="38" spans="1:12" hidden="1" x14ac:dyDescent="0.25">
      <c r="A38" s="61" t="s">
        <v>442</v>
      </c>
      <c r="B38" s="14">
        <v>43592</v>
      </c>
      <c r="C38" s="13">
        <v>773</v>
      </c>
      <c r="D38" s="13" t="s">
        <v>1395</v>
      </c>
      <c r="E38" s="13" t="s">
        <v>62</v>
      </c>
      <c r="F38" s="37">
        <v>30400</v>
      </c>
      <c r="G38" s="29" t="s">
        <v>540</v>
      </c>
      <c r="H38" s="14">
        <v>43551</v>
      </c>
      <c r="I38" s="4" t="s">
        <v>6087</v>
      </c>
    </row>
    <row r="39" spans="1:12" hidden="1" x14ac:dyDescent="0.25">
      <c r="A39" s="32" t="s">
        <v>103</v>
      </c>
      <c r="B39" s="14">
        <v>43592</v>
      </c>
      <c r="C39" s="13">
        <v>774</v>
      </c>
      <c r="D39" s="13" t="s">
        <v>80</v>
      </c>
      <c r="E39" s="13" t="s">
        <v>62</v>
      </c>
      <c r="F39" s="4">
        <v>43520</v>
      </c>
      <c r="G39" s="28" t="s">
        <v>6089</v>
      </c>
      <c r="H39" s="14">
        <v>43545</v>
      </c>
      <c r="I39" s="4" t="s">
        <v>354</v>
      </c>
    </row>
    <row r="40" spans="1:12" hidden="1" x14ac:dyDescent="0.25">
      <c r="A40" s="32" t="s">
        <v>442</v>
      </c>
      <c r="B40" s="14">
        <v>43592</v>
      </c>
      <c r="C40" s="13">
        <v>775</v>
      </c>
      <c r="D40" s="13" t="s">
        <v>29</v>
      </c>
      <c r="E40" s="13" t="s">
        <v>62</v>
      </c>
      <c r="F40" s="4">
        <v>111150</v>
      </c>
      <c r="G40" s="28" t="s">
        <v>6099</v>
      </c>
      <c r="H40" s="14">
        <v>43539</v>
      </c>
      <c r="I40" s="4" t="s">
        <v>87</v>
      </c>
    </row>
    <row r="41" spans="1:12" hidden="1" x14ac:dyDescent="0.25">
      <c r="A41" s="32" t="s">
        <v>358</v>
      </c>
      <c r="B41" s="14">
        <v>43592</v>
      </c>
      <c r="C41" s="13">
        <v>776</v>
      </c>
      <c r="D41" s="13" t="s">
        <v>2047</v>
      </c>
      <c r="E41" s="13" t="s">
        <v>62</v>
      </c>
      <c r="F41" s="4">
        <v>17000</v>
      </c>
      <c r="G41" s="28" t="s">
        <v>36</v>
      </c>
      <c r="H41" s="14">
        <v>43543</v>
      </c>
      <c r="I41" s="4" t="s">
        <v>95</v>
      </c>
    </row>
    <row r="42" spans="1:12" ht="13.95" hidden="1" customHeight="1" x14ac:dyDescent="0.25">
      <c r="A42" s="68" t="s">
        <v>659</v>
      </c>
      <c r="B42" s="14">
        <v>43592</v>
      </c>
      <c r="C42" s="13">
        <v>783</v>
      </c>
      <c r="D42" s="32" t="s">
        <v>1767</v>
      </c>
      <c r="E42" s="32" t="s">
        <v>808</v>
      </c>
      <c r="F42" s="4">
        <f>5419400-3000000</f>
        <v>2419400</v>
      </c>
      <c r="G42" s="86" t="s">
        <v>6279</v>
      </c>
      <c r="H42" s="14"/>
      <c r="I42" s="41" t="s">
        <v>101</v>
      </c>
      <c r="K42" s="62"/>
    </row>
    <row r="43" spans="1:12" ht="15.6" hidden="1" customHeight="1" x14ac:dyDescent="0.25">
      <c r="A43" s="13" t="s">
        <v>1148</v>
      </c>
      <c r="B43" s="14">
        <v>43592</v>
      </c>
      <c r="C43" s="13">
        <v>784</v>
      </c>
      <c r="D43" s="32" t="s">
        <v>285</v>
      </c>
      <c r="E43" s="32" t="s">
        <v>808</v>
      </c>
      <c r="F43" s="4">
        <v>705000</v>
      </c>
      <c r="G43" s="69" t="s">
        <v>5952</v>
      </c>
      <c r="H43" s="14"/>
      <c r="I43" s="41" t="s">
        <v>5953</v>
      </c>
      <c r="K43" s="62"/>
    </row>
    <row r="44" spans="1:12" hidden="1" x14ac:dyDescent="0.25">
      <c r="A44" s="61" t="s">
        <v>659</v>
      </c>
      <c r="B44" s="14">
        <v>43592</v>
      </c>
      <c r="C44" s="13">
        <v>785</v>
      </c>
      <c r="D44" s="32" t="s">
        <v>5965</v>
      </c>
      <c r="E44" s="13" t="s">
        <v>808</v>
      </c>
      <c r="F44" s="37">
        <v>1000000</v>
      </c>
      <c r="G44" s="174" t="s">
        <v>5966</v>
      </c>
      <c r="H44" s="14"/>
      <c r="I44" s="4" t="s">
        <v>24</v>
      </c>
    </row>
    <row r="45" spans="1:12" ht="13.95" hidden="1" customHeight="1" x14ac:dyDescent="0.25">
      <c r="A45" s="68" t="s">
        <v>261</v>
      </c>
      <c r="B45" s="14">
        <v>43592</v>
      </c>
      <c r="C45" s="13">
        <v>786</v>
      </c>
      <c r="D45" s="32" t="s">
        <v>454</v>
      </c>
      <c r="E45" s="32" t="s">
        <v>808</v>
      </c>
      <c r="F45" s="4">
        <v>3000000</v>
      </c>
      <c r="G45" s="86" t="s">
        <v>1040</v>
      </c>
      <c r="H45" s="211"/>
      <c r="I45" s="208" t="s">
        <v>315</v>
      </c>
      <c r="J45" s="21"/>
      <c r="K45" s="228"/>
    </row>
    <row r="46" spans="1:12" s="97" customFormat="1" hidden="1" x14ac:dyDescent="0.25">
      <c r="A46" s="61" t="s">
        <v>1316</v>
      </c>
      <c r="B46" s="14">
        <v>43592</v>
      </c>
      <c r="C46" s="13">
        <v>787</v>
      </c>
      <c r="D46" s="13" t="s">
        <v>589</v>
      </c>
      <c r="E46" s="13" t="s">
        <v>808</v>
      </c>
      <c r="F46" s="4">
        <v>831200</v>
      </c>
      <c r="G46" s="29" t="s">
        <v>5932</v>
      </c>
      <c r="H46" s="14">
        <v>43544</v>
      </c>
      <c r="I46" s="4" t="s">
        <v>1998</v>
      </c>
      <c r="J46" s="133"/>
      <c r="K46" s="22"/>
      <c r="L46" s="134"/>
    </row>
    <row r="47" spans="1:12" s="97" customFormat="1" hidden="1" x14ac:dyDescent="0.25">
      <c r="A47" s="13" t="s">
        <v>659</v>
      </c>
      <c r="B47" s="14">
        <v>43592</v>
      </c>
      <c r="C47" s="13">
        <v>787</v>
      </c>
      <c r="D47" s="13" t="s">
        <v>589</v>
      </c>
      <c r="E47" s="13" t="s">
        <v>808</v>
      </c>
      <c r="F47" s="4">
        <v>1170000</v>
      </c>
      <c r="G47" s="28" t="s">
        <v>5933</v>
      </c>
      <c r="H47" s="14">
        <v>43545</v>
      </c>
      <c r="I47" s="4" t="s">
        <v>423</v>
      </c>
      <c r="J47" s="133"/>
      <c r="K47" s="22"/>
      <c r="L47" s="134"/>
    </row>
    <row r="48" spans="1:12" s="97" customFormat="1" hidden="1" x14ac:dyDescent="0.25">
      <c r="A48" s="61" t="s">
        <v>1316</v>
      </c>
      <c r="B48" s="14">
        <v>43592</v>
      </c>
      <c r="C48" s="13">
        <v>788</v>
      </c>
      <c r="D48" s="13" t="s">
        <v>734</v>
      </c>
      <c r="E48" s="13" t="s">
        <v>808</v>
      </c>
      <c r="F48" s="37">
        <v>13330</v>
      </c>
      <c r="G48" s="29" t="s">
        <v>6857</v>
      </c>
      <c r="H48" s="14">
        <v>43571</v>
      </c>
      <c r="I48" s="4" t="s">
        <v>6858</v>
      </c>
      <c r="J48" s="133"/>
      <c r="K48" s="22"/>
      <c r="L48" s="134"/>
    </row>
    <row r="49" spans="1:19" s="97" customFormat="1" hidden="1" x14ac:dyDescent="0.25">
      <c r="A49" s="61" t="s">
        <v>659</v>
      </c>
      <c r="B49" s="14">
        <v>43592</v>
      </c>
      <c r="C49" s="13">
        <v>789</v>
      </c>
      <c r="D49" s="13" t="s">
        <v>3438</v>
      </c>
      <c r="E49" s="13" t="s">
        <v>808</v>
      </c>
      <c r="F49" s="4">
        <v>20000</v>
      </c>
      <c r="G49" s="29" t="s">
        <v>375</v>
      </c>
      <c r="H49" s="14">
        <v>43551</v>
      </c>
      <c r="I49" s="4" t="s">
        <v>6174</v>
      </c>
      <c r="J49" s="133"/>
      <c r="K49" s="22"/>
      <c r="L49" s="134"/>
    </row>
    <row r="50" spans="1:19" s="97" customFormat="1" hidden="1" x14ac:dyDescent="0.25">
      <c r="A50" s="61" t="s">
        <v>659</v>
      </c>
      <c r="B50" s="14">
        <v>43592</v>
      </c>
      <c r="C50" s="13">
        <v>790</v>
      </c>
      <c r="D50" s="13" t="s">
        <v>72</v>
      </c>
      <c r="E50" s="13" t="s">
        <v>808</v>
      </c>
      <c r="F50" s="4">
        <v>25590.42</v>
      </c>
      <c r="G50" s="28" t="s">
        <v>6172</v>
      </c>
      <c r="H50" s="14">
        <v>43557</v>
      </c>
      <c r="I50" s="4" t="s">
        <v>6173</v>
      </c>
      <c r="J50" s="133"/>
      <c r="K50" s="22"/>
      <c r="L50" s="134"/>
    </row>
    <row r="51" spans="1:19" ht="27.6" hidden="1" x14ac:dyDescent="0.25">
      <c r="A51" s="32" t="s">
        <v>1806</v>
      </c>
      <c r="B51" s="14">
        <v>43592</v>
      </c>
      <c r="C51" s="13">
        <v>794</v>
      </c>
      <c r="D51" s="13" t="s">
        <v>80</v>
      </c>
      <c r="E51" s="13" t="s">
        <v>808</v>
      </c>
      <c r="F51" s="4">
        <f>325360-50000-200000</f>
        <v>75360</v>
      </c>
      <c r="G51" s="28" t="s">
        <v>5616</v>
      </c>
      <c r="H51" s="14">
        <v>43539</v>
      </c>
      <c r="I51" s="4" t="s">
        <v>2157</v>
      </c>
    </row>
    <row r="52" spans="1:19" hidden="1" x14ac:dyDescent="0.25">
      <c r="A52" s="61" t="s">
        <v>659</v>
      </c>
      <c r="B52" s="14">
        <v>43592</v>
      </c>
      <c r="C52" s="13">
        <v>792</v>
      </c>
      <c r="D52" s="13" t="s">
        <v>250</v>
      </c>
      <c r="E52" s="13" t="s">
        <v>808</v>
      </c>
      <c r="F52" s="37">
        <v>100000</v>
      </c>
      <c r="G52" s="29" t="s">
        <v>5364</v>
      </c>
      <c r="H52" s="14">
        <v>43524</v>
      </c>
      <c r="I52" s="4" t="s">
        <v>4088</v>
      </c>
    </row>
    <row r="53" spans="1:19" hidden="1" x14ac:dyDescent="0.25">
      <c r="A53" s="61" t="s">
        <v>1147</v>
      </c>
      <c r="B53" s="14">
        <v>43592</v>
      </c>
      <c r="C53" s="13">
        <v>793</v>
      </c>
      <c r="D53" s="13" t="s">
        <v>692</v>
      </c>
      <c r="E53" s="13" t="s">
        <v>808</v>
      </c>
      <c r="F53" s="4">
        <v>90000</v>
      </c>
      <c r="G53" s="28" t="s">
        <v>1264</v>
      </c>
      <c r="H53" s="14">
        <v>43532</v>
      </c>
      <c r="I53" s="32" t="s">
        <v>2027</v>
      </c>
    </row>
    <row r="54" spans="1:19" ht="27.6" hidden="1" x14ac:dyDescent="0.25">
      <c r="A54" s="61" t="s">
        <v>5624</v>
      </c>
      <c r="B54" s="14">
        <v>43592</v>
      </c>
      <c r="C54" s="13">
        <v>794</v>
      </c>
      <c r="D54" s="13" t="s">
        <v>2047</v>
      </c>
      <c r="E54" s="13" t="s">
        <v>808</v>
      </c>
      <c r="F54" s="37">
        <v>54400</v>
      </c>
      <c r="G54" s="29" t="s">
        <v>375</v>
      </c>
      <c r="H54" s="14">
        <v>43544</v>
      </c>
      <c r="I54" s="4" t="s">
        <v>95</v>
      </c>
    </row>
    <row r="55" spans="1:19" hidden="1" x14ac:dyDescent="0.25">
      <c r="A55" s="32" t="s">
        <v>659</v>
      </c>
      <c r="B55" s="14">
        <v>43592</v>
      </c>
      <c r="C55" s="13">
        <v>794</v>
      </c>
      <c r="D55" s="13" t="s">
        <v>2047</v>
      </c>
      <c r="E55" s="13" t="s">
        <v>808</v>
      </c>
      <c r="F55" s="4">
        <v>23800</v>
      </c>
      <c r="G55" s="28" t="s">
        <v>762</v>
      </c>
      <c r="H55" s="14">
        <v>43557</v>
      </c>
      <c r="I55" s="4" t="s">
        <v>95</v>
      </c>
    </row>
    <row r="56" spans="1:19" hidden="1" x14ac:dyDescent="0.25">
      <c r="A56" s="13" t="s">
        <v>637</v>
      </c>
      <c r="B56" s="126">
        <v>43592</v>
      </c>
      <c r="C56" s="13">
        <v>333</v>
      </c>
      <c r="D56" s="13" t="s">
        <v>470</v>
      </c>
      <c r="E56" s="13" t="s">
        <v>691</v>
      </c>
      <c r="F56" s="37">
        <v>5000000</v>
      </c>
      <c r="G56" s="69" t="s">
        <v>1818</v>
      </c>
      <c r="H56" s="14"/>
      <c r="I56" s="208" t="s">
        <v>237</v>
      </c>
      <c r="J56" s="62"/>
      <c r="K56" s="62"/>
      <c r="L56" s="35"/>
      <c r="M56" s="35"/>
      <c r="N56" s="35"/>
      <c r="O56" s="35"/>
      <c r="P56" s="35"/>
    </row>
    <row r="57" spans="1:19" hidden="1" x14ac:dyDescent="0.25">
      <c r="A57" s="13" t="s">
        <v>1350</v>
      </c>
      <c r="B57" s="126">
        <v>43592</v>
      </c>
      <c r="C57" s="13">
        <v>329</v>
      </c>
      <c r="D57" s="32" t="s">
        <v>3662</v>
      </c>
      <c r="E57" s="13" t="s">
        <v>691</v>
      </c>
      <c r="F57" s="4">
        <v>600652.80000000005</v>
      </c>
      <c r="G57" s="29" t="s">
        <v>7366</v>
      </c>
      <c r="H57" s="14">
        <v>43581</v>
      </c>
      <c r="I57" s="4" t="s">
        <v>3664</v>
      </c>
      <c r="J57" s="62"/>
      <c r="K57" s="62"/>
      <c r="L57" s="35"/>
      <c r="M57" s="35"/>
      <c r="N57" s="35"/>
      <c r="O57" s="35"/>
      <c r="P57" s="35"/>
    </row>
    <row r="58" spans="1:19" hidden="1" x14ac:dyDescent="0.25">
      <c r="A58" s="13" t="s">
        <v>659</v>
      </c>
      <c r="B58" s="126">
        <v>43592</v>
      </c>
      <c r="C58" s="13">
        <v>332</v>
      </c>
      <c r="D58" s="32" t="s">
        <v>6985</v>
      </c>
      <c r="E58" s="13" t="s">
        <v>691</v>
      </c>
      <c r="F58" s="4">
        <f>1627800-1000000</f>
        <v>627800</v>
      </c>
      <c r="G58" s="29" t="s">
        <v>2029</v>
      </c>
      <c r="H58" s="14">
        <v>43573</v>
      </c>
      <c r="I58" s="4" t="s">
        <v>6986</v>
      </c>
      <c r="J58" s="62"/>
      <c r="K58" s="62"/>
      <c r="L58" s="35"/>
      <c r="M58" s="35"/>
      <c r="N58" s="35"/>
      <c r="O58" s="35"/>
      <c r="P58" s="35"/>
    </row>
    <row r="59" spans="1:19" s="97" customFormat="1" hidden="1" x14ac:dyDescent="0.25">
      <c r="A59" s="13" t="s">
        <v>1350</v>
      </c>
      <c r="B59" s="126">
        <v>43592</v>
      </c>
      <c r="C59" s="13">
        <v>330</v>
      </c>
      <c r="D59" s="13" t="s">
        <v>2142</v>
      </c>
      <c r="E59" s="13" t="s">
        <v>691</v>
      </c>
      <c r="F59" s="4">
        <v>46700.81</v>
      </c>
      <c r="G59" s="28" t="s">
        <v>5200</v>
      </c>
      <c r="H59" s="14">
        <v>43550</v>
      </c>
      <c r="I59" s="4" t="s">
        <v>6219</v>
      </c>
      <c r="J59" s="133"/>
      <c r="K59" s="22"/>
      <c r="L59" s="134"/>
    </row>
    <row r="60" spans="1:19" s="97" customFormat="1" hidden="1" x14ac:dyDescent="0.25">
      <c r="A60" s="61" t="s">
        <v>1350</v>
      </c>
      <c r="B60" s="126">
        <v>43592</v>
      </c>
      <c r="C60" s="13">
        <v>331</v>
      </c>
      <c r="D60" s="13" t="s">
        <v>280</v>
      </c>
      <c r="E60" s="13" t="s">
        <v>691</v>
      </c>
      <c r="F60" s="4">
        <v>94675</v>
      </c>
      <c r="G60" s="29" t="s">
        <v>859</v>
      </c>
      <c r="H60" s="14">
        <v>43551</v>
      </c>
      <c r="I60" s="4" t="s">
        <v>6186</v>
      </c>
      <c r="J60" s="133"/>
      <c r="K60" s="22"/>
      <c r="L60" s="134"/>
    </row>
    <row r="61" spans="1:19" s="129" customFormat="1" hidden="1" x14ac:dyDescent="0.25">
      <c r="A61" s="13" t="s">
        <v>151</v>
      </c>
      <c r="B61" s="14">
        <v>43592</v>
      </c>
      <c r="C61" s="28" t="s">
        <v>7392</v>
      </c>
      <c r="D61" s="13" t="s">
        <v>7381</v>
      </c>
      <c r="E61" s="32" t="s">
        <v>1121</v>
      </c>
      <c r="F61" s="37">
        <v>3800</v>
      </c>
      <c r="G61" s="28" t="s">
        <v>7382</v>
      </c>
      <c r="H61" s="14">
        <v>43592</v>
      </c>
      <c r="I61" s="4" t="s">
        <v>7383</v>
      </c>
      <c r="J61" s="170" t="s">
        <v>1386</v>
      </c>
      <c r="K61" s="136"/>
    </row>
    <row r="62" spans="1:19" ht="26.4" hidden="1" customHeight="1" x14ac:dyDescent="0.25">
      <c r="A62" s="13" t="s">
        <v>184</v>
      </c>
      <c r="B62" s="14">
        <v>43592</v>
      </c>
      <c r="C62" s="13">
        <v>559</v>
      </c>
      <c r="D62" s="13" t="s">
        <v>7177</v>
      </c>
      <c r="E62" s="32" t="s">
        <v>1121</v>
      </c>
      <c r="F62" s="4">
        <v>20000</v>
      </c>
      <c r="G62" s="28" t="s">
        <v>32</v>
      </c>
      <c r="H62" s="14">
        <v>43574</v>
      </c>
      <c r="I62" s="4" t="s">
        <v>7178</v>
      </c>
      <c r="J62" s="76" t="s">
        <v>7215</v>
      </c>
    </row>
    <row r="63" spans="1:19" hidden="1" x14ac:dyDescent="0.25">
      <c r="A63" s="13" t="s">
        <v>151</v>
      </c>
      <c r="B63" s="14">
        <v>43592</v>
      </c>
      <c r="C63" s="13">
        <v>780</v>
      </c>
      <c r="D63" s="13" t="s">
        <v>3641</v>
      </c>
      <c r="E63" s="32" t="s">
        <v>62</v>
      </c>
      <c r="F63" s="4">
        <v>6000</v>
      </c>
      <c r="G63" s="28" t="s">
        <v>7393</v>
      </c>
      <c r="H63" s="14">
        <v>43591</v>
      </c>
      <c r="I63" s="4" t="s">
        <v>512</v>
      </c>
      <c r="J63" s="76"/>
    </row>
    <row r="64" spans="1:19" s="2" customFormat="1" hidden="1" x14ac:dyDescent="0.25">
      <c r="A64" s="13" t="s">
        <v>6</v>
      </c>
      <c r="B64" s="14">
        <v>43593</v>
      </c>
      <c r="C64" s="13">
        <v>223</v>
      </c>
      <c r="D64" s="13" t="s">
        <v>7394</v>
      </c>
      <c r="E64" s="13" t="s">
        <v>183</v>
      </c>
      <c r="F64" s="4">
        <v>16800</v>
      </c>
      <c r="G64" s="29" t="s">
        <v>199</v>
      </c>
      <c r="H64" s="14">
        <v>43592</v>
      </c>
      <c r="I64" s="4" t="s">
        <v>7395</v>
      </c>
      <c r="J64" s="341"/>
      <c r="K64" s="31"/>
      <c r="L64" s="31"/>
      <c r="M64" s="31"/>
      <c r="N64" s="31"/>
      <c r="O64" s="34"/>
      <c r="P64" s="34"/>
      <c r="Q64" s="34"/>
      <c r="R64" s="34"/>
      <c r="S64" s="34"/>
    </row>
    <row r="65" spans="1:19" s="2" customFormat="1" hidden="1" x14ac:dyDescent="0.25">
      <c r="A65" s="13" t="s">
        <v>6</v>
      </c>
      <c r="B65" s="14">
        <v>43593</v>
      </c>
      <c r="C65" s="13">
        <v>224</v>
      </c>
      <c r="D65" s="13" t="s">
        <v>7334</v>
      </c>
      <c r="E65" s="13" t="s">
        <v>183</v>
      </c>
      <c r="F65" s="4">
        <v>18000</v>
      </c>
      <c r="G65" s="29" t="s">
        <v>42</v>
      </c>
      <c r="H65" s="14">
        <v>43584</v>
      </c>
      <c r="I65" s="4" t="s">
        <v>105</v>
      </c>
      <c r="J65" s="341"/>
      <c r="K65" s="31"/>
      <c r="L65" s="31"/>
      <c r="M65" s="31"/>
      <c r="N65" s="31"/>
      <c r="O65" s="34"/>
      <c r="P65" s="34"/>
      <c r="Q65" s="34"/>
      <c r="R65" s="34"/>
      <c r="S65" s="34"/>
    </row>
    <row r="66" spans="1:19" s="2" customFormat="1" ht="15" hidden="1" customHeight="1" x14ac:dyDescent="0.25">
      <c r="A66" s="13" t="s">
        <v>6</v>
      </c>
      <c r="B66" s="14">
        <v>43593</v>
      </c>
      <c r="C66" s="13">
        <v>225</v>
      </c>
      <c r="D66" s="32" t="s">
        <v>863</v>
      </c>
      <c r="E66" s="13" t="s">
        <v>183</v>
      </c>
      <c r="F66" s="4">
        <v>76800</v>
      </c>
      <c r="G66" s="29" t="s">
        <v>7396</v>
      </c>
      <c r="H66" s="14">
        <v>43582</v>
      </c>
      <c r="I66" s="4" t="s">
        <v>354</v>
      </c>
      <c r="J66" s="341"/>
      <c r="K66" s="31"/>
      <c r="L66" s="31"/>
      <c r="M66" s="31"/>
      <c r="N66" s="31"/>
      <c r="O66" s="34"/>
      <c r="P66" s="34"/>
      <c r="Q66" s="34"/>
      <c r="R66" s="34"/>
      <c r="S66" s="34"/>
    </row>
    <row r="67" spans="1:19" s="2" customFormat="1" ht="15" hidden="1" customHeight="1" x14ac:dyDescent="0.25">
      <c r="A67" s="13" t="s">
        <v>6</v>
      </c>
      <c r="B67" s="14">
        <v>43593</v>
      </c>
      <c r="C67" s="13">
        <v>226</v>
      </c>
      <c r="D67" s="32" t="s">
        <v>7397</v>
      </c>
      <c r="E67" s="13" t="s">
        <v>183</v>
      </c>
      <c r="F67" s="4">
        <v>9800</v>
      </c>
      <c r="G67" s="29" t="s">
        <v>7398</v>
      </c>
      <c r="H67" s="14">
        <v>43592</v>
      </c>
      <c r="I67" s="4" t="s">
        <v>187</v>
      </c>
      <c r="J67" s="341"/>
      <c r="K67" s="31"/>
      <c r="L67" s="31"/>
      <c r="M67" s="31"/>
      <c r="N67" s="31"/>
      <c r="O67" s="34"/>
      <c r="P67" s="34"/>
      <c r="Q67" s="34"/>
      <c r="R67" s="34"/>
      <c r="S67" s="34"/>
    </row>
    <row r="68" spans="1:19" s="2" customFormat="1" ht="15" hidden="1" customHeight="1" x14ac:dyDescent="0.25">
      <c r="A68" s="13" t="s">
        <v>6</v>
      </c>
      <c r="B68" s="14">
        <v>43593</v>
      </c>
      <c r="C68" s="13">
        <v>227</v>
      </c>
      <c r="D68" s="32" t="s">
        <v>7399</v>
      </c>
      <c r="E68" s="13" t="s">
        <v>183</v>
      </c>
      <c r="F68" s="4">
        <v>10315</v>
      </c>
      <c r="G68" s="29" t="s">
        <v>7400</v>
      </c>
      <c r="H68" s="14">
        <v>43592</v>
      </c>
      <c r="I68" s="4" t="s">
        <v>7401</v>
      </c>
      <c r="J68" s="341"/>
      <c r="K68" s="31"/>
      <c r="L68" s="31"/>
      <c r="M68" s="31"/>
      <c r="N68" s="31"/>
      <c r="O68" s="34"/>
      <c r="P68" s="34"/>
      <c r="Q68" s="34"/>
      <c r="R68" s="34"/>
      <c r="S68" s="34"/>
    </row>
    <row r="69" spans="1:19" s="2" customFormat="1" hidden="1" x14ac:dyDescent="0.25">
      <c r="A69" s="13" t="s">
        <v>6</v>
      </c>
      <c r="B69" s="14">
        <v>43593</v>
      </c>
      <c r="C69" s="13">
        <v>228</v>
      </c>
      <c r="D69" s="13" t="s">
        <v>743</v>
      </c>
      <c r="E69" s="13" t="s">
        <v>183</v>
      </c>
      <c r="F69" s="4">
        <v>73500</v>
      </c>
      <c r="G69" s="29" t="s">
        <v>7405</v>
      </c>
      <c r="H69" s="14">
        <v>43582</v>
      </c>
      <c r="I69" s="4" t="s">
        <v>7404</v>
      </c>
      <c r="J69" s="341"/>
      <c r="K69" s="31"/>
      <c r="L69" s="31"/>
      <c r="M69" s="31"/>
      <c r="N69" s="31"/>
      <c r="O69" s="34"/>
      <c r="P69" s="34"/>
      <c r="Q69" s="34"/>
      <c r="R69" s="34"/>
      <c r="S69" s="34"/>
    </row>
    <row r="70" spans="1:19" hidden="1" x14ac:dyDescent="0.25">
      <c r="A70" s="61" t="s">
        <v>460</v>
      </c>
      <c r="B70" s="14">
        <v>43593</v>
      </c>
      <c r="C70" s="13">
        <v>62</v>
      </c>
      <c r="D70" s="13" t="s">
        <v>7312</v>
      </c>
      <c r="E70" s="13" t="s">
        <v>742</v>
      </c>
      <c r="F70" s="4">
        <v>100000</v>
      </c>
      <c r="G70" s="69" t="s">
        <v>7313</v>
      </c>
      <c r="H70" s="14">
        <v>43581</v>
      </c>
      <c r="I70" s="274"/>
      <c r="J70" s="169"/>
    </row>
    <row r="71" spans="1:19" ht="16.2" hidden="1" customHeight="1" x14ac:dyDescent="0.25">
      <c r="A71" s="32" t="s">
        <v>92</v>
      </c>
      <c r="B71" s="14">
        <v>43593</v>
      </c>
      <c r="C71" s="13">
        <v>618</v>
      </c>
      <c r="D71" s="32" t="s">
        <v>272</v>
      </c>
      <c r="E71" s="32" t="s">
        <v>38</v>
      </c>
      <c r="F71" s="4">
        <v>6531000</v>
      </c>
      <c r="G71" s="69" t="s">
        <v>617</v>
      </c>
      <c r="H71" s="14"/>
      <c r="I71" s="84" t="s">
        <v>273</v>
      </c>
      <c r="J71" s="22" t="s">
        <v>655</v>
      </c>
      <c r="K71" s="62"/>
    </row>
    <row r="72" spans="1:19" ht="16.2" hidden="1" customHeight="1" x14ac:dyDescent="0.25">
      <c r="A72" s="32" t="s">
        <v>92</v>
      </c>
      <c r="B72" s="14">
        <v>43593</v>
      </c>
      <c r="C72" s="13" t="s">
        <v>7544</v>
      </c>
      <c r="D72" s="32" t="s">
        <v>272</v>
      </c>
      <c r="E72" s="32" t="s">
        <v>38</v>
      </c>
      <c r="F72" s="4">
        <f>3945150+3417000</f>
        <v>7362150</v>
      </c>
      <c r="G72" s="69" t="s">
        <v>617</v>
      </c>
      <c r="H72" s="14"/>
      <c r="I72" s="84" t="s">
        <v>273</v>
      </c>
      <c r="J72" s="22" t="s">
        <v>655</v>
      </c>
      <c r="K72" s="62"/>
    </row>
    <row r="73" spans="1:19" hidden="1" x14ac:dyDescent="0.25">
      <c r="A73" s="13" t="s">
        <v>209</v>
      </c>
      <c r="B73" s="14">
        <v>43598</v>
      </c>
      <c r="C73" s="13">
        <v>98</v>
      </c>
      <c r="D73" s="13" t="s">
        <v>210</v>
      </c>
      <c r="E73" s="13" t="s">
        <v>134</v>
      </c>
      <c r="F73" s="37">
        <v>36884.92</v>
      </c>
      <c r="G73" s="67" t="s">
        <v>7542</v>
      </c>
      <c r="H73" s="14">
        <v>43592</v>
      </c>
      <c r="I73" s="4" t="s">
        <v>7543</v>
      </c>
      <c r="J73" s="471"/>
      <c r="K73" s="228"/>
    </row>
    <row r="74" spans="1:19" hidden="1" x14ac:dyDescent="0.25">
      <c r="A74" s="13" t="s">
        <v>209</v>
      </c>
      <c r="B74" s="14">
        <v>43598</v>
      </c>
      <c r="C74" s="13">
        <v>99</v>
      </c>
      <c r="D74" s="13" t="s">
        <v>210</v>
      </c>
      <c r="E74" s="13" t="s">
        <v>134</v>
      </c>
      <c r="F74" s="37">
        <v>2845.98</v>
      </c>
      <c r="G74" s="67" t="s">
        <v>7540</v>
      </c>
      <c r="H74" s="14">
        <v>43592</v>
      </c>
      <c r="I74" s="4" t="s">
        <v>7541</v>
      </c>
      <c r="J74" s="471"/>
      <c r="K74" s="228"/>
    </row>
    <row r="75" spans="1:19" ht="13.95" hidden="1" customHeight="1" x14ac:dyDescent="0.25">
      <c r="A75" s="68" t="s">
        <v>311</v>
      </c>
      <c r="B75" s="14">
        <v>43598</v>
      </c>
      <c r="C75" s="13">
        <v>427</v>
      </c>
      <c r="D75" s="32" t="s">
        <v>272</v>
      </c>
      <c r="E75" s="32" t="s">
        <v>958</v>
      </c>
      <c r="F75" s="4">
        <v>8036510.8700000001</v>
      </c>
      <c r="G75" s="86" t="s">
        <v>4485</v>
      </c>
      <c r="H75" s="211"/>
      <c r="I75" s="84" t="s">
        <v>273</v>
      </c>
      <c r="J75" s="21" t="s">
        <v>6392</v>
      </c>
      <c r="K75" s="228"/>
    </row>
    <row r="76" spans="1:19" ht="13.95" hidden="1" customHeight="1" x14ac:dyDescent="0.25">
      <c r="A76" s="68" t="s">
        <v>311</v>
      </c>
      <c r="B76" s="14">
        <v>43598</v>
      </c>
      <c r="C76" s="13">
        <v>420</v>
      </c>
      <c r="D76" s="32" t="s">
        <v>1077</v>
      </c>
      <c r="E76" s="32" t="s">
        <v>958</v>
      </c>
      <c r="F76" s="4">
        <v>1813000</v>
      </c>
      <c r="G76" s="86" t="s">
        <v>4456</v>
      </c>
      <c r="H76" s="211"/>
      <c r="I76" s="208" t="s">
        <v>4455</v>
      </c>
      <c r="J76" s="21" t="s">
        <v>6392</v>
      </c>
      <c r="K76" s="228"/>
    </row>
    <row r="77" spans="1:19" ht="13.95" hidden="1" customHeight="1" x14ac:dyDescent="0.25">
      <c r="A77" s="13" t="s">
        <v>311</v>
      </c>
      <c r="B77" s="14">
        <v>43598</v>
      </c>
      <c r="C77" s="13">
        <v>421</v>
      </c>
      <c r="D77" s="13" t="s">
        <v>456</v>
      </c>
      <c r="E77" s="13" t="s">
        <v>958</v>
      </c>
      <c r="F77" s="4">
        <v>11775804</v>
      </c>
      <c r="G77" s="86" t="s">
        <v>4482</v>
      </c>
      <c r="H77" s="14"/>
      <c r="I77" s="4" t="s">
        <v>4481</v>
      </c>
      <c r="J77" s="21" t="s">
        <v>6392</v>
      </c>
      <c r="K77" s="228"/>
    </row>
    <row r="78" spans="1:19" ht="13.95" hidden="1" customHeight="1" x14ac:dyDescent="0.25">
      <c r="A78" s="13" t="s">
        <v>311</v>
      </c>
      <c r="B78" s="14">
        <v>43598</v>
      </c>
      <c r="C78" s="13">
        <v>422</v>
      </c>
      <c r="D78" s="13" t="s">
        <v>7288</v>
      </c>
      <c r="E78" s="13" t="s">
        <v>958</v>
      </c>
      <c r="F78" s="4">
        <v>15915252</v>
      </c>
      <c r="G78" s="86" t="s">
        <v>4480</v>
      </c>
      <c r="H78" s="14"/>
      <c r="I78" s="4" t="s">
        <v>4479</v>
      </c>
      <c r="J78" s="21" t="s">
        <v>6392</v>
      </c>
      <c r="K78" s="228"/>
    </row>
    <row r="79" spans="1:19" ht="14.1" hidden="1" customHeight="1" x14ac:dyDescent="0.25">
      <c r="A79" s="32" t="s">
        <v>311</v>
      </c>
      <c r="B79" s="14">
        <v>43598</v>
      </c>
      <c r="C79" s="13">
        <v>423</v>
      </c>
      <c r="D79" s="32" t="s">
        <v>541</v>
      </c>
      <c r="E79" s="13" t="s">
        <v>958</v>
      </c>
      <c r="F79" s="4">
        <v>104000</v>
      </c>
      <c r="G79" s="86" t="s">
        <v>4478</v>
      </c>
      <c r="H79" s="211"/>
      <c r="I79" s="208" t="s">
        <v>297</v>
      </c>
      <c r="J79" s="21" t="s">
        <v>6392</v>
      </c>
      <c r="K79" s="228"/>
    </row>
    <row r="80" spans="1:19" hidden="1" x14ac:dyDescent="0.25">
      <c r="A80" s="13" t="s">
        <v>311</v>
      </c>
      <c r="B80" s="14">
        <v>43598</v>
      </c>
      <c r="C80" s="13">
        <v>424</v>
      </c>
      <c r="D80" s="32" t="s">
        <v>194</v>
      </c>
      <c r="E80" s="32" t="s">
        <v>958</v>
      </c>
      <c r="F80" s="37">
        <v>3600000</v>
      </c>
      <c r="G80" s="69" t="s">
        <v>4447</v>
      </c>
      <c r="H80" s="14"/>
      <c r="I80" s="41" t="s">
        <v>202</v>
      </c>
      <c r="J80" s="21" t="s">
        <v>6392</v>
      </c>
      <c r="K80" s="62"/>
      <c r="L80" s="62"/>
      <c r="M80" s="35"/>
      <c r="N80" s="35"/>
      <c r="O80" s="35"/>
      <c r="P80" s="35"/>
      <c r="Q80" s="35"/>
    </row>
    <row r="81" spans="1:19" hidden="1" x14ac:dyDescent="0.25">
      <c r="A81" s="13" t="s">
        <v>311</v>
      </c>
      <c r="B81" s="14">
        <v>43598</v>
      </c>
      <c r="C81" s="13">
        <v>425</v>
      </c>
      <c r="D81" s="32" t="s">
        <v>194</v>
      </c>
      <c r="E81" s="32" t="s">
        <v>958</v>
      </c>
      <c r="F81" s="37">
        <v>3502435.3</v>
      </c>
      <c r="G81" s="69" t="s">
        <v>4447</v>
      </c>
      <c r="H81" s="14"/>
      <c r="I81" s="41" t="s">
        <v>202</v>
      </c>
      <c r="J81" s="21" t="s">
        <v>6392</v>
      </c>
      <c r="K81" s="62"/>
      <c r="L81" s="62"/>
      <c r="M81" s="35"/>
      <c r="N81" s="35"/>
      <c r="O81" s="35"/>
      <c r="P81" s="35"/>
      <c r="Q81" s="35"/>
    </row>
    <row r="82" spans="1:19" ht="13.95" hidden="1" customHeight="1" x14ac:dyDescent="0.25">
      <c r="A82" s="68" t="s">
        <v>311</v>
      </c>
      <c r="B82" s="14">
        <v>43598</v>
      </c>
      <c r="C82" s="13">
        <v>426</v>
      </c>
      <c r="D82" s="32" t="s">
        <v>1736</v>
      </c>
      <c r="E82" s="32" t="s">
        <v>958</v>
      </c>
      <c r="F82" s="4">
        <v>4474070</v>
      </c>
      <c r="G82" s="86" t="s">
        <v>4439</v>
      </c>
      <c r="H82" s="211"/>
      <c r="I82" s="41" t="s">
        <v>24</v>
      </c>
      <c r="J82" s="21" t="s">
        <v>6392</v>
      </c>
      <c r="K82" s="228"/>
    </row>
    <row r="83" spans="1:19" s="97" customFormat="1" ht="27.6" hidden="1" x14ac:dyDescent="0.25">
      <c r="A83" s="13" t="s">
        <v>92</v>
      </c>
      <c r="B83" s="14">
        <v>43598</v>
      </c>
      <c r="C83" s="13">
        <v>627</v>
      </c>
      <c r="D83" s="32" t="s">
        <v>7561</v>
      </c>
      <c r="E83" s="13" t="s">
        <v>38</v>
      </c>
      <c r="F83" s="4">
        <v>1267305</v>
      </c>
      <c r="G83" s="69" t="s">
        <v>1583</v>
      </c>
      <c r="H83" s="14"/>
      <c r="I83" s="41" t="s">
        <v>7562</v>
      </c>
      <c r="J83" s="133"/>
      <c r="K83" s="22"/>
      <c r="L83" s="134"/>
    </row>
    <row r="84" spans="1:19" s="115" customFormat="1" ht="15.6" hidden="1" x14ac:dyDescent="0.25">
      <c r="A84" s="61" t="s">
        <v>651</v>
      </c>
      <c r="B84" s="14">
        <v>43598</v>
      </c>
      <c r="C84" s="13">
        <v>527</v>
      </c>
      <c r="D84" s="13" t="s">
        <v>813</v>
      </c>
      <c r="E84" s="13" t="s">
        <v>547</v>
      </c>
      <c r="F84" s="37">
        <v>4700000</v>
      </c>
      <c r="G84" s="29" t="s">
        <v>810</v>
      </c>
      <c r="H84" s="14">
        <v>42340</v>
      </c>
      <c r="I84" s="41" t="s">
        <v>1560</v>
      </c>
      <c r="J84" s="258"/>
      <c r="K84" s="116"/>
      <c r="L84" s="116"/>
      <c r="M84" s="116"/>
      <c r="N84" s="116"/>
      <c r="O84" s="117"/>
      <c r="P84" s="117"/>
      <c r="Q84" s="117"/>
      <c r="R84" s="117"/>
      <c r="S84" s="117"/>
    </row>
    <row r="85" spans="1:19" hidden="1" x14ac:dyDescent="0.25">
      <c r="A85" s="68" t="s">
        <v>151</v>
      </c>
      <c r="B85" s="14">
        <v>43598</v>
      </c>
      <c r="C85" s="13">
        <v>2</v>
      </c>
      <c r="D85" s="32" t="s">
        <v>2899</v>
      </c>
      <c r="E85" s="32" t="s">
        <v>6715</v>
      </c>
      <c r="F85" s="209">
        <v>4000</v>
      </c>
      <c r="G85" s="210" t="s">
        <v>7563</v>
      </c>
      <c r="H85" s="211">
        <v>43566</v>
      </c>
      <c r="I85" s="208" t="s">
        <v>4399</v>
      </c>
      <c r="J85" s="21"/>
      <c r="K85" s="228"/>
    </row>
    <row r="86" spans="1:19" hidden="1" x14ac:dyDescent="0.25">
      <c r="A86" s="68" t="s">
        <v>151</v>
      </c>
      <c r="B86" s="14">
        <v>43598</v>
      </c>
      <c r="C86" s="13">
        <v>68</v>
      </c>
      <c r="D86" s="32" t="s">
        <v>2899</v>
      </c>
      <c r="E86" s="32" t="s">
        <v>6879</v>
      </c>
      <c r="F86" s="209">
        <v>4000</v>
      </c>
      <c r="G86" s="210" t="s">
        <v>7564</v>
      </c>
      <c r="H86" s="211">
        <v>43564</v>
      </c>
      <c r="I86" s="208" t="s">
        <v>4399</v>
      </c>
      <c r="J86" s="21"/>
      <c r="K86" s="228"/>
    </row>
    <row r="87" spans="1:19" hidden="1" x14ac:dyDescent="0.25">
      <c r="A87" s="68" t="s">
        <v>151</v>
      </c>
      <c r="B87" s="14">
        <v>43598</v>
      </c>
      <c r="C87" s="13">
        <v>46</v>
      </c>
      <c r="D87" s="32" t="s">
        <v>2899</v>
      </c>
      <c r="E87" s="32" t="s">
        <v>6980</v>
      </c>
      <c r="F87" s="209">
        <v>4000</v>
      </c>
      <c r="G87" s="210" t="s">
        <v>7565</v>
      </c>
      <c r="H87" s="211">
        <v>43564</v>
      </c>
      <c r="I87" s="208" t="s">
        <v>4399</v>
      </c>
      <c r="J87" s="21"/>
      <c r="K87" s="228"/>
    </row>
    <row r="88" spans="1:19" hidden="1" x14ac:dyDescent="0.25">
      <c r="A88" s="68" t="s">
        <v>151</v>
      </c>
      <c r="B88" s="14">
        <v>43598</v>
      </c>
      <c r="C88" s="13">
        <v>1</v>
      </c>
      <c r="D88" s="32" t="s">
        <v>2899</v>
      </c>
      <c r="E88" s="32" t="s">
        <v>7566</v>
      </c>
      <c r="F88" s="209">
        <v>4000</v>
      </c>
      <c r="G88" s="210" t="s">
        <v>7567</v>
      </c>
      <c r="H88" s="211">
        <v>43564</v>
      </c>
      <c r="I88" s="208" t="s">
        <v>4399</v>
      </c>
      <c r="J88" s="21"/>
      <c r="K88" s="228"/>
    </row>
    <row r="89" spans="1:19" hidden="1" x14ac:dyDescent="0.25">
      <c r="A89" s="68" t="s">
        <v>151</v>
      </c>
      <c r="B89" s="14">
        <v>43598</v>
      </c>
      <c r="C89" s="13">
        <v>4</v>
      </c>
      <c r="D89" s="32" t="s">
        <v>2899</v>
      </c>
      <c r="E89" s="32" t="s">
        <v>7568</v>
      </c>
      <c r="F89" s="209">
        <v>4000</v>
      </c>
      <c r="G89" s="210" t="s">
        <v>7569</v>
      </c>
      <c r="H89" s="211">
        <v>43560</v>
      </c>
      <c r="I89" s="208" t="s">
        <v>4399</v>
      </c>
      <c r="J89" s="21"/>
      <c r="K89" s="228"/>
    </row>
    <row r="90" spans="1:19" ht="27.6" hidden="1" x14ac:dyDescent="0.25">
      <c r="A90" s="68" t="s">
        <v>151</v>
      </c>
      <c r="B90" s="14">
        <v>43598</v>
      </c>
      <c r="C90" s="13">
        <v>2</v>
      </c>
      <c r="D90" s="32" t="s">
        <v>2899</v>
      </c>
      <c r="E90" s="32" t="s">
        <v>377</v>
      </c>
      <c r="F90" s="209">
        <v>4000</v>
      </c>
      <c r="G90" s="210" t="s">
        <v>7570</v>
      </c>
      <c r="H90" s="211">
        <v>43560</v>
      </c>
      <c r="I90" s="208" t="s">
        <v>4399</v>
      </c>
      <c r="J90" s="21"/>
      <c r="K90" s="228"/>
    </row>
    <row r="91" spans="1:19" hidden="1" x14ac:dyDescent="0.25">
      <c r="A91" s="68" t="s">
        <v>151</v>
      </c>
      <c r="B91" s="14">
        <v>43598</v>
      </c>
      <c r="C91" s="13">
        <v>2</v>
      </c>
      <c r="D91" s="32" t="s">
        <v>2899</v>
      </c>
      <c r="E91" s="32" t="s">
        <v>7571</v>
      </c>
      <c r="F91" s="209">
        <v>4000</v>
      </c>
      <c r="G91" s="210" t="s">
        <v>7572</v>
      </c>
      <c r="H91" s="211">
        <v>43567</v>
      </c>
      <c r="I91" s="208" t="s">
        <v>4399</v>
      </c>
      <c r="J91" s="21"/>
      <c r="K91" s="228"/>
    </row>
    <row r="92" spans="1:19" ht="13.95" hidden="1" customHeight="1" x14ac:dyDescent="0.25">
      <c r="A92" s="68" t="s">
        <v>1165</v>
      </c>
      <c r="B92" s="14">
        <v>43599</v>
      </c>
      <c r="C92" s="13">
        <v>789</v>
      </c>
      <c r="D92" s="32" t="s">
        <v>2759</v>
      </c>
      <c r="E92" s="32" t="s">
        <v>62</v>
      </c>
      <c r="F92" s="4">
        <v>1000000</v>
      </c>
      <c r="G92" s="86" t="s">
        <v>2608</v>
      </c>
      <c r="H92" s="211"/>
      <c r="I92" s="84" t="s">
        <v>23</v>
      </c>
      <c r="J92" s="21"/>
      <c r="K92" s="228"/>
    </row>
    <row r="93" spans="1:19" hidden="1" x14ac:dyDescent="0.25">
      <c r="A93" s="61" t="s">
        <v>460</v>
      </c>
      <c r="B93" s="14">
        <v>43599</v>
      </c>
      <c r="C93" s="13">
        <v>972</v>
      </c>
      <c r="D93" s="13" t="s">
        <v>5856</v>
      </c>
      <c r="E93" s="13" t="s">
        <v>494</v>
      </c>
      <c r="F93" s="256">
        <f>2160900</f>
        <v>2160900</v>
      </c>
      <c r="G93" s="69" t="s">
        <v>5857</v>
      </c>
      <c r="H93" s="14">
        <v>43546</v>
      </c>
      <c r="I93" s="274" t="s">
        <v>7207</v>
      </c>
      <c r="J93" s="169"/>
    </row>
    <row r="94" spans="1:19" ht="27.6" hidden="1" x14ac:dyDescent="0.25">
      <c r="A94" s="32" t="s">
        <v>442</v>
      </c>
      <c r="B94" s="14">
        <v>43599</v>
      </c>
      <c r="C94" s="13">
        <v>970</v>
      </c>
      <c r="D94" s="13" t="s">
        <v>7409</v>
      </c>
      <c r="E94" s="32" t="s">
        <v>494</v>
      </c>
      <c r="F94" s="4">
        <v>550</v>
      </c>
      <c r="G94" s="29" t="s">
        <v>7410</v>
      </c>
      <c r="H94" s="14">
        <v>43592</v>
      </c>
      <c r="I94" s="4" t="s">
        <v>7411</v>
      </c>
      <c r="J94" s="128"/>
    </row>
    <row r="95" spans="1:19" s="97" customFormat="1" hidden="1" x14ac:dyDescent="0.25">
      <c r="A95" s="32" t="s">
        <v>442</v>
      </c>
      <c r="B95" s="14">
        <v>43599</v>
      </c>
      <c r="C95" s="13">
        <v>971</v>
      </c>
      <c r="D95" s="13" t="s">
        <v>3056</v>
      </c>
      <c r="E95" s="13" t="s">
        <v>494</v>
      </c>
      <c r="F95" s="37">
        <v>9800</v>
      </c>
      <c r="G95" s="29" t="s">
        <v>7375</v>
      </c>
      <c r="H95" s="14">
        <v>43585</v>
      </c>
      <c r="I95" s="4" t="s">
        <v>3057</v>
      </c>
      <c r="J95" s="22"/>
      <c r="K95" s="76"/>
      <c r="L95" s="134"/>
    </row>
    <row r="96" spans="1:19" s="115" customFormat="1" ht="15.6" hidden="1" x14ac:dyDescent="0.25">
      <c r="A96" s="13" t="s">
        <v>442</v>
      </c>
      <c r="B96" s="14">
        <v>43599</v>
      </c>
      <c r="C96" s="13">
        <v>973</v>
      </c>
      <c r="D96" s="13" t="s">
        <v>873</v>
      </c>
      <c r="E96" s="13" t="s">
        <v>494</v>
      </c>
      <c r="F96" s="37">
        <v>689503.92</v>
      </c>
      <c r="G96" s="41" t="s">
        <v>874</v>
      </c>
      <c r="H96" s="126">
        <v>43563</v>
      </c>
      <c r="I96" s="29" t="s">
        <v>875</v>
      </c>
      <c r="K96" s="116"/>
      <c r="L96" s="116"/>
      <c r="M96" s="116"/>
      <c r="N96" s="116"/>
      <c r="O96" s="117"/>
      <c r="P96" s="117"/>
      <c r="Q96" s="117"/>
      <c r="R96" s="117"/>
      <c r="S96" s="117"/>
    </row>
    <row r="97" spans="1:13" hidden="1" x14ac:dyDescent="0.25">
      <c r="A97" s="32" t="s">
        <v>358</v>
      </c>
      <c r="B97" s="14">
        <v>43599</v>
      </c>
      <c r="C97" s="13">
        <v>70</v>
      </c>
      <c r="D97" s="13" t="s">
        <v>373</v>
      </c>
      <c r="E97" s="32" t="s">
        <v>742</v>
      </c>
      <c r="F97" s="4">
        <v>108991.2</v>
      </c>
      <c r="G97" s="29" t="s">
        <v>7332</v>
      </c>
      <c r="H97" s="14">
        <v>43495</v>
      </c>
      <c r="I97" s="4" t="s">
        <v>7333</v>
      </c>
      <c r="J97" s="128"/>
    </row>
    <row r="98" spans="1:13" hidden="1" x14ac:dyDescent="0.25">
      <c r="A98" s="32" t="s">
        <v>310</v>
      </c>
      <c r="B98" s="14">
        <v>43599</v>
      </c>
      <c r="C98" s="13">
        <v>141</v>
      </c>
      <c r="D98" s="13" t="s">
        <v>5272</v>
      </c>
      <c r="E98" s="32" t="s">
        <v>314</v>
      </c>
      <c r="F98" s="4">
        <v>57060</v>
      </c>
      <c r="G98" s="29" t="s">
        <v>3578</v>
      </c>
      <c r="H98" s="14">
        <v>43573</v>
      </c>
      <c r="I98" s="4" t="s">
        <v>7546</v>
      </c>
      <c r="J98" s="128"/>
    </row>
    <row r="99" spans="1:13" hidden="1" x14ac:dyDescent="0.25">
      <c r="A99" s="13" t="s">
        <v>310</v>
      </c>
      <c r="B99" s="14">
        <v>43599</v>
      </c>
      <c r="C99" s="13">
        <v>142</v>
      </c>
      <c r="D99" s="13" t="s">
        <v>210</v>
      </c>
      <c r="E99" s="13" t="s">
        <v>314</v>
      </c>
      <c r="F99" s="37">
        <v>2228.1799999999998</v>
      </c>
      <c r="G99" s="29" t="s">
        <v>7344</v>
      </c>
      <c r="H99" s="14">
        <v>43563</v>
      </c>
      <c r="I99" s="4" t="s">
        <v>426</v>
      </c>
      <c r="J99" s="22" t="s">
        <v>366</v>
      </c>
    </row>
    <row r="100" spans="1:13" s="129" customFormat="1" hidden="1" x14ac:dyDescent="0.25">
      <c r="A100" s="13" t="s">
        <v>310</v>
      </c>
      <c r="B100" s="14">
        <v>43599</v>
      </c>
      <c r="C100" s="13">
        <v>143</v>
      </c>
      <c r="D100" s="13" t="s">
        <v>210</v>
      </c>
      <c r="E100" s="13" t="s">
        <v>314</v>
      </c>
      <c r="F100" s="37">
        <v>11738.97</v>
      </c>
      <c r="G100" s="29" t="s">
        <v>7343</v>
      </c>
      <c r="H100" s="14">
        <v>43563</v>
      </c>
      <c r="I100" s="4" t="s">
        <v>546</v>
      </c>
      <c r="J100" s="22" t="s">
        <v>366</v>
      </c>
      <c r="K100" s="136"/>
    </row>
    <row r="101" spans="1:13" s="129" customFormat="1" hidden="1" x14ac:dyDescent="0.25">
      <c r="A101" s="13" t="s">
        <v>151</v>
      </c>
      <c r="B101" s="14">
        <v>43599</v>
      </c>
      <c r="C101" s="28" t="s">
        <v>4089</v>
      </c>
      <c r="D101" s="13" t="s">
        <v>1836</v>
      </c>
      <c r="E101" s="32" t="s">
        <v>175</v>
      </c>
      <c r="F101" s="37">
        <v>29640</v>
      </c>
      <c r="G101" s="28" t="s">
        <v>1700</v>
      </c>
      <c r="H101" s="14"/>
      <c r="I101" s="4" t="s">
        <v>1835</v>
      </c>
      <c r="J101" s="22" t="s">
        <v>1386</v>
      </c>
      <c r="K101" s="136"/>
    </row>
    <row r="102" spans="1:13" s="97" customFormat="1" hidden="1" x14ac:dyDescent="0.25">
      <c r="A102" s="13" t="s">
        <v>639</v>
      </c>
      <c r="B102" s="14">
        <v>43599</v>
      </c>
      <c r="C102" s="13">
        <v>530</v>
      </c>
      <c r="D102" s="13" t="s">
        <v>3056</v>
      </c>
      <c r="E102" s="13" t="s">
        <v>547</v>
      </c>
      <c r="F102" s="4">
        <v>9800</v>
      </c>
      <c r="G102" s="29" t="s">
        <v>7378</v>
      </c>
      <c r="H102" s="14">
        <v>43585</v>
      </c>
      <c r="I102" s="4" t="s">
        <v>3057</v>
      </c>
      <c r="J102" s="358"/>
      <c r="K102" s="76"/>
      <c r="L102" s="134"/>
    </row>
    <row r="103" spans="1:13" s="97" customFormat="1" hidden="1" x14ac:dyDescent="0.25">
      <c r="A103" s="32" t="s">
        <v>455</v>
      </c>
      <c r="B103" s="14">
        <v>43599</v>
      </c>
      <c r="C103" s="13">
        <v>331</v>
      </c>
      <c r="D103" s="13" t="s">
        <v>3056</v>
      </c>
      <c r="E103" s="13" t="s">
        <v>440</v>
      </c>
      <c r="F103" s="4">
        <v>32500</v>
      </c>
      <c r="G103" s="29" t="s">
        <v>7376</v>
      </c>
      <c r="H103" s="14">
        <v>43585</v>
      </c>
      <c r="I103" s="4" t="s">
        <v>3057</v>
      </c>
      <c r="J103" s="22"/>
      <c r="K103" s="473"/>
      <c r="L103" s="134"/>
    </row>
    <row r="104" spans="1:13" hidden="1" x14ac:dyDescent="0.25">
      <c r="A104" s="68" t="s">
        <v>455</v>
      </c>
      <c r="B104" s="14">
        <v>43599</v>
      </c>
      <c r="C104" s="13">
        <v>332</v>
      </c>
      <c r="D104" s="32" t="s">
        <v>485</v>
      </c>
      <c r="E104" s="32" t="s">
        <v>440</v>
      </c>
      <c r="F104" s="4">
        <v>14769.11</v>
      </c>
      <c r="G104" s="29" t="s">
        <v>7552</v>
      </c>
      <c r="H104" s="14" t="s">
        <v>7553</v>
      </c>
      <c r="I104" s="4" t="s">
        <v>1728</v>
      </c>
      <c r="J104" s="22" t="s">
        <v>771</v>
      </c>
      <c r="K104" s="22"/>
      <c r="L104" s="63"/>
      <c r="M104" s="62"/>
    </row>
    <row r="105" spans="1:13" s="129" customFormat="1" ht="27.6" hidden="1" x14ac:dyDescent="0.25">
      <c r="A105" s="13" t="s">
        <v>90</v>
      </c>
      <c r="B105" s="14">
        <v>43599</v>
      </c>
      <c r="C105" s="13">
        <v>374</v>
      </c>
      <c r="D105" s="13" t="s">
        <v>1392</v>
      </c>
      <c r="E105" s="13" t="s">
        <v>1335</v>
      </c>
      <c r="F105" s="37">
        <v>59781.98</v>
      </c>
      <c r="G105" s="29" t="s">
        <v>1811</v>
      </c>
      <c r="H105" s="14">
        <v>43555</v>
      </c>
      <c r="I105" s="4" t="s">
        <v>618</v>
      </c>
      <c r="J105" s="35" t="s">
        <v>366</v>
      </c>
      <c r="K105" s="136"/>
    </row>
    <row r="106" spans="1:13" hidden="1" x14ac:dyDescent="0.25">
      <c r="A106" s="13" t="s">
        <v>184</v>
      </c>
      <c r="B106" s="14">
        <v>43599</v>
      </c>
      <c r="C106" s="13">
        <v>573</v>
      </c>
      <c r="D106" s="13" t="s">
        <v>761</v>
      </c>
      <c r="E106" s="32" t="s">
        <v>1121</v>
      </c>
      <c r="F106" s="4">
        <v>222000</v>
      </c>
      <c r="G106" s="28" t="s">
        <v>6588</v>
      </c>
      <c r="H106" s="14">
        <v>43553</v>
      </c>
      <c r="I106" s="4" t="s">
        <v>6589</v>
      </c>
      <c r="J106" s="76" t="s">
        <v>771</v>
      </c>
    </row>
    <row r="107" spans="1:13" ht="15" hidden="1" customHeight="1" x14ac:dyDescent="0.25">
      <c r="A107" s="13" t="s">
        <v>184</v>
      </c>
      <c r="B107" s="14">
        <v>43599</v>
      </c>
      <c r="C107" s="13">
        <v>574</v>
      </c>
      <c r="D107" s="13" t="s">
        <v>348</v>
      </c>
      <c r="E107" s="32" t="s">
        <v>1121</v>
      </c>
      <c r="F107" s="4">
        <v>1000000</v>
      </c>
      <c r="G107" s="28" t="s">
        <v>6576</v>
      </c>
      <c r="H107" s="14">
        <v>43563</v>
      </c>
      <c r="I107" s="4" t="s">
        <v>309</v>
      </c>
      <c r="J107" s="76" t="s">
        <v>771</v>
      </c>
    </row>
    <row r="108" spans="1:13" ht="15" hidden="1" customHeight="1" x14ac:dyDescent="0.25">
      <c r="A108" s="13" t="s">
        <v>184</v>
      </c>
      <c r="B108" s="14">
        <v>43599</v>
      </c>
      <c r="C108" s="67">
        <v>575</v>
      </c>
      <c r="D108" s="13" t="s">
        <v>238</v>
      </c>
      <c r="E108" s="32" t="s">
        <v>1121</v>
      </c>
      <c r="F108" s="4">
        <v>17367</v>
      </c>
      <c r="G108" s="28" t="s">
        <v>318</v>
      </c>
      <c r="H108" s="14">
        <v>43579</v>
      </c>
      <c r="I108" s="4" t="s">
        <v>7576</v>
      </c>
      <c r="J108" s="125"/>
    </row>
    <row r="109" spans="1:13" ht="15" hidden="1" customHeight="1" x14ac:dyDescent="0.25">
      <c r="A109" s="13" t="s">
        <v>964</v>
      </c>
      <c r="B109" s="14">
        <v>43599</v>
      </c>
      <c r="C109" s="13">
        <v>576</v>
      </c>
      <c r="D109" s="13" t="s">
        <v>1885</v>
      </c>
      <c r="E109" s="32" t="s">
        <v>1121</v>
      </c>
      <c r="F109" s="4">
        <v>32400</v>
      </c>
      <c r="G109" s="28" t="s">
        <v>7547</v>
      </c>
      <c r="H109" s="14">
        <v>43553</v>
      </c>
      <c r="I109" s="4" t="s">
        <v>1892</v>
      </c>
      <c r="J109" s="76" t="s">
        <v>771</v>
      </c>
    </row>
    <row r="110" spans="1:13" ht="15" hidden="1" customHeight="1" x14ac:dyDescent="0.25">
      <c r="A110" s="13" t="s">
        <v>964</v>
      </c>
      <c r="B110" s="14">
        <v>43599</v>
      </c>
      <c r="C110" s="13">
        <v>572</v>
      </c>
      <c r="D110" s="13" t="s">
        <v>7573</v>
      </c>
      <c r="E110" s="32" t="s">
        <v>1121</v>
      </c>
      <c r="F110" s="4">
        <v>24333</v>
      </c>
      <c r="G110" s="28" t="s">
        <v>7574</v>
      </c>
      <c r="H110" s="14">
        <v>43593</v>
      </c>
      <c r="I110" s="4" t="s">
        <v>7575</v>
      </c>
      <c r="J110" s="76"/>
    </row>
    <row r="111" spans="1:13" s="192" customFormat="1" hidden="1" x14ac:dyDescent="0.25">
      <c r="A111" s="147" t="s">
        <v>242</v>
      </c>
      <c r="B111" s="14">
        <v>43599</v>
      </c>
      <c r="C111" s="195">
        <v>577</v>
      </c>
      <c r="D111" s="149" t="s">
        <v>490</v>
      </c>
      <c r="E111" s="147" t="s">
        <v>1121</v>
      </c>
      <c r="F111" s="158">
        <v>147282</v>
      </c>
      <c r="G111" s="150" t="s">
        <v>7384</v>
      </c>
      <c r="H111" s="148">
        <v>43563</v>
      </c>
      <c r="I111" s="149" t="s">
        <v>143</v>
      </c>
      <c r="J111" s="193"/>
      <c r="K111" s="194"/>
      <c r="L111" s="190"/>
    </row>
    <row r="112" spans="1:13" s="192" customFormat="1" hidden="1" x14ac:dyDescent="0.25">
      <c r="A112" s="147" t="s">
        <v>242</v>
      </c>
      <c r="B112" s="14">
        <v>43599</v>
      </c>
      <c r="C112" s="195">
        <v>578</v>
      </c>
      <c r="D112" s="149" t="s">
        <v>490</v>
      </c>
      <c r="E112" s="147" t="s">
        <v>1121</v>
      </c>
      <c r="F112" s="158">
        <v>313135.90000000002</v>
      </c>
      <c r="G112" s="150" t="s">
        <v>7387</v>
      </c>
      <c r="H112" s="148">
        <v>43563</v>
      </c>
      <c r="I112" s="149" t="s">
        <v>143</v>
      </c>
      <c r="J112" s="193"/>
      <c r="K112" s="194"/>
      <c r="L112" s="190"/>
    </row>
    <row r="113" spans="1:12" s="192" customFormat="1" hidden="1" x14ac:dyDescent="0.25">
      <c r="A113" s="147" t="s">
        <v>242</v>
      </c>
      <c r="B113" s="14">
        <v>43599</v>
      </c>
      <c r="C113" s="195">
        <v>579</v>
      </c>
      <c r="D113" s="149" t="s">
        <v>784</v>
      </c>
      <c r="E113" s="147" t="s">
        <v>1121</v>
      </c>
      <c r="F113" s="158">
        <v>68628</v>
      </c>
      <c r="G113" s="150" t="s">
        <v>1164</v>
      </c>
      <c r="H113" s="148">
        <v>43592</v>
      </c>
      <c r="I113" s="149" t="s">
        <v>143</v>
      </c>
      <c r="J113" s="193"/>
      <c r="K113" s="194"/>
      <c r="L113" s="190"/>
    </row>
    <row r="114" spans="1:12" s="192" customFormat="1" hidden="1" x14ac:dyDescent="0.25">
      <c r="A114" s="147" t="s">
        <v>242</v>
      </c>
      <c r="B114" s="14">
        <v>43599</v>
      </c>
      <c r="C114" s="187">
        <v>580</v>
      </c>
      <c r="D114" s="149" t="s">
        <v>388</v>
      </c>
      <c r="E114" s="147" t="s">
        <v>1121</v>
      </c>
      <c r="F114" s="158">
        <v>102415.06</v>
      </c>
      <c r="G114" s="150" t="s">
        <v>1746</v>
      </c>
      <c r="H114" s="148">
        <v>43592</v>
      </c>
      <c r="I114" s="149" t="s">
        <v>143</v>
      </c>
      <c r="J114" s="193"/>
      <c r="K114" s="194"/>
      <c r="L114" s="190"/>
    </row>
    <row r="115" spans="1:12" s="192" customFormat="1" hidden="1" x14ac:dyDescent="0.25">
      <c r="A115" s="147" t="s">
        <v>242</v>
      </c>
      <c r="B115" s="14">
        <v>43599</v>
      </c>
      <c r="C115" s="187">
        <v>580</v>
      </c>
      <c r="D115" s="149" t="s">
        <v>388</v>
      </c>
      <c r="E115" s="147" t="s">
        <v>1121</v>
      </c>
      <c r="F115" s="158">
        <v>79431</v>
      </c>
      <c r="G115" s="150" t="s">
        <v>11</v>
      </c>
      <c r="H115" s="148">
        <v>43592</v>
      </c>
      <c r="I115" s="149" t="s">
        <v>143</v>
      </c>
      <c r="J115" s="193"/>
      <c r="K115" s="194"/>
      <c r="L115" s="190"/>
    </row>
    <row r="116" spans="1:12" s="129" customFormat="1" hidden="1" x14ac:dyDescent="0.25">
      <c r="A116" s="13" t="s">
        <v>151</v>
      </c>
      <c r="B116" s="14">
        <v>43599</v>
      </c>
      <c r="C116" s="28" t="s">
        <v>7584</v>
      </c>
      <c r="D116" s="13" t="s">
        <v>711</v>
      </c>
      <c r="E116" s="32" t="s">
        <v>1121</v>
      </c>
      <c r="F116" s="37">
        <f>2800+1150</f>
        <v>3950</v>
      </c>
      <c r="G116" s="28" t="s">
        <v>7367</v>
      </c>
      <c r="H116" s="28" t="s">
        <v>7336</v>
      </c>
      <c r="I116" s="4" t="s">
        <v>712</v>
      </c>
      <c r="J116" s="170"/>
      <c r="K116" s="136"/>
    </row>
    <row r="117" spans="1:12" hidden="1" x14ac:dyDescent="0.25">
      <c r="A117" s="32" t="s">
        <v>151</v>
      </c>
      <c r="B117" s="14">
        <v>43599</v>
      </c>
      <c r="C117" s="13">
        <v>582</v>
      </c>
      <c r="D117" s="32" t="s">
        <v>3055</v>
      </c>
      <c r="E117" s="32" t="s">
        <v>1121</v>
      </c>
      <c r="F117" s="4">
        <v>20000</v>
      </c>
      <c r="G117" s="13">
        <v>2146551</v>
      </c>
      <c r="H117" s="14">
        <v>43598</v>
      </c>
      <c r="I117" s="14" t="s">
        <v>3060</v>
      </c>
      <c r="J117" s="170"/>
      <c r="K117" s="167"/>
      <c r="L117" s="35"/>
    </row>
    <row r="118" spans="1:12" hidden="1" x14ac:dyDescent="0.25">
      <c r="A118" s="32" t="s">
        <v>151</v>
      </c>
      <c r="B118" s="14">
        <v>43599</v>
      </c>
      <c r="C118" s="13">
        <v>583</v>
      </c>
      <c r="D118" s="13" t="s">
        <v>401</v>
      </c>
      <c r="E118" s="13" t="s">
        <v>1121</v>
      </c>
      <c r="F118" s="4">
        <v>15520</v>
      </c>
      <c r="G118" s="28" t="s">
        <v>7269</v>
      </c>
      <c r="H118" s="14">
        <v>43581</v>
      </c>
      <c r="I118" s="4" t="s">
        <v>7270</v>
      </c>
      <c r="J118" s="76"/>
      <c r="K118" s="246"/>
    </row>
    <row r="119" spans="1:12" ht="13.95" hidden="1" customHeight="1" x14ac:dyDescent="0.25">
      <c r="A119" s="32" t="s">
        <v>151</v>
      </c>
      <c r="B119" s="14">
        <v>43599</v>
      </c>
      <c r="C119" s="67" t="s">
        <v>7585</v>
      </c>
      <c r="D119" s="32" t="s">
        <v>116</v>
      </c>
      <c r="E119" s="32" t="s">
        <v>1121</v>
      </c>
      <c r="F119" s="4">
        <f>546.48+3202.57</f>
        <v>3749.05</v>
      </c>
      <c r="G119" s="28" t="s">
        <v>7319</v>
      </c>
      <c r="H119" s="14">
        <v>43585</v>
      </c>
      <c r="I119" s="4" t="s">
        <v>118</v>
      </c>
      <c r="J119" s="170"/>
      <c r="K119" s="167"/>
      <c r="L119" s="35"/>
    </row>
    <row r="120" spans="1:12" s="192" customFormat="1" hidden="1" x14ac:dyDescent="0.25">
      <c r="A120" s="147" t="s">
        <v>242</v>
      </c>
      <c r="B120" s="164">
        <v>43599</v>
      </c>
      <c r="C120" s="195">
        <v>372</v>
      </c>
      <c r="D120" s="149" t="s">
        <v>388</v>
      </c>
      <c r="E120" s="147" t="s">
        <v>144</v>
      </c>
      <c r="F120" s="158">
        <v>1216081</v>
      </c>
      <c r="G120" s="150" t="s">
        <v>766</v>
      </c>
      <c r="H120" s="148">
        <v>43592</v>
      </c>
      <c r="I120" s="149" t="s">
        <v>143</v>
      </c>
      <c r="J120" s="193"/>
      <c r="K120" s="194"/>
      <c r="L120" s="190"/>
    </row>
    <row r="121" spans="1:12" hidden="1" x14ac:dyDescent="0.25">
      <c r="A121" s="32" t="s">
        <v>214</v>
      </c>
      <c r="B121" s="14">
        <v>43599</v>
      </c>
      <c r="C121" s="13">
        <v>782</v>
      </c>
      <c r="D121" s="32" t="s">
        <v>1143</v>
      </c>
      <c r="E121" s="32" t="s">
        <v>130</v>
      </c>
      <c r="F121" s="4">
        <v>2000000</v>
      </c>
      <c r="G121" s="69" t="s">
        <v>1306</v>
      </c>
      <c r="H121" s="14"/>
      <c r="I121" s="4" t="s">
        <v>1307</v>
      </c>
      <c r="J121" s="21"/>
      <c r="K121" s="228"/>
    </row>
    <row r="122" spans="1:12" ht="13.95" hidden="1" customHeight="1" x14ac:dyDescent="0.25">
      <c r="A122" s="13" t="s">
        <v>310</v>
      </c>
      <c r="B122" s="151">
        <v>43599</v>
      </c>
      <c r="C122" s="13">
        <v>781</v>
      </c>
      <c r="D122" s="32" t="s">
        <v>4166</v>
      </c>
      <c r="E122" s="32" t="s">
        <v>130</v>
      </c>
      <c r="F122" s="4">
        <v>45000</v>
      </c>
      <c r="G122" s="210" t="s">
        <v>2933</v>
      </c>
      <c r="H122" s="211">
        <v>43570</v>
      </c>
      <c r="I122" s="211" t="s">
        <v>5772</v>
      </c>
      <c r="J122" s="21"/>
      <c r="K122" s="389"/>
      <c r="L122" s="388"/>
    </row>
    <row r="123" spans="1:12" ht="13.95" hidden="1" customHeight="1" x14ac:dyDescent="0.25">
      <c r="A123" s="68" t="s">
        <v>358</v>
      </c>
      <c r="B123" s="14">
        <v>43599</v>
      </c>
      <c r="C123" s="13">
        <v>628</v>
      </c>
      <c r="D123" s="32" t="s">
        <v>1077</v>
      </c>
      <c r="E123" s="32" t="s">
        <v>38</v>
      </c>
      <c r="F123" s="4">
        <v>5000000</v>
      </c>
      <c r="G123" s="86" t="s">
        <v>410</v>
      </c>
      <c r="H123" s="211"/>
      <c r="I123" s="208" t="s">
        <v>581</v>
      </c>
      <c r="J123" s="21"/>
      <c r="K123" s="228"/>
    </row>
    <row r="124" spans="1:12" hidden="1" x14ac:dyDescent="0.25">
      <c r="A124" s="13" t="s">
        <v>151</v>
      </c>
      <c r="B124" s="14">
        <v>43599</v>
      </c>
      <c r="C124" s="13">
        <v>629</v>
      </c>
      <c r="D124" s="13" t="s">
        <v>5553</v>
      </c>
      <c r="E124" s="32" t="s">
        <v>38</v>
      </c>
      <c r="F124" s="4">
        <v>4200</v>
      </c>
      <c r="G124" s="28" t="s">
        <v>5910</v>
      </c>
      <c r="H124" s="14">
        <v>43585</v>
      </c>
      <c r="I124" s="4" t="s">
        <v>7361</v>
      </c>
      <c r="J124" s="125"/>
    </row>
    <row r="125" spans="1:12" s="97" customFormat="1" hidden="1" x14ac:dyDescent="0.25">
      <c r="A125" s="32" t="s">
        <v>1316</v>
      </c>
      <c r="B125" s="14">
        <v>43599</v>
      </c>
      <c r="C125" s="13">
        <v>802</v>
      </c>
      <c r="D125" s="13" t="s">
        <v>2697</v>
      </c>
      <c r="E125" s="13" t="s">
        <v>808</v>
      </c>
      <c r="F125" s="4">
        <v>217824</v>
      </c>
      <c r="G125" s="28" t="s">
        <v>4138</v>
      </c>
      <c r="H125" s="14">
        <v>43544</v>
      </c>
      <c r="I125" s="4" t="s">
        <v>1244</v>
      </c>
      <c r="J125" s="133"/>
      <c r="K125" s="22"/>
      <c r="L125" s="134"/>
    </row>
    <row r="126" spans="1:12" s="97" customFormat="1" hidden="1" x14ac:dyDescent="0.25">
      <c r="A126" s="68" t="s">
        <v>160</v>
      </c>
      <c r="B126" s="14">
        <v>43599</v>
      </c>
      <c r="C126" s="13">
        <v>803</v>
      </c>
      <c r="D126" s="13" t="s">
        <v>982</v>
      </c>
      <c r="E126" s="13" t="s">
        <v>808</v>
      </c>
      <c r="F126" s="4">
        <v>500000</v>
      </c>
      <c r="G126" s="29" t="s">
        <v>1094</v>
      </c>
      <c r="H126" s="14">
        <v>42992</v>
      </c>
      <c r="I126" s="4" t="s">
        <v>1093</v>
      </c>
      <c r="J126" s="133"/>
      <c r="K126" s="22"/>
      <c r="L126" s="134"/>
    </row>
    <row r="127" spans="1:12" s="97" customFormat="1" hidden="1" x14ac:dyDescent="0.25">
      <c r="A127" s="13" t="s">
        <v>1147</v>
      </c>
      <c r="B127" s="14">
        <v>43599</v>
      </c>
      <c r="C127" s="13">
        <v>804</v>
      </c>
      <c r="D127" s="13" t="s">
        <v>257</v>
      </c>
      <c r="E127" s="13" t="s">
        <v>808</v>
      </c>
      <c r="F127" s="4">
        <v>936816</v>
      </c>
      <c r="G127" s="29" t="s">
        <v>4686</v>
      </c>
      <c r="H127" s="14">
        <v>43521</v>
      </c>
      <c r="I127" s="4" t="s">
        <v>2722</v>
      </c>
      <c r="J127" s="133"/>
      <c r="K127" s="22"/>
      <c r="L127" s="134"/>
    </row>
    <row r="128" spans="1:12" s="97" customFormat="1" hidden="1" x14ac:dyDescent="0.25">
      <c r="A128" s="61" t="s">
        <v>1147</v>
      </c>
      <c r="B128" s="14">
        <v>43599</v>
      </c>
      <c r="C128" s="13">
        <v>805</v>
      </c>
      <c r="D128" s="13" t="s">
        <v>539</v>
      </c>
      <c r="E128" s="13" t="s">
        <v>808</v>
      </c>
      <c r="F128" s="4">
        <v>825468</v>
      </c>
      <c r="G128" s="29" t="s">
        <v>6135</v>
      </c>
      <c r="H128" s="14">
        <v>43557</v>
      </c>
      <c r="I128" s="4" t="s">
        <v>1349</v>
      </c>
      <c r="J128" s="133"/>
      <c r="K128" s="22"/>
      <c r="L128" s="134"/>
    </row>
    <row r="129" spans="1:12" s="97" customFormat="1" hidden="1" x14ac:dyDescent="0.25">
      <c r="A129" s="61" t="s">
        <v>1148</v>
      </c>
      <c r="B129" s="14">
        <v>43599</v>
      </c>
      <c r="C129" s="13">
        <v>805</v>
      </c>
      <c r="D129" s="13" t="s">
        <v>539</v>
      </c>
      <c r="E129" s="13" t="s">
        <v>808</v>
      </c>
      <c r="F129" s="37">
        <v>822091</v>
      </c>
      <c r="G129" s="29" t="s">
        <v>6115</v>
      </c>
      <c r="H129" s="14">
        <v>43572</v>
      </c>
      <c r="I129" s="4" t="s">
        <v>6804</v>
      </c>
      <c r="J129" s="133"/>
      <c r="K129" s="22"/>
      <c r="L129" s="134"/>
    </row>
    <row r="130" spans="1:12" s="97" customFormat="1" hidden="1" x14ac:dyDescent="0.25">
      <c r="A130" s="13" t="s">
        <v>1147</v>
      </c>
      <c r="B130" s="14">
        <v>43599</v>
      </c>
      <c r="C130" s="13">
        <v>805</v>
      </c>
      <c r="D130" s="13" t="s">
        <v>539</v>
      </c>
      <c r="E130" s="13" t="s">
        <v>808</v>
      </c>
      <c r="F130" s="4">
        <v>860481.6</v>
      </c>
      <c r="G130" s="28" t="s">
        <v>7080</v>
      </c>
      <c r="H130" s="14">
        <v>43573</v>
      </c>
      <c r="I130" s="4" t="s">
        <v>4113</v>
      </c>
      <c r="J130" s="133"/>
      <c r="K130" s="22"/>
      <c r="L130" s="134"/>
    </row>
    <row r="131" spans="1:12" s="97" customFormat="1" hidden="1" x14ac:dyDescent="0.25">
      <c r="A131" s="32" t="s">
        <v>1148</v>
      </c>
      <c r="B131" s="14">
        <v>43599</v>
      </c>
      <c r="C131" s="13">
        <v>806</v>
      </c>
      <c r="D131" s="13" t="s">
        <v>1206</v>
      </c>
      <c r="E131" s="13" t="s">
        <v>808</v>
      </c>
      <c r="F131" s="4">
        <v>820100</v>
      </c>
      <c r="G131" s="28" t="s">
        <v>7558</v>
      </c>
      <c r="H131" s="14">
        <v>43511</v>
      </c>
      <c r="I131" s="4" t="s">
        <v>264</v>
      </c>
      <c r="J131" s="133"/>
      <c r="K131" s="22"/>
      <c r="L131" s="134"/>
    </row>
    <row r="132" spans="1:12" s="97" customFormat="1" hidden="1" x14ac:dyDescent="0.25">
      <c r="A132" s="61" t="s">
        <v>659</v>
      </c>
      <c r="B132" s="14">
        <v>43599</v>
      </c>
      <c r="C132" s="13">
        <v>807</v>
      </c>
      <c r="D132" s="13" t="s">
        <v>6642</v>
      </c>
      <c r="E132" s="13" t="s">
        <v>808</v>
      </c>
      <c r="F132" s="37">
        <v>830942</v>
      </c>
      <c r="G132" s="29" t="s">
        <v>558</v>
      </c>
      <c r="H132" s="14">
        <v>43563</v>
      </c>
      <c r="I132" s="4" t="s">
        <v>423</v>
      </c>
      <c r="J132" s="133"/>
      <c r="K132" s="22"/>
      <c r="L132" s="134"/>
    </row>
    <row r="133" spans="1:12" s="97" customFormat="1" hidden="1" x14ac:dyDescent="0.25">
      <c r="A133" s="61" t="s">
        <v>1148</v>
      </c>
      <c r="B133" s="14">
        <v>43599</v>
      </c>
      <c r="C133" s="13">
        <v>807</v>
      </c>
      <c r="D133" s="13" t="s">
        <v>6642</v>
      </c>
      <c r="E133" s="13" t="s">
        <v>808</v>
      </c>
      <c r="F133" s="37">
        <v>1567308</v>
      </c>
      <c r="G133" s="29" t="s">
        <v>3813</v>
      </c>
      <c r="H133" s="14">
        <v>43563</v>
      </c>
      <c r="I133" s="4" t="s">
        <v>421</v>
      </c>
      <c r="J133" s="133"/>
      <c r="K133" s="22"/>
      <c r="L133" s="134"/>
    </row>
    <row r="134" spans="1:12" s="97" customFormat="1" hidden="1" x14ac:dyDescent="0.25">
      <c r="A134" s="32" t="s">
        <v>1147</v>
      </c>
      <c r="B134" s="14">
        <v>43599</v>
      </c>
      <c r="C134" s="13">
        <v>808</v>
      </c>
      <c r="D134" s="13" t="s">
        <v>589</v>
      </c>
      <c r="E134" s="13" t="s">
        <v>808</v>
      </c>
      <c r="F134" s="4">
        <v>123615</v>
      </c>
      <c r="G134" s="28" t="s">
        <v>5934</v>
      </c>
      <c r="H134" s="14">
        <v>43546</v>
      </c>
      <c r="I134" s="4" t="s">
        <v>338</v>
      </c>
      <c r="J134" s="133"/>
      <c r="K134" s="22"/>
      <c r="L134" s="134"/>
    </row>
    <row r="135" spans="1:12" s="97" customFormat="1" hidden="1" x14ac:dyDescent="0.25">
      <c r="A135" s="13" t="s">
        <v>659</v>
      </c>
      <c r="B135" s="14">
        <v>43599</v>
      </c>
      <c r="C135" s="13">
        <v>808</v>
      </c>
      <c r="D135" s="13" t="s">
        <v>589</v>
      </c>
      <c r="E135" s="13" t="s">
        <v>808</v>
      </c>
      <c r="F135" s="4">
        <f>1609985-1170000</f>
        <v>439985</v>
      </c>
      <c r="G135" s="28" t="s">
        <v>5933</v>
      </c>
      <c r="H135" s="14">
        <v>43545</v>
      </c>
      <c r="I135" s="4" t="s">
        <v>423</v>
      </c>
      <c r="J135" s="133"/>
      <c r="K135" s="22"/>
      <c r="L135" s="134"/>
    </row>
    <row r="136" spans="1:12" s="97" customFormat="1" hidden="1" x14ac:dyDescent="0.25">
      <c r="A136" s="61" t="s">
        <v>1148</v>
      </c>
      <c r="B136" s="14">
        <v>43599</v>
      </c>
      <c r="C136" s="13">
        <v>808</v>
      </c>
      <c r="D136" s="13" t="s">
        <v>589</v>
      </c>
      <c r="E136" s="13" t="s">
        <v>808</v>
      </c>
      <c r="F136" s="4">
        <v>860524</v>
      </c>
      <c r="G136" s="29" t="s">
        <v>6143</v>
      </c>
      <c r="H136" s="14">
        <v>43552</v>
      </c>
      <c r="I136" s="4" t="s">
        <v>6144</v>
      </c>
      <c r="J136" s="133"/>
      <c r="K136" s="22"/>
      <c r="L136" s="134"/>
    </row>
    <row r="137" spans="1:12" s="97" customFormat="1" hidden="1" x14ac:dyDescent="0.25">
      <c r="A137" s="61" t="s">
        <v>1148</v>
      </c>
      <c r="B137" s="14">
        <v>43599</v>
      </c>
      <c r="C137" s="13">
        <v>808</v>
      </c>
      <c r="D137" s="13" t="s">
        <v>589</v>
      </c>
      <c r="E137" s="13" t="s">
        <v>808</v>
      </c>
      <c r="F137" s="4">
        <v>300000</v>
      </c>
      <c r="G137" s="29" t="s">
        <v>6145</v>
      </c>
      <c r="H137" s="14">
        <v>43558</v>
      </c>
      <c r="I137" s="4" t="s">
        <v>1349</v>
      </c>
      <c r="J137" s="133"/>
      <c r="K137" s="22"/>
      <c r="L137" s="134"/>
    </row>
    <row r="138" spans="1:12" s="97" customFormat="1" hidden="1" x14ac:dyDescent="0.25">
      <c r="A138" s="61" t="s">
        <v>1147</v>
      </c>
      <c r="B138" s="14">
        <v>43599</v>
      </c>
      <c r="C138" s="13">
        <v>809</v>
      </c>
      <c r="D138" s="13" t="s">
        <v>243</v>
      </c>
      <c r="E138" s="13" t="s">
        <v>808</v>
      </c>
      <c r="F138" s="4">
        <v>840544.56</v>
      </c>
      <c r="G138" s="29" t="s">
        <v>3279</v>
      </c>
      <c r="H138" s="14">
        <v>43536</v>
      </c>
      <c r="I138" s="4" t="s">
        <v>1207</v>
      </c>
      <c r="J138" s="133"/>
      <c r="K138" s="22"/>
      <c r="L138" s="134"/>
    </row>
    <row r="139" spans="1:12" s="97" customFormat="1" hidden="1" x14ac:dyDescent="0.25">
      <c r="A139" s="61" t="s">
        <v>1149</v>
      </c>
      <c r="B139" s="14">
        <v>43599</v>
      </c>
      <c r="C139" s="13">
        <v>809</v>
      </c>
      <c r="D139" s="13" t="s">
        <v>243</v>
      </c>
      <c r="E139" s="13" t="s">
        <v>808</v>
      </c>
      <c r="F139" s="4">
        <v>817479.36</v>
      </c>
      <c r="G139" s="29" t="s">
        <v>1299</v>
      </c>
      <c r="H139" s="14">
        <v>43546</v>
      </c>
      <c r="I139" s="4" t="s">
        <v>423</v>
      </c>
      <c r="J139" s="133"/>
      <c r="K139" s="22"/>
      <c r="L139" s="134"/>
    </row>
    <row r="140" spans="1:12" s="97" customFormat="1" hidden="1" x14ac:dyDescent="0.25">
      <c r="A140" s="61" t="s">
        <v>659</v>
      </c>
      <c r="B140" s="14">
        <v>43599</v>
      </c>
      <c r="C140" s="13">
        <v>809</v>
      </c>
      <c r="D140" s="13" t="s">
        <v>243</v>
      </c>
      <c r="E140" s="13" t="s">
        <v>808</v>
      </c>
      <c r="F140" s="4">
        <v>470000</v>
      </c>
      <c r="G140" s="28" t="s">
        <v>3388</v>
      </c>
      <c r="H140" s="14">
        <v>43552</v>
      </c>
      <c r="I140" s="4" t="s">
        <v>423</v>
      </c>
      <c r="J140" s="133"/>
      <c r="K140" s="22"/>
      <c r="L140" s="134"/>
    </row>
    <row r="141" spans="1:12" s="97" customFormat="1" hidden="1" x14ac:dyDescent="0.25">
      <c r="A141" s="61" t="s">
        <v>659</v>
      </c>
      <c r="B141" s="14">
        <v>43599</v>
      </c>
      <c r="C141" s="13">
        <v>810</v>
      </c>
      <c r="D141" s="218" t="s">
        <v>2142</v>
      </c>
      <c r="E141" s="13" t="s">
        <v>808</v>
      </c>
      <c r="F141" s="224">
        <v>41437.449999999997</v>
      </c>
      <c r="G141" s="28" t="s">
        <v>1264</v>
      </c>
      <c r="H141" s="14">
        <v>43571</v>
      </c>
      <c r="I141" s="32" t="s">
        <v>6867</v>
      </c>
      <c r="J141" s="133"/>
      <c r="K141" s="22"/>
      <c r="L141" s="134"/>
    </row>
    <row r="142" spans="1:12" s="97" customFormat="1" hidden="1" x14ac:dyDescent="0.25">
      <c r="A142" s="61" t="s">
        <v>1147</v>
      </c>
      <c r="B142" s="14">
        <v>43599</v>
      </c>
      <c r="C142" s="13">
        <v>811</v>
      </c>
      <c r="D142" s="13" t="s">
        <v>5709</v>
      </c>
      <c r="E142" s="13" t="s">
        <v>808</v>
      </c>
      <c r="F142" s="37">
        <v>320711.58</v>
      </c>
      <c r="G142" s="29" t="s">
        <v>7167</v>
      </c>
      <c r="H142" s="14">
        <v>43578</v>
      </c>
      <c r="I142" s="4" t="s">
        <v>5048</v>
      </c>
      <c r="J142" s="133"/>
      <c r="K142" s="22"/>
      <c r="L142" s="134"/>
    </row>
    <row r="143" spans="1:12" s="97" customFormat="1" hidden="1" x14ac:dyDescent="0.25">
      <c r="A143" s="61" t="s">
        <v>1149</v>
      </c>
      <c r="B143" s="14">
        <v>43599</v>
      </c>
      <c r="C143" s="13">
        <v>812</v>
      </c>
      <c r="D143" s="13" t="s">
        <v>869</v>
      </c>
      <c r="E143" s="13" t="s">
        <v>808</v>
      </c>
      <c r="F143" s="4">
        <v>62878.1</v>
      </c>
      <c r="G143" s="29" t="s">
        <v>6210</v>
      </c>
      <c r="H143" s="14">
        <v>43556</v>
      </c>
      <c r="I143" s="4" t="s">
        <v>6211</v>
      </c>
      <c r="J143" s="133"/>
      <c r="K143" s="22"/>
      <c r="L143" s="134"/>
    </row>
    <row r="144" spans="1:12" s="97" customFormat="1" hidden="1" x14ac:dyDescent="0.25">
      <c r="A144" s="61" t="s">
        <v>1316</v>
      </c>
      <c r="B144" s="14">
        <v>43599</v>
      </c>
      <c r="C144" s="13">
        <v>812</v>
      </c>
      <c r="D144" s="13" t="s">
        <v>869</v>
      </c>
      <c r="E144" s="13" t="s">
        <v>808</v>
      </c>
      <c r="F144" s="4">
        <v>38500</v>
      </c>
      <c r="G144" s="29" t="s">
        <v>6212</v>
      </c>
      <c r="H144" s="14">
        <v>43557</v>
      </c>
      <c r="I144" s="4" t="s">
        <v>268</v>
      </c>
      <c r="J144" s="133"/>
      <c r="K144" s="22"/>
      <c r="L144" s="134"/>
    </row>
    <row r="145" spans="1:12" s="97" customFormat="1" hidden="1" x14ac:dyDescent="0.25">
      <c r="A145" s="61" t="s">
        <v>1147</v>
      </c>
      <c r="B145" s="14">
        <v>43599</v>
      </c>
      <c r="C145" s="13">
        <v>812</v>
      </c>
      <c r="D145" s="13" t="s">
        <v>869</v>
      </c>
      <c r="E145" s="13" t="s">
        <v>808</v>
      </c>
      <c r="F145" s="4">
        <v>30584.89</v>
      </c>
      <c r="G145" s="28" t="s">
        <v>6533</v>
      </c>
      <c r="H145" s="14">
        <v>43558</v>
      </c>
      <c r="I145" s="4" t="s">
        <v>268</v>
      </c>
      <c r="J145" s="133"/>
      <c r="K145" s="22"/>
      <c r="L145" s="134"/>
    </row>
    <row r="146" spans="1:12" s="97" customFormat="1" hidden="1" x14ac:dyDescent="0.25">
      <c r="A146" s="32" t="s">
        <v>1148</v>
      </c>
      <c r="B146" s="14">
        <v>43599</v>
      </c>
      <c r="C146" s="13">
        <v>812</v>
      </c>
      <c r="D146" s="13" t="s">
        <v>869</v>
      </c>
      <c r="E146" s="13" t="s">
        <v>808</v>
      </c>
      <c r="F146" s="4">
        <v>32791.07</v>
      </c>
      <c r="G146" s="28" t="s">
        <v>6536</v>
      </c>
      <c r="H146" s="14">
        <v>43563</v>
      </c>
      <c r="I146" s="4" t="s">
        <v>268</v>
      </c>
      <c r="J146" s="133"/>
      <c r="K146" s="22"/>
      <c r="L146" s="134"/>
    </row>
    <row r="147" spans="1:12" s="97" customFormat="1" hidden="1" x14ac:dyDescent="0.25">
      <c r="A147" s="61" t="s">
        <v>1316</v>
      </c>
      <c r="B147" s="14">
        <v>43599</v>
      </c>
      <c r="C147" s="13">
        <v>812</v>
      </c>
      <c r="D147" s="13" t="s">
        <v>869</v>
      </c>
      <c r="E147" s="13" t="s">
        <v>808</v>
      </c>
      <c r="F147" s="37">
        <v>22861.79</v>
      </c>
      <c r="G147" s="29" t="s">
        <v>6862</v>
      </c>
      <c r="H147" s="14">
        <v>43565</v>
      </c>
      <c r="I147" s="4" t="s">
        <v>268</v>
      </c>
      <c r="J147" s="133"/>
      <c r="K147" s="22"/>
      <c r="L147" s="134"/>
    </row>
    <row r="148" spans="1:12" s="97" customFormat="1" hidden="1" x14ac:dyDescent="0.25">
      <c r="A148" s="61" t="s">
        <v>1147</v>
      </c>
      <c r="B148" s="14">
        <v>43599</v>
      </c>
      <c r="C148" s="13">
        <v>813</v>
      </c>
      <c r="D148" s="13" t="s">
        <v>1032</v>
      </c>
      <c r="E148" s="13" t="s">
        <v>808</v>
      </c>
      <c r="F148" s="4">
        <v>143850</v>
      </c>
      <c r="G148" s="29" t="s">
        <v>5706</v>
      </c>
      <c r="H148" s="14">
        <v>43539</v>
      </c>
      <c r="I148" s="4" t="s">
        <v>142</v>
      </c>
      <c r="J148" s="133"/>
      <c r="K148" s="22"/>
      <c r="L148" s="134"/>
    </row>
    <row r="149" spans="1:12" s="97" customFormat="1" hidden="1" x14ac:dyDescent="0.25">
      <c r="A149" s="61" t="s">
        <v>1147</v>
      </c>
      <c r="B149" s="14">
        <v>43599</v>
      </c>
      <c r="C149" s="13">
        <v>814</v>
      </c>
      <c r="D149" s="13" t="s">
        <v>868</v>
      </c>
      <c r="E149" s="13" t="s">
        <v>808</v>
      </c>
      <c r="F149" s="4">
        <v>71830.84</v>
      </c>
      <c r="G149" s="29" t="s">
        <v>6202</v>
      </c>
      <c r="H149" s="14">
        <v>43553</v>
      </c>
      <c r="I149" s="4" t="s">
        <v>6203</v>
      </c>
      <c r="J149" s="133"/>
      <c r="K149" s="22"/>
      <c r="L149" s="134"/>
    </row>
    <row r="150" spans="1:12" s="97" customFormat="1" hidden="1" x14ac:dyDescent="0.25">
      <c r="A150" s="32" t="s">
        <v>659</v>
      </c>
      <c r="B150" s="14">
        <v>43599</v>
      </c>
      <c r="C150" s="13">
        <v>814</v>
      </c>
      <c r="D150" s="13" t="s">
        <v>868</v>
      </c>
      <c r="E150" s="13" t="s">
        <v>808</v>
      </c>
      <c r="F150" s="4">
        <v>73797.759999999995</v>
      </c>
      <c r="G150" s="29" t="s">
        <v>6197</v>
      </c>
      <c r="H150" s="14">
        <v>43550</v>
      </c>
      <c r="I150" s="4" t="s">
        <v>5694</v>
      </c>
      <c r="J150" s="133"/>
      <c r="K150" s="22"/>
      <c r="L150" s="134"/>
    </row>
    <row r="151" spans="1:12" s="97" customFormat="1" hidden="1" x14ac:dyDescent="0.25">
      <c r="A151" s="61" t="s">
        <v>1316</v>
      </c>
      <c r="B151" s="14">
        <v>43599</v>
      </c>
      <c r="C151" s="13">
        <v>815</v>
      </c>
      <c r="D151" s="13" t="s">
        <v>280</v>
      </c>
      <c r="E151" s="13" t="s">
        <v>808</v>
      </c>
      <c r="F151" s="4">
        <v>61795</v>
      </c>
      <c r="G151" s="29" t="s">
        <v>139</v>
      </c>
      <c r="H151" s="14">
        <v>43551</v>
      </c>
      <c r="I151" s="4" t="s">
        <v>6187</v>
      </c>
      <c r="J151" s="133"/>
      <c r="K151" s="22"/>
      <c r="L151" s="134"/>
    </row>
    <row r="152" spans="1:12" s="97" customFormat="1" hidden="1" x14ac:dyDescent="0.25">
      <c r="A152" s="61" t="s">
        <v>659</v>
      </c>
      <c r="B152" s="14">
        <v>43599</v>
      </c>
      <c r="C152" s="13">
        <v>815</v>
      </c>
      <c r="D152" s="13" t="s">
        <v>280</v>
      </c>
      <c r="E152" s="13" t="s">
        <v>808</v>
      </c>
      <c r="F152" s="4">
        <v>52804</v>
      </c>
      <c r="G152" s="29" t="s">
        <v>99</v>
      </c>
      <c r="H152" s="14">
        <v>43551</v>
      </c>
      <c r="I152" s="4" t="s">
        <v>6188</v>
      </c>
      <c r="J152" s="133"/>
      <c r="K152" s="22"/>
      <c r="L152" s="134"/>
    </row>
    <row r="153" spans="1:12" s="97" customFormat="1" hidden="1" x14ac:dyDescent="0.25">
      <c r="A153" s="61" t="s">
        <v>1147</v>
      </c>
      <c r="B153" s="14">
        <v>43599</v>
      </c>
      <c r="C153" s="13">
        <v>815</v>
      </c>
      <c r="D153" s="13" t="s">
        <v>280</v>
      </c>
      <c r="E153" s="13" t="s">
        <v>808</v>
      </c>
      <c r="F153" s="4">
        <v>14125</v>
      </c>
      <c r="G153" s="28" t="s">
        <v>18</v>
      </c>
      <c r="H153" s="14">
        <v>43556</v>
      </c>
      <c r="I153" s="4" t="s">
        <v>6191</v>
      </c>
      <c r="J153" s="133"/>
      <c r="K153" s="22"/>
      <c r="L153" s="134"/>
    </row>
    <row r="154" spans="1:12" s="97" customFormat="1" hidden="1" x14ac:dyDescent="0.25">
      <c r="A154" s="61" t="s">
        <v>1316</v>
      </c>
      <c r="B154" s="14">
        <v>43599</v>
      </c>
      <c r="C154" s="13">
        <v>815</v>
      </c>
      <c r="D154" s="13" t="s">
        <v>280</v>
      </c>
      <c r="E154" s="13" t="s">
        <v>808</v>
      </c>
      <c r="F154" s="37">
        <v>59143</v>
      </c>
      <c r="G154" s="29" t="s">
        <v>700</v>
      </c>
      <c r="H154" s="14">
        <v>43557</v>
      </c>
      <c r="I154" s="4" t="s">
        <v>6523</v>
      </c>
      <c r="J154" s="133"/>
      <c r="K154" s="22"/>
      <c r="L154" s="134"/>
    </row>
    <row r="155" spans="1:12" s="97" customFormat="1" hidden="1" x14ac:dyDescent="0.25">
      <c r="A155" s="61" t="s">
        <v>1149</v>
      </c>
      <c r="B155" s="14">
        <v>43599</v>
      </c>
      <c r="C155" s="13">
        <v>815</v>
      </c>
      <c r="D155" s="13" t="s">
        <v>280</v>
      </c>
      <c r="E155" s="13" t="s">
        <v>808</v>
      </c>
      <c r="F155" s="37">
        <v>7004</v>
      </c>
      <c r="G155" s="29" t="s">
        <v>3279</v>
      </c>
      <c r="H155" s="14">
        <v>43559</v>
      </c>
      <c r="I155" s="4" t="s">
        <v>126</v>
      </c>
      <c r="J155" s="133"/>
      <c r="K155" s="22"/>
      <c r="L155" s="134"/>
    </row>
    <row r="156" spans="1:12" s="97" customFormat="1" hidden="1" x14ac:dyDescent="0.25">
      <c r="A156" s="32" t="s">
        <v>1316</v>
      </c>
      <c r="B156" s="14">
        <v>43599</v>
      </c>
      <c r="C156" s="13">
        <v>815</v>
      </c>
      <c r="D156" s="13" t="s">
        <v>280</v>
      </c>
      <c r="E156" s="13" t="s">
        <v>808</v>
      </c>
      <c r="F156" s="4">
        <v>63651</v>
      </c>
      <c r="G156" s="28" t="s">
        <v>162</v>
      </c>
      <c r="H156" s="14">
        <v>43565</v>
      </c>
      <c r="I156" s="4" t="s">
        <v>6848</v>
      </c>
      <c r="J156" s="133"/>
      <c r="K156" s="22"/>
      <c r="L156" s="134"/>
    </row>
    <row r="157" spans="1:12" s="97" customFormat="1" hidden="1" x14ac:dyDescent="0.25">
      <c r="A157" s="61" t="s">
        <v>659</v>
      </c>
      <c r="B157" s="14">
        <v>43599</v>
      </c>
      <c r="C157" s="13">
        <v>816</v>
      </c>
      <c r="D157" s="13" t="s">
        <v>814</v>
      </c>
      <c r="E157" s="13" t="s">
        <v>808</v>
      </c>
      <c r="F157" s="4">
        <v>39219.599999999999</v>
      </c>
      <c r="G157" s="29" t="s">
        <v>6073</v>
      </c>
      <c r="H157" s="14">
        <v>43553</v>
      </c>
      <c r="I157" s="4" t="s">
        <v>142</v>
      </c>
      <c r="J157" s="133"/>
      <c r="K157" s="22"/>
      <c r="L157" s="134"/>
    </row>
    <row r="158" spans="1:12" s="97" customFormat="1" hidden="1" x14ac:dyDescent="0.25">
      <c r="A158" s="32" t="s">
        <v>1148</v>
      </c>
      <c r="B158" s="14">
        <v>43599</v>
      </c>
      <c r="C158" s="13">
        <v>817</v>
      </c>
      <c r="D158" s="13" t="s">
        <v>3438</v>
      </c>
      <c r="E158" s="13" t="s">
        <v>808</v>
      </c>
      <c r="F158" s="4">
        <v>16157</v>
      </c>
      <c r="G158" s="28" t="s">
        <v>1549</v>
      </c>
      <c r="H158" s="14">
        <v>43567</v>
      </c>
      <c r="I158" s="4" t="s">
        <v>6836</v>
      </c>
      <c r="J158" s="133"/>
      <c r="K158" s="22"/>
      <c r="L158" s="134"/>
    </row>
    <row r="159" spans="1:12" s="97" customFormat="1" hidden="1" x14ac:dyDescent="0.25">
      <c r="A159" s="61" t="s">
        <v>659</v>
      </c>
      <c r="B159" s="14">
        <v>43599</v>
      </c>
      <c r="C159" s="13">
        <v>818</v>
      </c>
      <c r="D159" s="13" t="s">
        <v>70</v>
      </c>
      <c r="E159" s="13" t="s">
        <v>808</v>
      </c>
      <c r="F159" s="4">
        <v>11969</v>
      </c>
      <c r="G159" s="29" t="s">
        <v>6158</v>
      </c>
      <c r="H159" s="14">
        <v>43557</v>
      </c>
      <c r="I159" s="4" t="s">
        <v>4117</v>
      </c>
      <c r="J159" s="133"/>
      <c r="K159" s="22"/>
      <c r="L159" s="134"/>
    </row>
    <row r="160" spans="1:12" s="97" customFormat="1" hidden="1" x14ac:dyDescent="0.25">
      <c r="A160" s="13" t="s">
        <v>1316</v>
      </c>
      <c r="B160" s="14">
        <v>43599</v>
      </c>
      <c r="C160" s="13">
        <v>818</v>
      </c>
      <c r="D160" s="13" t="s">
        <v>70</v>
      </c>
      <c r="E160" s="13" t="s">
        <v>808</v>
      </c>
      <c r="F160" s="37">
        <v>8090</v>
      </c>
      <c r="G160" s="29" t="s">
        <v>6496</v>
      </c>
      <c r="H160" s="14">
        <v>43558</v>
      </c>
      <c r="I160" s="4" t="s">
        <v>1756</v>
      </c>
      <c r="J160" s="133"/>
      <c r="K160" s="22"/>
      <c r="L160" s="134"/>
    </row>
    <row r="161" spans="1:12" s="97" customFormat="1" hidden="1" x14ac:dyDescent="0.25">
      <c r="A161" s="61" t="s">
        <v>659</v>
      </c>
      <c r="B161" s="14">
        <v>43599</v>
      </c>
      <c r="C161" s="13">
        <v>819</v>
      </c>
      <c r="D161" s="13" t="s">
        <v>666</v>
      </c>
      <c r="E161" s="13" t="s">
        <v>808</v>
      </c>
      <c r="F161" s="37">
        <v>4550</v>
      </c>
      <c r="G161" s="29" t="s">
        <v>6495</v>
      </c>
      <c r="H161" s="14">
        <v>43556</v>
      </c>
      <c r="I161" s="4" t="s">
        <v>266</v>
      </c>
      <c r="J161" s="133"/>
      <c r="K161" s="22"/>
      <c r="L161" s="134"/>
    </row>
    <row r="162" spans="1:12" s="97" customFormat="1" hidden="1" x14ac:dyDescent="0.25">
      <c r="A162" s="61" t="s">
        <v>659</v>
      </c>
      <c r="B162" s="14">
        <v>43599</v>
      </c>
      <c r="C162" s="13">
        <v>820</v>
      </c>
      <c r="D162" s="13" t="s">
        <v>516</v>
      </c>
      <c r="E162" s="13" t="s">
        <v>808</v>
      </c>
      <c r="F162" s="37">
        <v>14520</v>
      </c>
      <c r="G162" s="29" t="s">
        <v>3420</v>
      </c>
      <c r="H162" s="14">
        <v>43545</v>
      </c>
      <c r="I162" s="4" t="s">
        <v>6488</v>
      </c>
      <c r="J162" s="133"/>
      <c r="K162" s="22"/>
      <c r="L162" s="134"/>
    </row>
    <row r="163" spans="1:12" s="97" customFormat="1" hidden="1" x14ac:dyDescent="0.25">
      <c r="A163" s="61" t="s">
        <v>1147</v>
      </c>
      <c r="B163" s="14">
        <v>43599</v>
      </c>
      <c r="C163" s="13">
        <v>820</v>
      </c>
      <c r="D163" s="13" t="s">
        <v>516</v>
      </c>
      <c r="E163" s="13" t="s">
        <v>808</v>
      </c>
      <c r="F163" s="4">
        <v>95294</v>
      </c>
      <c r="G163" s="29" t="s">
        <v>6153</v>
      </c>
      <c r="H163" s="14">
        <v>43552</v>
      </c>
      <c r="I163" s="4" t="s">
        <v>6154</v>
      </c>
      <c r="J163" s="133"/>
      <c r="K163" s="22"/>
      <c r="L163" s="134"/>
    </row>
    <row r="164" spans="1:12" s="97" customFormat="1" hidden="1" x14ac:dyDescent="0.25">
      <c r="A164" s="61" t="s">
        <v>1148</v>
      </c>
      <c r="B164" s="14">
        <v>43599</v>
      </c>
      <c r="C164" s="13">
        <v>821</v>
      </c>
      <c r="D164" s="13" t="s">
        <v>6487</v>
      </c>
      <c r="E164" s="13" t="s">
        <v>808</v>
      </c>
      <c r="F164" s="4">
        <v>15958</v>
      </c>
      <c r="G164" s="28" t="s">
        <v>31</v>
      </c>
      <c r="H164" s="14">
        <v>43567</v>
      </c>
      <c r="I164" s="4" t="s">
        <v>1497</v>
      </c>
      <c r="J164" s="133"/>
      <c r="K164" s="22"/>
      <c r="L164" s="134"/>
    </row>
    <row r="165" spans="1:12" hidden="1" x14ac:dyDescent="0.25">
      <c r="A165" s="32" t="s">
        <v>1316</v>
      </c>
      <c r="B165" s="14">
        <v>43599</v>
      </c>
      <c r="C165" s="67">
        <v>822</v>
      </c>
      <c r="D165" s="32" t="s">
        <v>7555</v>
      </c>
      <c r="E165" s="13" t="s">
        <v>808</v>
      </c>
      <c r="F165" s="4">
        <v>371908</v>
      </c>
      <c r="G165" s="67">
        <v>6529</v>
      </c>
      <c r="H165" s="14">
        <v>43584</v>
      </c>
      <c r="I165" s="4" t="s">
        <v>7556</v>
      </c>
      <c r="J165" s="21"/>
      <c r="K165" s="228"/>
    </row>
    <row r="166" spans="1:12" hidden="1" x14ac:dyDescent="0.25">
      <c r="A166" s="13" t="s">
        <v>2320</v>
      </c>
      <c r="B166" s="14">
        <v>43599</v>
      </c>
      <c r="C166" s="13">
        <v>823</v>
      </c>
      <c r="D166" s="13" t="s">
        <v>1935</v>
      </c>
      <c r="E166" s="13" t="s">
        <v>808</v>
      </c>
      <c r="F166" s="37">
        <v>1500000</v>
      </c>
      <c r="G166" s="69" t="s">
        <v>2321</v>
      </c>
      <c r="H166" s="14"/>
      <c r="I166" s="4" t="s">
        <v>2318</v>
      </c>
      <c r="J166" s="169"/>
    </row>
    <row r="167" spans="1:12" hidden="1" x14ac:dyDescent="0.25">
      <c r="A167" s="61" t="s">
        <v>659</v>
      </c>
      <c r="B167" s="14">
        <v>43599</v>
      </c>
      <c r="C167" s="13">
        <v>824</v>
      </c>
      <c r="D167" s="13" t="s">
        <v>1099</v>
      </c>
      <c r="E167" s="13" t="s">
        <v>808</v>
      </c>
      <c r="F167" s="37">
        <v>45748.95</v>
      </c>
      <c r="G167" s="29" t="s">
        <v>1544</v>
      </c>
      <c r="H167" s="14">
        <v>43536</v>
      </c>
      <c r="I167" s="4" t="s">
        <v>461</v>
      </c>
    </row>
    <row r="168" spans="1:12" ht="41.4" hidden="1" x14ac:dyDescent="0.25">
      <c r="A168" s="61" t="s">
        <v>6426</v>
      </c>
      <c r="B168" s="14">
        <v>43599</v>
      </c>
      <c r="C168" s="13">
        <v>825</v>
      </c>
      <c r="D168" s="13" t="s">
        <v>381</v>
      </c>
      <c r="E168" s="13" t="s">
        <v>808</v>
      </c>
      <c r="F168" s="37">
        <v>33200</v>
      </c>
      <c r="G168" s="29" t="s">
        <v>724</v>
      </c>
      <c r="H168" s="14">
        <v>43555</v>
      </c>
      <c r="I168" s="4" t="s">
        <v>95</v>
      </c>
    </row>
    <row r="169" spans="1:12" hidden="1" x14ac:dyDescent="0.25">
      <c r="A169" s="61" t="s">
        <v>5258</v>
      </c>
      <c r="B169" s="14">
        <v>43599</v>
      </c>
      <c r="C169" s="13">
        <v>826</v>
      </c>
      <c r="D169" s="13" t="s">
        <v>5347</v>
      </c>
      <c r="E169" s="13" t="s">
        <v>808</v>
      </c>
      <c r="F169" s="37">
        <v>200000</v>
      </c>
      <c r="G169" s="29" t="s">
        <v>300</v>
      </c>
      <c r="H169" s="14">
        <v>43543</v>
      </c>
      <c r="I169" s="4" t="s">
        <v>164</v>
      </c>
    </row>
    <row r="170" spans="1:12" hidden="1" x14ac:dyDescent="0.25">
      <c r="A170" s="61" t="s">
        <v>1148</v>
      </c>
      <c r="B170" s="14">
        <v>43599</v>
      </c>
      <c r="C170" s="13">
        <v>827</v>
      </c>
      <c r="D170" s="13" t="s">
        <v>282</v>
      </c>
      <c r="E170" s="13" t="s">
        <v>808</v>
      </c>
      <c r="F170" s="37">
        <v>7865</v>
      </c>
      <c r="G170" s="29" t="s">
        <v>6077</v>
      </c>
      <c r="H170" s="14">
        <v>43555</v>
      </c>
      <c r="I170" s="4" t="s">
        <v>283</v>
      </c>
    </row>
    <row r="171" spans="1:12" hidden="1" x14ac:dyDescent="0.25">
      <c r="A171" s="13" t="s">
        <v>1316</v>
      </c>
      <c r="B171" s="14">
        <v>43599</v>
      </c>
      <c r="C171" s="13">
        <v>827</v>
      </c>
      <c r="D171" s="13" t="s">
        <v>282</v>
      </c>
      <c r="E171" s="13" t="s">
        <v>808</v>
      </c>
      <c r="F171" s="4">
        <v>4290</v>
      </c>
      <c r="G171" s="28" t="s">
        <v>6078</v>
      </c>
      <c r="H171" s="14">
        <v>43555</v>
      </c>
      <c r="I171" s="4" t="s">
        <v>283</v>
      </c>
    </row>
    <row r="172" spans="1:12" hidden="1" x14ac:dyDescent="0.25">
      <c r="A172" s="61" t="s">
        <v>1147</v>
      </c>
      <c r="B172" s="14">
        <v>43599</v>
      </c>
      <c r="C172" s="13">
        <v>828</v>
      </c>
      <c r="D172" s="13" t="s">
        <v>80</v>
      </c>
      <c r="E172" s="13" t="s">
        <v>808</v>
      </c>
      <c r="F172" s="37">
        <v>295480</v>
      </c>
      <c r="G172" s="29" t="s">
        <v>6090</v>
      </c>
      <c r="H172" s="14">
        <v>43554</v>
      </c>
      <c r="I172" s="4" t="s">
        <v>2157</v>
      </c>
    </row>
    <row r="173" spans="1:12" ht="27.6" hidden="1" x14ac:dyDescent="0.25">
      <c r="A173" s="61" t="s">
        <v>1894</v>
      </c>
      <c r="B173" s="14">
        <v>43599</v>
      </c>
      <c r="C173" s="13">
        <v>828</v>
      </c>
      <c r="D173" s="13" t="s">
        <v>80</v>
      </c>
      <c r="E173" s="13" t="s">
        <v>808</v>
      </c>
      <c r="F173" s="37">
        <v>203620</v>
      </c>
      <c r="G173" s="29" t="s">
        <v>6780</v>
      </c>
      <c r="H173" s="14">
        <v>43570</v>
      </c>
      <c r="I173" s="4" t="s">
        <v>2157</v>
      </c>
    </row>
    <row r="174" spans="1:12" hidden="1" x14ac:dyDescent="0.25">
      <c r="A174" s="61" t="s">
        <v>659</v>
      </c>
      <c r="B174" s="14">
        <v>43599</v>
      </c>
      <c r="C174" s="13">
        <v>829</v>
      </c>
      <c r="D174" s="13" t="s">
        <v>250</v>
      </c>
      <c r="E174" s="13" t="s">
        <v>808</v>
      </c>
      <c r="F174" s="37">
        <f>176937.5-100000</f>
        <v>76937.5</v>
      </c>
      <c r="G174" s="29" t="s">
        <v>5364</v>
      </c>
      <c r="H174" s="14">
        <v>43524</v>
      </c>
      <c r="I174" s="4" t="s">
        <v>4088</v>
      </c>
    </row>
    <row r="175" spans="1:12" hidden="1" x14ac:dyDescent="0.25">
      <c r="A175" s="61" t="s">
        <v>659</v>
      </c>
      <c r="B175" s="14">
        <v>43599</v>
      </c>
      <c r="C175" s="13">
        <v>829</v>
      </c>
      <c r="D175" s="13" t="s">
        <v>250</v>
      </c>
      <c r="E175" s="13" t="s">
        <v>808</v>
      </c>
      <c r="F175" s="37">
        <v>161500</v>
      </c>
      <c r="G175" s="29" t="s">
        <v>5365</v>
      </c>
      <c r="H175" s="14">
        <v>43524</v>
      </c>
      <c r="I175" s="4" t="s">
        <v>4088</v>
      </c>
    </row>
    <row r="176" spans="1:12" hidden="1" x14ac:dyDescent="0.25">
      <c r="A176" s="32" t="s">
        <v>659</v>
      </c>
      <c r="B176" s="14">
        <v>43599</v>
      </c>
      <c r="C176" s="13">
        <v>829</v>
      </c>
      <c r="D176" s="13" t="s">
        <v>250</v>
      </c>
      <c r="E176" s="13" t="s">
        <v>808</v>
      </c>
      <c r="F176" s="37">
        <v>314500</v>
      </c>
      <c r="G176" s="29" t="s">
        <v>5620</v>
      </c>
      <c r="H176" s="14">
        <v>43539</v>
      </c>
      <c r="I176" s="4" t="s">
        <v>402</v>
      </c>
    </row>
    <row r="177" spans="1:9" hidden="1" x14ac:dyDescent="0.25">
      <c r="A177" s="61" t="s">
        <v>659</v>
      </c>
      <c r="B177" s="14">
        <v>43599</v>
      </c>
      <c r="C177" s="13">
        <v>829</v>
      </c>
      <c r="D177" s="13" t="s">
        <v>250</v>
      </c>
      <c r="E177" s="13" t="s">
        <v>808</v>
      </c>
      <c r="F177" s="4">
        <v>277125</v>
      </c>
      <c r="G177" s="28" t="s">
        <v>6096</v>
      </c>
      <c r="H177" s="14">
        <v>43555</v>
      </c>
      <c r="I177" s="4" t="s">
        <v>402</v>
      </c>
    </row>
    <row r="178" spans="1:9" hidden="1" x14ac:dyDescent="0.25">
      <c r="A178" s="61" t="s">
        <v>1147</v>
      </c>
      <c r="B178" s="14">
        <v>43599</v>
      </c>
      <c r="C178" s="13">
        <v>830</v>
      </c>
      <c r="D178" s="13" t="s">
        <v>29</v>
      </c>
      <c r="E178" s="13" t="s">
        <v>808</v>
      </c>
      <c r="F178" s="37">
        <v>423225</v>
      </c>
      <c r="G178" s="29" t="s">
        <v>5622</v>
      </c>
      <c r="H178" s="14">
        <v>43535</v>
      </c>
      <c r="I178" s="4" t="s">
        <v>1061</v>
      </c>
    </row>
    <row r="179" spans="1:9" hidden="1" x14ac:dyDescent="0.25">
      <c r="A179" s="61" t="s">
        <v>1148</v>
      </c>
      <c r="B179" s="14">
        <v>43599</v>
      </c>
      <c r="C179" s="13">
        <v>830</v>
      </c>
      <c r="D179" s="13" t="s">
        <v>29</v>
      </c>
      <c r="E179" s="13" t="s">
        <v>808</v>
      </c>
      <c r="F179" s="37">
        <f>108000-58000</f>
        <v>50000</v>
      </c>
      <c r="G179" s="29" t="s">
        <v>1272</v>
      </c>
      <c r="H179" s="14">
        <v>43535</v>
      </c>
      <c r="I179" s="4" t="s">
        <v>511</v>
      </c>
    </row>
    <row r="180" spans="1:9" hidden="1" x14ac:dyDescent="0.25">
      <c r="A180" s="61" t="s">
        <v>1147</v>
      </c>
      <c r="B180" s="14">
        <v>43599</v>
      </c>
      <c r="C180" s="13">
        <v>830</v>
      </c>
      <c r="D180" s="13" t="s">
        <v>29</v>
      </c>
      <c r="E180" s="13" t="s">
        <v>808</v>
      </c>
      <c r="F180" s="37">
        <v>188150</v>
      </c>
      <c r="G180" s="29" t="s">
        <v>17</v>
      </c>
      <c r="H180" s="14">
        <v>43536</v>
      </c>
      <c r="I180" s="4" t="s">
        <v>87</v>
      </c>
    </row>
    <row r="181" spans="1:9" hidden="1" x14ac:dyDescent="0.25">
      <c r="A181" s="61" t="s">
        <v>1148</v>
      </c>
      <c r="B181" s="14">
        <v>43599</v>
      </c>
      <c r="C181" s="13">
        <v>830</v>
      </c>
      <c r="D181" s="13" t="s">
        <v>29</v>
      </c>
      <c r="E181" s="13" t="s">
        <v>808</v>
      </c>
      <c r="F181" s="37">
        <v>67075</v>
      </c>
      <c r="G181" s="29" t="s">
        <v>1334</v>
      </c>
      <c r="H181" s="14">
        <v>43536</v>
      </c>
      <c r="I181" s="4" t="s">
        <v>87</v>
      </c>
    </row>
    <row r="182" spans="1:9" hidden="1" x14ac:dyDescent="0.25">
      <c r="A182" s="61" t="s">
        <v>1316</v>
      </c>
      <c r="B182" s="14">
        <v>43599</v>
      </c>
      <c r="C182" s="13">
        <v>830</v>
      </c>
      <c r="D182" s="13" t="s">
        <v>29</v>
      </c>
      <c r="E182" s="13" t="s">
        <v>808</v>
      </c>
      <c r="F182" s="37">
        <v>9500</v>
      </c>
      <c r="G182" s="29" t="s">
        <v>3121</v>
      </c>
      <c r="H182" s="14">
        <v>43542</v>
      </c>
      <c r="I182" s="4" t="s">
        <v>87</v>
      </c>
    </row>
    <row r="183" spans="1:9" hidden="1" x14ac:dyDescent="0.25">
      <c r="A183" s="61" t="s">
        <v>1147</v>
      </c>
      <c r="B183" s="14">
        <v>43599</v>
      </c>
      <c r="C183" s="13">
        <v>830</v>
      </c>
      <c r="D183" s="13" t="s">
        <v>29</v>
      </c>
      <c r="E183" s="13" t="s">
        <v>808</v>
      </c>
      <c r="F183" s="37">
        <v>113625</v>
      </c>
      <c r="G183" s="29" t="s">
        <v>3394</v>
      </c>
      <c r="H183" s="14">
        <v>43544</v>
      </c>
      <c r="I183" s="4" t="s">
        <v>87</v>
      </c>
    </row>
    <row r="184" spans="1:9" hidden="1" x14ac:dyDescent="0.25">
      <c r="A184" s="32" t="s">
        <v>1147</v>
      </c>
      <c r="B184" s="14">
        <v>43599</v>
      </c>
      <c r="C184" s="13">
        <v>830</v>
      </c>
      <c r="D184" s="13" t="s">
        <v>29</v>
      </c>
      <c r="E184" s="13" t="s">
        <v>808</v>
      </c>
      <c r="F184" s="37">
        <v>100000</v>
      </c>
      <c r="G184" s="29" t="s">
        <v>1368</v>
      </c>
      <c r="H184" s="14">
        <v>43542</v>
      </c>
      <c r="I184" s="4" t="s">
        <v>1061</v>
      </c>
    </row>
    <row r="185" spans="1:9" hidden="1" x14ac:dyDescent="0.25">
      <c r="A185" s="61" t="s">
        <v>659</v>
      </c>
      <c r="B185" s="14">
        <v>43599</v>
      </c>
      <c r="C185" s="13">
        <v>831</v>
      </c>
      <c r="D185" s="13" t="s">
        <v>5888</v>
      </c>
      <c r="E185" s="13" t="s">
        <v>808</v>
      </c>
      <c r="F185" s="37">
        <f>259250-59250</f>
        <v>200000</v>
      </c>
      <c r="G185" s="29" t="s">
        <v>3375</v>
      </c>
      <c r="H185" s="14">
        <v>43549</v>
      </c>
      <c r="I185" s="4" t="s">
        <v>402</v>
      </c>
    </row>
    <row r="186" spans="1:9" hidden="1" x14ac:dyDescent="0.25">
      <c r="A186" s="61" t="s">
        <v>659</v>
      </c>
      <c r="B186" s="14">
        <v>43599</v>
      </c>
      <c r="C186" s="13">
        <v>832</v>
      </c>
      <c r="D186" s="13" t="s">
        <v>5888</v>
      </c>
      <c r="E186" s="13" t="s">
        <v>808</v>
      </c>
      <c r="F186" s="4">
        <v>80750</v>
      </c>
      <c r="G186" s="28" t="s">
        <v>1158</v>
      </c>
      <c r="H186" s="14">
        <v>43563</v>
      </c>
      <c r="I186" s="4" t="s">
        <v>402</v>
      </c>
    </row>
    <row r="187" spans="1:9" ht="27.6" hidden="1" x14ac:dyDescent="0.25">
      <c r="A187" s="61" t="s">
        <v>5625</v>
      </c>
      <c r="B187" s="14">
        <v>43599</v>
      </c>
      <c r="C187" s="13">
        <v>833</v>
      </c>
      <c r="D187" s="13" t="s">
        <v>2047</v>
      </c>
      <c r="E187" s="13" t="s">
        <v>808</v>
      </c>
      <c r="F187" s="37">
        <v>52700</v>
      </c>
      <c r="G187" s="29" t="s">
        <v>191</v>
      </c>
      <c r="H187" s="14">
        <v>43544</v>
      </c>
      <c r="I187" s="4" t="s">
        <v>95</v>
      </c>
    </row>
    <row r="188" spans="1:9" ht="27.6" hidden="1" x14ac:dyDescent="0.25">
      <c r="A188" s="61" t="s">
        <v>3851</v>
      </c>
      <c r="B188" s="14">
        <v>43599</v>
      </c>
      <c r="C188" s="13">
        <v>833</v>
      </c>
      <c r="D188" s="13" t="s">
        <v>2047</v>
      </c>
      <c r="E188" s="13" t="s">
        <v>808</v>
      </c>
      <c r="F188" s="37">
        <v>34850</v>
      </c>
      <c r="G188" s="29" t="s">
        <v>132</v>
      </c>
      <c r="H188" s="14">
        <v>43557</v>
      </c>
      <c r="I188" s="4" t="s">
        <v>95</v>
      </c>
    </row>
    <row r="189" spans="1:9" ht="27.6" hidden="1" x14ac:dyDescent="0.25">
      <c r="A189" s="61" t="s">
        <v>6448</v>
      </c>
      <c r="B189" s="14">
        <v>43599</v>
      </c>
      <c r="C189" s="13">
        <v>833</v>
      </c>
      <c r="D189" s="13" t="s">
        <v>2047</v>
      </c>
      <c r="E189" s="13" t="s">
        <v>808</v>
      </c>
      <c r="F189" s="37">
        <v>37400</v>
      </c>
      <c r="G189" s="29" t="s">
        <v>1549</v>
      </c>
      <c r="H189" s="14">
        <v>43557</v>
      </c>
      <c r="I189" s="4" t="s">
        <v>95</v>
      </c>
    </row>
    <row r="190" spans="1:9" ht="27.6" hidden="1" x14ac:dyDescent="0.25">
      <c r="A190" s="61" t="s">
        <v>6104</v>
      </c>
      <c r="B190" s="14">
        <v>43599</v>
      </c>
      <c r="C190" s="13">
        <v>833</v>
      </c>
      <c r="D190" s="13" t="s">
        <v>2047</v>
      </c>
      <c r="E190" s="13" t="s">
        <v>808</v>
      </c>
      <c r="F190" s="37">
        <v>35700</v>
      </c>
      <c r="G190" s="29" t="s">
        <v>1568</v>
      </c>
      <c r="H190" s="14">
        <v>43557</v>
      </c>
      <c r="I190" s="4" t="s">
        <v>95</v>
      </c>
    </row>
    <row r="191" spans="1:9" hidden="1" x14ac:dyDescent="0.25">
      <c r="A191" s="61" t="s">
        <v>659</v>
      </c>
      <c r="B191" s="14">
        <v>43599</v>
      </c>
      <c r="C191" s="13">
        <v>834</v>
      </c>
      <c r="D191" s="13" t="s">
        <v>1985</v>
      </c>
      <c r="E191" s="13" t="s">
        <v>808</v>
      </c>
      <c r="F191" s="4">
        <v>31000</v>
      </c>
      <c r="G191" s="28" t="s">
        <v>477</v>
      </c>
      <c r="H191" s="14">
        <v>43543</v>
      </c>
      <c r="I191" s="4" t="s">
        <v>122</v>
      </c>
    </row>
    <row r="192" spans="1:9" hidden="1" x14ac:dyDescent="0.25">
      <c r="A192" s="61" t="s">
        <v>1147</v>
      </c>
      <c r="B192" s="14">
        <v>43599</v>
      </c>
      <c r="C192" s="13">
        <v>835</v>
      </c>
      <c r="D192" s="13" t="s">
        <v>692</v>
      </c>
      <c r="E192" s="13" t="s">
        <v>808</v>
      </c>
      <c r="F192" s="4">
        <f>177187.5-90000</f>
        <v>87187.5</v>
      </c>
      <c r="G192" s="28" t="s">
        <v>1264</v>
      </c>
      <c r="H192" s="14">
        <v>43532</v>
      </c>
      <c r="I192" s="32" t="s">
        <v>2027</v>
      </c>
    </row>
    <row r="193" spans="1:19" hidden="1" x14ac:dyDescent="0.25">
      <c r="A193" s="13" t="s">
        <v>659</v>
      </c>
      <c r="B193" s="14">
        <v>43599</v>
      </c>
      <c r="C193" s="13">
        <v>835</v>
      </c>
      <c r="D193" s="13" t="s">
        <v>692</v>
      </c>
      <c r="E193" s="13" t="s">
        <v>808</v>
      </c>
      <c r="F193" s="37">
        <v>103125</v>
      </c>
      <c r="G193" s="29" t="s">
        <v>790</v>
      </c>
      <c r="H193" s="14">
        <v>43551</v>
      </c>
      <c r="I193" s="4" t="s">
        <v>419</v>
      </c>
    </row>
    <row r="194" spans="1:19" hidden="1" x14ac:dyDescent="0.25">
      <c r="A194" s="32" t="s">
        <v>1147</v>
      </c>
      <c r="B194" s="14">
        <v>43599</v>
      </c>
      <c r="C194" s="13">
        <v>835</v>
      </c>
      <c r="D194" s="13" t="s">
        <v>692</v>
      </c>
      <c r="E194" s="13" t="s">
        <v>808</v>
      </c>
      <c r="F194" s="37">
        <v>100000</v>
      </c>
      <c r="G194" s="29" t="s">
        <v>731</v>
      </c>
      <c r="H194" s="14">
        <v>43551</v>
      </c>
      <c r="I194" s="4" t="s">
        <v>2027</v>
      </c>
    </row>
    <row r="195" spans="1:19" ht="27.6" hidden="1" x14ac:dyDescent="0.25">
      <c r="A195" s="61" t="s">
        <v>6456</v>
      </c>
      <c r="B195" s="14">
        <v>43599</v>
      </c>
      <c r="C195" s="13">
        <v>836</v>
      </c>
      <c r="D195" s="13" t="s">
        <v>2115</v>
      </c>
      <c r="E195" s="13" t="s">
        <v>808</v>
      </c>
      <c r="F195" s="37">
        <v>705187.5</v>
      </c>
      <c r="G195" s="29" t="s">
        <v>476</v>
      </c>
      <c r="H195" s="14">
        <v>43524</v>
      </c>
      <c r="I195" s="4" t="s">
        <v>6457</v>
      </c>
    </row>
    <row r="196" spans="1:19" s="97" customFormat="1" hidden="1" x14ac:dyDescent="0.25">
      <c r="A196" s="61" t="s">
        <v>455</v>
      </c>
      <c r="B196" s="14">
        <v>43599</v>
      </c>
      <c r="C196" s="13">
        <v>435</v>
      </c>
      <c r="D196" s="13" t="s">
        <v>2697</v>
      </c>
      <c r="E196" s="13" t="s">
        <v>958</v>
      </c>
      <c r="F196" s="4">
        <v>432048</v>
      </c>
      <c r="G196" s="29" t="s">
        <v>5908</v>
      </c>
      <c r="H196" s="14">
        <v>43551</v>
      </c>
      <c r="I196" s="4" t="s">
        <v>1244</v>
      </c>
      <c r="J196" s="133"/>
      <c r="K196" s="22"/>
      <c r="L196" s="134"/>
    </row>
    <row r="197" spans="1:19" s="97" customFormat="1" hidden="1" x14ac:dyDescent="0.25">
      <c r="A197" s="61" t="s">
        <v>455</v>
      </c>
      <c r="B197" s="14">
        <v>43599</v>
      </c>
      <c r="C197" s="13">
        <v>436</v>
      </c>
      <c r="D197" s="13" t="s">
        <v>740</v>
      </c>
      <c r="E197" s="13" t="s">
        <v>958</v>
      </c>
      <c r="F197" s="4">
        <v>18000</v>
      </c>
      <c r="G197" s="28" t="s">
        <v>6478</v>
      </c>
      <c r="H197" s="14">
        <v>43546</v>
      </c>
      <c r="I197" s="4" t="s">
        <v>370</v>
      </c>
      <c r="J197" s="133"/>
      <c r="K197" s="22"/>
      <c r="L197" s="134"/>
    </row>
    <row r="198" spans="1:19" s="97" customFormat="1" hidden="1" x14ac:dyDescent="0.25">
      <c r="A198" s="61" t="s">
        <v>310</v>
      </c>
      <c r="B198" s="14">
        <v>43599</v>
      </c>
      <c r="C198" s="13">
        <v>436</v>
      </c>
      <c r="D198" s="13" t="s">
        <v>740</v>
      </c>
      <c r="E198" s="13" t="s">
        <v>958</v>
      </c>
      <c r="F198" s="4">
        <v>48650</v>
      </c>
      <c r="G198" s="28" t="s">
        <v>6479</v>
      </c>
      <c r="H198" s="14">
        <v>43549</v>
      </c>
      <c r="I198" s="4" t="s">
        <v>6480</v>
      </c>
      <c r="J198" s="133"/>
      <c r="K198" s="22"/>
      <c r="L198" s="134"/>
    </row>
    <row r="199" spans="1:19" s="97" customFormat="1" hidden="1" x14ac:dyDescent="0.25">
      <c r="A199" s="13" t="s">
        <v>455</v>
      </c>
      <c r="B199" s="14">
        <v>43599</v>
      </c>
      <c r="C199" s="13">
        <v>436</v>
      </c>
      <c r="D199" s="13" t="s">
        <v>740</v>
      </c>
      <c r="E199" s="13" t="s">
        <v>958</v>
      </c>
      <c r="F199" s="4">
        <v>890000</v>
      </c>
      <c r="G199" s="28" t="s">
        <v>6481</v>
      </c>
      <c r="H199" s="14">
        <v>43559</v>
      </c>
      <c r="I199" s="4" t="s">
        <v>443</v>
      </c>
      <c r="J199" s="133"/>
      <c r="K199" s="22"/>
      <c r="L199" s="134"/>
    </row>
    <row r="200" spans="1:19" s="62" customFormat="1" ht="15" hidden="1" customHeight="1" x14ac:dyDescent="0.25">
      <c r="A200" s="32" t="s">
        <v>455</v>
      </c>
      <c r="B200" s="14">
        <v>43599</v>
      </c>
      <c r="C200" s="13">
        <v>437</v>
      </c>
      <c r="D200" s="13" t="s">
        <v>257</v>
      </c>
      <c r="E200" s="13" t="s">
        <v>958</v>
      </c>
      <c r="F200" s="101">
        <f>907063.5-31542</f>
        <v>875521.5</v>
      </c>
      <c r="G200" s="189" t="s">
        <v>5042</v>
      </c>
      <c r="H200" s="14">
        <v>43509</v>
      </c>
      <c r="I200" s="4" t="s">
        <v>5041</v>
      </c>
      <c r="J200" s="261" t="s">
        <v>3665</v>
      </c>
      <c r="K200" s="4" t="s">
        <v>4999</v>
      </c>
      <c r="L200" s="71"/>
      <c r="M200" s="170"/>
      <c r="N200" s="71"/>
      <c r="O200" s="71"/>
      <c r="P200" s="35"/>
      <c r="Q200" s="35"/>
      <c r="R200" s="35"/>
      <c r="S200" s="35"/>
    </row>
    <row r="201" spans="1:19" s="62" customFormat="1" hidden="1" x14ac:dyDescent="0.25">
      <c r="A201" s="32" t="s">
        <v>455</v>
      </c>
      <c r="B201" s="14">
        <v>43599</v>
      </c>
      <c r="C201" s="13">
        <v>438</v>
      </c>
      <c r="D201" s="13" t="s">
        <v>276</v>
      </c>
      <c r="E201" s="13" t="s">
        <v>958</v>
      </c>
      <c r="F201" s="37">
        <v>896000</v>
      </c>
      <c r="G201" s="189" t="s">
        <v>5060</v>
      </c>
      <c r="H201" s="14">
        <v>43509</v>
      </c>
      <c r="I201" s="4" t="s">
        <v>5061</v>
      </c>
      <c r="J201" s="261" t="s">
        <v>3665</v>
      </c>
      <c r="K201" s="4" t="s">
        <v>4999</v>
      </c>
      <c r="L201" s="71"/>
      <c r="M201" s="170"/>
      <c r="N201" s="71"/>
      <c r="O201" s="71"/>
      <c r="P201" s="35"/>
      <c r="Q201" s="35"/>
      <c r="R201" s="35"/>
      <c r="S201" s="35"/>
    </row>
    <row r="202" spans="1:19" ht="13.8" hidden="1" customHeight="1" x14ac:dyDescent="0.25">
      <c r="A202" s="13" t="s">
        <v>151</v>
      </c>
      <c r="B202" s="14">
        <v>43599</v>
      </c>
      <c r="C202" s="13">
        <v>439</v>
      </c>
      <c r="D202" s="32" t="s">
        <v>1254</v>
      </c>
      <c r="E202" s="32" t="s">
        <v>958</v>
      </c>
      <c r="F202" s="4">
        <v>27000</v>
      </c>
      <c r="G202" s="29" t="s">
        <v>7550</v>
      </c>
      <c r="H202" s="14">
        <v>43592</v>
      </c>
      <c r="I202" s="4" t="s">
        <v>1</v>
      </c>
      <c r="J202" s="21"/>
      <c r="K202" s="228"/>
    </row>
    <row r="203" spans="1:19" s="62" customFormat="1" hidden="1" x14ac:dyDescent="0.25">
      <c r="A203" s="32" t="s">
        <v>455</v>
      </c>
      <c r="B203" s="14">
        <v>43599</v>
      </c>
      <c r="C203" s="13">
        <v>440</v>
      </c>
      <c r="D203" s="13" t="s">
        <v>157</v>
      </c>
      <c r="E203" s="32" t="s">
        <v>958</v>
      </c>
      <c r="F203" s="4">
        <f>43793.97-2611.9</f>
        <v>41182.07</v>
      </c>
      <c r="G203" s="28" t="s">
        <v>7007</v>
      </c>
      <c r="H203" s="14">
        <v>43343</v>
      </c>
      <c r="I203" s="32" t="s">
        <v>4997</v>
      </c>
      <c r="J203" s="442" t="s">
        <v>4998</v>
      </c>
      <c r="K203" s="4" t="s">
        <v>4999</v>
      </c>
      <c r="L203" s="443"/>
      <c r="M203" s="476"/>
      <c r="O203" s="35"/>
      <c r="P203" s="35"/>
      <c r="Q203" s="35"/>
      <c r="R203" s="35"/>
      <c r="S203" s="35"/>
    </row>
    <row r="204" spans="1:19" s="62" customFormat="1" ht="15" hidden="1" customHeight="1" x14ac:dyDescent="0.25">
      <c r="A204" s="32" t="s">
        <v>455</v>
      </c>
      <c r="B204" s="14">
        <v>43599</v>
      </c>
      <c r="C204" s="13">
        <v>440</v>
      </c>
      <c r="D204" s="13" t="s">
        <v>157</v>
      </c>
      <c r="E204" s="32" t="s">
        <v>958</v>
      </c>
      <c r="F204" s="4">
        <v>22973.62</v>
      </c>
      <c r="G204" s="28" t="s">
        <v>5087</v>
      </c>
      <c r="H204" s="14">
        <v>43398</v>
      </c>
      <c r="I204" s="32" t="s">
        <v>4997</v>
      </c>
      <c r="J204" s="442" t="s">
        <v>4998</v>
      </c>
      <c r="K204" s="4" t="s">
        <v>4999</v>
      </c>
      <c r="L204" s="443"/>
      <c r="M204" s="476"/>
      <c r="O204" s="35"/>
      <c r="P204" s="35"/>
      <c r="Q204" s="35"/>
      <c r="R204" s="35"/>
      <c r="S204" s="35"/>
    </row>
    <row r="205" spans="1:19" s="62" customFormat="1" ht="15" hidden="1" customHeight="1" x14ac:dyDescent="0.25">
      <c r="A205" s="32" t="s">
        <v>455</v>
      </c>
      <c r="B205" s="14">
        <v>43599</v>
      </c>
      <c r="C205" s="13">
        <v>440</v>
      </c>
      <c r="D205" s="13" t="s">
        <v>157</v>
      </c>
      <c r="E205" s="32" t="s">
        <v>958</v>
      </c>
      <c r="F205" s="4">
        <v>17714.22</v>
      </c>
      <c r="G205" s="28" t="s">
        <v>5088</v>
      </c>
      <c r="H205" s="14">
        <v>43376</v>
      </c>
      <c r="I205" s="32" t="s">
        <v>4997</v>
      </c>
      <c r="J205" s="442" t="s">
        <v>4998</v>
      </c>
      <c r="K205" s="4" t="s">
        <v>4999</v>
      </c>
      <c r="L205" s="443"/>
      <c r="M205" s="476"/>
      <c r="O205" s="35"/>
      <c r="P205" s="35"/>
      <c r="Q205" s="35"/>
      <c r="R205" s="35"/>
      <c r="S205" s="35"/>
    </row>
    <row r="206" spans="1:19" s="62" customFormat="1" ht="15" hidden="1" customHeight="1" x14ac:dyDescent="0.25">
      <c r="A206" s="32" t="s">
        <v>455</v>
      </c>
      <c r="B206" s="14">
        <v>43599</v>
      </c>
      <c r="C206" s="13">
        <v>440</v>
      </c>
      <c r="D206" s="13" t="s">
        <v>157</v>
      </c>
      <c r="E206" s="32" t="s">
        <v>958</v>
      </c>
      <c r="F206" s="4">
        <v>124320</v>
      </c>
      <c r="G206" s="28" t="s">
        <v>5089</v>
      </c>
      <c r="H206" s="14">
        <v>43374</v>
      </c>
      <c r="I206" s="32" t="s">
        <v>5090</v>
      </c>
      <c r="J206" s="442" t="s">
        <v>4998</v>
      </c>
      <c r="K206" s="4" t="s">
        <v>4999</v>
      </c>
      <c r="L206" s="443"/>
      <c r="M206" s="476"/>
      <c r="O206" s="35"/>
      <c r="P206" s="35"/>
      <c r="Q206" s="35"/>
      <c r="R206" s="35"/>
      <c r="S206" s="35"/>
    </row>
    <row r="207" spans="1:19" s="62" customFormat="1" ht="15" hidden="1" customHeight="1" x14ac:dyDescent="0.25">
      <c r="A207" s="32" t="s">
        <v>455</v>
      </c>
      <c r="B207" s="14">
        <v>43599</v>
      </c>
      <c r="C207" s="13">
        <v>440</v>
      </c>
      <c r="D207" s="13" t="s">
        <v>157</v>
      </c>
      <c r="E207" s="32" t="s">
        <v>958</v>
      </c>
      <c r="F207" s="4">
        <v>83992</v>
      </c>
      <c r="G207" s="28" t="s">
        <v>5091</v>
      </c>
      <c r="H207" s="14">
        <v>43374</v>
      </c>
      <c r="I207" s="32" t="s">
        <v>5092</v>
      </c>
      <c r="J207" s="442" t="s">
        <v>4998</v>
      </c>
      <c r="K207" s="4" t="s">
        <v>4999</v>
      </c>
      <c r="L207" s="443"/>
      <c r="M207" s="476"/>
      <c r="O207" s="35"/>
      <c r="P207" s="35"/>
      <c r="Q207" s="35"/>
      <c r="R207" s="35"/>
      <c r="S207" s="35"/>
    </row>
    <row r="208" spans="1:19" s="62" customFormat="1" hidden="1" x14ac:dyDescent="0.25">
      <c r="A208" s="32" t="s">
        <v>310</v>
      </c>
      <c r="B208" s="14">
        <v>43599</v>
      </c>
      <c r="C208" s="13">
        <v>440</v>
      </c>
      <c r="D208" s="13" t="s">
        <v>157</v>
      </c>
      <c r="E208" s="32" t="s">
        <v>958</v>
      </c>
      <c r="F208" s="4">
        <f>3506.22</f>
        <v>3506.22</v>
      </c>
      <c r="G208" s="28" t="s">
        <v>5148</v>
      </c>
      <c r="H208" s="14">
        <v>43384</v>
      </c>
      <c r="I208" s="32" t="s">
        <v>5149</v>
      </c>
      <c r="J208" s="442" t="s">
        <v>4998</v>
      </c>
      <c r="K208" s="4" t="s">
        <v>4999</v>
      </c>
      <c r="L208" s="443"/>
      <c r="M208" s="476"/>
      <c r="O208" s="35"/>
      <c r="P208" s="35"/>
      <c r="Q208" s="35"/>
      <c r="R208" s="35"/>
      <c r="S208" s="35"/>
    </row>
    <row r="209" spans="1:19" s="62" customFormat="1" ht="15" hidden="1" customHeight="1" x14ac:dyDescent="0.25">
      <c r="A209" s="32" t="s">
        <v>455</v>
      </c>
      <c r="B209" s="14">
        <v>43599</v>
      </c>
      <c r="C209" s="13">
        <v>440</v>
      </c>
      <c r="D209" s="13" t="s">
        <v>157</v>
      </c>
      <c r="E209" s="13" t="s">
        <v>958</v>
      </c>
      <c r="F209" s="37">
        <v>7341.82</v>
      </c>
      <c r="G209" s="486" t="s">
        <v>5093</v>
      </c>
      <c r="H209" s="14">
        <v>43419</v>
      </c>
      <c r="I209" s="4" t="s">
        <v>4997</v>
      </c>
      <c r="J209" s="261" t="s">
        <v>4998</v>
      </c>
      <c r="K209" s="445" t="s">
        <v>4999</v>
      </c>
      <c r="M209" s="444"/>
      <c r="O209" s="35"/>
      <c r="P209" s="35"/>
      <c r="Q209" s="35"/>
      <c r="R209" s="35"/>
      <c r="S209" s="35"/>
    </row>
    <row r="210" spans="1:19" s="62" customFormat="1" ht="15" hidden="1" customHeight="1" x14ac:dyDescent="0.25">
      <c r="A210" s="32" t="s">
        <v>455</v>
      </c>
      <c r="B210" s="14">
        <v>43599</v>
      </c>
      <c r="C210" s="13">
        <v>440</v>
      </c>
      <c r="D210" s="13" t="s">
        <v>157</v>
      </c>
      <c r="E210" s="13" t="s">
        <v>958</v>
      </c>
      <c r="F210" s="37">
        <v>34776.94</v>
      </c>
      <c r="G210" s="486" t="s">
        <v>5094</v>
      </c>
      <c r="H210" s="14">
        <v>43434</v>
      </c>
      <c r="I210" s="4" t="s">
        <v>4997</v>
      </c>
      <c r="J210" s="261" t="s">
        <v>4998</v>
      </c>
      <c r="K210" s="445" t="s">
        <v>4999</v>
      </c>
      <c r="M210" s="444"/>
      <c r="O210" s="35"/>
      <c r="P210" s="35"/>
      <c r="Q210" s="35"/>
      <c r="R210" s="35"/>
      <c r="S210" s="35"/>
    </row>
    <row r="211" spans="1:19" s="62" customFormat="1" ht="15" hidden="1" customHeight="1" x14ac:dyDescent="0.25">
      <c r="A211" s="32" t="s">
        <v>455</v>
      </c>
      <c r="B211" s="14">
        <v>43599</v>
      </c>
      <c r="C211" s="13">
        <v>440</v>
      </c>
      <c r="D211" s="13" t="s">
        <v>157</v>
      </c>
      <c r="E211" s="13" t="s">
        <v>958</v>
      </c>
      <c r="F211" s="37">
        <v>53604.82</v>
      </c>
      <c r="G211" s="486" t="s">
        <v>5095</v>
      </c>
      <c r="H211" s="14">
        <v>43431</v>
      </c>
      <c r="I211" s="4" t="s">
        <v>4997</v>
      </c>
      <c r="J211" s="261" t="s">
        <v>4998</v>
      </c>
      <c r="K211" s="445" t="s">
        <v>4999</v>
      </c>
      <c r="M211" s="444"/>
      <c r="O211" s="35"/>
      <c r="P211" s="35"/>
      <c r="Q211" s="35"/>
      <c r="R211" s="35"/>
      <c r="S211" s="35"/>
    </row>
    <row r="212" spans="1:19" s="62" customFormat="1" ht="15" hidden="1" customHeight="1" x14ac:dyDescent="0.25">
      <c r="A212" s="32" t="s">
        <v>455</v>
      </c>
      <c r="B212" s="14">
        <v>43599</v>
      </c>
      <c r="C212" s="13">
        <v>440</v>
      </c>
      <c r="D212" s="13" t="s">
        <v>157</v>
      </c>
      <c r="E212" s="13" t="s">
        <v>958</v>
      </c>
      <c r="F212" s="37">
        <v>11770.22</v>
      </c>
      <c r="G212" s="486" t="s">
        <v>5096</v>
      </c>
      <c r="H212" s="14">
        <v>43426</v>
      </c>
      <c r="I212" s="4" t="s">
        <v>5097</v>
      </c>
      <c r="J212" s="261" t="s">
        <v>4998</v>
      </c>
      <c r="K212" s="445" t="s">
        <v>4999</v>
      </c>
      <c r="M212" s="444"/>
      <c r="O212" s="35"/>
      <c r="P212" s="35"/>
      <c r="Q212" s="35"/>
      <c r="R212" s="35"/>
      <c r="S212" s="35"/>
    </row>
    <row r="213" spans="1:19" s="62" customFormat="1" ht="15" hidden="1" customHeight="1" x14ac:dyDescent="0.25">
      <c r="A213" s="32" t="s">
        <v>455</v>
      </c>
      <c r="B213" s="14">
        <v>43599</v>
      </c>
      <c r="C213" s="13">
        <v>440</v>
      </c>
      <c r="D213" s="13" t="s">
        <v>157</v>
      </c>
      <c r="E213" s="13" t="s">
        <v>958</v>
      </c>
      <c r="F213" s="37">
        <v>7611.4</v>
      </c>
      <c r="G213" s="486" t="s">
        <v>5098</v>
      </c>
      <c r="H213" s="14">
        <v>43405</v>
      </c>
      <c r="I213" s="4" t="s">
        <v>4997</v>
      </c>
      <c r="J213" s="261" t="s">
        <v>4998</v>
      </c>
      <c r="K213" s="445" t="s">
        <v>4999</v>
      </c>
      <c r="M213" s="444"/>
      <c r="O213" s="35"/>
      <c r="P213" s="35"/>
      <c r="Q213" s="35"/>
      <c r="R213" s="35"/>
      <c r="S213" s="35"/>
    </row>
    <row r="214" spans="1:19" s="62" customFormat="1" ht="15" hidden="1" customHeight="1" x14ac:dyDescent="0.25">
      <c r="A214" s="32" t="s">
        <v>455</v>
      </c>
      <c r="B214" s="14">
        <v>43599</v>
      </c>
      <c r="C214" s="13">
        <v>440</v>
      </c>
      <c r="D214" s="13" t="s">
        <v>157</v>
      </c>
      <c r="E214" s="13" t="s">
        <v>958</v>
      </c>
      <c r="F214" s="37">
        <v>34021.22</v>
      </c>
      <c r="G214" s="486" t="s">
        <v>5099</v>
      </c>
      <c r="H214" s="14">
        <v>43413</v>
      </c>
      <c r="I214" s="4" t="s">
        <v>5100</v>
      </c>
      <c r="J214" s="261" t="s">
        <v>4998</v>
      </c>
      <c r="K214" s="445" t="s">
        <v>4999</v>
      </c>
      <c r="M214" s="444"/>
      <c r="O214" s="35"/>
      <c r="P214" s="35"/>
      <c r="Q214" s="35"/>
      <c r="R214" s="35"/>
      <c r="S214" s="35"/>
    </row>
    <row r="215" spans="1:19" s="62" customFormat="1" ht="15" hidden="1" customHeight="1" x14ac:dyDescent="0.25">
      <c r="A215" s="32" t="s">
        <v>455</v>
      </c>
      <c r="B215" s="14">
        <v>43599</v>
      </c>
      <c r="C215" s="13">
        <v>440</v>
      </c>
      <c r="D215" s="13" t="s">
        <v>157</v>
      </c>
      <c r="E215" s="13" t="s">
        <v>958</v>
      </c>
      <c r="F215" s="37">
        <v>29943.84</v>
      </c>
      <c r="G215" s="486" t="s">
        <v>5101</v>
      </c>
      <c r="H215" s="14">
        <v>43412</v>
      </c>
      <c r="I215" s="4" t="s">
        <v>4997</v>
      </c>
      <c r="J215" s="261" t="s">
        <v>4998</v>
      </c>
      <c r="K215" s="445" t="s">
        <v>4999</v>
      </c>
      <c r="M215" s="444"/>
      <c r="O215" s="35"/>
      <c r="P215" s="35"/>
      <c r="Q215" s="35"/>
      <c r="R215" s="35"/>
      <c r="S215" s="35"/>
    </row>
    <row r="216" spans="1:19" s="62" customFormat="1" ht="15" hidden="1" customHeight="1" x14ac:dyDescent="0.25">
      <c r="A216" s="32" t="s">
        <v>455</v>
      </c>
      <c r="B216" s="14">
        <v>43599</v>
      </c>
      <c r="C216" s="13">
        <v>440</v>
      </c>
      <c r="D216" s="13" t="s">
        <v>157</v>
      </c>
      <c r="E216" s="32" t="s">
        <v>958</v>
      </c>
      <c r="F216" s="4">
        <v>109200</v>
      </c>
      <c r="G216" s="28" t="s">
        <v>5102</v>
      </c>
      <c r="H216" s="14">
        <v>43441</v>
      </c>
      <c r="I216" s="32" t="s">
        <v>5103</v>
      </c>
      <c r="J216" s="442" t="s">
        <v>4998</v>
      </c>
      <c r="K216" s="4" t="s">
        <v>4999</v>
      </c>
      <c r="L216" s="443"/>
      <c r="M216" s="476"/>
      <c r="O216" s="35"/>
      <c r="P216" s="35"/>
      <c r="Q216" s="35"/>
      <c r="R216" s="35"/>
      <c r="S216" s="35"/>
    </row>
    <row r="217" spans="1:19" s="62" customFormat="1" ht="15" hidden="1" customHeight="1" x14ac:dyDescent="0.25">
      <c r="A217" s="32" t="s">
        <v>455</v>
      </c>
      <c r="B217" s="14">
        <v>43599</v>
      </c>
      <c r="C217" s="13">
        <v>440</v>
      </c>
      <c r="D217" s="13" t="s">
        <v>157</v>
      </c>
      <c r="E217" s="32" t="s">
        <v>958</v>
      </c>
      <c r="F217" s="4">
        <v>3267.62</v>
      </c>
      <c r="G217" s="28" t="s">
        <v>5104</v>
      </c>
      <c r="H217" s="14">
        <v>43454</v>
      </c>
      <c r="I217" s="32" t="s">
        <v>4997</v>
      </c>
      <c r="J217" s="442" t="s">
        <v>4998</v>
      </c>
      <c r="K217" s="4" t="s">
        <v>4999</v>
      </c>
      <c r="L217" s="443"/>
      <c r="M217" s="476"/>
      <c r="O217" s="35"/>
      <c r="P217" s="35"/>
      <c r="Q217" s="35"/>
      <c r="R217" s="35"/>
      <c r="S217" s="35"/>
    </row>
    <row r="218" spans="1:19" s="62" customFormat="1" ht="15" hidden="1" customHeight="1" x14ac:dyDescent="0.25">
      <c r="A218" s="32" t="s">
        <v>455</v>
      </c>
      <c r="B218" s="14">
        <v>43599</v>
      </c>
      <c r="C218" s="13">
        <v>441</v>
      </c>
      <c r="D218" s="13" t="s">
        <v>157</v>
      </c>
      <c r="E218" s="32" t="s">
        <v>958</v>
      </c>
      <c r="F218" s="4">
        <v>12002.8</v>
      </c>
      <c r="G218" s="28" t="s">
        <v>5105</v>
      </c>
      <c r="H218" s="14">
        <v>43476</v>
      </c>
      <c r="I218" s="32" t="s">
        <v>5097</v>
      </c>
      <c r="J218" s="442" t="s">
        <v>4998</v>
      </c>
      <c r="K218" s="4" t="s">
        <v>4999</v>
      </c>
      <c r="L218" s="443"/>
      <c r="M218" s="476"/>
      <c r="O218" s="35"/>
      <c r="P218" s="35"/>
      <c r="Q218" s="35"/>
      <c r="R218" s="35"/>
      <c r="S218" s="35"/>
    </row>
    <row r="219" spans="1:19" s="62" customFormat="1" ht="15" hidden="1" customHeight="1" x14ac:dyDescent="0.25">
      <c r="A219" s="32" t="s">
        <v>455</v>
      </c>
      <c r="B219" s="14">
        <v>43599</v>
      </c>
      <c r="C219" s="13">
        <v>441</v>
      </c>
      <c r="D219" s="13" t="s">
        <v>157</v>
      </c>
      <c r="E219" s="32" t="s">
        <v>958</v>
      </c>
      <c r="F219" s="4">
        <v>42014.8</v>
      </c>
      <c r="G219" s="28" t="s">
        <v>5106</v>
      </c>
      <c r="H219" s="14">
        <v>43487</v>
      </c>
      <c r="I219" s="32" t="s">
        <v>5107</v>
      </c>
      <c r="J219" s="442" t="s">
        <v>4998</v>
      </c>
      <c r="K219" s="4" t="s">
        <v>4999</v>
      </c>
      <c r="L219" s="443"/>
      <c r="M219" s="476"/>
      <c r="O219" s="35"/>
      <c r="P219" s="35"/>
      <c r="Q219" s="35"/>
      <c r="R219" s="35"/>
      <c r="S219" s="35"/>
    </row>
    <row r="220" spans="1:19" s="62" customFormat="1" ht="15" hidden="1" customHeight="1" x14ac:dyDescent="0.25">
      <c r="A220" s="32" t="s">
        <v>310</v>
      </c>
      <c r="B220" s="14">
        <v>43599</v>
      </c>
      <c r="C220" s="13">
        <v>441</v>
      </c>
      <c r="D220" s="13" t="s">
        <v>157</v>
      </c>
      <c r="E220" s="32" t="s">
        <v>958</v>
      </c>
      <c r="F220" s="4">
        <v>9139.84</v>
      </c>
      <c r="G220" s="28" t="s">
        <v>5152</v>
      </c>
      <c r="H220" s="14">
        <v>43500</v>
      </c>
      <c r="I220" s="32" t="s">
        <v>4997</v>
      </c>
      <c r="J220" s="442" t="s">
        <v>4998</v>
      </c>
      <c r="K220" s="4" t="s">
        <v>4999</v>
      </c>
      <c r="L220" s="443"/>
      <c r="M220" s="476"/>
      <c r="O220" s="35"/>
      <c r="P220" s="35"/>
      <c r="Q220" s="35"/>
      <c r="R220" s="35"/>
      <c r="S220" s="35"/>
    </row>
    <row r="221" spans="1:19" s="62" customFormat="1" ht="15" hidden="1" customHeight="1" x14ac:dyDescent="0.25">
      <c r="A221" s="32" t="s">
        <v>310</v>
      </c>
      <c r="B221" s="14">
        <v>43599</v>
      </c>
      <c r="C221" s="13">
        <v>441</v>
      </c>
      <c r="D221" s="13" t="s">
        <v>157</v>
      </c>
      <c r="E221" s="32" t="s">
        <v>958</v>
      </c>
      <c r="F221" s="4">
        <v>4312.8</v>
      </c>
      <c r="G221" s="28" t="s">
        <v>5150</v>
      </c>
      <c r="H221" s="14">
        <v>43512</v>
      </c>
      <c r="I221" s="32" t="s">
        <v>5151</v>
      </c>
      <c r="J221" s="442" t="s">
        <v>4998</v>
      </c>
      <c r="K221" s="4" t="s">
        <v>4999</v>
      </c>
      <c r="L221" s="443"/>
      <c r="M221" s="476"/>
      <c r="O221" s="35"/>
      <c r="P221" s="35"/>
      <c r="Q221" s="35"/>
      <c r="R221" s="35"/>
      <c r="S221" s="35"/>
    </row>
    <row r="222" spans="1:19" s="62" customFormat="1" ht="15" hidden="1" customHeight="1" x14ac:dyDescent="0.25">
      <c r="A222" s="32" t="s">
        <v>455</v>
      </c>
      <c r="B222" s="14">
        <v>43599</v>
      </c>
      <c r="C222" s="13">
        <v>441</v>
      </c>
      <c r="D222" s="13" t="s">
        <v>157</v>
      </c>
      <c r="E222" s="32" t="s">
        <v>958</v>
      </c>
      <c r="F222" s="4">
        <v>7485.92</v>
      </c>
      <c r="G222" s="28" t="s">
        <v>5108</v>
      </c>
      <c r="H222" s="14">
        <v>43512</v>
      </c>
      <c r="I222" s="32" t="s">
        <v>5100</v>
      </c>
      <c r="J222" s="442" t="s">
        <v>4998</v>
      </c>
      <c r="K222" s="4" t="s">
        <v>4999</v>
      </c>
      <c r="L222" s="443"/>
      <c r="M222" s="476"/>
      <c r="O222" s="35"/>
      <c r="P222" s="35"/>
      <c r="Q222" s="35"/>
      <c r="R222" s="35"/>
      <c r="S222" s="35"/>
    </row>
    <row r="223" spans="1:19" s="62" customFormat="1" ht="15" hidden="1" customHeight="1" x14ac:dyDescent="0.25">
      <c r="A223" s="32" t="s">
        <v>455</v>
      </c>
      <c r="B223" s="14">
        <v>43599</v>
      </c>
      <c r="C223" s="13">
        <v>441</v>
      </c>
      <c r="D223" s="13" t="s">
        <v>157</v>
      </c>
      <c r="E223" s="32" t="s">
        <v>958</v>
      </c>
      <c r="F223" s="4">
        <v>65193.599999999999</v>
      </c>
      <c r="G223" s="28" t="s">
        <v>5109</v>
      </c>
      <c r="H223" s="14">
        <v>43522</v>
      </c>
      <c r="I223" s="32" t="s">
        <v>4997</v>
      </c>
      <c r="J223" s="442" t="s">
        <v>4998</v>
      </c>
      <c r="K223" s="4" t="s">
        <v>4999</v>
      </c>
      <c r="L223" s="443"/>
      <c r="M223" s="476"/>
      <c r="O223" s="35"/>
      <c r="P223" s="35"/>
      <c r="Q223" s="35"/>
      <c r="R223" s="35"/>
      <c r="S223" s="35"/>
    </row>
    <row r="224" spans="1:19" s="62" customFormat="1" ht="15" hidden="1" customHeight="1" x14ac:dyDescent="0.25">
      <c r="A224" s="32" t="s">
        <v>455</v>
      </c>
      <c r="B224" s="14">
        <v>43599</v>
      </c>
      <c r="C224" s="13">
        <v>441</v>
      </c>
      <c r="D224" s="13" t="s">
        <v>157</v>
      </c>
      <c r="E224" s="32" t="s">
        <v>958</v>
      </c>
      <c r="F224" s="4">
        <v>24454.04</v>
      </c>
      <c r="G224" s="28" t="s">
        <v>5110</v>
      </c>
      <c r="H224" s="14">
        <v>43522</v>
      </c>
      <c r="I224" s="32" t="s">
        <v>4997</v>
      </c>
      <c r="J224" s="442" t="s">
        <v>4998</v>
      </c>
      <c r="K224" s="4" t="s">
        <v>4999</v>
      </c>
      <c r="L224" s="443"/>
      <c r="M224" s="476"/>
      <c r="O224" s="35"/>
      <c r="P224" s="35"/>
      <c r="Q224" s="35"/>
      <c r="R224" s="35"/>
      <c r="S224" s="35"/>
    </row>
    <row r="225" spans="1:12" hidden="1" x14ac:dyDescent="0.25">
      <c r="A225" s="32" t="s">
        <v>310</v>
      </c>
      <c r="B225" s="14">
        <v>43599</v>
      </c>
      <c r="C225" s="13">
        <v>441</v>
      </c>
      <c r="D225" s="218" t="s">
        <v>157</v>
      </c>
      <c r="E225" s="218" t="s">
        <v>958</v>
      </c>
      <c r="F225" s="224">
        <v>21607.8</v>
      </c>
      <c r="G225" s="70" t="s">
        <v>7003</v>
      </c>
      <c r="H225" s="211">
        <v>43523</v>
      </c>
      <c r="I225" s="32" t="s">
        <v>7004</v>
      </c>
    </row>
    <row r="226" spans="1:12" hidden="1" x14ac:dyDescent="0.25">
      <c r="A226" s="32" t="s">
        <v>310</v>
      </c>
      <c r="B226" s="14">
        <v>43599</v>
      </c>
      <c r="C226" s="13">
        <v>441</v>
      </c>
      <c r="D226" s="218" t="s">
        <v>157</v>
      </c>
      <c r="E226" s="218" t="s">
        <v>958</v>
      </c>
      <c r="F226" s="224">
        <f>77025.2+11792.3</f>
        <v>88817.5</v>
      </c>
      <c r="G226" s="70" t="s">
        <v>7005</v>
      </c>
      <c r="H226" s="211">
        <v>43529</v>
      </c>
      <c r="I226" s="32" t="s">
        <v>7006</v>
      </c>
    </row>
    <row r="227" spans="1:12" s="97" customFormat="1" hidden="1" x14ac:dyDescent="0.25">
      <c r="A227" s="61" t="s">
        <v>455</v>
      </c>
      <c r="B227" s="14">
        <v>43599</v>
      </c>
      <c r="C227" s="13">
        <v>441</v>
      </c>
      <c r="D227" s="13" t="s">
        <v>157</v>
      </c>
      <c r="E227" s="13" t="s">
        <v>958</v>
      </c>
      <c r="F227" s="37">
        <v>64514.8</v>
      </c>
      <c r="G227" s="29" t="s">
        <v>6501</v>
      </c>
      <c r="H227" s="14">
        <v>43559</v>
      </c>
      <c r="I227" s="4" t="s">
        <v>6502</v>
      </c>
      <c r="J227" s="133"/>
      <c r="K227" s="22"/>
      <c r="L227" s="134"/>
    </row>
    <row r="228" spans="1:12" s="97" customFormat="1" hidden="1" x14ac:dyDescent="0.25">
      <c r="A228" s="61" t="s">
        <v>311</v>
      </c>
      <c r="B228" s="14">
        <v>43599</v>
      </c>
      <c r="C228" s="13">
        <v>431</v>
      </c>
      <c r="D228" s="13" t="s">
        <v>157</v>
      </c>
      <c r="E228" s="13" t="s">
        <v>958</v>
      </c>
      <c r="F228" s="37">
        <v>50058.8</v>
      </c>
      <c r="G228" s="29" t="s">
        <v>6507</v>
      </c>
      <c r="H228" s="14">
        <v>43564</v>
      </c>
      <c r="I228" s="4" t="s">
        <v>5393</v>
      </c>
      <c r="J228" s="133"/>
      <c r="K228" s="22"/>
      <c r="L228" s="134"/>
    </row>
    <row r="229" spans="1:12" s="97" customFormat="1" hidden="1" x14ac:dyDescent="0.25">
      <c r="A229" s="61" t="s">
        <v>310</v>
      </c>
      <c r="B229" s="14">
        <v>43599</v>
      </c>
      <c r="C229" s="13">
        <v>442</v>
      </c>
      <c r="D229" s="13" t="s">
        <v>869</v>
      </c>
      <c r="E229" s="13" t="s">
        <v>958</v>
      </c>
      <c r="F229" s="4">
        <v>30584.59</v>
      </c>
      <c r="G229" s="28" t="s">
        <v>6214</v>
      </c>
      <c r="H229" s="14">
        <v>43558</v>
      </c>
      <c r="I229" s="4" t="s">
        <v>268</v>
      </c>
      <c r="J229" s="133"/>
      <c r="K229" s="22"/>
      <c r="L229" s="134"/>
    </row>
    <row r="230" spans="1:12" s="97" customFormat="1" hidden="1" x14ac:dyDescent="0.25">
      <c r="A230" s="61" t="s">
        <v>455</v>
      </c>
      <c r="B230" s="14">
        <v>43599</v>
      </c>
      <c r="C230" s="13">
        <v>443</v>
      </c>
      <c r="D230" s="13" t="s">
        <v>868</v>
      </c>
      <c r="E230" s="13" t="s">
        <v>958</v>
      </c>
      <c r="F230" s="4">
        <v>3130.56</v>
      </c>
      <c r="G230" s="29" t="s">
        <v>6192</v>
      </c>
      <c r="H230" s="14">
        <v>43546</v>
      </c>
      <c r="I230" s="4" t="s">
        <v>1352</v>
      </c>
      <c r="J230" s="133"/>
      <c r="K230" s="22"/>
      <c r="L230" s="134"/>
    </row>
    <row r="231" spans="1:12" s="97" customFormat="1" hidden="1" x14ac:dyDescent="0.25">
      <c r="A231" s="32" t="s">
        <v>455</v>
      </c>
      <c r="B231" s="14">
        <v>43599</v>
      </c>
      <c r="C231" s="13">
        <v>443</v>
      </c>
      <c r="D231" s="13" t="s">
        <v>868</v>
      </c>
      <c r="E231" s="13" t="s">
        <v>958</v>
      </c>
      <c r="F231" s="4">
        <v>66179.27</v>
      </c>
      <c r="G231" s="28" t="s">
        <v>6195</v>
      </c>
      <c r="H231" s="14">
        <v>43550</v>
      </c>
      <c r="I231" s="4" t="s">
        <v>6196</v>
      </c>
      <c r="J231" s="133"/>
      <c r="K231" s="22"/>
      <c r="L231" s="134"/>
    </row>
    <row r="232" spans="1:12" s="97" customFormat="1" hidden="1" x14ac:dyDescent="0.25">
      <c r="A232" s="61" t="s">
        <v>310</v>
      </c>
      <c r="B232" s="14">
        <v>43599</v>
      </c>
      <c r="C232" s="13">
        <v>443</v>
      </c>
      <c r="D232" s="13" t="s">
        <v>868</v>
      </c>
      <c r="E232" s="13" t="s">
        <v>958</v>
      </c>
      <c r="F232" s="4">
        <v>46320</v>
      </c>
      <c r="G232" s="29" t="s">
        <v>6198</v>
      </c>
      <c r="H232" s="14">
        <v>43551</v>
      </c>
      <c r="I232" s="4" t="s">
        <v>345</v>
      </c>
      <c r="J232" s="133"/>
      <c r="K232" s="22"/>
      <c r="L232" s="134"/>
    </row>
    <row r="233" spans="1:12" s="97" customFormat="1" hidden="1" x14ac:dyDescent="0.25">
      <c r="A233" s="32" t="s">
        <v>310</v>
      </c>
      <c r="B233" s="14">
        <v>43599</v>
      </c>
      <c r="C233" s="13">
        <v>443</v>
      </c>
      <c r="D233" s="13" t="s">
        <v>868</v>
      </c>
      <c r="E233" s="13" t="s">
        <v>958</v>
      </c>
      <c r="F233" s="4">
        <v>46320</v>
      </c>
      <c r="G233" s="29" t="s">
        <v>6204</v>
      </c>
      <c r="H233" s="14">
        <v>43557</v>
      </c>
      <c r="I233" s="4" t="s">
        <v>345</v>
      </c>
      <c r="J233" s="133"/>
      <c r="K233" s="22"/>
      <c r="L233" s="134"/>
    </row>
    <row r="234" spans="1:12" s="97" customFormat="1" hidden="1" x14ac:dyDescent="0.25">
      <c r="A234" s="61" t="s">
        <v>311</v>
      </c>
      <c r="B234" s="14">
        <v>43599</v>
      </c>
      <c r="C234" s="13">
        <v>432</v>
      </c>
      <c r="D234" s="13" t="s">
        <v>868</v>
      </c>
      <c r="E234" s="13" t="s">
        <v>958</v>
      </c>
      <c r="F234" s="37">
        <v>30400</v>
      </c>
      <c r="G234" s="29" t="s">
        <v>6529</v>
      </c>
      <c r="H234" s="14">
        <v>43564</v>
      </c>
      <c r="I234" s="4" t="s">
        <v>345</v>
      </c>
      <c r="J234" s="133"/>
      <c r="K234" s="22"/>
      <c r="L234" s="134"/>
    </row>
    <row r="235" spans="1:12" s="97" customFormat="1" hidden="1" x14ac:dyDescent="0.25">
      <c r="A235" s="61" t="s">
        <v>310</v>
      </c>
      <c r="B235" s="14">
        <v>43599</v>
      </c>
      <c r="C235" s="13">
        <v>444</v>
      </c>
      <c r="D235" s="13" t="s">
        <v>280</v>
      </c>
      <c r="E235" s="13" t="s">
        <v>958</v>
      </c>
      <c r="F235" s="37">
        <v>59216</v>
      </c>
      <c r="G235" s="29" t="s">
        <v>2806</v>
      </c>
      <c r="H235" s="14">
        <v>43557</v>
      </c>
      <c r="I235" s="4" t="s">
        <v>6524</v>
      </c>
      <c r="J235" s="133"/>
      <c r="K235" s="22"/>
      <c r="L235" s="134"/>
    </row>
    <row r="236" spans="1:12" s="97" customFormat="1" hidden="1" x14ac:dyDescent="0.25">
      <c r="A236" s="61" t="s">
        <v>310</v>
      </c>
      <c r="B236" s="14">
        <v>43599</v>
      </c>
      <c r="C236" s="13">
        <v>444</v>
      </c>
      <c r="D236" s="13" t="s">
        <v>280</v>
      </c>
      <c r="E236" s="13" t="s">
        <v>958</v>
      </c>
      <c r="F236" s="37">
        <v>43235</v>
      </c>
      <c r="G236" s="29" t="s">
        <v>68</v>
      </c>
      <c r="H236" s="14">
        <v>43557</v>
      </c>
      <c r="I236" s="4" t="s">
        <v>6521</v>
      </c>
      <c r="J236" s="133"/>
      <c r="K236" s="22"/>
      <c r="L236" s="134"/>
    </row>
    <row r="237" spans="1:12" s="97" customFormat="1" hidden="1" x14ac:dyDescent="0.25">
      <c r="A237" s="61" t="s">
        <v>310</v>
      </c>
      <c r="B237" s="14">
        <v>43599</v>
      </c>
      <c r="C237" s="13">
        <v>444</v>
      </c>
      <c r="D237" s="13" t="s">
        <v>280</v>
      </c>
      <c r="E237" s="13" t="s">
        <v>958</v>
      </c>
      <c r="F237" s="37">
        <v>6665</v>
      </c>
      <c r="G237" s="29" t="s">
        <v>318</v>
      </c>
      <c r="H237" s="14">
        <v>43566</v>
      </c>
      <c r="I237" s="4" t="s">
        <v>6846</v>
      </c>
      <c r="J237" s="133"/>
      <c r="K237" s="22"/>
      <c r="L237" s="134"/>
    </row>
    <row r="238" spans="1:12" s="97" customFormat="1" hidden="1" x14ac:dyDescent="0.25">
      <c r="A238" s="61" t="s">
        <v>311</v>
      </c>
      <c r="B238" s="14">
        <v>43599</v>
      </c>
      <c r="C238" s="13">
        <v>433</v>
      </c>
      <c r="D238" s="13" t="s">
        <v>304</v>
      </c>
      <c r="E238" s="13" t="s">
        <v>958</v>
      </c>
      <c r="F238" s="4">
        <v>21088</v>
      </c>
      <c r="G238" s="28" t="s">
        <v>6516</v>
      </c>
      <c r="H238" s="14">
        <v>43559</v>
      </c>
      <c r="I238" s="4" t="s">
        <v>6517</v>
      </c>
      <c r="J238" s="133"/>
      <c r="K238" s="22"/>
      <c r="L238" s="134"/>
    </row>
    <row r="239" spans="1:12" s="97" customFormat="1" hidden="1" x14ac:dyDescent="0.25">
      <c r="A239" s="61" t="s">
        <v>455</v>
      </c>
      <c r="B239" s="14">
        <v>43599</v>
      </c>
      <c r="C239" s="13">
        <v>445</v>
      </c>
      <c r="D239" s="13" t="s">
        <v>6177</v>
      </c>
      <c r="E239" s="13" t="s">
        <v>958</v>
      </c>
      <c r="F239" s="4">
        <v>110789</v>
      </c>
      <c r="G239" s="29" t="s">
        <v>6178</v>
      </c>
      <c r="H239" s="14">
        <v>43550</v>
      </c>
      <c r="I239" s="4" t="s">
        <v>5049</v>
      </c>
      <c r="J239" s="133"/>
      <c r="K239" s="22"/>
      <c r="L239" s="134"/>
    </row>
    <row r="240" spans="1:12" s="97" customFormat="1" hidden="1" x14ac:dyDescent="0.25">
      <c r="A240" s="61" t="s">
        <v>310</v>
      </c>
      <c r="B240" s="14">
        <v>43599</v>
      </c>
      <c r="C240" s="13">
        <v>445</v>
      </c>
      <c r="D240" s="13" t="s">
        <v>6514</v>
      </c>
      <c r="E240" s="13" t="s">
        <v>958</v>
      </c>
      <c r="F240" s="4">
        <v>33844</v>
      </c>
      <c r="G240" s="28" t="s">
        <v>5465</v>
      </c>
      <c r="H240" s="14">
        <v>43558</v>
      </c>
      <c r="I240" s="4" t="s">
        <v>2070</v>
      </c>
      <c r="J240" s="133"/>
      <c r="K240" s="22"/>
      <c r="L240" s="134"/>
    </row>
    <row r="241" spans="1:12" s="97" customFormat="1" hidden="1" x14ac:dyDescent="0.25">
      <c r="A241" s="32" t="s">
        <v>310</v>
      </c>
      <c r="B241" s="14">
        <v>43599</v>
      </c>
      <c r="C241" s="13">
        <v>446</v>
      </c>
      <c r="D241" s="13" t="s">
        <v>203</v>
      </c>
      <c r="E241" s="13" t="s">
        <v>958</v>
      </c>
      <c r="F241" s="37">
        <v>13100</v>
      </c>
      <c r="G241" s="29" t="s">
        <v>1009</v>
      </c>
      <c r="H241" s="14">
        <v>43565</v>
      </c>
      <c r="I241" s="4" t="s">
        <v>6825</v>
      </c>
      <c r="J241" s="133"/>
      <c r="K241" s="22"/>
      <c r="L241" s="134"/>
    </row>
    <row r="242" spans="1:12" s="97" customFormat="1" hidden="1" x14ac:dyDescent="0.25">
      <c r="A242" s="61" t="s">
        <v>310</v>
      </c>
      <c r="B242" s="14">
        <v>43599</v>
      </c>
      <c r="C242" s="13">
        <v>447</v>
      </c>
      <c r="D242" s="13" t="s">
        <v>1491</v>
      </c>
      <c r="E242" s="13" t="s">
        <v>958</v>
      </c>
      <c r="F242" s="37">
        <f>1274425.7-720443.6</f>
        <v>553982.1</v>
      </c>
      <c r="G242" s="29" t="s">
        <v>6498</v>
      </c>
      <c r="H242" s="14">
        <v>43552</v>
      </c>
      <c r="I242" s="4" t="s">
        <v>555</v>
      </c>
      <c r="J242" s="133"/>
      <c r="K242" s="22"/>
      <c r="L242" s="134"/>
    </row>
    <row r="243" spans="1:12" s="97" customFormat="1" hidden="1" x14ac:dyDescent="0.25">
      <c r="A243" s="61" t="s">
        <v>310</v>
      </c>
      <c r="B243" s="14">
        <v>43599</v>
      </c>
      <c r="C243" s="13">
        <v>451</v>
      </c>
      <c r="D243" s="13" t="s">
        <v>244</v>
      </c>
      <c r="E243" s="13" t="s">
        <v>958</v>
      </c>
      <c r="F243" s="4">
        <v>260991.12</v>
      </c>
      <c r="G243" s="29" t="s">
        <v>6100</v>
      </c>
      <c r="H243" s="14">
        <v>43557</v>
      </c>
      <c r="I243" s="4" t="s">
        <v>3433</v>
      </c>
      <c r="J243" s="133"/>
      <c r="K243" s="22"/>
      <c r="L243" s="134"/>
    </row>
    <row r="244" spans="1:12" s="97" customFormat="1" hidden="1" x14ac:dyDescent="0.25">
      <c r="A244" s="61" t="s">
        <v>310</v>
      </c>
      <c r="B244" s="14">
        <v>43599</v>
      </c>
      <c r="C244" s="13">
        <v>451</v>
      </c>
      <c r="D244" s="13" t="s">
        <v>244</v>
      </c>
      <c r="E244" s="13" t="s">
        <v>958</v>
      </c>
      <c r="F244" s="4">
        <v>68628.070000000007</v>
      </c>
      <c r="G244" s="28" t="s">
        <v>901</v>
      </c>
      <c r="H244" s="14">
        <v>43578</v>
      </c>
      <c r="I244" s="4" t="s">
        <v>3433</v>
      </c>
      <c r="J244" s="133"/>
      <c r="K244" s="22"/>
      <c r="L244" s="134"/>
    </row>
    <row r="245" spans="1:12" s="97" customFormat="1" hidden="1" x14ac:dyDescent="0.25">
      <c r="A245" s="61" t="s">
        <v>311</v>
      </c>
      <c r="B245" s="14">
        <v>43599</v>
      </c>
      <c r="C245" s="13">
        <v>434</v>
      </c>
      <c r="D245" s="13" t="s">
        <v>666</v>
      </c>
      <c r="E245" s="13" t="s">
        <v>958</v>
      </c>
      <c r="F245" s="4">
        <v>38000</v>
      </c>
      <c r="G245" s="28" t="s">
        <v>3245</v>
      </c>
      <c r="H245" s="14">
        <v>43552</v>
      </c>
      <c r="I245" s="4" t="s">
        <v>6156</v>
      </c>
      <c r="J245" s="133"/>
      <c r="K245" s="22"/>
      <c r="L245" s="134"/>
    </row>
    <row r="246" spans="1:12" s="97" customFormat="1" hidden="1" x14ac:dyDescent="0.25">
      <c r="A246" s="61" t="s">
        <v>310</v>
      </c>
      <c r="B246" s="14">
        <v>43599</v>
      </c>
      <c r="C246" s="13">
        <v>448</v>
      </c>
      <c r="D246" s="13" t="s">
        <v>516</v>
      </c>
      <c r="E246" s="13" t="s">
        <v>958</v>
      </c>
      <c r="F246" s="4">
        <v>47363.46</v>
      </c>
      <c r="G246" s="29" t="s">
        <v>3926</v>
      </c>
      <c r="H246" s="14">
        <v>43551</v>
      </c>
      <c r="I246" s="4" t="s">
        <v>6152</v>
      </c>
      <c r="J246" s="133"/>
      <c r="K246" s="22"/>
      <c r="L246" s="134"/>
    </row>
    <row r="247" spans="1:12" hidden="1" x14ac:dyDescent="0.25">
      <c r="A247" s="61" t="s">
        <v>455</v>
      </c>
      <c r="B247" s="14">
        <v>43599</v>
      </c>
      <c r="C247" s="13">
        <v>453</v>
      </c>
      <c r="D247" s="13" t="s">
        <v>5344</v>
      </c>
      <c r="E247" s="13" t="s">
        <v>958</v>
      </c>
      <c r="F247" s="37">
        <f>99784.66-50000</f>
        <v>49784.66</v>
      </c>
      <c r="G247" s="29" t="s">
        <v>3209</v>
      </c>
      <c r="H247" s="14">
        <v>43510</v>
      </c>
      <c r="I247" s="4" t="s">
        <v>4088</v>
      </c>
    </row>
    <row r="248" spans="1:12" hidden="1" x14ac:dyDescent="0.25">
      <c r="A248" s="61" t="s">
        <v>455</v>
      </c>
      <c r="B248" s="14">
        <v>43599</v>
      </c>
      <c r="C248" s="13">
        <v>449</v>
      </c>
      <c r="D248" s="13" t="s">
        <v>282</v>
      </c>
      <c r="E248" s="13" t="s">
        <v>958</v>
      </c>
      <c r="F248" s="37">
        <v>29315</v>
      </c>
      <c r="G248" s="29" t="s">
        <v>6076</v>
      </c>
      <c r="H248" s="14">
        <v>43555</v>
      </c>
      <c r="I248" s="4" t="s">
        <v>283</v>
      </c>
    </row>
    <row r="249" spans="1:12" hidden="1" x14ac:dyDescent="0.25">
      <c r="A249" s="61" t="s">
        <v>310</v>
      </c>
      <c r="B249" s="14">
        <v>43599</v>
      </c>
      <c r="C249" s="13">
        <v>452</v>
      </c>
      <c r="D249" s="13" t="s">
        <v>250</v>
      </c>
      <c r="E249" s="13" t="s">
        <v>958</v>
      </c>
      <c r="F249" s="4">
        <v>13750</v>
      </c>
      <c r="G249" s="28" t="s">
        <v>6440</v>
      </c>
      <c r="H249" s="14">
        <v>43546</v>
      </c>
      <c r="I249" s="4" t="s">
        <v>337</v>
      </c>
    </row>
    <row r="250" spans="1:12" hidden="1" x14ac:dyDescent="0.25">
      <c r="A250" s="61" t="s">
        <v>310</v>
      </c>
      <c r="B250" s="14">
        <v>43599</v>
      </c>
      <c r="C250" s="13">
        <v>452</v>
      </c>
      <c r="D250" s="13" t="s">
        <v>250</v>
      </c>
      <c r="E250" s="13" t="s">
        <v>958</v>
      </c>
      <c r="F250" s="37">
        <v>57750</v>
      </c>
      <c r="G250" s="29" t="s">
        <v>6091</v>
      </c>
      <c r="H250" s="14">
        <v>43546</v>
      </c>
      <c r="I250" s="4" t="s">
        <v>337</v>
      </c>
    </row>
    <row r="251" spans="1:12" hidden="1" x14ac:dyDescent="0.25">
      <c r="A251" s="61" t="s">
        <v>310</v>
      </c>
      <c r="B251" s="14">
        <v>43599</v>
      </c>
      <c r="C251" s="13">
        <v>450</v>
      </c>
      <c r="D251" s="13" t="s">
        <v>29</v>
      </c>
      <c r="E251" s="13" t="s">
        <v>958</v>
      </c>
      <c r="F251" s="37">
        <v>29450</v>
      </c>
      <c r="G251" s="29" t="s">
        <v>1379</v>
      </c>
      <c r="H251" s="14">
        <v>43538</v>
      </c>
      <c r="I251" s="4" t="s">
        <v>419</v>
      </c>
    </row>
    <row r="252" spans="1:12" hidden="1" x14ac:dyDescent="0.25">
      <c r="A252" s="61" t="s">
        <v>455</v>
      </c>
      <c r="B252" s="14">
        <v>43599</v>
      </c>
      <c r="C252" s="13">
        <v>450</v>
      </c>
      <c r="D252" s="13" t="s">
        <v>29</v>
      </c>
      <c r="E252" s="13" t="s">
        <v>958</v>
      </c>
      <c r="F252" s="37">
        <v>19950</v>
      </c>
      <c r="G252" s="29" t="s">
        <v>6100</v>
      </c>
      <c r="H252" s="14">
        <v>43544</v>
      </c>
      <c r="I252" s="4" t="s">
        <v>87</v>
      </c>
    </row>
    <row r="253" spans="1:12" hidden="1" x14ac:dyDescent="0.25">
      <c r="A253" s="13" t="s">
        <v>151</v>
      </c>
      <c r="B253" s="14">
        <v>43599</v>
      </c>
      <c r="C253" s="13">
        <v>131</v>
      </c>
      <c r="D253" s="13" t="s">
        <v>7292</v>
      </c>
      <c r="E253" s="13" t="s">
        <v>22</v>
      </c>
      <c r="F253" s="37">
        <v>1800</v>
      </c>
      <c r="G253" s="29" t="s">
        <v>7577</v>
      </c>
      <c r="H253" s="14">
        <v>43592</v>
      </c>
      <c r="I253" s="4" t="s">
        <v>7578</v>
      </c>
      <c r="J253" s="35"/>
    </row>
    <row r="254" spans="1:12" ht="13.95" hidden="1" customHeight="1" x14ac:dyDescent="0.25">
      <c r="A254" s="61" t="s">
        <v>659</v>
      </c>
      <c r="B254" s="14">
        <v>43599</v>
      </c>
      <c r="C254" s="13">
        <v>235</v>
      </c>
      <c r="D254" s="32" t="s">
        <v>6303</v>
      </c>
      <c r="E254" s="32" t="s">
        <v>1336</v>
      </c>
      <c r="F254" s="4">
        <v>6472391.9699999997</v>
      </c>
      <c r="G254" s="29" t="s">
        <v>6304</v>
      </c>
      <c r="H254" s="14">
        <v>43124</v>
      </c>
      <c r="I254" s="41" t="s">
        <v>6305</v>
      </c>
      <c r="J254" s="21"/>
      <c r="K254" s="228"/>
    </row>
    <row r="255" spans="1:12" hidden="1" x14ac:dyDescent="0.25">
      <c r="A255" s="13" t="s">
        <v>2953</v>
      </c>
      <c r="B255" s="14">
        <v>43600</v>
      </c>
      <c r="C255" s="13">
        <v>9</v>
      </c>
      <c r="D255" s="13" t="s">
        <v>7554</v>
      </c>
      <c r="E255" s="32" t="s">
        <v>2954</v>
      </c>
      <c r="F255" s="4">
        <v>400000</v>
      </c>
      <c r="G255" s="29" t="s">
        <v>7414</v>
      </c>
      <c r="H255" s="14">
        <v>43598</v>
      </c>
      <c r="I255" s="4" t="s">
        <v>7271</v>
      </c>
      <c r="J255" s="21"/>
      <c r="K255" s="228"/>
    </row>
    <row r="256" spans="1:12" ht="15" hidden="1" customHeight="1" x14ac:dyDescent="0.25">
      <c r="A256" s="32" t="s">
        <v>1219</v>
      </c>
      <c r="B256" s="14">
        <v>43600</v>
      </c>
      <c r="C256" s="13">
        <v>24</v>
      </c>
      <c r="D256" s="32" t="s">
        <v>1220</v>
      </c>
      <c r="E256" s="32" t="s">
        <v>1221</v>
      </c>
      <c r="F256" s="4">
        <v>90000</v>
      </c>
      <c r="G256" s="28" t="s">
        <v>42</v>
      </c>
      <c r="H256" s="14">
        <v>43586</v>
      </c>
      <c r="I256" s="41" t="s">
        <v>1325</v>
      </c>
      <c r="J256" s="167" t="s">
        <v>1386</v>
      </c>
      <c r="K256" s="167"/>
      <c r="L256" s="35"/>
    </row>
    <row r="257" spans="1:12" ht="15" hidden="1" customHeight="1" x14ac:dyDescent="0.25">
      <c r="A257" s="32" t="s">
        <v>1219</v>
      </c>
      <c r="B257" s="14">
        <v>43600</v>
      </c>
      <c r="C257" s="13">
        <v>24</v>
      </c>
      <c r="D257" s="32" t="s">
        <v>1220</v>
      </c>
      <c r="E257" s="32" t="s">
        <v>1221</v>
      </c>
      <c r="F257" s="4">
        <v>14000</v>
      </c>
      <c r="G257" s="28" t="s">
        <v>5626</v>
      </c>
      <c r="H257" s="14" t="s">
        <v>7379</v>
      </c>
      <c r="I257" s="41" t="s">
        <v>1950</v>
      </c>
      <c r="J257" s="167" t="s">
        <v>771</v>
      </c>
      <c r="K257" s="167"/>
      <c r="L257" s="35"/>
    </row>
    <row r="258" spans="1:12" hidden="1" x14ac:dyDescent="0.25">
      <c r="A258" s="32" t="s">
        <v>151</v>
      </c>
      <c r="B258" s="14">
        <v>43600</v>
      </c>
      <c r="C258" s="13">
        <v>132</v>
      </c>
      <c r="D258" s="13" t="s">
        <v>223</v>
      </c>
      <c r="E258" s="32" t="s">
        <v>22</v>
      </c>
      <c r="F258" s="4">
        <v>21760</v>
      </c>
      <c r="G258" s="28" t="s">
        <v>4091</v>
      </c>
      <c r="H258" s="14">
        <v>43556</v>
      </c>
      <c r="I258" s="4" t="s">
        <v>3072</v>
      </c>
      <c r="J258" s="76"/>
      <c r="K258" s="246"/>
    </row>
    <row r="259" spans="1:12" hidden="1" x14ac:dyDescent="0.25">
      <c r="A259" s="32" t="s">
        <v>151</v>
      </c>
      <c r="B259" s="14">
        <v>43600</v>
      </c>
      <c r="C259" s="13">
        <v>132</v>
      </c>
      <c r="D259" s="13" t="s">
        <v>223</v>
      </c>
      <c r="E259" s="32" t="s">
        <v>22</v>
      </c>
      <c r="F259" s="4">
        <v>24600</v>
      </c>
      <c r="G259" s="28" t="s">
        <v>3852</v>
      </c>
      <c r="H259" s="14">
        <v>43563</v>
      </c>
      <c r="I259" s="4" t="s">
        <v>3072</v>
      </c>
      <c r="J259" s="76"/>
      <c r="K259" s="246"/>
    </row>
    <row r="260" spans="1:12" ht="13.95" hidden="1" customHeight="1" x14ac:dyDescent="0.25">
      <c r="A260" s="61" t="s">
        <v>358</v>
      </c>
      <c r="B260" s="151">
        <v>43600</v>
      </c>
      <c r="C260" s="13">
        <v>791</v>
      </c>
      <c r="D260" s="32" t="s">
        <v>412</v>
      </c>
      <c r="E260" s="32" t="s">
        <v>62</v>
      </c>
      <c r="F260" s="4">
        <v>173985</v>
      </c>
      <c r="G260" s="86" t="s">
        <v>587</v>
      </c>
      <c r="H260" s="211"/>
      <c r="I260" s="84" t="s">
        <v>552</v>
      </c>
      <c r="J260" s="21"/>
      <c r="K260" s="228"/>
    </row>
    <row r="261" spans="1:12" s="97" customFormat="1" hidden="1" x14ac:dyDescent="0.25">
      <c r="A261" s="61" t="s">
        <v>442</v>
      </c>
      <c r="B261" s="151">
        <v>43600</v>
      </c>
      <c r="C261" s="13">
        <v>792</v>
      </c>
      <c r="D261" s="13" t="s">
        <v>2697</v>
      </c>
      <c r="E261" s="13" t="s">
        <v>62</v>
      </c>
      <c r="F261" s="4">
        <f>354040-140000</f>
        <v>214040</v>
      </c>
      <c r="G261" s="28" t="s">
        <v>5961</v>
      </c>
      <c r="H261" s="14">
        <v>43544</v>
      </c>
      <c r="I261" s="4" t="s">
        <v>1244</v>
      </c>
      <c r="J261" s="133"/>
      <c r="K261" s="22"/>
      <c r="L261" s="134"/>
    </row>
    <row r="262" spans="1:12" s="97" customFormat="1" hidden="1" x14ac:dyDescent="0.25">
      <c r="A262" s="61" t="s">
        <v>442</v>
      </c>
      <c r="B262" s="151">
        <v>43600</v>
      </c>
      <c r="C262" s="13">
        <v>793</v>
      </c>
      <c r="D262" s="13" t="s">
        <v>2697</v>
      </c>
      <c r="E262" s="13" t="s">
        <v>62</v>
      </c>
      <c r="F262" s="4">
        <v>414540</v>
      </c>
      <c r="G262" s="29" t="s">
        <v>6802</v>
      </c>
      <c r="H262" s="14">
        <v>43556</v>
      </c>
      <c r="I262" s="4" t="s">
        <v>1244</v>
      </c>
      <c r="J262" s="133"/>
      <c r="K262" s="22"/>
      <c r="L262" s="134"/>
    </row>
    <row r="263" spans="1:12" s="97" customFormat="1" hidden="1" x14ac:dyDescent="0.25">
      <c r="A263" s="32" t="s">
        <v>91</v>
      </c>
      <c r="B263" s="151">
        <v>43600</v>
      </c>
      <c r="C263" s="13">
        <v>794</v>
      </c>
      <c r="D263" s="13" t="s">
        <v>157</v>
      </c>
      <c r="E263" s="13" t="s">
        <v>62</v>
      </c>
      <c r="F263" s="4">
        <v>286130.40000000002</v>
      </c>
      <c r="G263" s="28" t="s">
        <v>4895</v>
      </c>
      <c r="H263" s="14">
        <v>43525</v>
      </c>
      <c r="I263" s="4" t="s">
        <v>305</v>
      </c>
      <c r="J263" s="133"/>
      <c r="K263" s="22"/>
      <c r="L263" s="134"/>
    </row>
    <row r="264" spans="1:12" s="97" customFormat="1" hidden="1" x14ac:dyDescent="0.25">
      <c r="A264" s="32" t="s">
        <v>442</v>
      </c>
      <c r="B264" s="151">
        <v>43600</v>
      </c>
      <c r="C264" s="13">
        <v>795</v>
      </c>
      <c r="D264" s="13" t="s">
        <v>157</v>
      </c>
      <c r="E264" s="13" t="s">
        <v>62</v>
      </c>
      <c r="F264" s="4">
        <v>103431.4</v>
      </c>
      <c r="G264" s="29" t="s">
        <v>4898</v>
      </c>
      <c r="H264" s="14">
        <v>43530</v>
      </c>
      <c r="I264" s="4" t="s">
        <v>305</v>
      </c>
      <c r="J264" s="133"/>
      <c r="K264" s="22"/>
      <c r="L264" s="134"/>
    </row>
    <row r="265" spans="1:12" s="97" customFormat="1" hidden="1" x14ac:dyDescent="0.25">
      <c r="A265" s="61" t="s">
        <v>358</v>
      </c>
      <c r="B265" s="151">
        <v>43600</v>
      </c>
      <c r="C265" s="13">
        <v>796</v>
      </c>
      <c r="D265" s="218" t="s">
        <v>7559</v>
      </c>
      <c r="E265" s="13" t="s">
        <v>62</v>
      </c>
      <c r="F265" s="224">
        <v>22000</v>
      </c>
      <c r="G265" s="28" t="s">
        <v>462</v>
      </c>
      <c r="H265" s="14">
        <v>43559</v>
      </c>
      <c r="I265" s="32" t="s">
        <v>226</v>
      </c>
      <c r="J265" s="133"/>
      <c r="K265" s="22"/>
      <c r="L265" s="134"/>
    </row>
    <row r="266" spans="1:12" s="97" customFormat="1" hidden="1" x14ac:dyDescent="0.25">
      <c r="A266" s="61" t="s">
        <v>442</v>
      </c>
      <c r="B266" s="151">
        <v>43600</v>
      </c>
      <c r="C266" s="13">
        <v>796</v>
      </c>
      <c r="D266" s="218" t="s">
        <v>7559</v>
      </c>
      <c r="E266" s="13" t="s">
        <v>62</v>
      </c>
      <c r="F266" s="224">
        <v>124000</v>
      </c>
      <c r="G266" s="28" t="s">
        <v>67</v>
      </c>
      <c r="H266" s="14">
        <v>43564</v>
      </c>
      <c r="I266" s="32" t="s">
        <v>7560</v>
      </c>
      <c r="J266" s="133"/>
      <c r="K266" s="22"/>
      <c r="L266" s="134"/>
    </row>
    <row r="267" spans="1:12" s="97" customFormat="1" hidden="1" x14ac:dyDescent="0.25">
      <c r="A267" s="61" t="s">
        <v>92</v>
      </c>
      <c r="B267" s="151">
        <v>43600</v>
      </c>
      <c r="C267" s="13">
        <v>797</v>
      </c>
      <c r="D267" s="218" t="s">
        <v>6865</v>
      </c>
      <c r="E267" s="13" t="s">
        <v>62</v>
      </c>
      <c r="F267" s="224">
        <v>475000</v>
      </c>
      <c r="G267" s="28" t="s">
        <v>4096</v>
      </c>
      <c r="H267" s="14">
        <v>43567</v>
      </c>
      <c r="I267" s="32" t="s">
        <v>6866</v>
      </c>
      <c r="J267" s="133"/>
      <c r="K267" s="22"/>
      <c r="L267" s="134"/>
    </row>
    <row r="268" spans="1:12" s="97" customFormat="1" hidden="1" x14ac:dyDescent="0.25">
      <c r="A268" s="61" t="s">
        <v>442</v>
      </c>
      <c r="B268" s="151">
        <v>43600</v>
      </c>
      <c r="C268" s="13">
        <v>798</v>
      </c>
      <c r="D268" s="13" t="s">
        <v>869</v>
      </c>
      <c r="E268" s="13" t="s">
        <v>62</v>
      </c>
      <c r="F268" s="4">
        <f>202034.08-100000</f>
        <v>102034.07999999999</v>
      </c>
      <c r="G268" s="29" t="s">
        <v>6208</v>
      </c>
      <c r="H268" s="14">
        <v>43552</v>
      </c>
      <c r="I268" s="4" t="s">
        <v>6209</v>
      </c>
      <c r="J268" s="133"/>
      <c r="K268" s="22"/>
      <c r="L268" s="134"/>
    </row>
    <row r="269" spans="1:12" s="97" customFormat="1" hidden="1" x14ac:dyDescent="0.25">
      <c r="A269" s="32" t="s">
        <v>92</v>
      </c>
      <c r="B269" s="151">
        <v>43600</v>
      </c>
      <c r="C269" s="13">
        <v>798</v>
      </c>
      <c r="D269" s="13" t="s">
        <v>869</v>
      </c>
      <c r="E269" s="13" t="s">
        <v>62</v>
      </c>
      <c r="F269" s="4">
        <v>48298.91</v>
      </c>
      <c r="G269" s="28" t="s">
        <v>6215</v>
      </c>
      <c r="H269" s="14">
        <v>43558</v>
      </c>
      <c r="I269" s="4" t="s">
        <v>6216</v>
      </c>
      <c r="J269" s="133"/>
      <c r="K269" s="22"/>
      <c r="L269" s="134"/>
    </row>
    <row r="270" spans="1:12" s="97" customFormat="1" hidden="1" x14ac:dyDescent="0.25">
      <c r="A270" s="13" t="s">
        <v>442</v>
      </c>
      <c r="B270" s="151">
        <v>43600</v>
      </c>
      <c r="C270" s="13">
        <v>798</v>
      </c>
      <c r="D270" s="13" t="s">
        <v>869</v>
      </c>
      <c r="E270" s="13" t="s">
        <v>62</v>
      </c>
      <c r="F270" s="4">
        <v>93419.41</v>
      </c>
      <c r="G270" s="28" t="s">
        <v>6535</v>
      </c>
      <c r="H270" s="14">
        <v>43563</v>
      </c>
      <c r="I270" s="4" t="s">
        <v>572</v>
      </c>
      <c r="J270" s="133"/>
      <c r="K270" s="22"/>
      <c r="L270" s="134"/>
    </row>
    <row r="271" spans="1:12" s="97" customFormat="1" hidden="1" x14ac:dyDescent="0.25">
      <c r="A271" s="61" t="s">
        <v>103</v>
      </c>
      <c r="B271" s="151">
        <v>43600</v>
      </c>
      <c r="C271" s="13">
        <v>799</v>
      </c>
      <c r="D271" s="13" t="s">
        <v>1032</v>
      </c>
      <c r="E271" s="13" t="s">
        <v>62</v>
      </c>
      <c r="F271" s="4">
        <f>140600-100000</f>
        <v>40600</v>
      </c>
      <c r="G271" s="29" t="s">
        <v>5705</v>
      </c>
      <c r="H271" s="14">
        <v>43539</v>
      </c>
      <c r="I271" s="4" t="s">
        <v>142</v>
      </c>
      <c r="J271" s="133"/>
      <c r="K271" s="22"/>
      <c r="L271" s="134"/>
    </row>
    <row r="272" spans="1:12" s="97" customFormat="1" hidden="1" x14ac:dyDescent="0.25">
      <c r="A272" s="61" t="s">
        <v>91</v>
      </c>
      <c r="B272" s="151">
        <v>43600</v>
      </c>
      <c r="C272" s="13">
        <v>800</v>
      </c>
      <c r="D272" s="13" t="s">
        <v>1065</v>
      </c>
      <c r="E272" s="13" t="s">
        <v>62</v>
      </c>
      <c r="F272" s="37">
        <v>32652.720000000001</v>
      </c>
      <c r="G272" s="29" t="s">
        <v>1384</v>
      </c>
      <c r="H272" s="14">
        <v>43558</v>
      </c>
      <c r="I272" s="4" t="s">
        <v>6530</v>
      </c>
      <c r="J272" s="133"/>
      <c r="K272" s="22"/>
      <c r="L272" s="134"/>
    </row>
    <row r="273" spans="1:12" s="97" customFormat="1" hidden="1" x14ac:dyDescent="0.25">
      <c r="A273" s="61" t="s">
        <v>91</v>
      </c>
      <c r="B273" s="151">
        <v>43600</v>
      </c>
      <c r="C273" s="13">
        <v>801</v>
      </c>
      <c r="D273" s="13" t="s">
        <v>868</v>
      </c>
      <c r="E273" s="13" t="s">
        <v>62</v>
      </c>
      <c r="F273" s="4">
        <v>28877.17</v>
      </c>
      <c r="G273" s="29" t="s">
        <v>6199</v>
      </c>
      <c r="H273" s="14">
        <v>43552</v>
      </c>
      <c r="I273" s="4" t="s">
        <v>3232</v>
      </c>
      <c r="J273" s="133"/>
      <c r="K273" s="22"/>
      <c r="L273" s="134"/>
    </row>
    <row r="274" spans="1:12" s="97" customFormat="1" hidden="1" x14ac:dyDescent="0.25">
      <c r="A274" s="61" t="s">
        <v>442</v>
      </c>
      <c r="B274" s="151">
        <v>43600</v>
      </c>
      <c r="C274" s="13">
        <v>801</v>
      </c>
      <c r="D274" s="13" t="s">
        <v>868</v>
      </c>
      <c r="E274" s="13" t="s">
        <v>62</v>
      </c>
      <c r="F274" s="37">
        <v>6006.5</v>
      </c>
      <c r="G274" s="29" t="s">
        <v>6527</v>
      </c>
      <c r="H274" s="14">
        <v>43563</v>
      </c>
      <c r="I274" s="4" t="s">
        <v>6528</v>
      </c>
      <c r="J274" s="133"/>
      <c r="K274" s="22"/>
      <c r="L274" s="134"/>
    </row>
    <row r="275" spans="1:12" s="97" customFormat="1" hidden="1" x14ac:dyDescent="0.25">
      <c r="A275" s="61" t="s">
        <v>442</v>
      </c>
      <c r="B275" s="151">
        <v>43600</v>
      </c>
      <c r="C275" s="13">
        <v>802</v>
      </c>
      <c r="D275" s="13" t="s">
        <v>280</v>
      </c>
      <c r="E275" s="13" t="s">
        <v>62</v>
      </c>
      <c r="F275" s="4">
        <v>84500</v>
      </c>
      <c r="G275" s="28" t="s">
        <v>359</v>
      </c>
      <c r="H275" s="14">
        <v>43552</v>
      </c>
      <c r="I275" s="4" t="s">
        <v>5945</v>
      </c>
      <c r="J275" s="133"/>
      <c r="K275" s="22"/>
      <c r="L275" s="134"/>
    </row>
    <row r="276" spans="1:12" s="97" customFormat="1" hidden="1" x14ac:dyDescent="0.25">
      <c r="A276" s="61" t="s">
        <v>92</v>
      </c>
      <c r="B276" s="151">
        <v>43600</v>
      </c>
      <c r="C276" s="13">
        <v>802</v>
      </c>
      <c r="D276" s="13" t="s">
        <v>280</v>
      </c>
      <c r="E276" s="13" t="s">
        <v>62</v>
      </c>
      <c r="F276" s="37">
        <v>73878</v>
      </c>
      <c r="G276" s="29" t="s">
        <v>1428</v>
      </c>
      <c r="H276" s="14">
        <v>43557</v>
      </c>
      <c r="I276" s="4" t="s">
        <v>6522</v>
      </c>
      <c r="J276" s="133"/>
      <c r="K276" s="22"/>
      <c r="L276" s="134"/>
    </row>
    <row r="277" spans="1:12" s="97" customFormat="1" hidden="1" x14ac:dyDescent="0.25">
      <c r="A277" s="32" t="s">
        <v>358</v>
      </c>
      <c r="B277" s="151">
        <v>43600</v>
      </c>
      <c r="C277" s="13">
        <v>802</v>
      </c>
      <c r="D277" s="13" t="s">
        <v>280</v>
      </c>
      <c r="E277" s="32" t="s">
        <v>62</v>
      </c>
      <c r="F277" s="4">
        <v>29795</v>
      </c>
      <c r="G277" s="29" t="s">
        <v>3280</v>
      </c>
      <c r="H277" s="14">
        <v>43559</v>
      </c>
      <c r="I277" s="32" t="s">
        <v>6525</v>
      </c>
      <c r="J277" s="133"/>
      <c r="K277" s="22"/>
      <c r="L277" s="134"/>
    </row>
    <row r="278" spans="1:12" s="97" customFormat="1" hidden="1" x14ac:dyDescent="0.25">
      <c r="A278" s="68" t="s">
        <v>442</v>
      </c>
      <c r="B278" s="151">
        <v>43600</v>
      </c>
      <c r="C278" s="13">
        <v>802</v>
      </c>
      <c r="D278" s="13" t="s">
        <v>280</v>
      </c>
      <c r="E278" s="13" t="s">
        <v>62</v>
      </c>
      <c r="F278" s="4">
        <v>5600</v>
      </c>
      <c r="G278" s="28" t="s">
        <v>3317</v>
      </c>
      <c r="H278" s="14">
        <v>43563</v>
      </c>
      <c r="I278" s="4" t="s">
        <v>6526</v>
      </c>
      <c r="J278" s="133"/>
      <c r="K278" s="22"/>
      <c r="L278" s="134"/>
    </row>
    <row r="279" spans="1:12" s="97" customFormat="1" hidden="1" x14ac:dyDescent="0.25">
      <c r="A279" s="61" t="s">
        <v>358</v>
      </c>
      <c r="B279" s="151">
        <v>43600</v>
      </c>
      <c r="C279" s="13">
        <v>802</v>
      </c>
      <c r="D279" s="13" t="s">
        <v>280</v>
      </c>
      <c r="E279" s="13" t="s">
        <v>62</v>
      </c>
      <c r="F279" s="37">
        <v>6836</v>
      </c>
      <c r="G279" s="29" t="s">
        <v>1128</v>
      </c>
      <c r="H279" s="14">
        <v>43565</v>
      </c>
      <c r="I279" s="4" t="s">
        <v>6849</v>
      </c>
      <c r="J279" s="133"/>
      <c r="K279" s="22"/>
      <c r="L279" s="134"/>
    </row>
    <row r="280" spans="1:12" s="97" customFormat="1" hidden="1" x14ac:dyDescent="0.25">
      <c r="A280" s="61" t="s">
        <v>358</v>
      </c>
      <c r="B280" s="151">
        <v>43600</v>
      </c>
      <c r="C280" s="13">
        <v>803</v>
      </c>
      <c r="D280" s="13" t="s">
        <v>814</v>
      </c>
      <c r="E280" s="13" t="s">
        <v>62</v>
      </c>
      <c r="F280" s="37">
        <v>14900</v>
      </c>
      <c r="G280" s="29" t="s">
        <v>5141</v>
      </c>
      <c r="H280" s="14">
        <v>43559</v>
      </c>
      <c r="I280" s="4" t="s">
        <v>719</v>
      </c>
      <c r="J280" s="133"/>
      <c r="K280" s="22"/>
      <c r="L280" s="134"/>
    </row>
    <row r="281" spans="1:12" s="97" customFormat="1" hidden="1" x14ac:dyDescent="0.25">
      <c r="A281" s="61" t="s">
        <v>358</v>
      </c>
      <c r="B281" s="151">
        <v>43600</v>
      </c>
      <c r="C281" s="13">
        <v>803</v>
      </c>
      <c r="D281" s="13" t="s">
        <v>814</v>
      </c>
      <c r="E281" s="13" t="s">
        <v>62</v>
      </c>
      <c r="F281" s="37">
        <v>39249</v>
      </c>
      <c r="G281" s="29" t="s">
        <v>5142</v>
      </c>
      <c r="H281" s="14">
        <v>43559</v>
      </c>
      <c r="I281" s="4" t="s">
        <v>142</v>
      </c>
      <c r="J281" s="133"/>
      <c r="K281" s="22"/>
      <c r="L281" s="134"/>
    </row>
    <row r="282" spans="1:12" s="97" customFormat="1" hidden="1" x14ac:dyDescent="0.25">
      <c r="A282" s="61" t="s">
        <v>442</v>
      </c>
      <c r="B282" s="151">
        <v>43600</v>
      </c>
      <c r="C282" s="13">
        <v>803</v>
      </c>
      <c r="D282" s="13" t="s">
        <v>814</v>
      </c>
      <c r="E282" s="13" t="s">
        <v>62</v>
      </c>
      <c r="F282" s="37">
        <v>28100</v>
      </c>
      <c r="G282" s="29" t="s">
        <v>6519</v>
      </c>
      <c r="H282" s="14">
        <v>43563</v>
      </c>
      <c r="I282" s="4" t="s">
        <v>719</v>
      </c>
      <c r="J282" s="133"/>
      <c r="K282" s="22"/>
      <c r="L282" s="134"/>
    </row>
    <row r="283" spans="1:12" s="97" customFormat="1" hidden="1" x14ac:dyDescent="0.25">
      <c r="A283" s="61" t="s">
        <v>91</v>
      </c>
      <c r="B283" s="151">
        <v>43600</v>
      </c>
      <c r="C283" s="13">
        <v>804</v>
      </c>
      <c r="D283" s="13" t="s">
        <v>304</v>
      </c>
      <c r="E283" s="13" t="s">
        <v>62</v>
      </c>
      <c r="F283" s="4">
        <v>100445</v>
      </c>
      <c r="G283" s="29" t="s">
        <v>6182</v>
      </c>
      <c r="H283" s="14">
        <v>43552</v>
      </c>
      <c r="I283" s="4" t="s">
        <v>374</v>
      </c>
      <c r="J283" s="133"/>
      <c r="K283" s="22"/>
      <c r="L283" s="134"/>
    </row>
    <row r="284" spans="1:12" s="97" customFormat="1" hidden="1" x14ac:dyDescent="0.25">
      <c r="A284" s="61" t="s">
        <v>91</v>
      </c>
      <c r="B284" s="151">
        <v>43600</v>
      </c>
      <c r="C284" s="13">
        <v>804</v>
      </c>
      <c r="D284" s="13" t="s">
        <v>304</v>
      </c>
      <c r="E284" s="13" t="s">
        <v>62</v>
      </c>
      <c r="F284" s="37">
        <v>65240</v>
      </c>
      <c r="G284" s="29" t="s">
        <v>6840</v>
      </c>
      <c r="H284" s="14">
        <v>43558</v>
      </c>
      <c r="I284" s="4" t="s">
        <v>374</v>
      </c>
      <c r="J284" s="133"/>
      <c r="K284" s="22"/>
      <c r="L284" s="134"/>
    </row>
    <row r="285" spans="1:12" s="97" customFormat="1" hidden="1" x14ac:dyDescent="0.25">
      <c r="A285" s="61" t="s">
        <v>91</v>
      </c>
      <c r="B285" s="151">
        <v>43600</v>
      </c>
      <c r="C285" s="13">
        <v>804</v>
      </c>
      <c r="D285" s="13" t="s">
        <v>304</v>
      </c>
      <c r="E285" s="13" t="s">
        <v>62</v>
      </c>
      <c r="F285" s="37">
        <v>7945</v>
      </c>
      <c r="G285" s="29" t="s">
        <v>6841</v>
      </c>
      <c r="H285" s="14">
        <v>43566</v>
      </c>
      <c r="I285" s="4" t="s">
        <v>374</v>
      </c>
      <c r="J285" s="133"/>
      <c r="K285" s="22"/>
      <c r="L285" s="134"/>
    </row>
    <row r="286" spans="1:12" s="97" customFormat="1" hidden="1" x14ac:dyDescent="0.25">
      <c r="A286" s="61" t="s">
        <v>442</v>
      </c>
      <c r="B286" s="151">
        <v>43600</v>
      </c>
      <c r="C286" s="13">
        <v>804</v>
      </c>
      <c r="D286" s="13" t="s">
        <v>304</v>
      </c>
      <c r="E286" s="13" t="s">
        <v>62</v>
      </c>
      <c r="F286" s="37">
        <v>1450</v>
      </c>
      <c r="G286" s="29" t="s">
        <v>6842</v>
      </c>
      <c r="H286" s="14">
        <v>43570</v>
      </c>
      <c r="I286" s="4" t="s">
        <v>374</v>
      </c>
      <c r="J286" s="133"/>
      <c r="K286" s="22"/>
      <c r="L286" s="134"/>
    </row>
    <row r="287" spans="1:12" s="97" customFormat="1" hidden="1" x14ac:dyDescent="0.25">
      <c r="A287" s="13" t="s">
        <v>92</v>
      </c>
      <c r="B287" s="151">
        <v>43600</v>
      </c>
      <c r="C287" s="13">
        <v>805</v>
      </c>
      <c r="D287" s="13" t="s">
        <v>203</v>
      </c>
      <c r="E287" s="13" t="s">
        <v>62</v>
      </c>
      <c r="F287" s="37">
        <v>78400</v>
      </c>
      <c r="G287" s="29" t="s">
        <v>3416</v>
      </c>
      <c r="H287" s="14">
        <v>43559</v>
      </c>
      <c r="I287" s="4" t="s">
        <v>6508</v>
      </c>
      <c r="J287" s="133"/>
      <c r="K287" s="22"/>
      <c r="L287" s="134"/>
    </row>
    <row r="288" spans="1:12" s="97" customFormat="1" hidden="1" x14ac:dyDescent="0.25">
      <c r="A288" s="61" t="s">
        <v>358</v>
      </c>
      <c r="B288" s="151">
        <v>43600</v>
      </c>
      <c r="C288" s="13">
        <v>806</v>
      </c>
      <c r="D288" s="13" t="s">
        <v>157</v>
      </c>
      <c r="E288" s="13" t="s">
        <v>62</v>
      </c>
      <c r="F288" s="4">
        <v>119375.8</v>
      </c>
      <c r="G288" s="28" t="s">
        <v>6162</v>
      </c>
      <c r="H288" s="14">
        <v>43552</v>
      </c>
      <c r="I288" s="4" t="s">
        <v>6163</v>
      </c>
      <c r="J288" s="133"/>
      <c r="K288" s="22"/>
      <c r="L288" s="134"/>
    </row>
    <row r="289" spans="1:12" s="97" customFormat="1" hidden="1" x14ac:dyDescent="0.25">
      <c r="A289" s="61" t="s">
        <v>91</v>
      </c>
      <c r="B289" s="151">
        <v>43600</v>
      </c>
      <c r="C289" s="13">
        <v>806</v>
      </c>
      <c r="D289" s="13" t="s">
        <v>157</v>
      </c>
      <c r="E289" s="13" t="s">
        <v>62</v>
      </c>
      <c r="F289" s="4">
        <v>247201.72</v>
      </c>
      <c r="G289" s="28" t="s">
        <v>6164</v>
      </c>
      <c r="H289" s="14">
        <v>43552</v>
      </c>
      <c r="I289" s="4" t="s">
        <v>6165</v>
      </c>
      <c r="J289" s="133"/>
      <c r="K289" s="22"/>
      <c r="L289" s="134"/>
    </row>
    <row r="290" spans="1:12" s="97" customFormat="1" hidden="1" x14ac:dyDescent="0.25">
      <c r="A290" s="61" t="s">
        <v>358</v>
      </c>
      <c r="B290" s="151">
        <v>43600</v>
      </c>
      <c r="C290" s="13">
        <v>806</v>
      </c>
      <c r="D290" s="13" t="s">
        <v>157</v>
      </c>
      <c r="E290" s="13" t="s">
        <v>62</v>
      </c>
      <c r="F290" s="4">
        <v>89940</v>
      </c>
      <c r="G290" s="28" t="s">
        <v>6168</v>
      </c>
      <c r="H290" s="14">
        <v>43553</v>
      </c>
      <c r="I290" s="4" t="s">
        <v>395</v>
      </c>
      <c r="J290" s="133"/>
      <c r="K290" s="22"/>
      <c r="L290" s="134"/>
    </row>
    <row r="291" spans="1:12" s="97" customFormat="1" hidden="1" x14ac:dyDescent="0.25">
      <c r="A291" s="61" t="s">
        <v>91</v>
      </c>
      <c r="B291" s="151">
        <v>43600</v>
      </c>
      <c r="C291" s="13">
        <v>806</v>
      </c>
      <c r="D291" s="13" t="s">
        <v>157</v>
      </c>
      <c r="E291" s="13" t="s">
        <v>62</v>
      </c>
      <c r="F291" s="37">
        <v>250303</v>
      </c>
      <c r="G291" s="29" t="s">
        <v>6817</v>
      </c>
      <c r="H291" s="14">
        <v>43553</v>
      </c>
      <c r="I291" s="4" t="s">
        <v>966</v>
      </c>
      <c r="J291" s="133"/>
      <c r="K291" s="22"/>
      <c r="L291" s="134"/>
    </row>
    <row r="292" spans="1:12" s="97" customFormat="1" hidden="1" x14ac:dyDescent="0.25">
      <c r="A292" s="61" t="s">
        <v>91</v>
      </c>
      <c r="B292" s="151">
        <v>43600</v>
      </c>
      <c r="C292" s="13">
        <v>806</v>
      </c>
      <c r="D292" s="13" t="s">
        <v>157</v>
      </c>
      <c r="E292" s="13" t="s">
        <v>62</v>
      </c>
      <c r="F292" s="37">
        <v>58628.800000000003</v>
      </c>
      <c r="G292" s="29" t="s">
        <v>6503</v>
      </c>
      <c r="H292" s="14">
        <v>43559</v>
      </c>
      <c r="I292" s="4" t="s">
        <v>6504</v>
      </c>
      <c r="J292" s="133"/>
      <c r="K292" s="22"/>
      <c r="L292" s="134"/>
    </row>
    <row r="293" spans="1:12" s="97" customFormat="1" hidden="1" x14ac:dyDescent="0.25">
      <c r="A293" s="61" t="s">
        <v>442</v>
      </c>
      <c r="B293" s="151">
        <v>43600</v>
      </c>
      <c r="C293" s="13">
        <v>806</v>
      </c>
      <c r="D293" s="13" t="s">
        <v>157</v>
      </c>
      <c r="E293" s="13" t="s">
        <v>62</v>
      </c>
      <c r="F293" s="101">
        <v>62868.69</v>
      </c>
      <c r="G293" s="29" t="s">
        <v>6505</v>
      </c>
      <c r="H293" s="14">
        <v>43563</v>
      </c>
      <c r="I293" s="4" t="s">
        <v>6506</v>
      </c>
      <c r="J293" s="133"/>
      <c r="K293" s="22"/>
      <c r="L293" s="134"/>
    </row>
    <row r="294" spans="1:12" s="97" customFormat="1" hidden="1" x14ac:dyDescent="0.25">
      <c r="A294" s="61" t="s">
        <v>91</v>
      </c>
      <c r="B294" s="151">
        <v>43600</v>
      </c>
      <c r="C294" s="13">
        <v>806</v>
      </c>
      <c r="D294" s="13" t="s">
        <v>157</v>
      </c>
      <c r="E294" s="13" t="s">
        <v>62</v>
      </c>
      <c r="F294" s="37">
        <v>109335.48</v>
      </c>
      <c r="G294" s="29" t="s">
        <v>6818</v>
      </c>
      <c r="H294" s="14">
        <v>43566</v>
      </c>
      <c r="I294" s="4" t="s">
        <v>6819</v>
      </c>
      <c r="J294" s="133"/>
      <c r="K294" s="22"/>
      <c r="L294" s="134"/>
    </row>
    <row r="295" spans="1:12" s="97" customFormat="1" hidden="1" x14ac:dyDescent="0.25">
      <c r="A295" s="61" t="s">
        <v>91</v>
      </c>
      <c r="B295" s="151">
        <v>43600</v>
      </c>
      <c r="C295" s="13">
        <v>807</v>
      </c>
      <c r="D295" s="13" t="s">
        <v>70</v>
      </c>
      <c r="E295" s="13" t="s">
        <v>62</v>
      </c>
      <c r="F295" s="4">
        <v>7540</v>
      </c>
      <c r="G295" s="29" t="s">
        <v>4880</v>
      </c>
      <c r="H295" s="14">
        <v>43558</v>
      </c>
      <c r="I295" s="4" t="s">
        <v>793</v>
      </c>
      <c r="J295" s="133"/>
      <c r="K295" s="22"/>
      <c r="L295" s="134"/>
    </row>
    <row r="296" spans="1:12" s="97" customFormat="1" hidden="1" x14ac:dyDescent="0.25">
      <c r="A296" s="61" t="s">
        <v>92</v>
      </c>
      <c r="B296" s="151">
        <v>43600</v>
      </c>
      <c r="C296" s="13">
        <v>808</v>
      </c>
      <c r="D296" s="13" t="s">
        <v>244</v>
      </c>
      <c r="E296" s="13" t="s">
        <v>62</v>
      </c>
      <c r="F296" s="37">
        <v>400000</v>
      </c>
      <c r="G296" s="29" t="s">
        <v>898</v>
      </c>
      <c r="H296" s="14">
        <v>43570</v>
      </c>
      <c r="I296" s="4" t="s">
        <v>3433</v>
      </c>
      <c r="J296" s="133"/>
      <c r="K296" s="22"/>
      <c r="L296" s="134"/>
    </row>
    <row r="297" spans="1:12" s="97" customFormat="1" hidden="1" x14ac:dyDescent="0.25">
      <c r="A297" s="61" t="s">
        <v>442</v>
      </c>
      <c r="B297" s="151">
        <v>43600</v>
      </c>
      <c r="C297" s="13">
        <v>809</v>
      </c>
      <c r="D297" s="13" t="s">
        <v>666</v>
      </c>
      <c r="E297" s="13" t="s">
        <v>62</v>
      </c>
      <c r="F297" s="4">
        <v>49000</v>
      </c>
      <c r="G297" s="29" t="s">
        <v>6157</v>
      </c>
      <c r="H297" s="14">
        <v>43552</v>
      </c>
      <c r="I297" s="4" t="s">
        <v>6155</v>
      </c>
      <c r="J297" s="133"/>
      <c r="K297" s="22"/>
      <c r="L297" s="134"/>
    </row>
    <row r="298" spans="1:12" s="97" customFormat="1" hidden="1" x14ac:dyDescent="0.25">
      <c r="A298" s="61" t="s">
        <v>92</v>
      </c>
      <c r="B298" s="151">
        <v>43600</v>
      </c>
      <c r="C298" s="13">
        <v>810</v>
      </c>
      <c r="D298" s="13" t="s">
        <v>516</v>
      </c>
      <c r="E298" s="13" t="s">
        <v>62</v>
      </c>
      <c r="F298" s="4">
        <v>198640</v>
      </c>
      <c r="G298" s="29" t="s">
        <v>6151</v>
      </c>
      <c r="H298" s="14">
        <v>43550</v>
      </c>
      <c r="I298" s="4" t="s">
        <v>126</v>
      </c>
      <c r="J298" s="133"/>
      <c r="K298" s="22"/>
      <c r="L298" s="134"/>
    </row>
    <row r="299" spans="1:12" s="97" customFormat="1" hidden="1" x14ac:dyDescent="0.25">
      <c r="A299" s="61" t="s">
        <v>103</v>
      </c>
      <c r="B299" s="151">
        <v>43600</v>
      </c>
      <c r="C299" s="13">
        <v>810</v>
      </c>
      <c r="D299" s="13" t="s">
        <v>516</v>
      </c>
      <c r="E299" s="13" t="s">
        <v>62</v>
      </c>
      <c r="F299" s="37">
        <v>27288</v>
      </c>
      <c r="G299" s="29" t="s">
        <v>6493</v>
      </c>
      <c r="H299" s="14">
        <v>43560</v>
      </c>
      <c r="I299" s="4" t="s">
        <v>126</v>
      </c>
      <c r="J299" s="133"/>
      <c r="K299" s="22"/>
      <c r="L299" s="134"/>
    </row>
    <row r="300" spans="1:12" s="97" customFormat="1" hidden="1" x14ac:dyDescent="0.25">
      <c r="A300" s="61" t="s">
        <v>442</v>
      </c>
      <c r="B300" s="151">
        <v>43600</v>
      </c>
      <c r="C300" s="13">
        <v>811</v>
      </c>
      <c r="D300" s="13" t="s">
        <v>6487</v>
      </c>
      <c r="E300" s="13" t="s">
        <v>62</v>
      </c>
      <c r="F300" s="4">
        <v>1790</v>
      </c>
      <c r="G300" s="28" t="s">
        <v>113</v>
      </c>
      <c r="H300" s="14">
        <v>43563</v>
      </c>
      <c r="I300" s="4" t="s">
        <v>1497</v>
      </c>
      <c r="J300" s="133"/>
      <c r="K300" s="22"/>
      <c r="L300" s="134"/>
    </row>
    <row r="301" spans="1:12" hidden="1" x14ac:dyDescent="0.25">
      <c r="A301" s="61" t="s">
        <v>103</v>
      </c>
      <c r="B301" s="151">
        <v>43600</v>
      </c>
      <c r="C301" s="13">
        <v>812</v>
      </c>
      <c r="D301" s="13" t="s">
        <v>381</v>
      </c>
      <c r="E301" s="13" t="s">
        <v>62</v>
      </c>
      <c r="F301" s="37">
        <v>8000</v>
      </c>
      <c r="G301" s="29" t="s">
        <v>301</v>
      </c>
      <c r="H301" s="14">
        <v>43555</v>
      </c>
      <c r="I301" s="4" t="s">
        <v>95</v>
      </c>
    </row>
    <row r="302" spans="1:12" hidden="1" x14ac:dyDescent="0.25">
      <c r="A302" s="61" t="s">
        <v>91</v>
      </c>
      <c r="B302" s="151">
        <v>43600</v>
      </c>
      <c r="C302" s="13">
        <v>813</v>
      </c>
      <c r="D302" s="13" t="s">
        <v>282</v>
      </c>
      <c r="E302" s="13" t="s">
        <v>62</v>
      </c>
      <c r="F302" s="37">
        <v>55770</v>
      </c>
      <c r="G302" s="29" t="s">
        <v>3906</v>
      </c>
      <c r="H302" s="14">
        <v>43555</v>
      </c>
      <c r="I302" s="4" t="s">
        <v>283</v>
      </c>
    </row>
    <row r="303" spans="1:12" hidden="1" x14ac:dyDescent="0.25">
      <c r="A303" s="61" t="s">
        <v>358</v>
      </c>
      <c r="B303" s="151">
        <v>43600</v>
      </c>
      <c r="C303" s="13">
        <v>813</v>
      </c>
      <c r="D303" s="13" t="s">
        <v>282</v>
      </c>
      <c r="E303" s="13" t="s">
        <v>62</v>
      </c>
      <c r="F303" s="37">
        <v>4290</v>
      </c>
      <c r="G303" s="29" t="s">
        <v>6074</v>
      </c>
      <c r="H303" s="14">
        <v>43555</v>
      </c>
      <c r="I303" s="4" t="s">
        <v>283</v>
      </c>
    </row>
    <row r="304" spans="1:12" hidden="1" x14ac:dyDescent="0.25">
      <c r="A304" s="61" t="s">
        <v>442</v>
      </c>
      <c r="B304" s="151">
        <v>43600</v>
      </c>
      <c r="C304" s="13">
        <v>813</v>
      </c>
      <c r="D304" s="13" t="s">
        <v>282</v>
      </c>
      <c r="E304" s="13" t="s">
        <v>62</v>
      </c>
      <c r="F304" s="37">
        <v>30745</v>
      </c>
      <c r="G304" s="29" t="s">
        <v>6075</v>
      </c>
      <c r="H304" s="14">
        <v>43555</v>
      </c>
      <c r="I304" s="4" t="s">
        <v>283</v>
      </c>
    </row>
    <row r="305" spans="1:12" hidden="1" x14ac:dyDescent="0.25">
      <c r="A305" s="61" t="s">
        <v>91</v>
      </c>
      <c r="B305" s="151">
        <v>43600</v>
      </c>
      <c r="C305" s="13">
        <v>813</v>
      </c>
      <c r="D305" s="13" t="s">
        <v>282</v>
      </c>
      <c r="E305" s="13" t="s">
        <v>62</v>
      </c>
      <c r="F305" s="37">
        <v>16445</v>
      </c>
      <c r="G305" s="29" t="s">
        <v>6427</v>
      </c>
      <c r="H305" s="14">
        <v>43559</v>
      </c>
      <c r="I305" s="4" t="s">
        <v>283</v>
      </c>
    </row>
    <row r="306" spans="1:12" hidden="1" x14ac:dyDescent="0.25">
      <c r="A306" s="61" t="s">
        <v>358</v>
      </c>
      <c r="B306" s="151">
        <v>43600</v>
      </c>
      <c r="C306" s="13">
        <v>813</v>
      </c>
      <c r="D306" s="13" t="s">
        <v>282</v>
      </c>
      <c r="E306" s="13" t="s">
        <v>62</v>
      </c>
      <c r="F306" s="37">
        <v>2860</v>
      </c>
      <c r="G306" s="29" t="s">
        <v>6429</v>
      </c>
      <c r="H306" s="14">
        <v>43559</v>
      </c>
      <c r="I306" s="4" t="s">
        <v>283</v>
      </c>
    </row>
    <row r="307" spans="1:12" hidden="1" x14ac:dyDescent="0.25">
      <c r="A307" s="61" t="s">
        <v>103</v>
      </c>
      <c r="B307" s="151">
        <v>43600</v>
      </c>
      <c r="C307" s="13">
        <v>814</v>
      </c>
      <c r="D307" s="13" t="s">
        <v>250</v>
      </c>
      <c r="E307" s="13" t="s">
        <v>62</v>
      </c>
      <c r="F307" s="4">
        <v>17875</v>
      </c>
      <c r="G307" s="28" t="s">
        <v>6437</v>
      </c>
      <c r="H307" s="14">
        <v>43542</v>
      </c>
      <c r="I307" s="4" t="s">
        <v>337</v>
      </c>
    </row>
    <row r="308" spans="1:12" hidden="1" x14ac:dyDescent="0.25">
      <c r="A308" s="61" t="s">
        <v>103</v>
      </c>
      <c r="B308" s="151">
        <v>43600</v>
      </c>
      <c r="C308" s="13">
        <v>814</v>
      </c>
      <c r="D308" s="13" t="s">
        <v>250</v>
      </c>
      <c r="E308" s="13" t="s">
        <v>62</v>
      </c>
      <c r="F308" s="4">
        <v>11000</v>
      </c>
      <c r="G308" s="28" t="s">
        <v>6438</v>
      </c>
      <c r="H308" s="14">
        <v>43544</v>
      </c>
      <c r="I308" s="4" t="s">
        <v>337</v>
      </c>
    </row>
    <row r="309" spans="1:12" hidden="1" x14ac:dyDescent="0.25">
      <c r="A309" s="61" t="s">
        <v>103</v>
      </c>
      <c r="B309" s="151">
        <v>43600</v>
      </c>
      <c r="C309" s="13">
        <v>814</v>
      </c>
      <c r="D309" s="13" t="s">
        <v>250</v>
      </c>
      <c r="E309" s="13" t="s">
        <v>62</v>
      </c>
      <c r="F309" s="4">
        <v>23375</v>
      </c>
      <c r="G309" s="28" t="s">
        <v>6439</v>
      </c>
      <c r="H309" s="14">
        <v>43545</v>
      </c>
      <c r="I309" s="4" t="s">
        <v>402</v>
      </c>
    </row>
    <row r="310" spans="1:12" hidden="1" x14ac:dyDescent="0.25">
      <c r="A310" s="61" t="s">
        <v>103</v>
      </c>
      <c r="B310" s="151">
        <v>43600</v>
      </c>
      <c r="C310" s="13">
        <v>814</v>
      </c>
      <c r="D310" s="13" t="s">
        <v>250</v>
      </c>
      <c r="E310" s="13" t="s">
        <v>62</v>
      </c>
      <c r="F310" s="4">
        <v>23375</v>
      </c>
      <c r="G310" s="28" t="s">
        <v>6441</v>
      </c>
      <c r="H310" s="14">
        <v>43546</v>
      </c>
      <c r="I310" s="4" t="s">
        <v>337</v>
      </c>
    </row>
    <row r="311" spans="1:12" hidden="1" x14ac:dyDescent="0.25">
      <c r="A311" s="61" t="s">
        <v>358</v>
      </c>
      <c r="B311" s="151">
        <v>43600</v>
      </c>
      <c r="C311" s="13">
        <v>814</v>
      </c>
      <c r="D311" s="13" t="s">
        <v>250</v>
      </c>
      <c r="E311" s="13" t="s">
        <v>62</v>
      </c>
      <c r="F311" s="4">
        <v>23375</v>
      </c>
      <c r="G311" s="28" t="s">
        <v>6442</v>
      </c>
      <c r="H311" s="14">
        <v>43551</v>
      </c>
      <c r="I311" s="4" t="s">
        <v>402</v>
      </c>
    </row>
    <row r="312" spans="1:12" hidden="1" x14ac:dyDescent="0.25">
      <c r="A312" s="61" t="s">
        <v>103</v>
      </c>
      <c r="B312" s="151">
        <v>43600</v>
      </c>
      <c r="C312" s="13">
        <v>814</v>
      </c>
      <c r="D312" s="13" t="s">
        <v>250</v>
      </c>
      <c r="E312" s="13" t="s">
        <v>62</v>
      </c>
      <c r="F312" s="4">
        <v>5500</v>
      </c>
      <c r="G312" s="28" t="s">
        <v>6443</v>
      </c>
      <c r="H312" s="14">
        <v>43554</v>
      </c>
      <c r="I312" s="4" t="s">
        <v>337</v>
      </c>
    </row>
    <row r="313" spans="1:12" hidden="1" x14ac:dyDescent="0.25">
      <c r="A313" s="61" t="s">
        <v>358</v>
      </c>
      <c r="B313" s="151">
        <v>43600</v>
      </c>
      <c r="C313" s="13">
        <v>815</v>
      </c>
      <c r="D313" s="13" t="s">
        <v>2047</v>
      </c>
      <c r="E313" s="13" t="s">
        <v>62</v>
      </c>
      <c r="F313" s="37">
        <v>17000</v>
      </c>
      <c r="G313" s="29" t="s">
        <v>18</v>
      </c>
      <c r="H313" s="14">
        <v>43557</v>
      </c>
      <c r="I313" s="4" t="s">
        <v>95</v>
      </c>
    </row>
    <row r="314" spans="1:12" hidden="1" x14ac:dyDescent="0.25">
      <c r="A314" s="61" t="s">
        <v>442</v>
      </c>
      <c r="B314" s="151">
        <v>43600</v>
      </c>
      <c r="C314" s="13">
        <v>816</v>
      </c>
      <c r="D314" s="13" t="s">
        <v>692</v>
      </c>
      <c r="E314" s="13" t="s">
        <v>62</v>
      </c>
      <c r="F314" s="37">
        <v>202125</v>
      </c>
      <c r="G314" s="29" t="s">
        <v>3120</v>
      </c>
      <c r="H314" s="14">
        <v>43551</v>
      </c>
      <c r="I314" s="4" t="s">
        <v>419</v>
      </c>
    </row>
    <row r="315" spans="1:12" hidden="1" x14ac:dyDescent="0.25">
      <c r="A315" s="13" t="s">
        <v>151</v>
      </c>
      <c r="B315" s="151">
        <v>43600</v>
      </c>
      <c r="C315" s="13">
        <v>817</v>
      </c>
      <c r="D315" s="13" t="s">
        <v>5553</v>
      </c>
      <c r="E315" s="32" t="s">
        <v>62</v>
      </c>
      <c r="F315" s="4">
        <v>3000</v>
      </c>
      <c r="G315" s="28" t="s">
        <v>5909</v>
      </c>
      <c r="H315" s="14">
        <v>43585</v>
      </c>
      <c r="I315" s="4" t="s">
        <v>7362</v>
      </c>
      <c r="J315" s="125"/>
    </row>
    <row r="316" spans="1:12" hidden="1" x14ac:dyDescent="0.25">
      <c r="A316" s="13" t="s">
        <v>151</v>
      </c>
      <c r="B316" s="151">
        <v>43600</v>
      </c>
      <c r="C316" s="13">
        <v>817</v>
      </c>
      <c r="D316" s="13" t="s">
        <v>5553</v>
      </c>
      <c r="E316" s="32" t="s">
        <v>62</v>
      </c>
      <c r="F316" s="4">
        <v>31200</v>
      </c>
      <c r="G316" s="28" t="s">
        <v>7337</v>
      </c>
      <c r="H316" s="14">
        <v>43584</v>
      </c>
      <c r="I316" s="4" t="s">
        <v>7338</v>
      </c>
      <c r="J316" s="125"/>
    </row>
    <row r="317" spans="1:12" ht="13.95" hidden="1" customHeight="1" x14ac:dyDescent="0.25">
      <c r="A317" s="13" t="s">
        <v>637</v>
      </c>
      <c r="B317" s="14">
        <v>43600</v>
      </c>
      <c r="C317" s="13">
        <v>339</v>
      </c>
      <c r="D317" s="32" t="s">
        <v>228</v>
      </c>
      <c r="E317" s="32" t="s">
        <v>691</v>
      </c>
      <c r="F317" s="4">
        <v>1200000</v>
      </c>
      <c r="G317" s="86" t="s">
        <v>7545</v>
      </c>
      <c r="H317" s="14"/>
      <c r="I317" s="41" t="s">
        <v>229</v>
      </c>
      <c r="J317" s="21"/>
      <c r="K317" s="228"/>
    </row>
    <row r="318" spans="1:12" s="97" customFormat="1" hidden="1" x14ac:dyDescent="0.25">
      <c r="A318" s="61" t="s">
        <v>1350</v>
      </c>
      <c r="B318" s="14">
        <v>43600</v>
      </c>
      <c r="C318" s="13">
        <v>355</v>
      </c>
      <c r="D318" s="13" t="s">
        <v>257</v>
      </c>
      <c r="E318" s="13" t="s">
        <v>691</v>
      </c>
      <c r="F318" s="37">
        <v>860622</v>
      </c>
      <c r="G318" s="210" t="s">
        <v>7557</v>
      </c>
      <c r="H318" s="211">
        <v>43537</v>
      </c>
      <c r="I318" s="4" t="s">
        <v>264</v>
      </c>
      <c r="J318" s="133"/>
      <c r="K318" s="22"/>
      <c r="L318" s="134"/>
    </row>
    <row r="319" spans="1:12" s="97" customFormat="1" hidden="1" x14ac:dyDescent="0.25">
      <c r="A319" s="32" t="s">
        <v>1350</v>
      </c>
      <c r="B319" s="14">
        <v>43600</v>
      </c>
      <c r="C319" s="13">
        <v>340</v>
      </c>
      <c r="D319" s="13" t="s">
        <v>589</v>
      </c>
      <c r="E319" s="13" t="s">
        <v>691</v>
      </c>
      <c r="F319" s="4">
        <v>894000</v>
      </c>
      <c r="G319" s="28" t="s">
        <v>6484</v>
      </c>
      <c r="H319" s="14">
        <v>43558</v>
      </c>
      <c r="I319" s="4" t="s">
        <v>443</v>
      </c>
      <c r="J319" s="133"/>
      <c r="K319" s="22"/>
      <c r="L319" s="134"/>
    </row>
    <row r="320" spans="1:12" s="97" customFormat="1" hidden="1" x14ac:dyDescent="0.25">
      <c r="A320" s="61" t="s">
        <v>1350</v>
      </c>
      <c r="B320" s="14">
        <v>43600</v>
      </c>
      <c r="C320" s="13">
        <v>341</v>
      </c>
      <c r="D320" s="13" t="s">
        <v>869</v>
      </c>
      <c r="E320" s="13" t="s">
        <v>691</v>
      </c>
      <c r="F320" s="4">
        <v>72733.87</v>
      </c>
      <c r="G320" s="28" t="s">
        <v>6213</v>
      </c>
      <c r="H320" s="14">
        <v>43557</v>
      </c>
      <c r="I320" s="4" t="s">
        <v>268</v>
      </c>
      <c r="J320" s="133"/>
      <c r="K320" s="22"/>
      <c r="L320" s="134"/>
    </row>
    <row r="321" spans="1:12" s="97" customFormat="1" hidden="1" x14ac:dyDescent="0.25">
      <c r="A321" s="61" t="s">
        <v>637</v>
      </c>
      <c r="B321" s="14">
        <v>43600</v>
      </c>
      <c r="C321" s="13">
        <v>342</v>
      </c>
      <c r="D321" s="13" t="s">
        <v>100</v>
      </c>
      <c r="E321" s="13" t="s">
        <v>691</v>
      </c>
      <c r="F321" s="37">
        <v>232118.72</v>
      </c>
      <c r="G321" s="29" t="s">
        <v>6532</v>
      </c>
      <c r="H321" s="14">
        <v>43551</v>
      </c>
      <c r="I321" s="4" t="s">
        <v>572</v>
      </c>
      <c r="J321" s="133"/>
      <c r="K321" s="22"/>
      <c r="L321" s="134"/>
    </row>
    <row r="322" spans="1:12" s="97" customFormat="1" hidden="1" x14ac:dyDescent="0.25">
      <c r="A322" s="61" t="s">
        <v>1350</v>
      </c>
      <c r="B322" s="14">
        <v>43600</v>
      </c>
      <c r="C322" s="13">
        <v>343</v>
      </c>
      <c r="D322" s="13" t="s">
        <v>1065</v>
      </c>
      <c r="E322" s="13" t="s">
        <v>691</v>
      </c>
      <c r="F322" s="37">
        <v>132705.35999999999</v>
      </c>
      <c r="G322" s="29" t="s">
        <v>1247</v>
      </c>
      <c r="H322" s="14">
        <v>43559</v>
      </c>
      <c r="I322" s="4" t="s">
        <v>6531</v>
      </c>
      <c r="J322" s="133"/>
      <c r="K322" s="22"/>
      <c r="L322" s="134"/>
    </row>
    <row r="323" spans="1:12" s="97" customFormat="1" hidden="1" x14ac:dyDescent="0.25">
      <c r="A323" s="61" t="s">
        <v>1350</v>
      </c>
      <c r="B323" s="14">
        <v>43600</v>
      </c>
      <c r="C323" s="13">
        <v>354</v>
      </c>
      <c r="D323" s="13" t="s">
        <v>280</v>
      </c>
      <c r="E323" s="13" t="s">
        <v>691</v>
      </c>
      <c r="F323" s="4">
        <v>21500</v>
      </c>
      <c r="G323" s="29" t="s">
        <v>132</v>
      </c>
      <c r="H323" s="14">
        <v>43552</v>
      </c>
      <c r="I323" s="4" t="s">
        <v>6189</v>
      </c>
      <c r="J323" s="133"/>
      <c r="K323" s="22"/>
      <c r="L323" s="134"/>
    </row>
    <row r="324" spans="1:12" s="97" customFormat="1" hidden="1" x14ac:dyDescent="0.25">
      <c r="A324" s="61" t="s">
        <v>637</v>
      </c>
      <c r="B324" s="14">
        <v>43600</v>
      </c>
      <c r="C324" s="13">
        <v>354</v>
      </c>
      <c r="D324" s="13" t="s">
        <v>280</v>
      </c>
      <c r="E324" s="13" t="s">
        <v>691</v>
      </c>
      <c r="F324" s="4">
        <v>21500</v>
      </c>
      <c r="G324" s="28" t="s">
        <v>1549</v>
      </c>
      <c r="H324" s="14">
        <v>43552</v>
      </c>
      <c r="I324" s="4" t="s">
        <v>6189</v>
      </c>
      <c r="J324" s="133"/>
      <c r="K324" s="22"/>
      <c r="L324" s="134"/>
    </row>
    <row r="325" spans="1:12" s="97" customFormat="1" hidden="1" x14ac:dyDescent="0.25">
      <c r="A325" s="13" t="s">
        <v>1350</v>
      </c>
      <c r="B325" s="14">
        <v>43600</v>
      </c>
      <c r="C325" s="13">
        <v>354</v>
      </c>
      <c r="D325" s="13" t="s">
        <v>280</v>
      </c>
      <c r="E325" s="13" t="s">
        <v>691</v>
      </c>
      <c r="F325" s="4">
        <v>48820</v>
      </c>
      <c r="G325" s="28" t="s">
        <v>3511</v>
      </c>
      <c r="H325" s="14">
        <v>43564</v>
      </c>
      <c r="I325" s="4" t="s">
        <v>6847</v>
      </c>
      <c r="J325" s="133"/>
      <c r="K325" s="22"/>
      <c r="L325" s="134"/>
    </row>
    <row r="326" spans="1:12" s="97" customFormat="1" hidden="1" x14ac:dyDescent="0.25">
      <c r="A326" s="61" t="s">
        <v>1350</v>
      </c>
      <c r="B326" s="14">
        <v>43600</v>
      </c>
      <c r="C326" s="13">
        <v>344</v>
      </c>
      <c r="D326" s="13" t="s">
        <v>814</v>
      </c>
      <c r="E326" s="13" t="s">
        <v>691</v>
      </c>
      <c r="F326" s="37">
        <v>29547</v>
      </c>
      <c r="G326" s="29" t="s">
        <v>6518</v>
      </c>
      <c r="H326" s="14">
        <v>43559</v>
      </c>
      <c r="I326" s="4" t="s">
        <v>142</v>
      </c>
      <c r="J326" s="133"/>
      <c r="K326" s="22"/>
      <c r="L326" s="134"/>
    </row>
    <row r="327" spans="1:12" s="97" customFormat="1" hidden="1" x14ac:dyDescent="0.25">
      <c r="A327" s="61" t="s">
        <v>1350</v>
      </c>
      <c r="B327" s="14">
        <v>43600</v>
      </c>
      <c r="C327" s="13">
        <v>353</v>
      </c>
      <c r="D327" s="13" t="s">
        <v>3438</v>
      </c>
      <c r="E327" s="13" t="s">
        <v>691</v>
      </c>
      <c r="F327" s="4">
        <v>35000</v>
      </c>
      <c r="G327" s="29" t="s">
        <v>6175</v>
      </c>
      <c r="H327" s="14">
        <v>43553</v>
      </c>
      <c r="I327" s="4" t="s">
        <v>6176</v>
      </c>
      <c r="J327" s="133"/>
      <c r="K327" s="22"/>
      <c r="L327" s="134"/>
    </row>
    <row r="328" spans="1:12" s="97" customFormat="1" hidden="1" x14ac:dyDescent="0.25">
      <c r="A328" s="61" t="s">
        <v>1350</v>
      </c>
      <c r="B328" s="14">
        <v>43600</v>
      </c>
      <c r="C328" s="13">
        <v>353</v>
      </c>
      <c r="D328" s="13" t="s">
        <v>3438</v>
      </c>
      <c r="E328" s="13" t="s">
        <v>691</v>
      </c>
      <c r="F328" s="4">
        <v>11300</v>
      </c>
      <c r="G328" s="28" t="s">
        <v>98</v>
      </c>
      <c r="H328" s="14">
        <v>43560</v>
      </c>
      <c r="I328" s="4" t="s">
        <v>6513</v>
      </c>
      <c r="J328" s="133"/>
      <c r="K328" s="22"/>
      <c r="L328" s="134"/>
    </row>
    <row r="329" spans="1:12" s="97" customFormat="1" hidden="1" x14ac:dyDescent="0.25">
      <c r="A329" s="13" t="s">
        <v>1350</v>
      </c>
      <c r="B329" s="14">
        <v>43600</v>
      </c>
      <c r="C329" s="13">
        <v>345</v>
      </c>
      <c r="D329" s="13" t="s">
        <v>1491</v>
      </c>
      <c r="E329" s="13" t="s">
        <v>691</v>
      </c>
      <c r="F329" s="4">
        <v>223516.93</v>
      </c>
      <c r="G329" s="29" t="s">
        <v>5663</v>
      </c>
      <c r="H329" s="14">
        <v>43538</v>
      </c>
      <c r="I329" s="4" t="s">
        <v>555</v>
      </c>
      <c r="J329" s="133"/>
      <c r="K329" s="22"/>
      <c r="L329" s="134"/>
    </row>
    <row r="330" spans="1:12" s="97" customFormat="1" hidden="1" x14ac:dyDescent="0.25">
      <c r="A330" s="61" t="s">
        <v>1350</v>
      </c>
      <c r="B330" s="14">
        <v>43600</v>
      </c>
      <c r="C330" s="13">
        <v>345</v>
      </c>
      <c r="D330" s="13" t="s">
        <v>1491</v>
      </c>
      <c r="E330" s="13" t="s">
        <v>691</v>
      </c>
      <c r="F330" s="37">
        <v>142973.78</v>
      </c>
      <c r="G330" s="29" t="s">
        <v>6499</v>
      </c>
      <c r="H330" s="14">
        <v>43557</v>
      </c>
      <c r="I330" s="4" t="s">
        <v>555</v>
      </c>
      <c r="J330" s="133"/>
      <c r="K330" s="22"/>
      <c r="L330" s="134"/>
    </row>
    <row r="331" spans="1:12" s="97" customFormat="1" hidden="1" x14ac:dyDescent="0.25">
      <c r="A331" s="32" t="s">
        <v>1350</v>
      </c>
      <c r="B331" s="14">
        <v>43600</v>
      </c>
      <c r="C331" s="13">
        <v>346</v>
      </c>
      <c r="D331" s="13" t="s">
        <v>70</v>
      </c>
      <c r="E331" s="13" t="s">
        <v>691</v>
      </c>
      <c r="F331" s="37">
        <v>13980</v>
      </c>
      <c r="G331" s="29" t="s">
        <v>6497</v>
      </c>
      <c r="H331" s="14">
        <v>43564</v>
      </c>
      <c r="I331" s="4" t="s">
        <v>4117</v>
      </c>
      <c r="J331" s="133"/>
      <c r="K331" s="22"/>
      <c r="L331" s="134"/>
    </row>
    <row r="332" spans="1:12" s="97" customFormat="1" hidden="1" x14ac:dyDescent="0.25">
      <c r="A332" s="61" t="s">
        <v>1350</v>
      </c>
      <c r="B332" s="14">
        <v>43600</v>
      </c>
      <c r="C332" s="13">
        <v>356</v>
      </c>
      <c r="D332" s="13" t="s">
        <v>516</v>
      </c>
      <c r="E332" s="13" t="s">
        <v>691</v>
      </c>
      <c r="F332" s="37">
        <v>21323.07</v>
      </c>
      <c r="G332" s="29" t="s">
        <v>3115</v>
      </c>
      <c r="H332" s="14">
        <v>43557</v>
      </c>
      <c r="I332" s="4" t="s">
        <v>6489</v>
      </c>
      <c r="J332" s="133"/>
      <c r="K332" s="22"/>
      <c r="L332" s="134"/>
    </row>
    <row r="333" spans="1:12" s="97" customFormat="1" hidden="1" x14ac:dyDescent="0.25">
      <c r="A333" s="61" t="s">
        <v>1350</v>
      </c>
      <c r="B333" s="14">
        <v>43600</v>
      </c>
      <c r="C333" s="13">
        <v>356</v>
      </c>
      <c r="D333" s="13" t="s">
        <v>516</v>
      </c>
      <c r="E333" s="13" t="s">
        <v>691</v>
      </c>
      <c r="F333" s="37">
        <v>30240</v>
      </c>
      <c r="G333" s="29" t="s">
        <v>6492</v>
      </c>
      <c r="H333" s="14">
        <v>43560</v>
      </c>
      <c r="I333" s="4" t="s">
        <v>6174</v>
      </c>
      <c r="J333" s="133"/>
      <c r="K333" s="22"/>
      <c r="L333" s="134"/>
    </row>
    <row r="334" spans="1:12" s="97" customFormat="1" hidden="1" x14ac:dyDescent="0.25">
      <c r="A334" s="61" t="s">
        <v>1350</v>
      </c>
      <c r="B334" s="14">
        <v>43600</v>
      </c>
      <c r="C334" s="13">
        <v>356</v>
      </c>
      <c r="D334" s="13" t="s">
        <v>516</v>
      </c>
      <c r="E334" s="13" t="s">
        <v>691</v>
      </c>
      <c r="F334" s="37">
        <v>2466.1999999999998</v>
      </c>
      <c r="G334" s="29" t="s">
        <v>6810</v>
      </c>
      <c r="H334" s="14">
        <v>43566</v>
      </c>
      <c r="I334" s="4" t="s">
        <v>6811</v>
      </c>
      <c r="J334" s="133"/>
      <c r="K334" s="22"/>
      <c r="L334" s="134"/>
    </row>
    <row r="335" spans="1:12" hidden="1" x14ac:dyDescent="0.25">
      <c r="A335" s="61" t="s">
        <v>1350</v>
      </c>
      <c r="B335" s="14">
        <v>43600</v>
      </c>
      <c r="C335" s="13">
        <v>347</v>
      </c>
      <c r="D335" s="13" t="s">
        <v>944</v>
      </c>
      <c r="E335" s="13" t="s">
        <v>691</v>
      </c>
      <c r="F335" s="37">
        <v>100000</v>
      </c>
      <c r="G335" s="29" t="s">
        <v>169</v>
      </c>
      <c r="H335" s="14">
        <v>43542</v>
      </c>
      <c r="I335" s="4" t="s">
        <v>402</v>
      </c>
    </row>
    <row r="336" spans="1:12" hidden="1" x14ac:dyDescent="0.25">
      <c r="A336" s="61" t="s">
        <v>637</v>
      </c>
      <c r="B336" s="14">
        <v>43600</v>
      </c>
      <c r="C336" s="13">
        <v>348</v>
      </c>
      <c r="D336" s="13" t="s">
        <v>447</v>
      </c>
      <c r="E336" s="13" t="s">
        <v>691</v>
      </c>
      <c r="F336" s="37">
        <v>47000</v>
      </c>
      <c r="G336" s="29" t="s">
        <v>2933</v>
      </c>
      <c r="H336" s="14">
        <v>43554</v>
      </c>
      <c r="I336" s="4" t="s">
        <v>6425</v>
      </c>
    </row>
    <row r="337" spans="1:19" hidden="1" x14ac:dyDescent="0.25">
      <c r="A337" s="61" t="s">
        <v>1350</v>
      </c>
      <c r="B337" s="14">
        <v>43600</v>
      </c>
      <c r="C337" s="13">
        <v>349</v>
      </c>
      <c r="D337" s="13" t="s">
        <v>381</v>
      </c>
      <c r="E337" s="13" t="s">
        <v>691</v>
      </c>
      <c r="F337" s="37">
        <v>11200</v>
      </c>
      <c r="G337" s="29" t="s">
        <v>1191</v>
      </c>
      <c r="H337" s="14">
        <v>43555</v>
      </c>
      <c r="I337" s="4" t="s">
        <v>95</v>
      </c>
    </row>
    <row r="338" spans="1:19" hidden="1" x14ac:dyDescent="0.25">
      <c r="A338" s="61" t="s">
        <v>1350</v>
      </c>
      <c r="B338" s="14">
        <v>43600</v>
      </c>
      <c r="C338" s="13">
        <v>350</v>
      </c>
      <c r="D338" s="13" t="s">
        <v>1985</v>
      </c>
      <c r="E338" s="13" t="s">
        <v>691</v>
      </c>
      <c r="F338" s="4">
        <v>71000</v>
      </c>
      <c r="G338" s="28" t="s">
        <v>153</v>
      </c>
      <c r="H338" s="14">
        <v>43549</v>
      </c>
      <c r="I338" s="4" t="s">
        <v>4317</v>
      </c>
    </row>
    <row r="339" spans="1:19" hidden="1" x14ac:dyDescent="0.25">
      <c r="A339" s="61" t="s">
        <v>637</v>
      </c>
      <c r="B339" s="14">
        <v>43600</v>
      </c>
      <c r="C339" s="13">
        <v>351</v>
      </c>
      <c r="D339" s="13" t="s">
        <v>2047</v>
      </c>
      <c r="E339" s="13" t="s">
        <v>691</v>
      </c>
      <c r="F339" s="37">
        <v>17000</v>
      </c>
      <c r="G339" s="29" t="s">
        <v>558</v>
      </c>
      <c r="H339" s="14">
        <v>43557</v>
      </c>
      <c r="I339" s="4" t="s">
        <v>95</v>
      </c>
    </row>
    <row r="340" spans="1:19" hidden="1" x14ac:dyDescent="0.25">
      <c r="A340" s="13" t="s">
        <v>151</v>
      </c>
      <c r="B340" s="14">
        <v>43600</v>
      </c>
      <c r="C340" s="13">
        <v>352</v>
      </c>
      <c r="D340" s="13" t="s">
        <v>5553</v>
      </c>
      <c r="E340" s="32" t="s">
        <v>691</v>
      </c>
      <c r="F340" s="4">
        <v>23400</v>
      </c>
      <c r="G340" s="28" t="s">
        <v>7339</v>
      </c>
      <c r="H340" s="14">
        <v>43584</v>
      </c>
      <c r="I340" s="4" t="s">
        <v>7340</v>
      </c>
      <c r="J340" s="125"/>
    </row>
    <row r="341" spans="1:19" ht="15" hidden="1" customHeight="1" x14ac:dyDescent="0.25">
      <c r="A341" s="13" t="s">
        <v>184</v>
      </c>
      <c r="B341" s="14">
        <v>43600</v>
      </c>
      <c r="C341" s="13">
        <v>586</v>
      </c>
      <c r="D341" s="32" t="s">
        <v>1969</v>
      </c>
      <c r="E341" s="32" t="s">
        <v>1121</v>
      </c>
      <c r="F341" s="4">
        <v>5000</v>
      </c>
      <c r="G341" s="28" t="s">
        <v>7606</v>
      </c>
      <c r="H341" s="14">
        <v>43585</v>
      </c>
      <c r="I341" s="4" t="s">
        <v>1970</v>
      </c>
      <c r="J341" s="76"/>
    </row>
    <row r="342" spans="1:19" s="97" customFormat="1" ht="27.6" hidden="1" x14ac:dyDescent="0.25">
      <c r="A342" s="13" t="s">
        <v>6</v>
      </c>
      <c r="B342" s="14">
        <v>43600</v>
      </c>
      <c r="C342" s="67">
        <v>229</v>
      </c>
      <c r="D342" s="13" t="s">
        <v>1071</v>
      </c>
      <c r="E342" s="13" t="s">
        <v>183</v>
      </c>
      <c r="F342" s="4">
        <v>10000</v>
      </c>
      <c r="G342" s="29" t="s">
        <v>1072</v>
      </c>
      <c r="H342" s="14">
        <v>43599</v>
      </c>
      <c r="I342" s="4" t="s">
        <v>1073</v>
      </c>
      <c r="J342" s="22"/>
      <c r="K342" s="22"/>
      <c r="L342" s="134"/>
    </row>
    <row r="343" spans="1:19" s="2" customFormat="1" ht="15" hidden="1" customHeight="1" x14ac:dyDescent="0.25">
      <c r="A343" s="61" t="s">
        <v>6</v>
      </c>
      <c r="B343" s="14">
        <v>43600</v>
      </c>
      <c r="C343" s="13">
        <v>230</v>
      </c>
      <c r="D343" s="13" t="s">
        <v>225</v>
      </c>
      <c r="E343" s="13" t="s">
        <v>183</v>
      </c>
      <c r="F343" s="4">
        <v>6000</v>
      </c>
      <c r="G343" s="29" t="s">
        <v>3118</v>
      </c>
      <c r="H343" s="14">
        <v>43585</v>
      </c>
      <c r="I343" s="4" t="s">
        <v>1441</v>
      </c>
      <c r="J343" s="341" t="s">
        <v>1386</v>
      </c>
      <c r="K343" s="31"/>
      <c r="L343" s="31"/>
      <c r="M343" s="31"/>
      <c r="N343" s="31"/>
      <c r="O343" s="34"/>
      <c r="P343" s="34"/>
      <c r="Q343" s="34"/>
      <c r="R343" s="34"/>
      <c r="S343" s="34"/>
    </row>
    <row r="344" spans="1:19" s="2" customFormat="1" hidden="1" x14ac:dyDescent="0.25">
      <c r="A344" s="13" t="s">
        <v>6</v>
      </c>
      <c r="B344" s="14">
        <v>43600</v>
      </c>
      <c r="C344" s="13">
        <v>231</v>
      </c>
      <c r="D344" s="32" t="s">
        <v>530</v>
      </c>
      <c r="E344" s="13" t="s">
        <v>183</v>
      </c>
      <c r="F344" s="4">
        <v>12000</v>
      </c>
      <c r="G344" s="29" t="s">
        <v>5333</v>
      </c>
      <c r="H344" s="14">
        <v>43560</v>
      </c>
      <c r="I344" s="4" t="s">
        <v>165</v>
      </c>
      <c r="J344" s="341"/>
      <c r="K344" s="31"/>
      <c r="L344" s="31"/>
      <c r="M344" s="31"/>
      <c r="N344" s="31"/>
      <c r="O344" s="34"/>
      <c r="P344" s="34"/>
      <c r="Q344" s="34"/>
      <c r="R344" s="34"/>
      <c r="S344" s="34"/>
    </row>
    <row r="345" spans="1:19" s="2" customFormat="1" hidden="1" x14ac:dyDescent="0.25">
      <c r="A345" s="13" t="s">
        <v>6</v>
      </c>
      <c r="B345" s="14">
        <v>43600</v>
      </c>
      <c r="C345" s="13">
        <v>231</v>
      </c>
      <c r="D345" s="32" t="s">
        <v>530</v>
      </c>
      <c r="E345" s="13" t="s">
        <v>183</v>
      </c>
      <c r="F345" s="4">
        <v>12000</v>
      </c>
      <c r="G345" s="29" t="s">
        <v>6447</v>
      </c>
      <c r="H345" s="14">
        <v>43567</v>
      </c>
      <c r="I345" s="4" t="s">
        <v>165</v>
      </c>
      <c r="J345" s="341"/>
      <c r="K345" s="31"/>
      <c r="L345" s="31"/>
      <c r="M345" s="31"/>
      <c r="N345" s="31"/>
      <c r="O345" s="34"/>
      <c r="P345" s="34"/>
      <c r="Q345" s="34"/>
      <c r="R345" s="34"/>
      <c r="S345" s="34"/>
    </row>
    <row r="346" spans="1:19" hidden="1" x14ac:dyDescent="0.25">
      <c r="A346" s="13" t="s">
        <v>213</v>
      </c>
      <c r="B346" s="14">
        <v>43600</v>
      </c>
      <c r="C346" s="13">
        <v>441</v>
      </c>
      <c r="D346" s="13" t="s">
        <v>210</v>
      </c>
      <c r="E346" s="13" t="s">
        <v>136</v>
      </c>
      <c r="F346" s="37">
        <v>81417.3</v>
      </c>
      <c r="G346" s="29" t="s">
        <v>7591</v>
      </c>
      <c r="H346" s="14">
        <v>43598</v>
      </c>
      <c r="I346" s="4" t="s">
        <v>426</v>
      </c>
      <c r="J346" s="22" t="s">
        <v>771</v>
      </c>
    </row>
    <row r="347" spans="1:19" s="129" customFormat="1" hidden="1" x14ac:dyDescent="0.25">
      <c r="A347" s="13" t="s">
        <v>213</v>
      </c>
      <c r="B347" s="14">
        <v>43600</v>
      </c>
      <c r="C347" s="13">
        <v>442</v>
      </c>
      <c r="D347" s="13" t="s">
        <v>210</v>
      </c>
      <c r="E347" s="13" t="s">
        <v>136</v>
      </c>
      <c r="F347" s="37">
        <v>81594.600000000006</v>
      </c>
      <c r="G347" s="29" t="s">
        <v>7590</v>
      </c>
      <c r="H347" s="14">
        <v>43598</v>
      </c>
      <c r="I347" s="4" t="s">
        <v>546</v>
      </c>
      <c r="J347" s="35" t="s">
        <v>771</v>
      </c>
      <c r="K347" s="136"/>
    </row>
    <row r="348" spans="1:19" ht="15" hidden="1" customHeight="1" x14ac:dyDescent="0.25">
      <c r="A348" s="68" t="s">
        <v>206</v>
      </c>
      <c r="B348" s="14">
        <v>43600</v>
      </c>
      <c r="C348" s="67">
        <v>84</v>
      </c>
      <c r="D348" s="32" t="s">
        <v>156</v>
      </c>
      <c r="E348" s="32" t="s">
        <v>178</v>
      </c>
      <c r="F348" s="4">
        <f>821160.98</f>
        <v>821160.98</v>
      </c>
      <c r="G348" s="28" t="s">
        <v>5812</v>
      </c>
      <c r="H348" s="14">
        <v>43529</v>
      </c>
      <c r="I348" s="4" t="s">
        <v>362</v>
      </c>
      <c r="J348" s="166" t="s">
        <v>721</v>
      </c>
      <c r="K348" s="167"/>
      <c r="L348" s="35"/>
    </row>
    <row r="349" spans="1:19" ht="15" hidden="1" customHeight="1" x14ac:dyDescent="0.25">
      <c r="A349" s="68" t="s">
        <v>206</v>
      </c>
      <c r="B349" s="14">
        <v>43600</v>
      </c>
      <c r="C349" s="67">
        <v>85</v>
      </c>
      <c r="D349" s="32" t="s">
        <v>156</v>
      </c>
      <c r="E349" s="32" t="s">
        <v>178</v>
      </c>
      <c r="F349" s="4">
        <v>75197.16</v>
      </c>
      <c r="G349" s="28" t="s">
        <v>7012</v>
      </c>
      <c r="H349" s="14">
        <v>43563</v>
      </c>
      <c r="I349" s="4" t="s">
        <v>362</v>
      </c>
      <c r="J349" s="166" t="s">
        <v>366</v>
      </c>
      <c r="K349" s="167"/>
      <c r="L349" s="35"/>
    </row>
    <row r="350" spans="1:19" ht="13.95" hidden="1" customHeight="1" x14ac:dyDescent="0.25">
      <c r="A350" s="68" t="s">
        <v>209</v>
      </c>
      <c r="B350" s="14">
        <v>43600</v>
      </c>
      <c r="C350" s="67">
        <v>107</v>
      </c>
      <c r="D350" s="32" t="s">
        <v>595</v>
      </c>
      <c r="E350" s="32" t="s">
        <v>134</v>
      </c>
      <c r="F350" s="4">
        <f>1775536.68-974457.94</f>
        <v>801078.74</v>
      </c>
      <c r="G350" s="28"/>
      <c r="H350" s="14"/>
      <c r="I350" s="41" t="s">
        <v>949</v>
      </c>
      <c r="J350" s="166" t="s">
        <v>366</v>
      </c>
      <c r="K350" s="167"/>
      <c r="L350" s="35"/>
    </row>
    <row r="351" spans="1:19" ht="13.95" hidden="1" customHeight="1" x14ac:dyDescent="0.25">
      <c r="A351" s="68" t="s">
        <v>209</v>
      </c>
      <c r="B351" s="14">
        <v>43600</v>
      </c>
      <c r="C351" s="67">
        <v>108</v>
      </c>
      <c r="D351" s="32" t="s">
        <v>595</v>
      </c>
      <c r="E351" s="32" t="s">
        <v>134</v>
      </c>
      <c r="F351" s="4">
        <v>198921.26</v>
      </c>
      <c r="G351" s="28"/>
      <c r="H351" s="14"/>
      <c r="I351" s="41" t="s">
        <v>949</v>
      </c>
      <c r="J351" s="166" t="s">
        <v>771</v>
      </c>
      <c r="K351" s="167"/>
      <c r="L351" s="35"/>
    </row>
    <row r="352" spans="1:19" ht="13.95" hidden="1" customHeight="1" x14ac:dyDescent="0.25">
      <c r="A352" s="68" t="s">
        <v>534</v>
      </c>
      <c r="B352" s="14">
        <v>43600</v>
      </c>
      <c r="C352" s="13">
        <v>818</v>
      </c>
      <c r="D352" s="32" t="s">
        <v>272</v>
      </c>
      <c r="E352" s="32" t="s">
        <v>62</v>
      </c>
      <c r="F352" s="4">
        <v>1500000</v>
      </c>
      <c r="G352" s="86" t="s">
        <v>535</v>
      </c>
      <c r="H352" s="211"/>
      <c r="I352" s="84" t="s">
        <v>273</v>
      </c>
      <c r="J352" s="21"/>
      <c r="K352" s="228"/>
    </row>
    <row r="353" spans="1:12" ht="13.95" hidden="1" customHeight="1" x14ac:dyDescent="0.25">
      <c r="A353" s="68" t="s">
        <v>550</v>
      </c>
      <c r="B353" s="14">
        <v>43600</v>
      </c>
      <c r="C353" s="13">
        <v>819</v>
      </c>
      <c r="D353" s="32" t="s">
        <v>272</v>
      </c>
      <c r="E353" s="32" t="s">
        <v>62</v>
      </c>
      <c r="F353" s="4">
        <v>3500000</v>
      </c>
      <c r="G353" s="86" t="s">
        <v>5725</v>
      </c>
      <c r="H353" s="211"/>
      <c r="I353" s="84" t="s">
        <v>273</v>
      </c>
      <c r="J353" s="21"/>
      <c r="K353" s="228"/>
    </row>
    <row r="354" spans="1:12" ht="15" hidden="1" customHeight="1" x14ac:dyDescent="0.25">
      <c r="A354" s="68" t="s">
        <v>174</v>
      </c>
      <c r="B354" s="14">
        <v>43600</v>
      </c>
      <c r="C354" s="67">
        <v>83</v>
      </c>
      <c r="D354" s="32" t="s">
        <v>156</v>
      </c>
      <c r="E354" s="32" t="s">
        <v>178</v>
      </c>
      <c r="F354" s="4">
        <v>204438.31</v>
      </c>
      <c r="G354" s="28" t="s">
        <v>7013</v>
      </c>
      <c r="H354" s="14">
        <v>43563</v>
      </c>
      <c r="I354" s="4" t="s">
        <v>752</v>
      </c>
      <c r="J354" s="166" t="s">
        <v>366</v>
      </c>
      <c r="K354" s="167"/>
      <c r="L354" s="35"/>
    </row>
    <row r="355" spans="1:12" hidden="1" x14ac:dyDescent="0.25">
      <c r="A355" s="68" t="s">
        <v>151</v>
      </c>
      <c r="B355" s="14">
        <v>43600</v>
      </c>
      <c r="C355" s="13">
        <v>976</v>
      </c>
      <c r="D355" s="32" t="s">
        <v>2899</v>
      </c>
      <c r="E355" s="32" t="s">
        <v>494</v>
      </c>
      <c r="F355" s="209">
        <v>4000</v>
      </c>
      <c r="G355" s="210" t="s">
        <v>7650</v>
      </c>
      <c r="H355" s="211">
        <v>43599</v>
      </c>
      <c r="I355" s="208" t="s">
        <v>4399</v>
      </c>
      <c r="J355" s="21"/>
      <c r="K355" s="228"/>
    </row>
    <row r="356" spans="1:12" ht="27.6" hidden="1" x14ac:dyDescent="0.25">
      <c r="A356" s="68" t="s">
        <v>151</v>
      </c>
      <c r="B356" s="14">
        <v>43600</v>
      </c>
      <c r="C356" s="13">
        <v>2</v>
      </c>
      <c r="D356" s="32" t="s">
        <v>2899</v>
      </c>
      <c r="E356" s="32" t="s">
        <v>7651</v>
      </c>
      <c r="F356" s="209">
        <v>4000</v>
      </c>
      <c r="G356" s="210" t="s">
        <v>7652</v>
      </c>
      <c r="H356" s="211">
        <v>43566</v>
      </c>
      <c r="I356" s="208" t="s">
        <v>4399</v>
      </c>
      <c r="J356" s="21"/>
      <c r="K356" s="228"/>
    </row>
    <row r="357" spans="1:12" ht="27.6" hidden="1" x14ac:dyDescent="0.25">
      <c r="A357" s="13" t="s">
        <v>151</v>
      </c>
      <c r="B357" s="14">
        <v>43601</v>
      </c>
      <c r="C357" s="13">
        <v>357</v>
      </c>
      <c r="D357" s="32" t="s">
        <v>7698</v>
      </c>
      <c r="E357" s="32" t="s">
        <v>691</v>
      </c>
      <c r="F357" s="4">
        <v>5000</v>
      </c>
      <c r="G357" s="29" t="s">
        <v>325</v>
      </c>
      <c r="H357" s="14">
        <v>43600</v>
      </c>
      <c r="I357" s="4" t="s">
        <v>7699</v>
      </c>
      <c r="J357" s="21"/>
      <c r="K357" s="228"/>
    </row>
    <row r="358" spans="1:12" hidden="1" x14ac:dyDescent="0.25">
      <c r="A358" s="61" t="s">
        <v>460</v>
      </c>
      <c r="B358" s="14">
        <v>43601</v>
      </c>
      <c r="C358" s="13">
        <v>116</v>
      </c>
      <c r="D358" s="14" t="s">
        <v>5419</v>
      </c>
      <c r="E358" s="32" t="s">
        <v>483</v>
      </c>
      <c r="F358" s="4">
        <v>47250</v>
      </c>
      <c r="G358" s="86" t="s">
        <v>5420</v>
      </c>
      <c r="H358" s="211"/>
      <c r="I358" s="326"/>
      <c r="K358" s="62"/>
    </row>
    <row r="359" spans="1:12" hidden="1" x14ac:dyDescent="0.25">
      <c r="A359" s="61" t="s">
        <v>460</v>
      </c>
      <c r="B359" s="14">
        <v>43601</v>
      </c>
      <c r="C359" s="13">
        <v>117</v>
      </c>
      <c r="D359" s="14" t="s">
        <v>5438</v>
      </c>
      <c r="E359" s="32" t="s">
        <v>483</v>
      </c>
      <c r="F359" s="4">
        <v>36540</v>
      </c>
      <c r="G359" s="86" t="s">
        <v>5439</v>
      </c>
      <c r="H359" s="211"/>
      <c r="I359" s="326"/>
      <c r="K359" s="62"/>
    </row>
    <row r="360" spans="1:12" hidden="1" x14ac:dyDescent="0.25">
      <c r="A360" s="61" t="s">
        <v>460</v>
      </c>
      <c r="B360" s="14">
        <v>43601</v>
      </c>
      <c r="C360" s="13">
        <v>118</v>
      </c>
      <c r="D360" s="14" t="s">
        <v>5445</v>
      </c>
      <c r="E360" s="32" t="s">
        <v>483</v>
      </c>
      <c r="F360" s="4">
        <v>63910</v>
      </c>
      <c r="G360" s="86" t="s">
        <v>5446</v>
      </c>
      <c r="H360" s="211"/>
      <c r="I360" s="326"/>
      <c r="K360" s="62"/>
    </row>
    <row r="361" spans="1:12" hidden="1" x14ac:dyDescent="0.25">
      <c r="A361" s="61" t="s">
        <v>460</v>
      </c>
      <c r="B361" s="14">
        <v>43601</v>
      </c>
      <c r="C361" s="13">
        <v>587</v>
      </c>
      <c r="D361" s="14" t="s">
        <v>5447</v>
      </c>
      <c r="E361" s="32" t="s">
        <v>1121</v>
      </c>
      <c r="F361" s="4">
        <v>42400</v>
      </c>
      <c r="G361" s="86" t="s">
        <v>5448</v>
      </c>
      <c r="H361" s="211"/>
      <c r="I361" s="326"/>
      <c r="K361" s="62"/>
    </row>
    <row r="362" spans="1:12" hidden="1" x14ac:dyDescent="0.25">
      <c r="A362" s="61" t="s">
        <v>460</v>
      </c>
      <c r="B362" s="14">
        <v>43601</v>
      </c>
      <c r="C362" s="13">
        <v>588</v>
      </c>
      <c r="D362" s="14" t="s">
        <v>7617</v>
      </c>
      <c r="E362" s="32" t="s">
        <v>1121</v>
      </c>
      <c r="F362" s="4">
        <v>63600</v>
      </c>
      <c r="G362" s="86" t="s">
        <v>7619</v>
      </c>
      <c r="H362" s="211"/>
      <c r="I362" s="326"/>
      <c r="K362" s="62"/>
    </row>
    <row r="363" spans="1:12" ht="16.5" hidden="1" customHeight="1" x14ac:dyDescent="0.25">
      <c r="A363" s="13" t="s">
        <v>184</v>
      </c>
      <c r="B363" s="14">
        <v>43601</v>
      </c>
      <c r="C363" s="67">
        <v>589</v>
      </c>
      <c r="D363" s="32" t="s">
        <v>1359</v>
      </c>
      <c r="E363" s="32" t="s">
        <v>1121</v>
      </c>
      <c r="F363" s="208">
        <f>883068-500000</f>
        <v>383068</v>
      </c>
      <c r="G363" s="25" t="s">
        <v>5795</v>
      </c>
      <c r="H363" s="212">
        <v>43525</v>
      </c>
      <c r="I363" s="208" t="s">
        <v>294</v>
      </c>
      <c r="J363" s="76" t="s">
        <v>771</v>
      </c>
      <c r="K363" s="260"/>
      <c r="L363" s="62"/>
    </row>
    <row r="364" spans="1:12" ht="16.5" hidden="1" customHeight="1" x14ac:dyDescent="0.25">
      <c r="A364" s="13" t="s">
        <v>184</v>
      </c>
      <c r="B364" s="14">
        <v>43601</v>
      </c>
      <c r="C364" s="67">
        <v>590</v>
      </c>
      <c r="D364" s="32" t="s">
        <v>1359</v>
      </c>
      <c r="E364" s="32" t="s">
        <v>1121</v>
      </c>
      <c r="F364" s="208">
        <f>274951.44-245291.04</f>
        <v>29660.399999999994</v>
      </c>
      <c r="G364" s="25" t="s">
        <v>7173</v>
      </c>
      <c r="H364" s="212">
        <v>43563</v>
      </c>
      <c r="I364" s="208" t="s">
        <v>6572</v>
      </c>
      <c r="J364" s="76" t="s">
        <v>1386</v>
      </c>
      <c r="K364" s="260"/>
      <c r="L364" s="62"/>
    </row>
    <row r="365" spans="1:12" ht="15" hidden="1" customHeight="1" x14ac:dyDescent="0.25">
      <c r="A365" s="13" t="s">
        <v>184</v>
      </c>
      <c r="B365" s="14">
        <v>43601</v>
      </c>
      <c r="C365" s="13">
        <v>591</v>
      </c>
      <c r="D365" s="13" t="s">
        <v>348</v>
      </c>
      <c r="E365" s="32" t="s">
        <v>1121</v>
      </c>
      <c r="F365" s="4">
        <f>1399505.59-156432.11-1223136.07</f>
        <v>19937.409999999916</v>
      </c>
      <c r="G365" s="28" t="s">
        <v>6577</v>
      </c>
      <c r="H365" s="14">
        <v>43563</v>
      </c>
      <c r="I365" s="4" t="s">
        <v>1124</v>
      </c>
      <c r="J365" s="76" t="s">
        <v>771</v>
      </c>
    </row>
    <row r="366" spans="1:12" ht="15" hidden="1" customHeight="1" x14ac:dyDescent="0.25">
      <c r="A366" s="13" t="s">
        <v>184</v>
      </c>
      <c r="B366" s="14">
        <v>43601</v>
      </c>
      <c r="C366" s="13">
        <v>592</v>
      </c>
      <c r="D366" s="13" t="s">
        <v>348</v>
      </c>
      <c r="E366" s="32" t="s">
        <v>1121</v>
      </c>
      <c r="F366" s="4">
        <f>2736705.41-745600-1000000</f>
        <v>991105.41000000015</v>
      </c>
      <c r="G366" s="28" t="s">
        <v>6576</v>
      </c>
      <c r="H366" s="14">
        <v>43563</v>
      </c>
      <c r="I366" s="4" t="s">
        <v>309</v>
      </c>
      <c r="J366" s="76" t="s">
        <v>771</v>
      </c>
    </row>
    <row r="367" spans="1:12" ht="15" hidden="1" customHeight="1" x14ac:dyDescent="0.25">
      <c r="A367" s="13" t="s">
        <v>184</v>
      </c>
      <c r="B367" s="14">
        <v>43601</v>
      </c>
      <c r="C367" s="13">
        <v>593</v>
      </c>
      <c r="D367" s="13" t="s">
        <v>897</v>
      </c>
      <c r="E367" s="32" t="s">
        <v>1121</v>
      </c>
      <c r="F367" s="4">
        <v>112000</v>
      </c>
      <c r="G367" s="28" t="s">
        <v>6579</v>
      </c>
      <c r="H367" s="14">
        <v>43556</v>
      </c>
      <c r="I367" s="4" t="s">
        <v>6580</v>
      </c>
      <c r="J367" s="76"/>
    </row>
    <row r="368" spans="1:12" hidden="1" x14ac:dyDescent="0.25">
      <c r="A368" s="13" t="s">
        <v>184</v>
      </c>
      <c r="B368" s="14">
        <v>43601</v>
      </c>
      <c r="C368" s="67">
        <v>594</v>
      </c>
      <c r="D368" s="32" t="s">
        <v>798</v>
      </c>
      <c r="E368" s="32" t="s">
        <v>1121</v>
      </c>
      <c r="F368" s="4">
        <v>39875</v>
      </c>
      <c r="G368" s="28" t="s">
        <v>1351</v>
      </c>
      <c r="H368" s="14">
        <v>43572</v>
      </c>
      <c r="I368" s="4" t="s">
        <v>7175</v>
      </c>
      <c r="J368" s="76"/>
      <c r="K368" s="63"/>
      <c r="L368" s="62"/>
    </row>
    <row r="369" spans="1:19" ht="15" hidden="1" customHeight="1" x14ac:dyDescent="0.25">
      <c r="A369" s="13" t="s">
        <v>964</v>
      </c>
      <c r="B369" s="14">
        <v>43601</v>
      </c>
      <c r="C369" s="13">
        <v>595</v>
      </c>
      <c r="D369" s="13" t="s">
        <v>321</v>
      </c>
      <c r="E369" s="32" t="s">
        <v>1121</v>
      </c>
      <c r="F369" s="4">
        <v>40000</v>
      </c>
      <c r="G369" s="28" t="s">
        <v>68</v>
      </c>
      <c r="H369" s="14">
        <v>43585</v>
      </c>
      <c r="I369" s="4" t="s">
        <v>3670</v>
      </c>
      <c r="J369" s="76" t="s">
        <v>771</v>
      </c>
      <c r="L369" s="76"/>
    </row>
    <row r="370" spans="1:19" hidden="1" x14ac:dyDescent="0.25">
      <c r="A370" s="13" t="s">
        <v>964</v>
      </c>
      <c r="B370" s="14">
        <v>43601</v>
      </c>
      <c r="C370" s="13">
        <v>596</v>
      </c>
      <c r="D370" s="13" t="s">
        <v>1245</v>
      </c>
      <c r="E370" s="32" t="s">
        <v>1121</v>
      </c>
      <c r="F370" s="4">
        <v>21176.09</v>
      </c>
      <c r="G370" s="29" t="s">
        <v>7331</v>
      </c>
      <c r="H370" s="14">
        <v>43584</v>
      </c>
      <c r="I370" s="4" t="s">
        <v>1246</v>
      </c>
      <c r="J370" s="21" t="s">
        <v>771</v>
      </c>
      <c r="K370" s="50"/>
    </row>
    <row r="371" spans="1:19" s="192" customFormat="1" hidden="1" x14ac:dyDescent="0.25">
      <c r="A371" s="147" t="s">
        <v>242</v>
      </c>
      <c r="B371" s="14">
        <v>43601</v>
      </c>
      <c r="C371" s="195">
        <v>597</v>
      </c>
      <c r="D371" s="149" t="s">
        <v>784</v>
      </c>
      <c r="E371" s="147" t="s">
        <v>1121</v>
      </c>
      <c r="F371" s="158">
        <v>846786.16</v>
      </c>
      <c r="G371" s="150" t="s">
        <v>1210</v>
      </c>
      <c r="H371" s="148">
        <v>43592</v>
      </c>
      <c r="I371" s="149" t="s">
        <v>143</v>
      </c>
      <c r="J371" s="193"/>
      <c r="K371" s="194"/>
      <c r="L371" s="190"/>
    </row>
    <row r="372" spans="1:19" s="129" customFormat="1" ht="27.6" hidden="1" x14ac:dyDescent="0.25">
      <c r="A372" s="13" t="s">
        <v>151</v>
      </c>
      <c r="B372" s="14">
        <v>43601</v>
      </c>
      <c r="C372" s="28" t="s">
        <v>5414</v>
      </c>
      <c r="D372" s="13" t="s">
        <v>711</v>
      </c>
      <c r="E372" s="32" t="s">
        <v>1121</v>
      </c>
      <c r="F372" s="37">
        <f>1000+2200+2200+1300+3350+1200+3100</f>
        <v>14350</v>
      </c>
      <c r="G372" s="28" t="s">
        <v>7582</v>
      </c>
      <c r="H372" s="28" t="s">
        <v>7581</v>
      </c>
      <c r="I372" s="4" t="s">
        <v>712</v>
      </c>
      <c r="J372" s="170"/>
      <c r="K372" s="136"/>
    </row>
    <row r="373" spans="1:19" s="62" customFormat="1" ht="15" hidden="1" customHeight="1" x14ac:dyDescent="0.25">
      <c r="A373" s="13" t="s">
        <v>151</v>
      </c>
      <c r="B373" s="14">
        <v>43601</v>
      </c>
      <c r="C373" s="67">
        <v>599</v>
      </c>
      <c r="D373" s="13" t="s">
        <v>43</v>
      </c>
      <c r="E373" s="32" t="s">
        <v>1121</v>
      </c>
      <c r="F373" s="37">
        <v>56056.44</v>
      </c>
      <c r="G373" s="29" t="s">
        <v>7365</v>
      </c>
      <c r="H373" s="14">
        <v>43585</v>
      </c>
      <c r="I373" s="4" t="s">
        <v>3277</v>
      </c>
      <c r="J373" s="71" t="s">
        <v>771</v>
      </c>
      <c r="O373" s="35"/>
      <c r="P373" s="35"/>
      <c r="Q373" s="35"/>
      <c r="R373" s="35"/>
      <c r="S373" s="35"/>
    </row>
    <row r="374" spans="1:19" s="97" customFormat="1" hidden="1" x14ac:dyDescent="0.25">
      <c r="A374" s="13" t="s">
        <v>151</v>
      </c>
      <c r="B374" s="14">
        <v>43601</v>
      </c>
      <c r="C374" s="13">
        <v>600</v>
      </c>
      <c r="D374" s="13" t="s">
        <v>6551</v>
      </c>
      <c r="E374" s="13" t="s">
        <v>1121</v>
      </c>
      <c r="F374" s="4">
        <v>24200</v>
      </c>
      <c r="G374" s="29" t="s">
        <v>458</v>
      </c>
      <c r="H374" s="14">
        <v>43563</v>
      </c>
      <c r="I374" s="4" t="s">
        <v>6902</v>
      </c>
      <c r="J374" s="358"/>
      <c r="K374" s="76"/>
      <c r="L374" s="134"/>
    </row>
    <row r="375" spans="1:19" s="97" customFormat="1" hidden="1" x14ac:dyDescent="0.25">
      <c r="A375" s="13" t="s">
        <v>151</v>
      </c>
      <c r="B375" s="14">
        <v>43601</v>
      </c>
      <c r="C375" s="13">
        <v>600</v>
      </c>
      <c r="D375" s="13" t="s">
        <v>6551</v>
      </c>
      <c r="E375" s="13" t="s">
        <v>1121</v>
      </c>
      <c r="F375" s="4">
        <v>6600</v>
      </c>
      <c r="G375" s="29" t="s">
        <v>3211</v>
      </c>
      <c r="H375" s="14">
        <v>43564</v>
      </c>
      <c r="I375" s="4" t="s">
        <v>6901</v>
      </c>
      <c r="J375" s="358"/>
      <c r="K375" s="76"/>
      <c r="L375" s="134"/>
    </row>
    <row r="376" spans="1:19" ht="27.6" hidden="1" x14ac:dyDescent="0.25">
      <c r="A376" s="32" t="s">
        <v>151</v>
      </c>
      <c r="B376" s="14">
        <v>43601</v>
      </c>
      <c r="C376" s="67">
        <v>601</v>
      </c>
      <c r="D376" s="32" t="s">
        <v>412</v>
      </c>
      <c r="E376" s="13" t="s">
        <v>1121</v>
      </c>
      <c r="F376" s="4">
        <v>96000</v>
      </c>
      <c r="G376" s="13">
        <v>24</v>
      </c>
      <c r="H376" s="14">
        <v>43556</v>
      </c>
      <c r="I376" s="4" t="s">
        <v>2078</v>
      </c>
      <c r="J376" s="22" t="s">
        <v>771</v>
      </c>
      <c r="K376" s="245"/>
    </row>
    <row r="377" spans="1:19" s="129" customFormat="1" hidden="1" x14ac:dyDescent="0.25">
      <c r="A377" s="13" t="s">
        <v>151</v>
      </c>
      <c r="B377" s="14">
        <v>43601</v>
      </c>
      <c r="C377" s="28" t="s">
        <v>106</v>
      </c>
      <c r="D377" s="13" t="s">
        <v>6697</v>
      </c>
      <c r="E377" s="32" t="s">
        <v>22</v>
      </c>
      <c r="F377" s="4">
        <v>6720</v>
      </c>
      <c r="G377" s="28" t="s">
        <v>4084</v>
      </c>
      <c r="H377" s="14">
        <v>43598</v>
      </c>
      <c r="I377" s="4" t="s">
        <v>6698</v>
      </c>
      <c r="J377" s="22"/>
      <c r="K377" s="136"/>
    </row>
    <row r="378" spans="1:19" s="129" customFormat="1" x14ac:dyDescent="0.25">
      <c r="A378" s="13" t="s">
        <v>151</v>
      </c>
      <c r="B378" s="14">
        <v>43601</v>
      </c>
      <c r="C378" s="28" t="s">
        <v>6784</v>
      </c>
      <c r="D378" s="13" t="s">
        <v>372</v>
      </c>
      <c r="E378" s="13" t="s">
        <v>22</v>
      </c>
      <c r="F378" s="37">
        <v>150000</v>
      </c>
      <c r="G378" s="28" t="s">
        <v>7583</v>
      </c>
      <c r="H378" s="14">
        <v>43593</v>
      </c>
      <c r="I378" s="4" t="s">
        <v>836</v>
      </c>
      <c r="J378" s="133"/>
      <c r="K378" s="275"/>
    </row>
    <row r="379" spans="1:19" hidden="1" x14ac:dyDescent="0.25">
      <c r="A379" s="32" t="s">
        <v>1149</v>
      </c>
      <c r="B379" s="14">
        <v>43601</v>
      </c>
      <c r="C379" s="13">
        <v>444</v>
      </c>
      <c r="D379" s="32" t="s">
        <v>4006</v>
      </c>
      <c r="E379" s="32" t="s">
        <v>136</v>
      </c>
      <c r="F379" s="4">
        <v>2000000</v>
      </c>
      <c r="G379" s="174" t="s">
        <v>5821</v>
      </c>
      <c r="H379" s="14">
        <v>43486</v>
      </c>
      <c r="I379" s="41" t="s">
        <v>490</v>
      </c>
      <c r="K379" s="63"/>
      <c r="L379" s="62"/>
    </row>
    <row r="380" spans="1:19" s="129" customFormat="1" hidden="1" x14ac:dyDescent="0.25">
      <c r="A380" s="13" t="s">
        <v>2320</v>
      </c>
      <c r="B380" s="14">
        <v>43601</v>
      </c>
      <c r="C380" s="13">
        <v>445</v>
      </c>
      <c r="D380" s="13" t="s">
        <v>210</v>
      </c>
      <c r="E380" s="13" t="s">
        <v>136</v>
      </c>
      <c r="F380" s="37">
        <v>21994.18</v>
      </c>
      <c r="G380" s="29" t="s">
        <v>7598</v>
      </c>
      <c r="H380" s="14">
        <v>43592</v>
      </c>
      <c r="I380" s="4" t="s">
        <v>1728</v>
      </c>
      <c r="J380" s="35" t="s">
        <v>771</v>
      </c>
      <c r="K380" s="136"/>
    </row>
    <row r="381" spans="1:19" hidden="1" x14ac:dyDescent="0.25">
      <c r="A381" s="32" t="s">
        <v>311</v>
      </c>
      <c r="B381" s="14">
        <v>43601</v>
      </c>
      <c r="C381" s="13">
        <v>274</v>
      </c>
      <c r="D381" s="32" t="s">
        <v>485</v>
      </c>
      <c r="E381" s="32" t="s">
        <v>408</v>
      </c>
      <c r="F381" s="4">
        <v>14636.28</v>
      </c>
      <c r="G381" s="29" t="s">
        <v>7589</v>
      </c>
      <c r="H381" s="14">
        <v>43598</v>
      </c>
      <c r="I381" s="4" t="s">
        <v>1728</v>
      </c>
      <c r="J381" s="35" t="s">
        <v>771</v>
      </c>
      <c r="K381" s="22"/>
      <c r="L381" s="63"/>
      <c r="M381" s="62"/>
    </row>
    <row r="382" spans="1:19" hidden="1" x14ac:dyDescent="0.25">
      <c r="A382" s="68" t="s">
        <v>91</v>
      </c>
      <c r="B382" s="14">
        <v>43601</v>
      </c>
      <c r="C382" s="13">
        <v>376</v>
      </c>
      <c r="D382" s="13" t="s">
        <v>7599</v>
      </c>
      <c r="E382" s="32" t="s">
        <v>891</v>
      </c>
      <c r="F382" s="4">
        <v>150000</v>
      </c>
      <c r="G382" s="29" t="s">
        <v>791</v>
      </c>
      <c r="H382" s="14">
        <v>43598</v>
      </c>
      <c r="I382" s="4" t="s">
        <v>7600</v>
      </c>
      <c r="J382" s="128"/>
    </row>
    <row r="383" spans="1:19" hidden="1" x14ac:dyDescent="0.25">
      <c r="A383" s="68" t="s">
        <v>91</v>
      </c>
      <c r="B383" s="14">
        <v>43601</v>
      </c>
      <c r="C383" s="13">
        <v>377</v>
      </c>
      <c r="D383" s="13" t="s">
        <v>7648</v>
      </c>
      <c r="E383" s="32" t="s">
        <v>891</v>
      </c>
      <c r="F383" s="4">
        <v>9125</v>
      </c>
      <c r="G383" s="29" t="s">
        <v>3424</v>
      </c>
      <c r="H383" s="14">
        <v>43585</v>
      </c>
      <c r="I383" s="4" t="s">
        <v>7649</v>
      </c>
      <c r="J383" s="128"/>
    </row>
    <row r="384" spans="1:19" hidden="1" x14ac:dyDescent="0.25">
      <c r="A384" s="32" t="s">
        <v>668</v>
      </c>
      <c r="B384" s="14">
        <v>43601</v>
      </c>
      <c r="C384" s="67">
        <v>378</v>
      </c>
      <c r="D384" s="32" t="s">
        <v>373</v>
      </c>
      <c r="E384" s="32" t="s">
        <v>891</v>
      </c>
      <c r="F384" s="4">
        <v>819004.78</v>
      </c>
      <c r="G384" s="28" t="s">
        <v>5575</v>
      </c>
      <c r="H384" s="14">
        <v>43459</v>
      </c>
      <c r="I384" s="4" t="s">
        <v>362</v>
      </c>
      <c r="J384" s="166" t="s">
        <v>239</v>
      </c>
      <c r="K384" s="167"/>
      <c r="L384" s="35"/>
    </row>
    <row r="385" spans="1:19" hidden="1" x14ac:dyDescent="0.25">
      <c r="A385" s="32" t="s">
        <v>527</v>
      </c>
      <c r="B385" s="14">
        <v>43601</v>
      </c>
      <c r="C385" s="67">
        <v>379</v>
      </c>
      <c r="D385" s="32" t="s">
        <v>373</v>
      </c>
      <c r="E385" s="32" t="s">
        <v>891</v>
      </c>
      <c r="F385" s="4">
        <v>536831.76</v>
      </c>
      <c r="G385" s="28" t="s">
        <v>5577</v>
      </c>
      <c r="H385" s="14">
        <v>43459</v>
      </c>
      <c r="I385" s="4" t="s">
        <v>362</v>
      </c>
      <c r="J385" s="166" t="s">
        <v>239</v>
      </c>
      <c r="K385" s="167"/>
      <c r="L385" s="35"/>
    </row>
    <row r="386" spans="1:19" s="115" customFormat="1" ht="27.6" hidden="1" x14ac:dyDescent="0.25">
      <c r="A386" s="13" t="s">
        <v>35</v>
      </c>
      <c r="B386" s="14">
        <v>43601</v>
      </c>
      <c r="C386" s="13">
        <v>800</v>
      </c>
      <c r="D386" s="13" t="s">
        <v>3269</v>
      </c>
      <c r="E386" s="13" t="s">
        <v>1642</v>
      </c>
      <c r="F386" s="37">
        <v>230000</v>
      </c>
      <c r="G386" s="29" t="s">
        <v>6973</v>
      </c>
      <c r="H386" s="14">
        <v>43551</v>
      </c>
      <c r="I386" s="4" t="s">
        <v>1150</v>
      </c>
      <c r="J386" s="71"/>
      <c r="K386" s="116"/>
      <c r="L386" s="116"/>
      <c r="M386" s="116"/>
      <c r="N386" s="116"/>
      <c r="O386" s="117"/>
      <c r="P386" s="117"/>
      <c r="Q386" s="117"/>
      <c r="R386" s="117"/>
      <c r="S386" s="117"/>
    </row>
    <row r="387" spans="1:19" ht="15" hidden="1" customHeight="1" x14ac:dyDescent="0.25">
      <c r="A387" s="68" t="s">
        <v>310</v>
      </c>
      <c r="B387" s="14">
        <v>43601</v>
      </c>
      <c r="C387" s="13">
        <v>145</v>
      </c>
      <c r="D387" s="32" t="s">
        <v>281</v>
      </c>
      <c r="E387" s="32" t="s">
        <v>314</v>
      </c>
      <c r="F387" s="4">
        <v>125610.65</v>
      </c>
      <c r="G387" s="29" t="s">
        <v>7624</v>
      </c>
      <c r="H387" s="14">
        <v>43598</v>
      </c>
      <c r="I387" s="41" t="s">
        <v>362</v>
      </c>
      <c r="J387" s="35" t="s">
        <v>771</v>
      </c>
      <c r="K387" s="35"/>
      <c r="L387" s="35"/>
    </row>
    <row r="388" spans="1:19" hidden="1" x14ac:dyDescent="0.25">
      <c r="A388" s="68" t="s">
        <v>349</v>
      </c>
      <c r="B388" s="14">
        <v>43601</v>
      </c>
      <c r="C388" s="13">
        <v>797</v>
      </c>
      <c r="D388" s="32" t="s">
        <v>1805</v>
      </c>
      <c r="E388" s="32" t="s">
        <v>130</v>
      </c>
      <c r="F388" s="4">
        <v>45000</v>
      </c>
      <c r="G388" s="29" t="s">
        <v>7595</v>
      </c>
      <c r="H388" s="14"/>
      <c r="I388" s="208" t="s">
        <v>6541</v>
      </c>
      <c r="J388" s="21"/>
      <c r="K388" s="35"/>
    </row>
    <row r="389" spans="1:19" hidden="1" x14ac:dyDescent="0.25">
      <c r="A389" s="61" t="s">
        <v>55</v>
      </c>
      <c r="B389" s="14">
        <v>43601</v>
      </c>
      <c r="C389" s="13">
        <v>798</v>
      </c>
      <c r="D389" s="13" t="s">
        <v>679</v>
      </c>
      <c r="E389" s="32" t="s">
        <v>130</v>
      </c>
      <c r="F389" s="4">
        <v>288480.15999999997</v>
      </c>
      <c r="G389" s="86" t="s">
        <v>1797</v>
      </c>
      <c r="H389" s="211"/>
      <c r="I389" s="4" t="s">
        <v>1798</v>
      </c>
      <c r="J389" s="21"/>
      <c r="K389" s="228"/>
    </row>
    <row r="390" spans="1:19" ht="13.95" hidden="1" customHeight="1" x14ac:dyDescent="0.25">
      <c r="A390" s="61" t="s">
        <v>129</v>
      </c>
      <c r="B390" s="14">
        <v>43601</v>
      </c>
      <c r="C390" s="13">
        <v>799</v>
      </c>
      <c r="D390" s="13" t="s">
        <v>679</v>
      </c>
      <c r="E390" s="32" t="s">
        <v>130</v>
      </c>
      <c r="F390" s="4">
        <v>212000</v>
      </c>
      <c r="G390" s="86" t="s">
        <v>1370</v>
      </c>
      <c r="H390" s="211"/>
      <c r="I390" s="4" t="s">
        <v>270</v>
      </c>
      <c r="J390" s="21"/>
      <c r="K390" s="228"/>
    </row>
    <row r="391" spans="1:19" hidden="1" x14ac:dyDescent="0.25">
      <c r="A391" s="13" t="s">
        <v>1316</v>
      </c>
      <c r="B391" s="126">
        <v>43601</v>
      </c>
      <c r="C391" s="28" t="s">
        <v>2519</v>
      </c>
      <c r="D391" s="13" t="s">
        <v>6350</v>
      </c>
      <c r="E391" s="13" t="s">
        <v>60</v>
      </c>
      <c r="F391" s="37">
        <v>12087.98</v>
      </c>
      <c r="G391" s="29" t="s">
        <v>6359</v>
      </c>
      <c r="H391" s="14">
        <v>43556</v>
      </c>
      <c r="I391" s="4" t="s">
        <v>6352</v>
      </c>
      <c r="J391" s="128"/>
      <c r="K391" s="71"/>
    </row>
    <row r="392" spans="1:19" ht="14.1" hidden="1" customHeight="1" x14ac:dyDescent="0.25">
      <c r="A392" s="32" t="s">
        <v>310</v>
      </c>
      <c r="B392" s="14">
        <v>43601</v>
      </c>
      <c r="C392" s="13" t="s">
        <v>7847</v>
      </c>
      <c r="D392" s="32" t="s">
        <v>541</v>
      </c>
      <c r="E392" s="13" t="s">
        <v>958</v>
      </c>
      <c r="F392" s="4">
        <v>750000</v>
      </c>
      <c r="G392" s="86" t="s">
        <v>4474</v>
      </c>
      <c r="H392" s="211"/>
      <c r="I392" s="208" t="s">
        <v>4473</v>
      </c>
      <c r="J392" s="21"/>
      <c r="K392" s="228"/>
    </row>
    <row r="393" spans="1:19" ht="13.95" hidden="1" customHeight="1" x14ac:dyDescent="0.25">
      <c r="A393" s="68" t="s">
        <v>310</v>
      </c>
      <c r="B393" s="14">
        <v>43601</v>
      </c>
      <c r="C393" s="13">
        <v>456</v>
      </c>
      <c r="D393" s="13" t="s">
        <v>510</v>
      </c>
      <c r="E393" s="32" t="s">
        <v>958</v>
      </c>
      <c r="F393" s="4">
        <v>4960000</v>
      </c>
      <c r="G393" s="86" t="s">
        <v>4467</v>
      </c>
      <c r="H393" s="14"/>
      <c r="I393" s="4" t="s">
        <v>237</v>
      </c>
      <c r="J393" s="71"/>
      <c r="K393" s="62"/>
      <c r="L393" s="62"/>
    </row>
    <row r="394" spans="1:19" s="97" customFormat="1" hidden="1" x14ac:dyDescent="0.25">
      <c r="A394" s="61" t="s">
        <v>455</v>
      </c>
      <c r="B394" s="14">
        <v>43601</v>
      </c>
      <c r="C394" s="13">
        <v>459</v>
      </c>
      <c r="D394" s="13" t="s">
        <v>254</v>
      </c>
      <c r="E394" s="13" t="s">
        <v>958</v>
      </c>
      <c r="F394" s="4">
        <f>842200.08-300000</f>
        <v>542200.07999999996</v>
      </c>
      <c r="G394" s="29" t="s">
        <v>6142</v>
      </c>
      <c r="H394" s="14">
        <v>43553</v>
      </c>
      <c r="I394" s="4" t="s">
        <v>421</v>
      </c>
      <c r="J394" s="133"/>
      <c r="K394" s="22"/>
      <c r="L394" s="134"/>
    </row>
    <row r="395" spans="1:19" s="97" customFormat="1" hidden="1" x14ac:dyDescent="0.25">
      <c r="A395" s="61" t="s">
        <v>455</v>
      </c>
      <c r="B395" s="14">
        <v>43601</v>
      </c>
      <c r="C395" s="13">
        <v>460</v>
      </c>
      <c r="D395" s="13" t="s">
        <v>589</v>
      </c>
      <c r="E395" s="13" t="s">
        <v>958</v>
      </c>
      <c r="F395" s="37">
        <v>861369</v>
      </c>
      <c r="G395" s="29" t="s">
        <v>6485</v>
      </c>
      <c r="H395" s="14">
        <v>43560</v>
      </c>
      <c r="I395" s="4" t="s">
        <v>443</v>
      </c>
      <c r="J395" s="133"/>
      <c r="K395" s="22"/>
      <c r="L395" s="134"/>
    </row>
    <row r="396" spans="1:19" s="97" customFormat="1" hidden="1" x14ac:dyDescent="0.25">
      <c r="A396" s="61" t="s">
        <v>455</v>
      </c>
      <c r="B396" s="14">
        <v>43601</v>
      </c>
      <c r="C396" s="13">
        <v>461</v>
      </c>
      <c r="D396" s="13" t="s">
        <v>589</v>
      </c>
      <c r="E396" s="13" t="s">
        <v>958</v>
      </c>
      <c r="F396" s="37">
        <v>567000</v>
      </c>
      <c r="G396" s="29" t="s">
        <v>6486</v>
      </c>
      <c r="H396" s="14">
        <v>43560</v>
      </c>
      <c r="I396" s="4" t="s">
        <v>423</v>
      </c>
      <c r="J396" s="133"/>
      <c r="K396" s="22"/>
      <c r="L396" s="134"/>
    </row>
    <row r="397" spans="1:19" s="129" customFormat="1" ht="13.95" hidden="1" customHeight="1" x14ac:dyDescent="0.25">
      <c r="A397" s="13" t="s">
        <v>151</v>
      </c>
      <c r="B397" s="14">
        <v>43601</v>
      </c>
      <c r="C397" s="28" t="s">
        <v>7848</v>
      </c>
      <c r="D397" s="13" t="s">
        <v>1078</v>
      </c>
      <c r="E397" s="13" t="s">
        <v>958</v>
      </c>
      <c r="F397" s="4">
        <v>12752.36</v>
      </c>
      <c r="G397" s="28" t="s">
        <v>430</v>
      </c>
      <c r="H397" s="14">
        <v>43553</v>
      </c>
      <c r="I397" s="4" t="s">
        <v>4069</v>
      </c>
      <c r="J397" s="22"/>
      <c r="K397" s="136"/>
    </row>
    <row r="398" spans="1:19" s="2" customFormat="1" hidden="1" x14ac:dyDescent="0.25">
      <c r="A398" s="32" t="s">
        <v>741</v>
      </c>
      <c r="B398" s="14">
        <v>43601</v>
      </c>
      <c r="C398" s="13">
        <v>506</v>
      </c>
      <c r="D398" s="13" t="s">
        <v>1739</v>
      </c>
      <c r="E398" s="13" t="s">
        <v>434</v>
      </c>
      <c r="F398" s="4">
        <f>1857600-307600-689000</f>
        <v>861000</v>
      </c>
      <c r="G398" s="28" t="s">
        <v>462</v>
      </c>
      <c r="H398" s="14">
        <v>43530</v>
      </c>
      <c r="I398" s="4" t="s">
        <v>4889</v>
      </c>
      <c r="J398" s="121"/>
      <c r="K398" s="5"/>
    </row>
    <row r="399" spans="1:19" s="2" customFormat="1" hidden="1" x14ac:dyDescent="0.25">
      <c r="A399" s="61" t="s">
        <v>741</v>
      </c>
      <c r="B399" s="14">
        <v>43601</v>
      </c>
      <c r="C399" s="13">
        <v>507</v>
      </c>
      <c r="D399" s="13" t="s">
        <v>1690</v>
      </c>
      <c r="E399" s="13" t="s">
        <v>434</v>
      </c>
      <c r="F399" s="4">
        <v>3500</v>
      </c>
      <c r="G399" s="28" t="s">
        <v>6792</v>
      </c>
      <c r="H399" s="14">
        <v>43571</v>
      </c>
      <c r="I399" s="4" t="s">
        <v>1301</v>
      </c>
      <c r="J399" s="121"/>
      <c r="K399" s="5"/>
    </row>
    <row r="400" spans="1:19" hidden="1" x14ac:dyDescent="0.25">
      <c r="A400" s="61" t="s">
        <v>741</v>
      </c>
      <c r="B400" s="14">
        <v>43601</v>
      </c>
      <c r="C400" s="13">
        <v>507</v>
      </c>
      <c r="D400" s="13" t="s">
        <v>1690</v>
      </c>
      <c r="E400" s="13" t="s">
        <v>434</v>
      </c>
      <c r="F400" s="4">
        <v>3500</v>
      </c>
      <c r="G400" s="28" t="s">
        <v>7063</v>
      </c>
      <c r="H400" s="14">
        <v>43578</v>
      </c>
      <c r="I400" s="4" t="s">
        <v>1301</v>
      </c>
      <c r="J400" s="128"/>
    </row>
    <row r="401" spans="1:12" hidden="1" x14ac:dyDescent="0.25">
      <c r="A401" s="61" t="s">
        <v>741</v>
      </c>
      <c r="B401" s="14">
        <v>43601</v>
      </c>
      <c r="C401" s="13">
        <v>507</v>
      </c>
      <c r="D401" s="13" t="s">
        <v>1690</v>
      </c>
      <c r="E401" s="13" t="s">
        <v>434</v>
      </c>
      <c r="F401" s="4">
        <v>12800</v>
      </c>
      <c r="G401" s="28" t="s">
        <v>7439</v>
      </c>
      <c r="H401" s="14">
        <v>43584</v>
      </c>
      <c r="I401" s="4" t="s">
        <v>1301</v>
      </c>
      <c r="J401" s="128"/>
    </row>
    <row r="402" spans="1:12" hidden="1" x14ac:dyDescent="0.25">
      <c r="A402" s="61" t="s">
        <v>741</v>
      </c>
      <c r="B402" s="14">
        <v>43601</v>
      </c>
      <c r="C402" s="13">
        <v>508</v>
      </c>
      <c r="D402" s="13" t="s">
        <v>115</v>
      </c>
      <c r="E402" s="13" t="s">
        <v>434</v>
      </c>
      <c r="F402" s="4">
        <v>9798</v>
      </c>
      <c r="G402" s="28" t="s">
        <v>7064</v>
      </c>
      <c r="H402" s="14">
        <v>43560</v>
      </c>
      <c r="I402" s="4" t="s">
        <v>7065</v>
      </c>
      <c r="J402" s="128"/>
    </row>
    <row r="403" spans="1:12" hidden="1" x14ac:dyDescent="0.25">
      <c r="A403" s="61" t="s">
        <v>741</v>
      </c>
      <c r="B403" s="14">
        <v>43601</v>
      </c>
      <c r="C403" s="13">
        <v>508</v>
      </c>
      <c r="D403" s="13" t="s">
        <v>115</v>
      </c>
      <c r="E403" s="13" t="s">
        <v>434</v>
      </c>
      <c r="F403" s="4">
        <v>13271</v>
      </c>
      <c r="G403" s="28" t="s">
        <v>201</v>
      </c>
      <c r="H403" s="14">
        <v>43266</v>
      </c>
      <c r="I403" s="4" t="s">
        <v>7627</v>
      </c>
      <c r="J403" s="128"/>
    </row>
    <row r="404" spans="1:12" hidden="1" x14ac:dyDescent="0.25">
      <c r="A404" s="68" t="s">
        <v>741</v>
      </c>
      <c r="B404" s="14">
        <v>43601</v>
      </c>
      <c r="C404" s="13">
        <v>509</v>
      </c>
      <c r="D404" s="13" t="s">
        <v>2005</v>
      </c>
      <c r="E404" s="218" t="s">
        <v>434</v>
      </c>
      <c r="F404" s="224">
        <v>2960</v>
      </c>
      <c r="G404" s="70" t="s">
        <v>7069</v>
      </c>
      <c r="H404" s="211">
        <v>43560</v>
      </c>
      <c r="I404" s="32" t="s">
        <v>344</v>
      </c>
      <c r="J404" s="128"/>
    </row>
    <row r="405" spans="1:12" ht="13.95" hidden="1" customHeight="1" x14ac:dyDescent="0.25">
      <c r="A405" s="61" t="s">
        <v>311</v>
      </c>
      <c r="B405" s="14">
        <v>43601</v>
      </c>
      <c r="C405" s="28" t="s">
        <v>4380</v>
      </c>
      <c r="D405" s="13" t="s">
        <v>7849</v>
      </c>
      <c r="E405" s="13" t="s">
        <v>408</v>
      </c>
      <c r="F405" s="4">
        <v>180000</v>
      </c>
      <c r="G405" s="28" t="s">
        <v>7850</v>
      </c>
      <c r="H405" s="14">
        <v>43600</v>
      </c>
      <c r="I405" s="4" t="s">
        <v>7851</v>
      </c>
    </row>
    <row r="406" spans="1:12" ht="13.95" hidden="1" customHeight="1" x14ac:dyDescent="0.25">
      <c r="A406" s="61" t="s">
        <v>639</v>
      </c>
      <c r="B406" s="14">
        <v>43601</v>
      </c>
      <c r="C406" s="28" t="s">
        <v>7852</v>
      </c>
      <c r="D406" s="13" t="s">
        <v>7849</v>
      </c>
      <c r="E406" s="13" t="s">
        <v>547</v>
      </c>
      <c r="F406" s="4">
        <v>180000</v>
      </c>
      <c r="G406" s="28" t="s">
        <v>7853</v>
      </c>
      <c r="H406" s="14">
        <v>43600</v>
      </c>
      <c r="I406" s="4" t="s">
        <v>7851</v>
      </c>
    </row>
    <row r="407" spans="1:12" ht="13.95" hidden="1" customHeight="1" x14ac:dyDescent="0.25">
      <c r="A407" s="61" t="s">
        <v>455</v>
      </c>
      <c r="B407" s="14">
        <v>43601</v>
      </c>
      <c r="C407" s="28" t="s">
        <v>4132</v>
      </c>
      <c r="D407" s="13" t="s">
        <v>7849</v>
      </c>
      <c r="E407" s="13" t="s">
        <v>440</v>
      </c>
      <c r="F407" s="4">
        <v>180000</v>
      </c>
      <c r="G407" s="28" t="s">
        <v>7854</v>
      </c>
      <c r="H407" s="14">
        <v>43600</v>
      </c>
      <c r="I407" s="4" t="s">
        <v>7851</v>
      </c>
    </row>
    <row r="408" spans="1:12" s="192" customFormat="1" ht="27.6" hidden="1" x14ac:dyDescent="0.25">
      <c r="A408" s="147" t="s">
        <v>242</v>
      </c>
      <c r="B408" s="164">
        <v>43602</v>
      </c>
      <c r="C408" s="195">
        <v>942</v>
      </c>
      <c r="D408" s="233" t="s">
        <v>784</v>
      </c>
      <c r="E408" s="147" t="s">
        <v>7943</v>
      </c>
      <c r="F408" s="158">
        <v>97440</v>
      </c>
      <c r="G408" s="150" t="s">
        <v>3339</v>
      </c>
      <c r="H408" s="148">
        <v>43592</v>
      </c>
      <c r="I408" s="233" t="s">
        <v>143</v>
      </c>
      <c r="J408" s="193"/>
      <c r="K408" s="194"/>
      <c r="L408" s="190"/>
    </row>
    <row r="409" spans="1:12" s="192" customFormat="1" ht="27.6" hidden="1" x14ac:dyDescent="0.25">
      <c r="A409" s="147" t="s">
        <v>242</v>
      </c>
      <c r="B409" s="164">
        <v>43602</v>
      </c>
      <c r="C409" s="195">
        <v>942</v>
      </c>
      <c r="D409" s="233" t="s">
        <v>784</v>
      </c>
      <c r="E409" s="147" t="s">
        <v>7943</v>
      </c>
      <c r="F409" s="158">
        <v>886878.4</v>
      </c>
      <c r="G409" s="150" t="s">
        <v>3273</v>
      </c>
      <c r="H409" s="148">
        <v>43592</v>
      </c>
      <c r="I409" s="233" t="s">
        <v>143</v>
      </c>
      <c r="J409" s="193"/>
      <c r="K409" s="194"/>
      <c r="L409" s="190"/>
    </row>
    <row r="410" spans="1:12" s="97" customFormat="1" ht="27.6" hidden="1" x14ac:dyDescent="0.25">
      <c r="A410" s="13" t="s">
        <v>92</v>
      </c>
      <c r="B410" s="164">
        <v>43602</v>
      </c>
      <c r="C410" s="13">
        <v>941</v>
      </c>
      <c r="D410" s="13" t="s">
        <v>3056</v>
      </c>
      <c r="E410" s="147" t="s">
        <v>7943</v>
      </c>
      <c r="F410" s="4">
        <v>41800</v>
      </c>
      <c r="G410" s="29" t="s">
        <v>7377</v>
      </c>
      <c r="H410" s="14">
        <v>43585</v>
      </c>
      <c r="I410" s="4" t="s">
        <v>3057</v>
      </c>
      <c r="J410" s="358"/>
      <c r="K410" s="473"/>
      <c r="L410" s="134"/>
    </row>
    <row r="411" spans="1:12" ht="27.6" hidden="1" x14ac:dyDescent="0.25">
      <c r="A411" s="68" t="s">
        <v>92</v>
      </c>
      <c r="B411" s="164">
        <v>43602</v>
      </c>
      <c r="C411" s="13">
        <v>943</v>
      </c>
      <c r="D411" s="13" t="s">
        <v>373</v>
      </c>
      <c r="E411" s="147" t="s">
        <v>7943</v>
      </c>
      <c r="F411" s="4">
        <v>81743.399999999994</v>
      </c>
      <c r="G411" s="29" t="s">
        <v>7597</v>
      </c>
      <c r="H411" s="14">
        <v>43598</v>
      </c>
      <c r="I411" s="4" t="s">
        <v>7333</v>
      </c>
      <c r="J411" s="128"/>
    </row>
    <row r="412" spans="1:12" s="192" customFormat="1" ht="27.6" hidden="1" x14ac:dyDescent="0.25">
      <c r="A412" s="147" t="s">
        <v>242</v>
      </c>
      <c r="B412" s="164">
        <v>43602</v>
      </c>
      <c r="C412" s="195">
        <v>944</v>
      </c>
      <c r="D412" s="149" t="s">
        <v>490</v>
      </c>
      <c r="E412" s="147" t="s">
        <v>7943</v>
      </c>
      <c r="F412" s="158">
        <v>266007.84999999998</v>
      </c>
      <c r="G412" s="150" t="s">
        <v>7388</v>
      </c>
      <c r="H412" s="148">
        <v>43563</v>
      </c>
      <c r="I412" s="149" t="s">
        <v>143</v>
      </c>
      <c r="J412" s="193"/>
      <c r="K412" s="194"/>
      <c r="L412" s="190"/>
    </row>
    <row r="413" spans="1:12" s="192" customFormat="1" ht="27.6" hidden="1" x14ac:dyDescent="0.25">
      <c r="A413" s="147" t="s">
        <v>242</v>
      </c>
      <c r="B413" s="164">
        <v>43602</v>
      </c>
      <c r="C413" s="187">
        <v>945</v>
      </c>
      <c r="D413" s="149" t="s">
        <v>388</v>
      </c>
      <c r="E413" s="147" t="s">
        <v>7943</v>
      </c>
      <c r="F413" s="158">
        <v>1399974.8</v>
      </c>
      <c r="G413" s="150" t="s">
        <v>4091</v>
      </c>
      <c r="H413" s="148">
        <v>43592</v>
      </c>
      <c r="I413" s="149" t="s">
        <v>143</v>
      </c>
      <c r="J413" s="193"/>
      <c r="K413" s="194"/>
      <c r="L413" s="190"/>
    </row>
    <row r="414" spans="1:12" ht="13.95" hidden="1" customHeight="1" x14ac:dyDescent="0.25">
      <c r="A414" s="68" t="s">
        <v>407</v>
      </c>
      <c r="B414" s="14">
        <v>43602</v>
      </c>
      <c r="C414" s="13">
        <v>55</v>
      </c>
      <c r="D414" s="32" t="s">
        <v>34</v>
      </c>
      <c r="E414" s="32" t="s">
        <v>488</v>
      </c>
      <c r="F414" s="4">
        <v>507185.72</v>
      </c>
      <c r="G414" s="86" t="s">
        <v>6064</v>
      </c>
      <c r="H414" s="211"/>
      <c r="I414" s="208" t="s">
        <v>6065</v>
      </c>
      <c r="J414" s="21"/>
      <c r="K414" s="228"/>
    </row>
    <row r="415" spans="1:12" s="97" customFormat="1" hidden="1" x14ac:dyDescent="0.25">
      <c r="A415" s="61" t="s">
        <v>1148</v>
      </c>
      <c r="B415" s="14">
        <v>43602</v>
      </c>
      <c r="C415" s="13">
        <v>843</v>
      </c>
      <c r="D415" s="13" t="s">
        <v>254</v>
      </c>
      <c r="E415" s="13" t="s">
        <v>808</v>
      </c>
      <c r="F415" s="37">
        <v>857252.03</v>
      </c>
      <c r="G415" s="29" t="s">
        <v>7089</v>
      </c>
      <c r="H415" s="14">
        <v>43558</v>
      </c>
      <c r="I415" s="4" t="s">
        <v>7090</v>
      </c>
      <c r="J415" s="133"/>
      <c r="K415" s="22"/>
      <c r="L415" s="134"/>
    </row>
    <row r="416" spans="1:12" s="97" customFormat="1" hidden="1" x14ac:dyDescent="0.25">
      <c r="A416" s="61" t="s">
        <v>1148</v>
      </c>
      <c r="B416" s="14">
        <v>43602</v>
      </c>
      <c r="C416" s="13">
        <v>843</v>
      </c>
      <c r="D416" s="13" t="s">
        <v>254</v>
      </c>
      <c r="E416" s="13" t="s">
        <v>808</v>
      </c>
      <c r="F416" s="37">
        <v>850000.08</v>
      </c>
      <c r="G416" s="29" t="s">
        <v>7091</v>
      </c>
      <c r="H416" s="14">
        <v>43558</v>
      </c>
      <c r="I416" s="4" t="s">
        <v>421</v>
      </c>
      <c r="J416" s="133"/>
      <c r="K416" s="22"/>
      <c r="L416" s="134"/>
    </row>
    <row r="417" spans="1:19" s="97" customFormat="1" hidden="1" x14ac:dyDescent="0.25">
      <c r="A417" s="61" t="s">
        <v>1148</v>
      </c>
      <c r="B417" s="14">
        <v>43602</v>
      </c>
      <c r="C417" s="13">
        <v>844</v>
      </c>
      <c r="D417" s="13" t="s">
        <v>589</v>
      </c>
      <c r="E417" s="13" t="s">
        <v>808</v>
      </c>
      <c r="F417" s="4">
        <f>825759.5-300000</f>
        <v>525759.5</v>
      </c>
      <c r="G417" s="29" t="s">
        <v>6145</v>
      </c>
      <c r="H417" s="14">
        <v>43558</v>
      </c>
      <c r="I417" s="4" t="s">
        <v>1349</v>
      </c>
      <c r="J417" s="133"/>
      <c r="K417" s="22"/>
      <c r="L417" s="134"/>
    </row>
    <row r="418" spans="1:19" s="97" customFormat="1" hidden="1" x14ac:dyDescent="0.25">
      <c r="A418" s="61" t="s">
        <v>1148</v>
      </c>
      <c r="B418" s="14">
        <v>43602</v>
      </c>
      <c r="C418" s="13">
        <v>844</v>
      </c>
      <c r="D418" s="13" t="s">
        <v>589</v>
      </c>
      <c r="E418" s="13" t="s">
        <v>808</v>
      </c>
      <c r="F418" s="37">
        <v>796618.8</v>
      </c>
      <c r="G418" s="29" t="s">
        <v>7468</v>
      </c>
      <c r="H418" s="14">
        <v>43567</v>
      </c>
      <c r="I418" s="4" t="s">
        <v>421</v>
      </c>
      <c r="J418" s="133"/>
      <c r="K418" s="22"/>
      <c r="L418" s="134"/>
    </row>
    <row r="419" spans="1:19" hidden="1" x14ac:dyDescent="0.25">
      <c r="A419" s="13" t="s">
        <v>1934</v>
      </c>
      <c r="B419" s="14">
        <v>43602</v>
      </c>
      <c r="C419" s="28" t="s">
        <v>6137</v>
      </c>
      <c r="D419" s="13" t="s">
        <v>6350</v>
      </c>
      <c r="E419" s="13" t="s">
        <v>808</v>
      </c>
      <c r="F419" s="37">
        <v>71573.350000000006</v>
      </c>
      <c r="G419" s="29" t="s">
        <v>6351</v>
      </c>
      <c r="H419" s="14">
        <v>43557</v>
      </c>
      <c r="I419" s="4" t="s">
        <v>6352</v>
      </c>
      <c r="J419" s="128"/>
      <c r="K419" s="71"/>
    </row>
    <row r="420" spans="1:19" hidden="1" x14ac:dyDescent="0.25">
      <c r="A420" s="13" t="s">
        <v>1316</v>
      </c>
      <c r="B420" s="14">
        <v>43602</v>
      </c>
      <c r="C420" s="28" t="s">
        <v>6137</v>
      </c>
      <c r="D420" s="13" t="s">
        <v>6350</v>
      </c>
      <c r="E420" s="13" t="s">
        <v>808</v>
      </c>
      <c r="F420" s="37">
        <v>25240.38</v>
      </c>
      <c r="G420" s="29" t="s">
        <v>4342</v>
      </c>
      <c r="H420" s="14">
        <v>43556</v>
      </c>
      <c r="I420" s="4" t="s">
        <v>6352</v>
      </c>
      <c r="J420" s="128"/>
      <c r="K420" s="71"/>
    </row>
    <row r="421" spans="1:19" hidden="1" x14ac:dyDescent="0.25">
      <c r="A421" s="13" t="s">
        <v>659</v>
      </c>
      <c r="B421" s="14">
        <v>43602</v>
      </c>
      <c r="C421" s="28" t="s">
        <v>6137</v>
      </c>
      <c r="D421" s="13" t="s">
        <v>6350</v>
      </c>
      <c r="E421" s="13" t="s">
        <v>808</v>
      </c>
      <c r="F421" s="37">
        <v>36036.81</v>
      </c>
      <c r="G421" s="29" t="s">
        <v>6361</v>
      </c>
      <c r="H421" s="14">
        <v>43551</v>
      </c>
      <c r="I421" s="4" t="s">
        <v>6352</v>
      </c>
      <c r="J421" s="128"/>
      <c r="K421" s="71"/>
    </row>
    <row r="422" spans="1:19" s="62" customFormat="1" ht="15" hidden="1" customHeight="1" x14ac:dyDescent="0.25">
      <c r="A422" s="13" t="s">
        <v>1316</v>
      </c>
      <c r="B422" s="14">
        <v>43602</v>
      </c>
      <c r="C422" s="28" t="s">
        <v>7944</v>
      </c>
      <c r="D422" s="13" t="s">
        <v>1555</v>
      </c>
      <c r="E422" s="32" t="s">
        <v>808</v>
      </c>
      <c r="F422" s="37">
        <v>18840</v>
      </c>
      <c r="G422" s="29" t="s">
        <v>7406</v>
      </c>
      <c r="H422" s="14">
        <v>43585</v>
      </c>
      <c r="I422" s="4" t="s">
        <v>118</v>
      </c>
      <c r="J422" s="71" t="s">
        <v>1386</v>
      </c>
      <c r="O422" s="35"/>
      <c r="P422" s="35"/>
      <c r="Q422" s="35"/>
      <c r="R422" s="35"/>
      <c r="S422" s="35"/>
    </row>
    <row r="423" spans="1:19" ht="13.8" hidden="1" customHeight="1" x14ac:dyDescent="0.25">
      <c r="A423" s="32" t="s">
        <v>1148</v>
      </c>
      <c r="B423" s="14">
        <v>43602</v>
      </c>
      <c r="C423" s="13">
        <v>847</v>
      </c>
      <c r="D423" s="32" t="s">
        <v>181</v>
      </c>
      <c r="E423" s="32" t="s">
        <v>808</v>
      </c>
      <c r="F423" s="4">
        <v>63600</v>
      </c>
      <c r="G423" s="29" t="s">
        <v>7247</v>
      </c>
      <c r="H423" s="14">
        <v>43578</v>
      </c>
      <c r="I423" s="4" t="s">
        <v>102</v>
      </c>
      <c r="J423" s="21"/>
      <c r="K423" s="228"/>
    </row>
    <row r="424" spans="1:19" hidden="1" x14ac:dyDescent="0.25">
      <c r="A424" s="61" t="s">
        <v>1148</v>
      </c>
      <c r="B424" s="14">
        <v>43602</v>
      </c>
      <c r="C424" s="13">
        <v>848</v>
      </c>
      <c r="D424" s="13" t="s">
        <v>447</v>
      </c>
      <c r="E424" s="13" t="s">
        <v>808</v>
      </c>
      <c r="F424" s="37">
        <v>325500</v>
      </c>
      <c r="G424" s="29" t="s">
        <v>1295</v>
      </c>
      <c r="H424" s="14">
        <v>43555</v>
      </c>
      <c r="I424" s="4" t="s">
        <v>1328</v>
      </c>
      <c r="J424" s="128"/>
    </row>
    <row r="425" spans="1:19" hidden="1" x14ac:dyDescent="0.25">
      <c r="A425" s="61" t="s">
        <v>495</v>
      </c>
      <c r="B425" s="14">
        <v>43602</v>
      </c>
      <c r="C425" s="13">
        <v>848</v>
      </c>
      <c r="D425" s="13" t="s">
        <v>447</v>
      </c>
      <c r="E425" s="13" t="s">
        <v>808</v>
      </c>
      <c r="F425" s="37">
        <v>89100</v>
      </c>
      <c r="G425" s="29" t="s">
        <v>1265</v>
      </c>
      <c r="H425" s="14">
        <v>43555</v>
      </c>
      <c r="I425" s="4" t="s">
        <v>1328</v>
      </c>
      <c r="J425" s="128"/>
    </row>
    <row r="426" spans="1:19" hidden="1" x14ac:dyDescent="0.25">
      <c r="A426" s="13" t="s">
        <v>1148</v>
      </c>
      <c r="B426" s="14">
        <v>43602</v>
      </c>
      <c r="C426" s="13">
        <v>848</v>
      </c>
      <c r="D426" s="13" t="s">
        <v>447</v>
      </c>
      <c r="E426" s="13" t="s">
        <v>808</v>
      </c>
      <c r="F426" s="4">
        <v>240000</v>
      </c>
      <c r="G426" s="28" t="s">
        <v>53</v>
      </c>
      <c r="H426" s="14">
        <v>43564</v>
      </c>
      <c r="I426" s="4" t="s">
        <v>1315</v>
      </c>
      <c r="J426" s="128"/>
    </row>
    <row r="427" spans="1:19" s="2" customFormat="1" hidden="1" x14ac:dyDescent="0.25">
      <c r="A427" s="61" t="s">
        <v>659</v>
      </c>
      <c r="B427" s="14">
        <v>43602</v>
      </c>
      <c r="C427" s="13">
        <v>849</v>
      </c>
      <c r="D427" s="13" t="s">
        <v>5920</v>
      </c>
      <c r="E427" s="13" t="s">
        <v>808</v>
      </c>
      <c r="F427" s="37">
        <v>7400</v>
      </c>
      <c r="G427" s="29" t="s">
        <v>5122</v>
      </c>
      <c r="H427" s="14">
        <v>43570</v>
      </c>
      <c r="I427" s="4" t="s">
        <v>6797</v>
      </c>
      <c r="J427" s="121"/>
      <c r="K427" s="5"/>
    </row>
    <row r="428" spans="1:19" hidden="1" x14ac:dyDescent="0.25">
      <c r="A428" s="61" t="s">
        <v>1147</v>
      </c>
      <c r="B428" s="14">
        <v>43602</v>
      </c>
      <c r="C428" s="13">
        <v>850</v>
      </c>
      <c r="D428" s="13" t="s">
        <v>1130</v>
      </c>
      <c r="E428" s="13" t="s">
        <v>808</v>
      </c>
      <c r="F428" s="4">
        <v>16080</v>
      </c>
      <c r="G428" s="28" t="s">
        <v>3362</v>
      </c>
      <c r="H428" s="14">
        <v>43556</v>
      </c>
      <c r="I428" s="4" t="s">
        <v>6129</v>
      </c>
      <c r="J428" s="128"/>
    </row>
    <row r="429" spans="1:19" s="2" customFormat="1" hidden="1" x14ac:dyDescent="0.25">
      <c r="A429" s="61" t="s">
        <v>1316</v>
      </c>
      <c r="B429" s="14">
        <v>43602</v>
      </c>
      <c r="C429" s="13">
        <v>851</v>
      </c>
      <c r="D429" s="13" t="s">
        <v>340</v>
      </c>
      <c r="E429" s="13" t="s">
        <v>808</v>
      </c>
      <c r="F429" s="37">
        <v>2800</v>
      </c>
      <c r="G429" s="29" t="s">
        <v>5890</v>
      </c>
      <c r="H429" s="14">
        <v>43571</v>
      </c>
      <c r="I429" s="4" t="s">
        <v>767</v>
      </c>
      <c r="J429" s="121"/>
      <c r="K429" s="5"/>
    </row>
    <row r="430" spans="1:19" s="2" customFormat="1" hidden="1" x14ac:dyDescent="0.25">
      <c r="A430" s="61" t="s">
        <v>1316</v>
      </c>
      <c r="B430" s="14">
        <v>43602</v>
      </c>
      <c r="C430" s="13">
        <v>851</v>
      </c>
      <c r="D430" s="13" t="s">
        <v>340</v>
      </c>
      <c r="E430" s="13" t="s">
        <v>808</v>
      </c>
      <c r="F430" s="37">
        <v>12100</v>
      </c>
      <c r="G430" s="29" t="s">
        <v>3391</v>
      </c>
      <c r="H430" s="14">
        <v>43571</v>
      </c>
      <c r="I430" s="4" t="s">
        <v>1345</v>
      </c>
      <c r="J430" s="121"/>
      <c r="K430" s="5"/>
    </row>
    <row r="431" spans="1:19" s="2" customFormat="1" hidden="1" x14ac:dyDescent="0.25">
      <c r="A431" s="61" t="s">
        <v>659</v>
      </c>
      <c r="B431" s="14">
        <v>43602</v>
      </c>
      <c r="C431" s="13">
        <v>851</v>
      </c>
      <c r="D431" s="13" t="s">
        <v>340</v>
      </c>
      <c r="E431" s="13" t="s">
        <v>808</v>
      </c>
      <c r="F431" s="37">
        <v>6300</v>
      </c>
      <c r="G431" s="29" t="s">
        <v>154</v>
      </c>
      <c r="H431" s="14">
        <v>43571</v>
      </c>
      <c r="I431" s="4" t="s">
        <v>1345</v>
      </c>
      <c r="J431" s="121"/>
      <c r="K431" s="5"/>
    </row>
    <row r="432" spans="1:19" ht="13.8" hidden="1" customHeight="1" x14ac:dyDescent="0.25">
      <c r="A432" s="13" t="s">
        <v>151</v>
      </c>
      <c r="B432" s="14">
        <v>43602</v>
      </c>
      <c r="C432" s="13">
        <v>852</v>
      </c>
      <c r="D432" s="32" t="s">
        <v>1254</v>
      </c>
      <c r="E432" s="32" t="s">
        <v>808</v>
      </c>
      <c r="F432" s="4">
        <v>17000</v>
      </c>
      <c r="G432" s="29" t="s">
        <v>7594</v>
      </c>
      <c r="H432" s="14">
        <v>43598</v>
      </c>
      <c r="I432" s="4" t="s">
        <v>1</v>
      </c>
      <c r="J432" s="21"/>
      <c r="K432" s="228"/>
    </row>
    <row r="433" spans="1:12" s="2" customFormat="1" hidden="1" x14ac:dyDescent="0.25">
      <c r="A433" s="61" t="s">
        <v>1350</v>
      </c>
      <c r="B433" s="14">
        <v>43602</v>
      </c>
      <c r="C433" s="13">
        <v>362</v>
      </c>
      <c r="D433" s="13" t="s">
        <v>340</v>
      </c>
      <c r="E433" s="13" t="s">
        <v>691</v>
      </c>
      <c r="F433" s="37">
        <v>4700</v>
      </c>
      <c r="G433" s="29" t="s">
        <v>169</v>
      </c>
      <c r="H433" s="14">
        <v>43571</v>
      </c>
      <c r="I433" s="4" t="s">
        <v>6798</v>
      </c>
      <c r="J433" s="121"/>
      <c r="K433" s="5"/>
    </row>
    <row r="434" spans="1:12" ht="13.8" hidden="1" customHeight="1" x14ac:dyDescent="0.25">
      <c r="A434" s="13" t="s">
        <v>151</v>
      </c>
      <c r="B434" s="14">
        <v>43602</v>
      </c>
      <c r="C434" s="13">
        <v>363</v>
      </c>
      <c r="D434" s="32" t="s">
        <v>1254</v>
      </c>
      <c r="E434" s="32" t="s">
        <v>691</v>
      </c>
      <c r="F434" s="4">
        <v>17000</v>
      </c>
      <c r="G434" s="29" t="s">
        <v>7593</v>
      </c>
      <c r="H434" s="14">
        <v>43598</v>
      </c>
      <c r="I434" s="4" t="s">
        <v>4054</v>
      </c>
      <c r="J434" s="21"/>
      <c r="K434" s="228"/>
    </row>
    <row r="435" spans="1:12" ht="13.8" hidden="1" customHeight="1" x14ac:dyDescent="0.25">
      <c r="A435" s="13" t="s">
        <v>184</v>
      </c>
      <c r="B435" s="14">
        <v>43602</v>
      </c>
      <c r="C435" s="13">
        <v>605</v>
      </c>
      <c r="D435" s="32" t="s">
        <v>7845</v>
      </c>
      <c r="E435" s="32" t="s">
        <v>1121</v>
      </c>
      <c r="F435" s="4">
        <v>6300</v>
      </c>
      <c r="G435" s="29" t="s">
        <v>5333</v>
      </c>
      <c r="H435" s="14">
        <v>43601</v>
      </c>
      <c r="I435" s="4" t="s">
        <v>7846</v>
      </c>
      <c r="J435" s="21"/>
      <c r="K435" s="228"/>
    </row>
    <row r="436" spans="1:12" ht="15" hidden="1" customHeight="1" x14ac:dyDescent="0.25">
      <c r="A436" s="13" t="s">
        <v>184</v>
      </c>
      <c r="B436" s="14">
        <v>43602</v>
      </c>
      <c r="C436" s="13">
        <v>606</v>
      </c>
      <c r="D436" s="13" t="s">
        <v>348</v>
      </c>
      <c r="E436" s="32" t="s">
        <v>1121</v>
      </c>
      <c r="F436" s="4">
        <v>222124.79999999999</v>
      </c>
      <c r="G436" s="28" t="s">
        <v>5073</v>
      </c>
      <c r="H436" s="14">
        <v>43598</v>
      </c>
      <c r="I436" s="4" t="s">
        <v>6578</v>
      </c>
      <c r="J436" s="76" t="s">
        <v>1386</v>
      </c>
    </row>
    <row r="437" spans="1:12" ht="15" hidden="1" customHeight="1" x14ac:dyDescent="0.25">
      <c r="A437" s="68" t="s">
        <v>206</v>
      </c>
      <c r="B437" s="14">
        <v>43602</v>
      </c>
      <c r="C437" s="67">
        <v>86</v>
      </c>
      <c r="D437" s="32" t="s">
        <v>156</v>
      </c>
      <c r="E437" s="32" t="s">
        <v>178</v>
      </c>
      <c r="F437" s="4">
        <f>676234.24-75197.16</f>
        <v>601037.07999999996</v>
      </c>
      <c r="G437" s="28" t="s">
        <v>7012</v>
      </c>
      <c r="H437" s="14">
        <v>43563</v>
      </c>
      <c r="I437" s="4" t="s">
        <v>362</v>
      </c>
      <c r="J437" s="166" t="s">
        <v>366</v>
      </c>
      <c r="K437" s="167"/>
      <c r="L437" s="35"/>
    </row>
    <row r="438" spans="1:12" hidden="1" x14ac:dyDescent="0.25">
      <c r="A438" s="61" t="s">
        <v>103</v>
      </c>
      <c r="B438" s="14">
        <v>43602</v>
      </c>
      <c r="C438" s="13">
        <v>822</v>
      </c>
      <c r="D438" s="13" t="s">
        <v>115</v>
      </c>
      <c r="E438" s="13" t="s">
        <v>62</v>
      </c>
      <c r="F438" s="4">
        <v>5209.04</v>
      </c>
      <c r="G438" s="28" t="s">
        <v>3578</v>
      </c>
      <c r="H438" s="14">
        <v>43568</v>
      </c>
      <c r="I438" s="4" t="s">
        <v>7066</v>
      </c>
      <c r="J438" s="128"/>
    </row>
    <row r="439" spans="1:12" hidden="1" x14ac:dyDescent="0.25">
      <c r="A439" s="61" t="s">
        <v>103</v>
      </c>
      <c r="B439" s="14">
        <v>43602</v>
      </c>
      <c r="C439" s="13">
        <v>823</v>
      </c>
      <c r="D439" s="13" t="s">
        <v>4023</v>
      </c>
      <c r="E439" s="13" t="s">
        <v>62</v>
      </c>
      <c r="F439" s="4">
        <v>88200</v>
      </c>
      <c r="G439" s="28" t="s">
        <v>7628</v>
      </c>
      <c r="H439" s="14">
        <v>43592</v>
      </c>
      <c r="I439" s="4" t="s">
        <v>7629</v>
      </c>
      <c r="J439" s="128"/>
    </row>
    <row r="440" spans="1:12" ht="15" hidden="1" customHeight="1" x14ac:dyDescent="0.25">
      <c r="A440" s="68" t="s">
        <v>358</v>
      </c>
      <c r="B440" s="14">
        <v>43602</v>
      </c>
      <c r="C440" s="13">
        <v>824</v>
      </c>
      <c r="D440" s="13" t="s">
        <v>969</v>
      </c>
      <c r="E440" s="32" t="s">
        <v>62</v>
      </c>
      <c r="F440" s="4">
        <v>2000000</v>
      </c>
      <c r="G440" s="86" t="s">
        <v>4762</v>
      </c>
      <c r="H440" s="14"/>
      <c r="I440" s="4" t="s">
        <v>4763</v>
      </c>
      <c r="J440" s="71"/>
      <c r="K440" s="62"/>
      <c r="L440" s="62"/>
    </row>
    <row r="441" spans="1:12" ht="13.95" hidden="1" customHeight="1" x14ac:dyDescent="0.25">
      <c r="A441" s="32" t="s">
        <v>534</v>
      </c>
      <c r="B441" s="14">
        <v>43602</v>
      </c>
      <c r="C441" s="13">
        <v>837</v>
      </c>
      <c r="D441" s="32" t="s">
        <v>470</v>
      </c>
      <c r="E441" s="32" t="s">
        <v>62</v>
      </c>
      <c r="F441" s="4">
        <v>3440000</v>
      </c>
      <c r="G441" s="86" t="s">
        <v>471</v>
      </c>
      <c r="H441" s="211"/>
      <c r="I441" s="208" t="s">
        <v>672</v>
      </c>
      <c r="J441" s="21"/>
      <c r="K441" s="228"/>
    </row>
    <row r="442" spans="1:12" ht="13.95" hidden="1" customHeight="1" x14ac:dyDescent="0.25">
      <c r="A442" s="32" t="s">
        <v>1654</v>
      </c>
      <c r="B442" s="14">
        <v>43602</v>
      </c>
      <c r="C442" s="13">
        <v>838</v>
      </c>
      <c r="D442" s="32" t="s">
        <v>470</v>
      </c>
      <c r="E442" s="32" t="s">
        <v>62</v>
      </c>
      <c r="F442" s="4">
        <v>1560000</v>
      </c>
      <c r="G442" s="86" t="s">
        <v>1867</v>
      </c>
      <c r="H442" s="211"/>
      <c r="I442" s="208" t="s">
        <v>675</v>
      </c>
      <c r="J442" s="21"/>
      <c r="K442" s="228"/>
    </row>
    <row r="443" spans="1:12" ht="13.95" hidden="1" customHeight="1" x14ac:dyDescent="0.25">
      <c r="A443" s="61" t="s">
        <v>358</v>
      </c>
      <c r="B443" s="14">
        <v>43602</v>
      </c>
      <c r="C443" s="13">
        <v>834</v>
      </c>
      <c r="D443" s="13" t="s">
        <v>1029</v>
      </c>
      <c r="E443" s="32" t="s">
        <v>62</v>
      </c>
      <c r="F443" s="4">
        <v>1000000</v>
      </c>
      <c r="G443" s="86" t="s">
        <v>2086</v>
      </c>
      <c r="H443" s="211"/>
      <c r="I443" s="4" t="s">
        <v>20</v>
      </c>
      <c r="J443" s="21"/>
      <c r="K443" s="228"/>
    </row>
    <row r="444" spans="1:12" ht="13.95" hidden="1" customHeight="1" x14ac:dyDescent="0.25">
      <c r="A444" s="32" t="s">
        <v>668</v>
      </c>
      <c r="B444" s="14">
        <v>43602</v>
      </c>
      <c r="C444" s="13">
        <v>835</v>
      </c>
      <c r="D444" s="13" t="s">
        <v>513</v>
      </c>
      <c r="E444" s="32" t="s">
        <v>62</v>
      </c>
      <c r="F444" s="4">
        <v>992800</v>
      </c>
      <c r="G444" s="86" t="s">
        <v>1667</v>
      </c>
      <c r="H444" s="14"/>
      <c r="I444" s="4" t="s">
        <v>252</v>
      </c>
      <c r="J444" s="21"/>
      <c r="K444" s="228"/>
    </row>
    <row r="445" spans="1:12" ht="13.95" hidden="1" customHeight="1" x14ac:dyDescent="0.25">
      <c r="A445" s="32" t="s">
        <v>442</v>
      </c>
      <c r="B445" s="14">
        <v>43602</v>
      </c>
      <c r="C445" s="13">
        <v>825</v>
      </c>
      <c r="D445" s="32" t="s">
        <v>1919</v>
      </c>
      <c r="E445" s="32" t="s">
        <v>62</v>
      </c>
      <c r="F445" s="4">
        <v>644655</v>
      </c>
      <c r="G445" s="69" t="s">
        <v>1920</v>
      </c>
      <c r="H445" s="14"/>
      <c r="I445" s="41" t="s">
        <v>1921</v>
      </c>
      <c r="J445" s="21"/>
      <c r="K445" s="228"/>
    </row>
    <row r="446" spans="1:12" ht="13.95" hidden="1" customHeight="1" x14ac:dyDescent="0.25">
      <c r="A446" s="61" t="s">
        <v>668</v>
      </c>
      <c r="B446" s="14">
        <v>43602</v>
      </c>
      <c r="C446" s="13">
        <v>836</v>
      </c>
      <c r="D446" s="13" t="s">
        <v>578</v>
      </c>
      <c r="E446" s="32" t="s">
        <v>62</v>
      </c>
      <c r="F446" s="4">
        <v>333233</v>
      </c>
      <c r="G446" s="86" t="s">
        <v>1217</v>
      </c>
      <c r="H446" s="211"/>
      <c r="I446" s="4" t="s">
        <v>879</v>
      </c>
      <c r="J446" s="21"/>
      <c r="K446" s="228"/>
    </row>
    <row r="447" spans="1:12" s="97" customFormat="1" hidden="1" x14ac:dyDescent="0.25">
      <c r="A447" s="61" t="s">
        <v>442</v>
      </c>
      <c r="B447" s="14">
        <v>43602</v>
      </c>
      <c r="C447" s="13">
        <v>826</v>
      </c>
      <c r="D447" s="13" t="s">
        <v>814</v>
      </c>
      <c r="E447" s="13" t="s">
        <v>62</v>
      </c>
      <c r="F447" s="37">
        <v>91500</v>
      </c>
      <c r="G447" s="29" t="s">
        <v>3853</v>
      </c>
      <c r="H447" s="14">
        <v>43598</v>
      </c>
      <c r="I447" s="4" t="s">
        <v>7602</v>
      </c>
      <c r="J447" s="133"/>
      <c r="K447" s="22"/>
      <c r="L447" s="134"/>
    </row>
    <row r="448" spans="1:12" ht="13.8" hidden="1" customHeight="1" x14ac:dyDescent="0.25">
      <c r="A448" s="32" t="s">
        <v>442</v>
      </c>
      <c r="B448" s="14">
        <v>43602</v>
      </c>
      <c r="C448" s="13">
        <v>827</v>
      </c>
      <c r="D448" s="32" t="s">
        <v>181</v>
      </c>
      <c r="E448" s="32" t="s">
        <v>62</v>
      </c>
      <c r="F448" s="4">
        <v>84240</v>
      </c>
      <c r="G448" s="29" t="s">
        <v>1252</v>
      </c>
      <c r="H448" s="14">
        <v>43577</v>
      </c>
      <c r="I448" s="4" t="s">
        <v>102</v>
      </c>
      <c r="J448" s="21"/>
      <c r="K448" s="228"/>
    </row>
    <row r="449" spans="1:256" s="62" customFormat="1" ht="15" hidden="1" customHeight="1" x14ac:dyDescent="0.25">
      <c r="A449" s="13" t="s">
        <v>358</v>
      </c>
      <c r="B449" s="14">
        <v>43602</v>
      </c>
      <c r="C449" s="28" t="s">
        <v>7945</v>
      </c>
      <c r="D449" s="13" t="s">
        <v>1555</v>
      </c>
      <c r="E449" s="32" t="s">
        <v>62</v>
      </c>
      <c r="F449" s="37">
        <v>14400</v>
      </c>
      <c r="G449" s="29" t="s">
        <v>7407</v>
      </c>
      <c r="H449" s="14">
        <v>43585</v>
      </c>
      <c r="I449" s="4" t="s">
        <v>118</v>
      </c>
      <c r="J449" s="71" t="s">
        <v>1386</v>
      </c>
      <c r="O449" s="35"/>
      <c r="P449" s="35"/>
      <c r="Q449" s="35"/>
      <c r="R449" s="35"/>
      <c r="S449" s="35"/>
    </row>
    <row r="450" spans="1:256" hidden="1" x14ac:dyDescent="0.25">
      <c r="A450" s="13" t="s">
        <v>358</v>
      </c>
      <c r="B450" s="14">
        <v>43602</v>
      </c>
      <c r="C450" s="28" t="s">
        <v>1740</v>
      </c>
      <c r="D450" s="13" t="s">
        <v>6350</v>
      </c>
      <c r="E450" s="13" t="s">
        <v>62</v>
      </c>
      <c r="F450" s="37">
        <v>39135.32</v>
      </c>
      <c r="G450" s="29" t="s">
        <v>6355</v>
      </c>
      <c r="H450" s="14">
        <v>43557</v>
      </c>
      <c r="I450" s="4" t="s">
        <v>6352</v>
      </c>
      <c r="J450" s="128"/>
      <c r="K450" s="71"/>
    </row>
    <row r="451" spans="1:256" hidden="1" x14ac:dyDescent="0.25">
      <c r="A451" s="13" t="s">
        <v>442</v>
      </c>
      <c r="B451" s="14">
        <v>43602</v>
      </c>
      <c r="C451" s="28" t="s">
        <v>1740</v>
      </c>
      <c r="D451" s="13" t="s">
        <v>6350</v>
      </c>
      <c r="E451" s="13" t="s">
        <v>62</v>
      </c>
      <c r="F451" s="37">
        <v>30798.06</v>
      </c>
      <c r="G451" s="29" t="s">
        <v>6363</v>
      </c>
      <c r="H451" s="14">
        <v>43557</v>
      </c>
      <c r="I451" s="4" t="s">
        <v>6352</v>
      </c>
      <c r="J451" s="128"/>
      <c r="K451" s="71"/>
    </row>
    <row r="452" spans="1:256" hidden="1" x14ac:dyDescent="0.25">
      <c r="A452" s="13" t="s">
        <v>91</v>
      </c>
      <c r="B452" s="14">
        <v>43602</v>
      </c>
      <c r="C452" s="28" t="s">
        <v>1740</v>
      </c>
      <c r="D452" s="13" t="s">
        <v>6350</v>
      </c>
      <c r="E452" s="13" t="s">
        <v>62</v>
      </c>
      <c r="F452" s="37">
        <v>46023.58</v>
      </c>
      <c r="G452" s="29" t="s">
        <v>4101</v>
      </c>
      <c r="H452" s="14">
        <v>43550</v>
      </c>
      <c r="I452" s="4" t="s">
        <v>6352</v>
      </c>
      <c r="J452" s="128"/>
      <c r="K452" s="71"/>
    </row>
    <row r="453" spans="1:256" hidden="1" x14ac:dyDescent="0.25">
      <c r="A453" s="13" t="s">
        <v>92</v>
      </c>
      <c r="B453" s="14">
        <v>43602</v>
      </c>
      <c r="C453" s="28" t="s">
        <v>1740</v>
      </c>
      <c r="D453" s="13" t="s">
        <v>6350</v>
      </c>
      <c r="E453" s="13" t="s">
        <v>62</v>
      </c>
      <c r="F453" s="37">
        <v>36824.959999999999</v>
      </c>
      <c r="G453" s="29" t="s">
        <v>6356</v>
      </c>
      <c r="H453" s="14">
        <v>43550</v>
      </c>
      <c r="I453" s="4" t="s">
        <v>6352</v>
      </c>
      <c r="J453" s="128"/>
      <c r="K453" s="71"/>
    </row>
    <row r="454" spans="1:256" hidden="1" x14ac:dyDescent="0.25">
      <c r="A454" s="61" t="s">
        <v>442</v>
      </c>
      <c r="B454" s="14">
        <v>43602</v>
      </c>
      <c r="C454" s="13">
        <v>829</v>
      </c>
      <c r="D454" s="13" t="s">
        <v>1739</v>
      </c>
      <c r="E454" s="13" t="s">
        <v>62</v>
      </c>
      <c r="F454" s="37">
        <v>108000</v>
      </c>
      <c r="G454" s="29" t="s">
        <v>158</v>
      </c>
      <c r="H454" s="14">
        <v>43542</v>
      </c>
      <c r="I454" s="4" t="s">
        <v>4097</v>
      </c>
      <c r="J454" s="128"/>
    </row>
    <row r="455" spans="1:256" s="2" customFormat="1" hidden="1" x14ac:dyDescent="0.25">
      <c r="A455" s="13" t="s">
        <v>442</v>
      </c>
      <c r="B455" s="14">
        <v>43602</v>
      </c>
      <c r="C455" s="13">
        <v>830</v>
      </c>
      <c r="D455" s="13" t="s">
        <v>1513</v>
      </c>
      <c r="E455" s="13" t="s">
        <v>62</v>
      </c>
      <c r="F455" s="4">
        <v>192000</v>
      </c>
      <c r="G455" s="28" t="s">
        <v>199</v>
      </c>
      <c r="H455" s="14">
        <v>43557</v>
      </c>
      <c r="I455" s="4" t="s">
        <v>3197</v>
      </c>
      <c r="J455" s="121"/>
      <c r="K455" s="5"/>
    </row>
    <row r="456" spans="1:256" hidden="1" x14ac:dyDescent="0.25">
      <c r="A456" s="13" t="s">
        <v>151</v>
      </c>
      <c r="B456" s="14">
        <v>43602</v>
      </c>
      <c r="C456" s="28" t="s">
        <v>7946</v>
      </c>
      <c r="D456" s="13" t="s">
        <v>3352</v>
      </c>
      <c r="E456" s="13" t="s">
        <v>62</v>
      </c>
      <c r="F456" s="37">
        <v>42818</v>
      </c>
      <c r="G456" s="29" t="s">
        <v>7630</v>
      </c>
      <c r="H456" s="14">
        <v>43599</v>
      </c>
      <c r="I456" s="4" t="s">
        <v>7631</v>
      </c>
      <c r="J456" s="128"/>
    </row>
    <row r="457" spans="1:256" ht="13.8" hidden="1" customHeight="1" x14ac:dyDescent="0.25">
      <c r="A457" s="13" t="s">
        <v>151</v>
      </c>
      <c r="B457" s="14">
        <v>43602</v>
      </c>
      <c r="C457" s="13">
        <v>832</v>
      </c>
      <c r="D457" s="32" t="s">
        <v>1254</v>
      </c>
      <c r="E457" s="32" t="s">
        <v>62</v>
      </c>
      <c r="F457" s="4">
        <v>14000</v>
      </c>
      <c r="G457" s="29" t="s">
        <v>7592</v>
      </c>
      <c r="H457" s="14">
        <v>43598</v>
      </c>
      <c r="I457" s="4" t="s">
        <v>1</v>
      </c>
      <c r="J457" s="21"/>
      <c r="K457" s="228"/>
    </row>
    <row r="458" spans="1:256" ht="13.95" hidden="1" customHeight="1" x14ac:dyDescent="0.25">
      <c r="A458" s="68" t="s">
        <v>151</v>
      </c>
      <c r="B458" s="14">
        <v>43602</v>
      </c>
      <c r="C458" s="13">
        <v>5</v>
      </c>
      <c r="D458" s="32" t="s">
        <v>1263</v>
      </c>
      <c r="E458" s="32" t="s">
        <v>7568</v>
      </c>
      <c r="F458" s="4">
        <v>1715</v>
      </c>
      <c r="G458" s="210" t="s">
        <v>7947</v>
      </c>
      <c r="H458" s="211">
        <v>43601</v>
      </c>
      <c r="I458" s="208" t="s">
        <v>1722</v>
      </c>
      <c r="J458" s="21"/>
      <c r="K458" s="228"/>
    </row>
    <row r="459" spans="1:256" hidden="1" x14ac:dyDescent="0.25">
      <c r="A459" s="68" t="s">
        <v>151</v>
      </c>
      <c r="B459" s="14">
        <v>43602</v>
      </c>
      <c r="C459" s="13">
        <v>29</v>
      </c>
      <c r="D459" s="32" t="s">
        <v>4047</v>
      </c>
      <c r="E459" s="32" t="s">
        <v>2897</v>
      </c>
      <c r="F459" s="209">
        <v>24000</v>
      </c>
      <c r="G459" s="210" t="s">
        <v>7948</v>
      </c>
      <c r="H459" s="211">
        <v>43542</v>
      </c>
      <c r="I459" s="208" t="s">
        <v>6380</v>
      </c>
      <c r="J459" s="21"/>
      <c r="K459" s="228"/>
    </row>
    <row r="460" spans="1:256" hidden="1" x14ac:dyDescent="0.25">
      <c r="A460" s="68" t="s">
        <v>151</v>
      </c>
      <c r="B460" s="14">
        <v>43602</v>
      </c>
      <c r="C460" s="13">
        <v>54</v>
      </c>
      <c r="D460" s="32" t="s">
        <v>4047</v>
      </c>
      <c r="E460" s="32" t="s">
        <v>488</v>
      </c>
      <c r="F460" s="209">
        <v>24000</v>
      </c>
      <c r="G460" s="210" t="s">
        <v>7949</v>
      </c>
      <c r="H460" s="211">
        <v>43542</v>
      </c>
      <c r="I460" s="208" t="s">
        <v>6380</v>
      </c>
      <c r="J460" s="21"/>
      <c r="K460" s="228"/>
    </row>
    <row r="461" spans="1:256" hidden="1" x14ac:dyDescent="0.25">
      <c r="A461" s="68" t="s">
        <v>151</v>
      </c>
      <c r="B461" s="14">
        <v>43602</v>
      </c>
      <c r="C461" s="13">
        <v>53</v>
      </c>
      <c r="D461" s="32" t="s">
        <v>1169</v>
      </c>
      <c r="E461" s="32" t="s">
        <v>488</v>
      </c>
      <c r="F461" s="209">
        <v>50000</v>
      </c>
      <c r="G461" s="210" t="s">
        <v>3432</v>
      </c>
      <c r="H461" s="211">
        <v>43522</v>
      </c>
      <c r="I461" s="208" t="s">
        <v>7950</v>
      </c>
      <c r="J461" s="21"/>
      <c r="K461" s="228"/>
    </row>
    <row r="462" spans="1:256" ht="27.6" hidden="1" x14ac:dyDescent="0.25">
      <c r="A462" s="68" t="s">
        <v>151</v>
      </c>
      <c r="B462" s="14">
        <v>43602</v>
      </c>
      <c r="C462" s="13">
        <v>14</v>
      </c>
      <c r="D462" s="32" t="s">
        <v>1169</v>
      </c>
      <c r="E462" s="32" t="s">
        <v>7951</v>
      </c>
      <c r="F462" s="209">
        <v>50000</v>
      </c>
      <c r="G462" s="210" t="s">
        <v>1313</v>
      </c>
      <c r="H462" s="211">
        <v>43522</v>
      </c>
      <c r="I462" s="208" t="s">
        <v>7950</v>
      </c>
      <c r="J462" s="21"/>
      <c r="K462" s="228"/>
    </row>
    <row r="463" spans="1:256" ht="27.6" hidden="1" x14ac:dyDescent="0.25">
      <c r="A463" s="61" t="s">
        <v>460</v>
      </c>
      <c r="B463" s="14">
        <v>43602</v>
      </c>
      <c r="C463" s="13">
        <v>430</v>
      </c>
      <c r="D463" s="14" t="s">
        <v>7604</v>
      </c>
      <c r="E463" s="32" t="s">
        <v>2058</v>
      </c>
      <c r="F463" s="4">
        <v>3123</v>
      </c>
      <c r="G463" s="86" t="s">
        <v>7605</v>
      </c>
      <c r="H463" s="211"/>
      <c r="I463" s="326"/>
      <c r="K463" s="62"/>
    </row>
    <row r="464" spans="1:256" s="97" customFormat="1" ht="14.1" hidden="1" customHeight="1" x14ac:dyDescent="0.25">
      <c r="A464" s="211" t="s">
        <v>956</v>
      </c>
      <c r="B464" s="14">
        <v>43605</v>
      </c>
      <c r="C464" s="13">
        <v>699</v>
      </c>
      <c r="D464" s="218" t="s">
        <v>590</v>
      </c>
      <c r="E464" s="218" t="s">
        <v>7973</v>
      </c>
      <c r="F464" s="4">
        <v>1332000</v>
      </c>
      <c r="G464" s="28" t="s">
        <v>5771</v>
      </c>
      <c r="H464" s="14">
        <v>43347</v>
      </c>
      <c r="I464" s="32" t="s">
        <v>159</v>
      </c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  <c r="DS464" s="50"/>
      <c r="DT464" s="50"/>
      <c r="DU464" s="50"/>
      <c r="DV464" s="50"/>
      <c r="DW464" s="50"/>
      <c r="DX464" s="50"/>
      <c r="DY464" s="50"/>
      <c r="DZ464" s="50"/>
      <c r="EA464" s="50"/>
      <c r="EB464" s="50"/>
      <c r="EC464" s="50"/>
      <c r="ED464" s="50"/>
      <c r="EE464" s="50"/>
      <c r="EF464" s="50"/>
      <c r="EG464" s="50"/>
      <c r="EH464" s="50"/>
      <c r="EI464" s="50"/>
      <c r="EJ464" s="50"/>
      <c r="EK464" s="50"/>
      <c r="EL464" s="50"/>
      <c r="EM464" s="50"/>
      <c r="EN464" s="50"/>
      <c r="EO464" s="50"/>
      <c r="EP464" s="50"/>
      <c r="EQ464" s="50"/>
      <c r="ER464" s="50"/>
      <c r="ES464" s="50"/>
      <c r="ET464" s="50"/>
      <c r="EU464" s="50"/>
      <c r="EV464" s="50"/>
      <c r="EW464" s="50"/>
      <c r="EX464" s="50"/>
      <c r="EY464" s="50"/>
      <c r="EZ464" s="50"/>
      <c r="FA464" s="50"/>
      <c r="FB464" s="50"/>
      <c r="FC464" s="50"/>
      <c r="FD464" s="50"/>
      <c r="FE464" s="50"/>
      <c r="FF464" s="50"/>
      <c r="FG464" s="50"/>
      <c r="FH464" s="50"/>
      <c r="FI464" s="50"/>
      <c r="FJ464" s="50"/>
      <c r="FK464" s="50"/>
      <c r="FL464" s="50"/>
      <c r="FM464" s="50"/>
      <c r="FN464" s="50"/>
      <c r="FO464" s="50"/>
      <c r="FP464" s="50"/>
      <c r="FQ464" s="50"/>
      <c r="FR464" s="50"/>
      <c r="FS464" s="50"/>
      <c r="FT464" s="50"/>
      <c r="FU464" s="50"/>
      <c r="FV464" s="50"/>
      <c r="FW464" s="50"/>
      <c r="FX464" s="50"/>
      <c r="FY464" s="50"/>
      <c r="FZ464" s="50"/>
      <c r="GA464" s="50"/>
      <c r="GB464" s="50"/>
      <c r="GC464" s="50"/>
      <c r="GD464" s="50"/>
      <c r="GE464" s="50"/>
      <c r="GF464" s="50"/>
      <c r="GG464" s="50"/>
      <c r="GH464" s="50"/>
      <c r="GI464" s="50"/>
      <c r="GJ464" s="50"/>
      <c r="GK464" s="50"/>
      <c r="GL464" s="50"/>
      <c r="GM464" s="50"/>
      <c r="GN464" s="50"/>
      <c r="GO464" s="50"/>
      <c r="GP464" s="50"/>
      <c r="GQ464" s="50"/>
      <c r="GR464" s="50"/>
      <c r="GS464" s="50"/>
      <c r="GT464" s="50"/>
      <c r="GU464" s="50"/>
      <c r="GV464" s="50"/>
      <c r="GW464" s="50"/>
      <c r="GX464" s="50"/>
      <c r="GY464" s="50"/>
      <c r="GZ464" s="50"/>
      <c r="HA464" s="50"/>
      <c r="HB464" s="50"/>
      <c r="HC464" s="50"/>
      <c r="HD464" s="50"/>
      <c r="HE464" s="50"/>
      <c r="HF464" s="50"/>
      <c r="HG464" s="50"/>
      <c r="HH464" s="50"/>
      <c r="HI464" s="50"/>
      <c r="HJ464" s="50"/>
      <c r="HK464" s="50"/>
      <c r="HL464" s="50"/>
      <c r="HM464" s="50"/>
      <c r="HN464" s="50"/>
      <c r="HO464" s="50"/>
      <c r="HP464" s="50"/>
      <c r="HQ464" s="50"/>
      <c r="HR464" s="50"/>
      <c r="HS464" s="50"/>
      <c r="HT464" s="50"/>
      <c r="HU464" s="50"/>
      <c r="HV464" s="50"/>
      <c r="HW464" s="50"/>
      <c r="HX464" s="50"/>
      <c r="HY464" s="50"/>
      <c r="HZ464" s="50"/>
      <c r="IA464" s="50"/>
      <c r="IB464" s="50"/>
      <c r="IC464" s="50"/>
      <c r="ID464" s="50"/>
      <c r="IE464" s="50"/>
      <c r="IF464" s="50"/>
      <c r="IG464" s="50"/>
      <c r="IH464" s="50"/>
      <c r="II464" s="50"/>
      <c r="IJ464" s="50"/>
      <c r="IK464" s="50"/>
      <c r="IL464" s="50"/>
      <c r="IM464" s="50"/>
      <c r="IN464" s="50"/>
      <c r="IO464" s="50"/>
      <c r="IP464" s="50"/>
      <c r="IQ464" s="50"/>
      <c r="IR464" s="50"/>
      <c r="IS464" s="50"/>
      <c r="IT464" s="50"/>
      <c r="IU464" s="50"/>
      <c r="IV464" s="50"/>
    </row>
    <row r="465" spans="1:12" ht="13.8" hidden="1" customHeight="1" x14ac:dyDescent="0.25">
      <c r="A465" s="13" t="s">
        <v>151</v>
      </c>
      <c r="B465" s="14">
        <v>43605</v>
      </c>
      <c r="C465" s="13">
        <v>307</v>
      </c>
      <c r="D465" s="32" t="s">
        <v>258</v>
      </c>
      <c r="E465" s="32" t="s">
        <v>481</v>
      </c>
      <c r="F465" s="4">
        <v>37150</v>
      </c>
      <c r="G465" s="29" t="s">
        <v>6120</v>
      </c>
      <c r="H465" s="14">
        <v>43592</v>
      </c>
      <c r="I465" s="4" t="s">
        <v>6352</v>
      </c>
      <c r="J465" s="21"/>
      <c r="K465" s="228"/>
    </row>
    <row r="466" spans="1:12" ht="13.8" hidden="1" customHeight="1" x14ac:dyDescent="0.25">
      <c r="A466" s="13" t="s">
        <v>151</v>
      </c>
      <c r="B466" s="14">
        <v>43605</v>
      </c>
      <c r="C466" s="13">
        <v>307</v>
      </c>
      <c r="D466" s="32" t="s">
        <v>258</v>
      </c>
      <c r="E466" s="32" t="s">
        <v>481</v>
      </c>
      <c r="F466" s="4">
        <v>17980</v>
      </c>
      <c r="G466" s="29" t="s">
        <v>6120</v>
      </c>
      <c r="H466" s="14">
        <v>968</v>
      </c>
      <c r="I466" s="4" t="s">
        <v>7551</v>
      </c>
      <c r="J466" s="21"/>
      <c r="K466" s="228"/>
    </row>
    <row r="467" spans="1:12" ht="13.95" hidden="1" customHeight="1" x14ac:dyDescent="0.25">
      <c r="A467" s="32" t="s">
        <v>198</v>
      </c>
      <c r="B467" s="14">
        <v>43605</v>
      </c>
      <c r="C467" s="67" t="s">
        <v>7975</v>
      </c>
      <c r="D467" s="32" t="s">
        <v>116</v>
      </c>
      <c r="E467" s="32" t="s">
        <v>195</v>
      </c>
      <c r="F467" s="4">
        <f>687.9+2136.6</f>
        <v>2824.5</v>
      </c>
      <c r="G467" s="28" t="s">
        <v>7310</v>
      </c>
      <c r="H467" s="14">
        <v>43585</v>
      </c>
      <c r="I467" s="4" t="s">
        <v>118</v>
      </c>
      <c r="J467" s="170"/>
      <c r="K467" s="246"/>
    </row>
    <row r="468" spans="1:12" ht="15" hidden="1" customHeight="1" x14ac:dyDescent="0.25">
      <c r="A468" s="13" t="s">
        <v>184</v>
      </c>
      <c r="B468" s="14">
        <v>43605</v>
      </c>
      <c r="C468" s="13">
        <v>609</v>
      </c>
      <c r="D468" s="13" t="s">
        <v>7939</v>
      </c>
      <c r="E468" s="32" t="s">
        <v>1121</v>
      </c>
      <c r="F468" s="4">
        <v>10960</v>
      </c>
      <c r="G468" s="28" t="s">
        <v>720</v>
      </c>
      <c r="H468" s="14">
        <v>43602</v>
      </c>
      <c r="I468" s="4" t="s">
        <v>7940</v>
      </c>
      <c r="J468" s="76"/>
    </row>
    <row r="469" spans="1:12" ht="15" hidden="1" customHeight="1" x14ac:dyDescent="0.25">
      <c r="A469" s="13" t="s">
        <v>184</v>
      </c>
      <c r="B469" s="14">
        <v>43605</v>
      </c>
      <c r="C469" s="13">
        <v>610</v>
      </c>
      <c r="D469" s="13" t="s">
        <v>7955</v>
      </c>
      <c r="E469" s="32" t="s">
        <v>1121</v>
      </c>
      <c r="F469" s="4">
        <v>11600</v>
      </c>
      <c r="G469" s="28" t="s">
        <v>7956</v>
      </c>
      <c r="H469" s="14">
        <v>43601</v>
      </c>
      <c r="I469" s="4" t="s">
        <v>7957</v>
      </c>
      <c r="J469" s="76"/>
    </row>
    <row r="470" spans="1:12" ht="15" hidden="1" customHeight="1" x14ac:dyDescent="0.25">
      <c r="A470" s="13" t="s">
        <v>184</v>
      </c>
      <c r="B470" s="14">
        <v>43605</v>
      </c>
      <c r="C470" s="13">
        <v>611</v>
      </c>
      <c r="D470" s="32" t="s">
        <v>7890</v>
      </c>
      <c r="E470" s="32" t="s">
        <v>1121</v>
      </c>
      <c r="F470" s="4">
        <v>9600</v>
      </c>
      <c r="G470" s="28" t="s">
        <v>7891</v>
      </c>
      <c r="H470" s="14">
        <v>43593</v>
      </c>
      <c r="I470" s="4" t="s">
        <v>7892</v>
      </c>
      <c r="J470" s="76"/>
    </row>
    <row r="471" spans="1:12" hidden="1" x14ac:dyDescent="0.25">
      <c r="A471" s="68" t="s">
        <v>151</v>
      </c>
      <c r="B471" s="14">
        <v>43605</v>
      </c>
      <c r="C471" s="13">
        <v>1</v>
      </c>
      <c r="D471" s="32" t="s">
        <v>1169</v>
      </c>
      <c r="E471" s="32" t="s">
        <v>7976</v>
      </c>
      <c r="F471" s="209">
        <v>30000</v>
      </c>
      <c r="G471" s="210" t="s">
        <v>4091</v>
      </c>
      <c r="H471" s="211">
        <v>43522</v>
      </c>
      <c r="I471" s="208" t="s">
        <v>7950</v>
      </c>
      <c r="J471" s="21"/>
      <c r="K471" s="228"/>
    </row>
    <row r="472" spans="1:12" hidden="1" x14ac:dyDescent="0.25">
      <c r="A472" s="68" t="s">
        <v>151</v>
      </c>
      <c r="B472" s="14">
        <v>43605</v>
      </c>
      <c r="C472" s="13">
        <v>1</v>
      </c>
      <c r="D472" s="32" t="s">
        <v>2899</v>
      </c>
      <c r="E472" s="32" t="s">
        <v>7977</v>
      </c>
      <c r="F472" s="209">
        <v>4000</v>
      </c>
      <c r="G472" s="210" t="s">
        <v>7978</v>
      </c>
      <c r="H472" s="211">
        <v>43566</v>
      </c>
      <c r="I472" s="208" t="s">
        <v>4399</v>
      </c>
      <c r="J472" s="21"/>
      <c r="K472" s="228"/>
    </row>
    <row r="473" spans="1:12" s="129" customFormat="1" ht="41.4" hidden="1" x14ac:dyDescent="0.25">
      <c r="A473" s="13" t="s">
        <v>90</v>
      </c>
      <c r="B473" s="14">
        <v>43605</v>
      </c>
      <c r="C473" s="13">
        <v>211</v>
      </c>
      <c r="D473" s="13" t="s">
        <v>1392</v>
      </c>
      <c r="E473" s="13" t="s">
        <v>7998</v>
      </c>
      <c r="F473" s="37">
        <v>194118.6</v>
      </c>
      <c r="G473" s="29" t="s">
        <v>7952</v>
      </c>
      <c r="H473" s="14">
        <v>43585</v>
      </c>
      <c r="I473" s="4" t="s">
        <v>618</v>
      </c>
      <c r="J473" s="35" t="s">
        <v>771</v>
      </c>
      <c r="K473" s="136"/>
    </row>
    <row r="474" spans="1:12" ht="41.4" hidden="1" x14ac:dyDescent="0.25">
      <c r="A474" s="32" t="s">
        <v>90</v>
      </c>
      <c r="B474" s="14">
        <v>43605</v>
      </c>
      <c r="C474" s="67">
        <v>212</v>
      </c>
      <c r="D474" s="32" t="s">
        <v>373</v>
      </c>
      <c r="E474" s="13" t="s">
        <v>7998</v>
      </c>
      <c r="F474" s="4">
        <v>944020.69</v>
      </c>
      <c r="G474" s="28" t="s">
        <v>2143</v>
      </c>
      <c r="H474" s="14"/>
      <c r="I474" s="4" t="s">
        <v>362</v>
      </c>
      <c r="J474" s="166" t="s">
        <v>771</v>
      </c>
      <c r="K474" s="167"/>
      <c r="L474" s="35"/>
    </row>
    <row r="475" spans="1:12" ht="41.4" hidden="1" x14ac:dyDescent="0.25">
      <c r="A475" s="32" t="s">
        <v>55</v>
      </c>
      <c r="B475" s="14">
        <v>43605</v>
      </c>
      <c r="C475" s="67">
        <v>213</v>
      </c>
      <c r="D475" s="32" t="s">
        <v>373</v>
      </c>
      <c r="E475" s="13" t="s">
        <v>7998</v>
      </c>
      <c r="F475" s="4">
        <v>346953.63</v>
      </c>
      <c r="G475" s="28" t="s">
        <v>7235</v>
      </c>
      <c r="H475" s="14"/>
      <c r="I475" s="4" t="s">
        <v>7234</v>
      </c>
      <c r="J475" s="166" t="s">
        <v>327</v>
      </c>
      <c r="K475" s="167"/>
      <c r="L475" s="35"/>
    </row>
    <row r="476" spans="1:12" ht="41.4" hidden="1" x14ac:dyDescent="0.25">
      <c r="A476" s="32" t="s">
        <v>55</v>
      </c>
      <c r="B476" s="14">
        <v>43605</v>
      </c>
      <c r="C476" s="67">
        <v>213</v>
      </c>
      <c r="D476" s="32" t="s">
        <v>373</v>
      </c>
      <c r="E476" s="13" t="s">
        <v>7998</v>
      </c>
      <c r="F476" s="4">
        <v>392971.35</v>
      </c>
      <c r="G476" s="28" t="s">
        <v>7235</v>
      </c>
      <c r="H476" s="14"/>
      <c r="I476" s="4" t="s">
        <v>7234</v>
      </c>
      <c r="J476" s="166" t="s">
        <v>239</v>
      </c>
      <c r="K476" s="167"/>
      <c r="L476" s="35"/>
    </row>
    <row r="477" spans="1:12" ht="41.4" hidden="1" x14ac:dyDescent="0.25">
      <c r="A477" s="32" t="s">
        <v>55</v>
      </c>
      <c r="B477" s="14">
        <v>43605</v>
      </c>
      <c r="C477" s="67">
        <v>213</v>
      </c>
      <c r="D477" s="32" t="s">
        <v>373</v>
      </c>
      <c r="E477" s="13" t="s">
        <v>7998</v>
      </c>
      <c r="F477" s="4">
        <v>274401.63</v>
      </c>
      <c r="G477" s="28" t="s">
        <v>7235</v>
      </c>
      <c r="H477" s="14"/>
      <c r="I477" s="4" t="s">
        <v>7234</v>
      </c>
      <c r="J477" s="166" t="s">
        <v>721</v>
      </c>
      <c r="K477" s="167"/>
      <c r="L477" s="35"/>
    </row>
    <row r="478" spans="1:12" s="97" customFormat="1" hidden="1" x14ac:dyDescent="0.25">
      <c r="A478" s="32" t="s">
        <v>311</v>
      </c>
      <c r="B478" s="14">
        <v>43605</v>
      </c>
      <c r="C478" s="13">
        <v>466</v>
      </c>
      <c r="D478" s="13" t="s">
        <v>6514</v>
      </c>
      <c r="E478" s="13" t="s">
        <v>958</v>
      </c>
      <c r="F478" s="4">
        <v>18697</v>
      </c>
      <c r="G478" s="28" t="s">
        <v>6515</v>
      </c>
      <c r="H478" s="14">
        <v>43559</v>
      </c>
      <c r="I478" s="4" t="s">
        <v>3433</v>
      </c>
      <c r="J478" s="71" t="s">
        <v>6392</v>
      </c>
      <c r="K478" s="22"/>
      <c r="L478" s="134"/>
    </row>
    <row r="479" spans="1:12" s="97" customFormat="1" hidden="1" x14ac:dyDescent="0.25">
      <c r="A479" s="61" t="s">
        <v>311</v>
      </c>
      <c r="B479" s="14">
        <v>43605</v>
      </c>
      <c r="C479" s="13">
        <v>467</v>
      </c>
      <c r="D479" s="13" t="s">
        <v>4936</v>
      </c>
      <c r="E479" s="13" t="s">
        <v>958</v>
      </c>
      <c r="F479" s="4">
        <f>160547.36-72.74</f>
        <v>160474.62</v>
      </c>
      <c r="G479" s="28" t="s">
        <v>5901</v>
      </c>
      <c r="H479" s="14">
        <v>43564</v>
      </c>
      <c r="I479" s="4" t="s">
        <v>572</v>
      </c>
      <c r="J479" s="71" t="s">
        <v>6392</v>
      </c>
      <c r="K479" s="22"/>
      <c r="L479" s="134"/>
    </row>
    <row r="480" spans="1:12" s="97" customFormat="1" hidden="1" x14ac:dyDescent="0.25">
      <c r="A480" s="61" t="s">
        <v>311</v>
      </c>
      <c r="B480" s="14">
        <v>43605</v>
      </c>
      <c r="C480" s="13">
        <v>468</v>
      </c>
      <c r="D480" s="13" t="s">
        <v>869</v>
      </c>
      <c r="E480" s="13" t="s">
        <v>958</v>
      </c>
      <c r="F480" s="4">
        <v>67855.23</v>
      </c>
      <c r="G480" s="28" t="s">
        <v>6534</v>
      </c>
      <c r="H480" s="14">
        <v>43563</v>
      </c>
      <c r="I480" s="4" t="s">
        <v>572</v>
      </c>
      <c r="J480" s="71" t="s">
        <v>6392</v>
      </c>
      <c r="K480" s="22"/>
      <c r="L480" s="134"/>
    </row>
    <row r="481" spans="1:12" s="97" customFormat="1" hidden="1" x14ac:dyDescent="0.25">
      <c r="A481" s="61" t="s">
        <v>311</v>
      </c>
      <c r="B481" s="14">
        <v>43605</v>
      </c>
      <c r="C481" s="13">
        <v>469</v>
      </c>
      <c r="D481" s="13" t="s">
        <v>869</v>
      </c>
      <c r="E481" s="13" t="s">
        <v>958</v>
      </c>
      <c r="F481" s="37">
        <v>604218.88</v>
      </c>
      <c r="G481" s="29" t="s">
        <v>7165</v>
      </c>
      <c r="H481" s="14">
        <v>43578</v>
      </c>
      <c r="I481" s="4" t="s">
        <v>572</v>
      </c>
      <c r="J481" s="71" t="s">
        <v>6392</v>
      </c>
      <c r="K481" s="22"/>
      <c r="L481" s="134"/>
    </row>
    <row r="482" spans="1:12" s="97" customFormat="1" hidden="1" x14ac:dyDescent="0.25">
      <c r="A482" s="61" t="s">
        <v>311</v>
      </c>
      <c r="B482" s="14">
        <v>43605</v>
      </c>
      <c r="C482" s="13">
        <v>470</v>
      </c>
      <c r="D482" s="13" t="s">
        <v>516</v>
      </c>
      <c r="E482" s="13" t="s">
        <v>958</v>
      </c>
      <c r="F482" s="37">
        <v>19146.8</v>
      </c>
      <c r="G482" s="29" t="s">
        <v>6490</v>
      </c>
      <c r="H482" s="14">
        <v>43557</v>
      </c>
      <c r="I482" s="4" t="s">
        <v>6491</v>
      </c>
      <c r="J482" s="71" t="s">
        <v>6392</v>
      </c>
      <c r="K482" s="22"/>
      <c r="L482" s="134"/>
    </row>
    <row r="483" spans="1:12" s="97" customFormat="1" hidden="1" x14ac:dyDescent="0.25">
      <c r="A483" s="61" t="s">
        <v>311</v>
      </c>
      <c r="B483" s="14">
        <v>43605</v>
      </c>
      <c r="C483" s="13">
        <v>471</v>
      </c>
      <c r="D483" s="13" t="s">
        <v>516</v>
      </c>
      <c r="E483" s="13" t="s">
        <v>958</v>
      </c>
      <c r="F483" s="4">
        <v>112237.81</v>
      </c>
      <c r="G483" s="28" t="s">
        <v>6807</v>
      </c>
      <c r="H483" s="14">
        <v>43565</v>
      </c>
      <c r="I483" s="4" t="s">
        <v>6808</v>
      </c>
      <c r="J483" s="71" t="s">
        <v>6392</v>
      </c>
      <c r="K483" s="22"/>
      <c r="L483" s="134"/>
    </row>
    <row r="484" spans="1:12" s="97" customFormat="1" hidden="1" x14ac:dyDescent="0.25">
      <c r="A484" s="13" t="s">
        <v>311</v>
      </c>
      <c r="B484" s="14">
        <v>43605</v>
      </c>
      <c r="C484" s="13">
        <v>479</v>
      </c>
      <c r="D484" s="13" t="s">
        <v>243</v>
      </c>
      <c r="E484" s="13" t="s">
        <v>958</v>
      </c>
      <c r="F484" s="4">
        <v>1842240</v>
      </c>
      <c r="G484" s="28" t="s">
        <v>7132</v>
      </c>
      <c r="H484" s="14">
        <v>43600</v>
      </c>
      <c r="I484" s="4" t="s">
        <v>8009</v>
      </c>
      <c r="J484" s="71" t="s">
        <v>6392</v>
      </c>
      <c r="K484" s="22"/>
      <c r="L484" s="134"/>
    </row>
    <row r="485" spans="1:12" s="97" customFormat="1" hidden="1" x14ac:dyDescent="0.25">
      <c r="A485" s="13" t="s">
        <v>311</v>
      </c>
      <c r="B485" s="14">
        <v>43605</v>
      </c>
      <c r="C485" s="13">
        <v>480</v>
      </c>
      <c r="D485" s="13" t="s">
        <v>1377</v>
      </c>
      <c r="E485" s="13" t="s">
        <v>958</v>
      </c>
      <c r="F485" s="4">
        <v>830000</v>
      </c>
      <c r="G485" s="29" t="s">
        <v>27</v>
      </c>
      <c r="H485" s="14">
        <v>43600</v>
      </c>
      <c r="I485" s="4" t="s">
        <v>8007</v>
      </c>
      <c r="J485" s="71" t="s">
        <v>6392</v>
      </c>
      <c r="K485" s="22"/>
      <c r="L485" s="134"/>
    </row>
    <row r="486" spans="1:12" s="97" customFormat="1" hidden="1" x14ac:dyDescent="0.25">
      <c r="A486" s="13" t="s">
        <v>311</v>
      </c>
      <c r="B486" s="14">
        <v>43605</v>
      </c>
      <c r="C486" s="13">
        <v>483</v>
      </c>
      <c r="D486" s="13" t="s">
        <v>304</v>
      </c>
      <c r="E486" s="13" t="s">
        <v>958</v>
      </c>
      <c r="F486" s="4">
        <v>1590036</v>
      </c>
      <c r="G486" s="29" t="s">
        <v>8012</v>
      </c>
      <c r="H486" s="14">
        <v>43585</v>
      </c>
      <c r="I486" s="4" t="s">
        <v>8013</v>
      </c>
      <c r="J486" s="71" t="s">
        <v>6392</v>
      </c>
      <c r="K486" s="22"/>
      <c r="L486" s="134"/>
    </row>
    <row r="487" spans="1:12" s="97" customFormat="1" hidden="1" x14ac:dyDescent="0.25">
      <c r="A487" s="13" t="s">
        <v>311</v>
      </c>
      <c r="B487" s="14">
        <v>43605</v>
      </c>
      <c r="C487" s="13">
        <v>484</v>
      </c>
      <c r="D487" s="13" t="s">
        <v>304</v>
      </c>
      <c r="E487" s="13" t="s">
        <v>958</v>
      </c>
      <c r="F487" s="4">
        <v>1955448</v>
      </c>
      <c r="G487" s="29" t="s">
        <v>8014</v>
      </c>
      <c r="H487" s="14">
        <v>43598</v>
      </c>
      <c r="I487" s="4" t="s">
        <v>8015</v>
      </c>
      <c r="J487" s="71" t="s">
        <v>6392</v>
      </c>
      <c r="K487" s="22"/>
      <c r="L487" s="134"/>
    </row>
    <row r="488" spans="1:12" s="97" customFormat="1" hidden="1" x14ac:dyDescent="0.25">
      <c r="A488" s="61" t="s">
        <v>311</v>
      </c>
      <c r="B488" s="14">
        <v>43605</v>
      </c>
      <c r="C488" s="13">
        <v>485</v>
      </c>
      <c r="D488" s="13" t="s">
        <v>2697</v>
      </c>
      <c r="E488" s="13" t="s">
        <v>958</v>
      </c>
      <c r="F488" s="4">
        <v>3853923</v>
      </c>
      <c r="G488" s="28" t="s">
        <v>8017</v>
      </c>
      <c r="H488" s="14">
        <v>43598</v>
      </c>
      <c r="I488" s="4" t="s">
        <v>8016</v>
      </c>
      <c r="J488" s="71" t="s">
        <v>6392</v>
      </c>
      <c r="K488" s="22"/>
      <c r="L488" s="134"/>
    </row>
    <row r="489" spans="1:12" s="97" customFormat="1" hidden="1" x14ac:dyDescent="0.25">
      <c r="A489" s="61" t="s">
        <v>311</v>
      </c>
      <c r="B489" s="14">
        <v>43605</v>
      </c>
      <c r="C489" s="13">
        <v>486</v>
      </c>
      <c r="D489" s="13" t="s">
        <v>2697</v>
      </c>
      <c r="E489" s="13" t="s">
        <v>958</v>
      </c>
      <c r="F489" s="4">
        <v>6356203.7999999998</v>
      </c>
      <c r="G489" s="28" t="s">
        <v>8018</v>
      </c>
      <c r="H489" s="14">
        <v>43598</v>
      </c>
      <c r="I489" s="4" t="s">
        <v>8019</v>
      </c>
      <c r="J489" s="71" t="s">
        <v>6392</v>
      </c>
      <c r="K489" s="22"/>
      <c r="L489" s="134"/>
    </row>
    <row r="490" spans="1:12" ht="27.6" hidden="1" x14ac:dyDescent="0.25">
      <c r="A490" s="61" t="s">
        <v>460</v>
      </c>
      <c r="B490" s="14">
        <v>43606</v>
      </c>
      <c r="C490" s="13">
        <v>481</v>
      </c>
      <c r="D490" s="14" t="s">
        <v>5430</v>
      </c>
      <c r="E490" s="32" t="s">
        <v>2058</v>
      </c>
      <c r="F490" s="4">
        <v>139200</v>
      </c>
      <c r="G490" s="86" t="s">
        <v>5429</v>
      </c>
      <c r="H490" s="211"/>
      <c r="I490" s="326"/>
      <c r="K490" s="62"/>
    </row>
    <row r="491" spans="1:12" ht="27.6" hidden="1" x14ac:dyDescent="0.25">
      <c r="A491" s="61" t="s">
        <v>460</v>
      </c>
      <c r="B491" s="14">
        <v>43606</v>
      </c>
      <c r="C491" s="13">
        <v>484</v>
      </c>
      <c r="D491" s="14" t="s">
        <v>5543</v>
      </c>
      <c r="E491" s="32" t="s">
        <v>2058</v>
      </c>
      <c r="F491" s="4">
        <v>98972</v>
      </c>
      <c r="G491" s="86" t="s">
        <v>5544</v>
      </c>
      <c r="H491" s="211"/>
      <c r="I491" s="326"/>
      <c r="K491" s="62"/>
    </row>
    <row r="492" spans="1:12" ht="13.8" hidden="1" customHeight="1" x14ac:dyDescent="0.25">
      <c r="A492" s="13" t="s">
        <v>184</v>
      </c>
      <c r="B492" s="14">
        <v>43606</v>
      </c>
      <c r="C492" s="13">
        <v>612</v>
      </c>
      <c r="D492" s="32" t="s">
        <v>7845</v>
      </c>
      <c r="E492" s="32" t="s">
        <v>1121</v>
      </c>
      <c r="F492" s="4">
        <v>11700</v>
      </c>
      <c r="G492" s="29" t="s">
        <v>3977</v>
      </c>
      <c r="H492" s="14">
        <v>43605</v>
      </c>
      <c r="I492" s="4" t="s">
        <v>7974</v>
      </c>
      <c r="J492" s="21"/>
      <c r="K492" s="228"/>
    </row>
    <row r="493" spans="1:12" ht="15" hidden="1" customHeight="1" x14ac:dyDescent="0.25">
      <c r="A493" s="13" t="s">
        <v>184</v>
      </c>
      <c r="B493" s="14">
        <v>43606</v>
      </c>
      <c r="C493" s="13">
        <v>615</v>
      </c>
      <c r="D493" s="32" t="s">
        <v>7971</v>
      </c>
      <c r="E493" s="32" t="s">
        <v>1121</v>
      </c>
      <c r="F493" s="4">
        <f>10320+350</f>
        <v>10670</v>
      </c>
      <c r="G493" s="28" t="s">
        <v>886</v>
      </c>
      <c r="H493" s="14">
        <v>42379</v>
      </c>
      <c r="I493" s="4" t="s">
        <v>7972</v>
      </c>
      <c r="J493" s="76"/>
    </row>
    <row r="494" spans="1:12" ht="15" hidden="1" customHeight="1" x14ac:dyDescent="0.25">
      <c r="A494" s="13" t="s">
        <v>184</v>
      </c>
      <c r="B494" s="14">
        <v>43606</v>
      </c>
      <c r="C494" s="13">
        <v>616</v>
      </c>
      <c r="D494" s="13" t="s">
        <v>6551</v>
      </c>
      <c r="E494" s="32" t="s">
        <v>1121</v>
      </c>
      <c r="F494" s="4">
        <v>26400</v>
      </c>
      <c r="G494" s="28" t="s">
        <v>86</v>
      </c>
      <c r="H494" s="14">
        <v>43601</v>
      </c>
      <c r="I494" s="4" t="s">
        <v>7923</v>
      </c>
      <c r="J494" s="76"/>
    </row>
    <row r="495" spans="1:12" ht="15" hidden="1" customHeight="1" x14ac:dyDescent="0.25">
      <c r="A495" s="13" t="s">
        <v>184</v>
      </c>
      <c r="B495" s="14">
        <v>43606</v>
      </c>
      <c r="C495" s="13">
        <v>626</v>
      </c>
      <c r="D495" s="13" t="s">
        <v>2340</v>
      </c>
      <c r="E495" s="32" t="s">
        <v>1121</v>
      </c>
      <c r="F495" s="4">
        <v>153600</v>
      </c>
      <c r="G495" s="28" t="s">
        <v>3813</v>
      </c>
      <c r="H495" s="14">
        <v>43553</v>
      </c>
      <c r="I495" s="4" t="s">
        <v>2341</v>
      </c>
      <c r="J495" s="76" t="s">
        <v>7251</v>
      </c>
    </row>
    <row r="496" spans="1:12" ht="15" hidden="1" customHeight="1" x14ac:dyDescent="0.25">
      <c r="A496" s="13" t="s">
        <v>184</v>
      </c>
      <c r="B496" s="14">
        <v>43606</v>
      </c>
      <c r="C496" s="13">
        <v>626</v>
      </c>
      <c r="D496" s="13" t="s">
        <v>2340</v>
      </c>
      <c r="E496" s="32" t="s">
        <v>1121</v>
      </c>
      <c r="F496" s="4">
        <v>153600</v>
      </c>
      <c r="G496" s="28" t="s">
        <v>558</v>
      </c>
      <c r="H496" s="14">
        <v>43553</v>
      </c>
      <c r="I496" s="4" t="s">
        <v>2342</v>
      </c>
      <c r="J496" s="76" t="s">
        <v>7251</v>
      </c>
    </row>
    <row r="497" spans="1:12" s="216" customFormat="1" ht="15" hidden="1" customHeight="1" x14ac:dyDescent="0.25">
      <c r="A497" s="13" t="s">
        <v>184</v>
      </c>
      <c r="B497" s="14">
        <v>43606</v>
      </c>
      <c r="C497" s="13">
        <v>626</v>
      </c>
      <c r="D497" s="13" t="s">
        <v>2340</v>
      </c>
      <c r="E497" s="32" t="s">
        <v>1121</v>
      </c>
      <c r="F497" s="4">
        <v>40440</v>
      </c>
      <c r="G497" s="28" t="s">
        <v>1242</v>
      </c>
      <c r="H497" s="14">
        <v>43567</v>
      </c>
      <c r="I497" s="4" t="s">
        <v>2341</v>
      </c>
      <c r="J497" s="76" t="s">
        <v>7250</v>
      </c>
      <c r="K497" s="21"/>
    </row>
    <row r="498" spans="1:12" s="20" customFormat="1" hidden="1" x14ac:dyDescent="0.25">
      <c r="A498" s="13" t="s">
        <v>184</v>
      </c>
      <c r="B498" s="14">
        <v>43606</v>
      </c>
      <c r="C498" s="13">
        <v>626</v>
      </c>
      <c r="D498" s="13" t="s">
        <v>2340</v>
      </c>
      <c r="E498" s="32" t="s">
        <v>1121</v>
      </c>
      <c r="F498" s="4">
        <v>40440</v>
      </c>
      <c r="G498" s="28" t="s">
        <v>1299</v>
      </c>
      <c r="H498" s="14">
        <v>43567</v>
      </c>
      <c r="I498" s="4" t="s">
        <v>2342</v>
      </c>
      <c r="J498" s="76" t="s">
        <v>7250</v>
      </c>
      <c r="K498" s="21"/>
    </row>
    <row r="499" spans="1:12" hidden="1" x14ac:dyDescent="0.25">
      <c r="A499" s="13" t="s">
        <v>184</v>
      </c>
      <c r="B499" s="14">
        <v>43606</v>
      </c>
      <c r="C499" s="13">
        <v>627</v>
      </c>
      <c r="D499" s="32" t="s">
        <v>747</v>
      </c>
      <c r="E499" s="32" t="s">
        <v>1121</v>
      </c>
      <c r="F499" s="4">
        <v>245000</v>
      </c>
      <c r="G499" s="28" t="s">
        <v>7905</v>
      </c>
      <c r="H499" s="14">
        <v>43584</v>
      </c>
      <c r="I499" s="4" t="s">
        <v>770</v>
      </c>
      <c r="J499" s="76" t="s">
        <v>1386</v>
      </c>
    </row>
    <row r="500" spans="1:12" hidden="1" x14ac:dyDescent="0.25">
      <c r="A500" s="13" t="s">
        <v>184</v>
      </c>
      <c r="B500" s="14">
        <v>43606</v>
      </c>
      <c r="C500" s="13">
        <v>627</v>
      </c>
      <c r="D500" s="32" t="s">
        <v>747</v>
      </c>
      <c r="E500" s="32" t="s">
        <v>1121</v>
      </c>
      <c r="F500" s="4">
        <v>210000</v>
      </c>
      <c r="G500" s="28" t="s">
        <v>7906</v>
      </c>
      <c r="H500" s="14">
        <v>43584</v>
      </c>
      <c r="I500" s="4" t="s">
        <v>7907</v>
      </c>
      <c r="J500" s="76" t="s">
        <v>1386</v>
      </c>
    </row>
    <row r="501" spans="1:12" hidden="1" x14ac:dyDescent="0.25">
      <c r="A501" s="13" t="s">
        <v>184</v>
      </c>
      <c r="B501" s="14">
        <v>43606</v>
      </c>
      <c r="C501" s="13">
        <v>627</v>
      </c>
      <c r="D501" s="32" t="s">
        <v>747</v>
      </c>
      <c r="E501" s="32" t="s">
        <v>1121</v>
      </c>
      <c r="F501" s="4">
        <v>245000</v>
      </c>
      <c r="G501" s="28" t="s">
        <v>7908</v>
      </c>
      <c r="H501" s="14">
        <v>43584</v>
      </c>
      <c r="I501" s="4" t="s">
        <v>2867</v>
      </c>
      <c r="J501" s="76" t="s">
        <v>1386</v>
      </c>
    </row>
    <row r="502" spans="1:12" hidden="1" x14ac:dyDescent="0.25">
      <c r="A502" s="13" t="s">
        <v>184</v>
      </c>
      <c r="B502" s="14">
        <v>43606</v>
      </c>
      <c r="C502" s="13">
        <v>630</v>
      </c>
      <c r="D502" s="32" t="s">
        <v>7887</v>
      </c>
      <c r="E502" s="32" t="s">
        <v>1121</v>
      </c>
      <c r="F502" s="4">
        <v>1151.0999999999999</v>
      </c>
      <c r="G502" s="28" t="s">
        <v>7888</v>
      </c>
      <c r="H502" s="14">
        <v>43585</v>
      </c>
      <c r="I502" s="4" t="s">
        <v>7889</v>
      </c>
      <c r="J502" s="22" t="s">
        <v>771</v>
      </c>
      <c r="K502" s="63"/>
      <c r="L502" s="62"/>
    </row>
    <row r="503" spans="1:12" hidden="1" x14ac:dyDescent="0.25">
      <c r="A503" s="13" t="s">
        <v>184</v>
      </c>
      <c r="B503" s="14">
        <v>43606</v>
      </c>
      <c r="C503" s="13">
        <v>628</v>
      </c>
      <c r="D503" s="32" t="s">
        <v>1546</v>
      </c>
      <c r="E503" s="32" t="s">
        <v>1121</v>
      </c>
      <c r="F503" s="4">
        <v>21625.51</v>
      </c>
      <c r="G503" s="28" t="s">
        <v>7885</v>
      </c>
      <c r="H503" s="14">
        <v>43585</v>
      </c>
      <c r="I503" s="4" t="s">
        <v>915</v>
      </c>
      <c r="J503" s="22" t="s">
        <v>771</v>
      </c>
      <c r="K503" s="63"/>
      <c r="L503" s="62"/>
    </row>
    <row r="504" spans="1:12" hidden="1" x14ac:dyDescent="0.25">
      <c r="A504" s="13" t="s">
        <v>184</v>
      </c>
      <c r="B504" s="14">
        <v>43606</v>
      </c>
      <c r="C504" s="13">
        <v>629</v>
      </c>
      <c r="D504" s="32" t="s">
        <v>914</v>
      </c>
      <c r="E504" s="32" t="s">
        <v>1121</v>
      </c>
      <c r="F504" s="4">
        <v>73535.23</v>
      </c>
      <c r="G504" s="28" t="s">
        <v>7886</v>
      </c>
      <c r="H504" s="14">
        <v>43585</v>
      </c>
      <c r="I504" s="4" t="s">
        <v>1260</v>
      </c>
      <c r="J504" s="22" t="s">
        <v>771</v>
      </c>
      <c r="K504" s="63"/>
      <c r="L504" s="62"/>
    </row>
    <row r="505" spans="1:12" hidden="1" x14ac:dyDescent="0.25">
      <c r="A505" s="13" t="s">
        <v>184</v>
      </c>
      <c r="B505" s="14">
        <v>43606</v>
      </c>
      <c r="C505" s="13">
        <v>617</v>
      </c>
      <c r="D505" s="13" t="s">
        <v>163</v>
      </c>
      <c r="E505" s="32" t="s">
        <v>1121</v>
      </c>
      <c r="F505" s="4">
        <v>168750</v>
      </c>
      <c r="G505" s="28" t="s">
        <v>248</v>
      </c>
      <c r="H505" s="14">
        <v>43566</v>
      </c>
      <c r="I505" s="4" t="s">
        <v>6665</v>
      </c>
      <c r="J505" s="76"/>
    </row>
    <row r="506" spans="1:12" ht="15" hidden="1" customHeight="1" x14ac:dyDescent="0.25">
      <c r="A506" s="13" t="s">
        <v>184</v>
      </c>
      <c r="B506" s="14">
        <v>43606</v>
      </c>
      <c r="C506" s="13">
        <v>618</v>
      </c>
      <c r="D506" s="13" t="s">
        <v>1745</v>
      </c>
      <c r="E506" s="32" t="s">
        <v>1121</v>
      </c>
      <c r="F506" s="4">
        <v>67500</v>
      </c>
      <c r="G506" s="28" t="s">
        <v>3432</v>
      </c>
      <c r="H506" s="14">
        <v>43573</v>
      </c>
      <c r="I506" s="4" t="s">
        <v>7217</v>
      </c>
      <c r="J506" s="76"/>
    </row>
    <row r="507" spans="1:12" ht="27.6" hidden="1" x14ac:dyDescent="0.25">
      <c r="A507" s="13" t="s">
        <v>184</v>
      </c>
      <c r="B507" s="14">
        <v>43606</v>
      </c>
      <c r="C507" s="13">
        <v>619</v>
      </c>
      <c r="D507" s="13" t="s">
        <v>224</v>
      </c>
      <c r="E507" s="32" t="s">
        <v>1121</v>
      </c>
      <c r="F507" s="4">
        <v>216000</v>
      </c>
      <c r="G507" s="28" t="s">
        <v>7917</v>
      </c>
      <c r="H507" s="14">
        <v>43571</v>
      </c>
      <c r="I507" s="4" t="s">
        <v>7918</v>
      </c>
      <c r="J507" s="125">
        <v>43564</v>
      </c>
    </row>
    <row r="508" spans="1:12" ht="15" hidden="1" customHeight="1" x14ac:dyDescent="0.25">
      <c r="A508" s="13" t="s">
        <v>184</v>
      </c>
      <c r="B508" s="14">
        <v>43606</v>
      </c>
      <c r="C508" s="13">
        <v>620</v>
      </c>
      <c r="D508" s="13" t="s">
        <v>348</v>
      </c>
      <c r="E508" s="32" t="s">
        <v>1121</v>
      </c>
      <c r="F508" s="4">
        <v>500000</v>
      </c>
      <c r="G508" s="28" t="s">
        <v>7897</v>
      </c>
      <c r="H508" s="14">
        <v>43586</v>
      </c>
      <c r="I508" s="4" t="s">
        <v>309</v>
      </c>
      <c r="J508" s="76" t="s">
        <v>1386</v>
      </c>
    </row>
    <row r="509" spans="1:12" hidden="1" x14ac:dyDescent="0.25">
      <c r="A509" s="13" t="s">
        <v>184</v>
      </c>
      <c r="B509" s="14">
        <v>43606</v>
      </c>
      <c r="C509" s="13">
        <v>621</v>
      </c>
      <c r="D509" s="13" t="s">
        <v>491</v>
      </c>
      <c r="E509" s="32" t="s">
        <v>1121</v>
      </c>
      <c r="F509" s="4">
        <v>70000</v>
      </c>
      <c r="G509" s="28" t="s">
        <v>7876</v>
      </c>
      <c r="H509" s="14">
        <v>43560</v>
      </c>
      <c r="I509" s="4" t="s">
        <v>571</v>
      </c>
      <c r="J509" s="125">
        <v>43572</v>
      </c>
    </row>
    <row r="510" spans="1:12" ht="15" hidden="1" customHeight="1" x14ac:dyDescent="0.25">
      <c r="A510" s="13" t="s">
        <v>184</v>
      </c>
      <c r="B510" s="14">
        <v>43606</v>
      </c>
      <c r="C510" s="13">
        <v>632</v>
      </c>
      <c r="D510" s="13" t="s">
        <v>47</v>
      </c>
      <c r="E510" s="32" t="s">
        <v>1121</v>
      </c>
      <c r="F510" s="4">
        <v>3580</v>
      </c>
      <c r="G510" s="28" t="s">
        <v>7878</v>
      </c>
      <c r="H510" s="14">
        <v>43592</v>
      </c>
      <c r="I510" s="4" t="s">
        <v>746</v>
      </c>
    </row>
    <row r="511" spans="1:12" ht="15" hidden="1" customHeight="1" x14ac:dyDescent="0.25">
      <c r="A511" s="13" t="s">
        <v>184</v>
      </c>
      <c r="B511" s="14">
        <v>43606</v>
      </c>
      <c r="C511" s="13">
        <v>632</v>
      </c>
      <c r="D511" s="13" t="s">
        <v>47</v>
      </c>
      <c r="E511" s="32" t="s">
        <v>1121</v>
      </c>
      <c r="F511" s="4">
        <v>1790</v>
      </c>
      <c r="G511" s="28" t="s">
        <v>7882</v>
      </c>
      <c r="H511" s="14">
        <v>43593</v>
      </c>
      <c r="I511" s="4" t="s">
        <v>746</v>
      </c>
    </row>
    <row r="512" spans="1:12" hidden="1" x14ac:dyDescent="0.25">
      <c r="A512" s="13" t="s">
        <v>184</v>
      </c>
      <c r="B512" s="14">
        <v>43606</v>
      </c>
      <c r="C512" s="13">
        <v>622</v>
      </c>
      <c r="D512" s="13" t="s">
        <v>662</v>
      </c>
      <c r="E512" s="32" t="s">
        <v>1121</v>
      </c>
      <c r="F512" s="4">
        <v>10200</v>
      </c>
      <c r="G512" s="29" t="s">
        <v>111</v>
      </c>
      <c r="H512" s="14">
        <v>43585</v>
      </c>
      <c r="I512" s="4" t="s">
        <v>7881</v>
      </c>
      <c r="J512" s="125" t="s">
        <v>5258</v>
      </c>
    </row>
    <row r="513" spans="1:12" hidden="1" x14ac:dyDescent="0.25">
      <c r="A513" s="13" t="s">
        <v>184</v>
      </c>
      <c r="B513" s="14">
        <v>43606</v>
      </c>
      <c r="C513" s="13">
        <v>623</v>
      </c>
      <c r="D513" s="13" t="s">
        <v>2651</v>
      </c>
      <c r="E513" s="32" t="s">
        <v>1121</v>
      </c>
      <c r="F513" s="4">
        <v>8800</v>
      </c>
      <c r="G513" s="29" t="s">
        <v>7894</v>
      </c>
      <c r="H513" s="14">
        <v>43600</v>
      </c>
      <c r="I513" s="4" t="s">
        <v>6592</v>
      </c>
      <c r="J513" s="125" t="s">
        <v>651</v>
      </c>
    </row>
    <row r="514" spans="1:12" ht="15" hidden="1" customHeight="1" x14ac:dyDescent="0.25">
      <c r="A514" s="13" t="s">
        <v>151</v>
      </c>
      <c r="B514" s="14">
        <v>43606</v>
      </c>
      <c r="C514" s="13">
        <v>624</v>
      </c>
      <c r="D514" s="13" t="s">
        <v>7841</v>
      </c>
      <c r="E514" s="32" t="s">
        <v>1121</v>
      </c>
      <c r="F514" s="4">
        <v>3290</v>
      </c>
      <c r="G514" s="28" t="s">
        <v>7842</v>
      </c>
      <c r="H514" s="14">
        <v>43581</v>
      </c>
      <c r="I514" s="4" t="s">
        <v>7843</v>
      </c>
      <c r="J514" s="76"/>
    </row>
    <row r="515" spans="1:12" ht="15" hidden="1" customHeight="1" x14ac:dyDescent="0.25">
      <c r="A515" s="13" t="s">
        <v>184</v>
      </c>
      <c r="B515" s="14">
        <v>43606</v>
      </c>
      <c r="C515" s="13">
        <v>631</v>
      </c>
      <c r="D515" s="32" t="s">
        <v>1359</v>
      </c>
      <c r="E515" s="32" t="s">
        <v>1121</v>
      </c>
      <c r="F515" s="4">
        <v>19500</v>
      </c>
      <c r="G515" s="28" t="s">
        <v>7924</v>
      </c>
      <c r="H515" s="14">
        <v>43598</v>
      </c>
      <c r="I515" s="4" t="s">
        <v>7916</v>
      </c>
      <c r="J515" s="76"/>
    </row>
    <row r="516" spans="1:12" ht="15" hidden="1" customHeight="1" x14ac:dyDescent="0.25">
      <c r="A516" s="13" t="s">
        <v>184</v>
      </c>
      <c r="B516" s="14">
        <v>43606</v>
      </c>
      <c r="C516" s="13">
        <v>631</v>
      </c>
      <c r="D516" s="32" t="s">
        <v>1359</v>
      </c>
      <c r="E516" s="32" t="s">
        <v>1121</v>
      </c>
      <c r="F516" s="4">
        <v>6900</v>
      </c>
      <c r="G516" s="28" t="s">
        <v>7915</v>
      </c>
      <c r="H516" s="14">
        <v>43598</v>
      </c>
      <c r="I516" s="4" t="s">
        <v>7916</v>
      </c>
      <c r="J516" s="76" t="s">
        <v>349</v>
      </c>
    </row>
    <row r="517" spans="1:12" s="192" customFormat="1" hidden="1" x14ac:dyDescent="0.25">
      <c r="A517" s="147" t="s">
        <v>242</v>
      </c>
      <c r="B517" s="14">
        <v>43606</v>
      </c>
      <c r="C517" s="187">
        <v>633</v>
      </c>
      <c r="D517" s="149" t="s">
        <v>388</v>
      </c>
      <c r="E517" s="147" t="s">
        <v>1121</v>
      </c>
      <c r="F517" s="158">
        <v>322352.8</v>
      </c>
      <c r="G517" s="150" t="s">
        <v>339</v>
      </c>
      <c r="H517" s="148">
        <v>43592</v>
      </c>
      <c r="I517" s="149" t="s">
        <v>143</v>
      </c>
      <c r="J517" s="193"/>
      <c r="K517" s="194"/>
      <c r="L517" s="190"/>
    </row>
    <row r="518" spans="1:12" s="192" customFormat="1" hidden="1" x14ac:dyDescent="0.25">
      <c r="A518" s="147" t="s">
        <v>242</v>
      </c>
      <c r="B518" s="14">
        <v>43606</v>
      </c>
      <c r="C518" s="195">
        <v>634</v>
      </c>
      <c r="D518" s="149" t="s">
        <v>784</v>
      </c>
      <c r="E518" s="147" t="s">
        <v>1121</v>
      </c>
      <c r="F518" s="158">
        <v>398692.8</v>
      </c>
      <c r="G518" s="150" t="s">
        <v>5251</v>
      </c>
      <c r="H518" s="148">
        <v>43592</v>
      </c>
      <c r="I518" s="149" t="s">
        <v>143</v>
      </c>
      <c r="J518" s="193"/>
      <c r="K518" s="194"/>
      <c r="L518" s="190"/>
    </row>
    <row r="519" spans="1:12" s="192" customFormat="1" hidden="1" x14ac:dyDescent="0.25">
      <c r="A519" s="147" t="s">
        <v>242</v>
      </c>
      <c r="B519" s="14">
        <v>43606</v>
      </c>
      <c r="C519" s="187">
        <v>635</v>
      </c>
      <c r="D519" s="149" t="s">
        <v>291</v>
      </c>
      <c r="E519" s="147" t="s">
        <v>1121</v>
      </c>
      <c r="F519" s="158">
        <v>135481.5</v>
      </c>
      <c r="G519" s="150" t="s">
        <v>54</v>
      </c>
      <c r="H519" s="148">
        <v>43592</v>
      </c>
      <c r="I519" s="149" t="s">
        <v>143</v>
      </c>
      <c r="J519" s="193"/>
      <c r="K519" s="194"/>
      <c r="L519" s="190"/>
    </row>
    <row r="520" spans="1:12" ht="27.6" hidden="1" x14ac:dyDescent="0.25">
      <c r="A520" s="32" t="s">
        <v>151</v>
      </c>
      <c r="B520" s="14">
        <v>43606</v>
      </c>
      <c r="C520" s="67">
        <v>625</v>
      </c>
      <c r="D520" s="32" t="s">
        <v>412</v>
      </c>
      <c r="E520" s="13" t="s">
        <v>1121</v>
      </c>
      <c r="F520" s="4">
        <v>90000</v>
      </c>
      <c r="G520" s="13">
        <v>25</v>
      </c>
      <c r="H520" s="14">
        <v>43556</v>
      </c>
      <c r="I520" s="4" t="s">
        <v>2079</v>
      </c>
      <c r="J520" s="22" t="s">
        <v>771</v>
      </c>
      <c r="K520" s="245"/>
    </row>
    <row r="521" spans="1:12" ht="15" hidden="1" customHeight="1" x14ac:dyDescent="0.25">
      <c r="A521" s="13" t="s">
        <v>184</v>
      </c>
      <c r="B521" s="14">
        <v>43606</v>
      </c>
      <c r="C521" s="13">
        <v>413</v>
      </c>
      <c r="D521" s="32" t="s">
        <v>1359</v>
      </c>
      <c r="E521" s="32" t="s">
        <v>144</v>
      </c>
      <c r="F521" s="4">
        <v>200838</v>
      </c>
      <c r="G521" s="25" t="s">
        <v>7315</v>
      </c>
      <c r="H521" s="14">
        <v>43586</v>
      </c>
      <c r="I521" s="4" t="s">
        <v>294</v>
      </c>
      <c r="J521" s="76" t="s">
        <v>1386</v>
      </c>
    </row>
    <row r="522" spans="1:12" hidden="1" x14ac:dyDescent="0.25">
      <c r="A522" s="13" t="s">
        <v>184</v>
      </c>
      <c r="B522" s="14">
        <v>43606</v>
      </c>
      <c r="C522" s="13">
        <v>414</v>
      </c>
      <c r="D522" s="13" t="s">
        <v>781</v>
      </c>
      <c r="E522" s="13" t="s">
        <v>144</v>
      </c>
      <c r="F522" s="37">
        <v>16000</v>
      </c>
      <c r="G522" s="29" t="s">
        <v>306</v>
      </c>
      <c r="H522" s="14">
        <v>43552</v>
      </c>
      <c r="I522" s="4" t="s">
        <v>782</v>
      </c>
      <c r="J522" s="128" t="s">
        <v>771</v>
      </c>
    </row>
    <row r="523" spans="1:12" hidden="1" x14ac:dyDescent="0.25">
      <c r="A523" s="13" t="s">
        <v>184</v>
      </c>
      <c r="B523" s="14">
        <v>43606</v>
      </c>
      <c r="C523" s="13">
        <v>414</v>
      </c>
      <c r="D523" s="13" t="s">
        <v>781</v>
      </c>
      <c r="E523" s="13" t="s">
        <v>144</v>
      </c>
      <c r="F523" s="37">
        <v>24000</v>
      </c>
      <c r="G523" s="29" t="s">
        <v>26</v>
      </c>
      <c r="H523" s="14">
        <v>43552</v>
      </c>
      <c r="I523" s="4" t="s">
        <v>934</v>
      </c>
      <c r="J523" s="128" t="s">
        <v>771</v>
      </c>
    </row>
    <row r="524" spans="1:12" hidden="1" x14ac:dyDescent="0.25">
      <c r="A524" s="13" t="s">
        <v>184</v>
      </c>
      <c r="B524" s="14">
        <v>43606</v>
      </c>
      <c r="C524" s="13">
        <v>414</v>
      </c>
      <c r="D524" s="13" t="s">
        <v>781</v>
      </c>
      <c r="E524" s="13" t="s">
        <v>144</v>
      </c>
      <c r="F524" s="37">
        <v>24000</v>
      </c>
      <c r="G524" s="29" t="s">
        <v>71</v>
      </c>
      <c r="H524" s="14">
        <v>43552</v>
      </c>
      <c r="I524" s="4" t="s">
        <v>934</v>
      </c>
      <c r="J524" s="128" t="s">
        <v>771</v>
      </c>
    </row>
    <row r="525" spans="1:12" s="192" customFormat="1" hidden="1" x14ac:dyDescent="0.25">
      <c r="A525" s="147" t="s">
        <v>242</v>
      </c>
      <c r="B525" s="14">
        <v>43606</v>
      </c>
      <c r="C525" s="195">
        <v>415</v>
      </c>
      <c r="D525" s="149" t="s">
        <v>490</v>
      </c>
      <c r="E525" s="147" t="s">
        <v>144</v>
      </c>
      <c r="F525" s="158">
        <v>83395.600000000006</v>
      </c>
      <c r="G525" s="150" t="s">
        <v>7390</v>
      </c>
      <c r="H525" s="148">
        <v>43563</v>
      </c>
      <c r="I525" s="149" t="s">
        <v>143</v>
      </c>
      <c r="J525" s="193"/>
      <c r="K525" s="194"/>
      <c r="L525" s="190"/>
    </row>
    <row r="526" spans="1:12" s="192" customFormat="1" hidden="1" x14ac:dyDescent="0.25">
      <c r="A526" s="147" t="s">
        <v>242</v>
      </c>
      <c r="B526" s="14">
        <v>43606</v>
      </c>
      <c r="C526" s="195">
        <v>415</v>
      </c>
      <c r="D526" s="149" t="s">
        <v>490</v>
      </c>
      <c r="E526" s="147" t="s">
        <v>144</v>
      </c>
      <c r="F526" s="158">
        <v>821320</v>
      </c>
      <c r="G526" s="150" t="s">
        <v>7389</v>
      </c>
      <c r="H526" s="148">
        <v>43573</v>
      </c>
      <c r="I526" s="149" t="s">
        <v>143</v>
      </c>
      <c r="J526" s="193"/>
      <c r="K526" s="194"/>
      <c r="L526" s="190"/>
    </row>
    <row r="527" spans="1:12" s="192" customFormat="1" hidden="1" x14ac:dyDescent="0.25">
      <c r="A527" s="147" t="s">
        <v>242</v>
      </c>
      <c r="B527" s="14">
        <v>43606</v>
      </c>
      <c r="C527" s="195">
        <v>416</v>
      </c>
      <c r="D527" s="149" t="s">
        <v>784</v>
      </c>
      <c r="E527" s="147" t="s">
        <v>144</v>
      </c>
      <c r="F527" s="158">
        <v>140968</v>
      </c>
      <c r="G527" s="150" t="s">
        <v>1295</v>
      </c>
      <c r="H527" s="148">
        <v>43592</v>
      </c>
      <c r="I527" s="149" t="s">
        <v>143</v>
      </c>
      <c r="J527" s="193"/>
      <c r="K527" s="194"/>
      <c r="L527" s="190"/>
    </row>
    <row r="528" spans="1:12" s="192" customFormat="1" hidden="1" x14ac:dyDescent="0.25">
      <c r="A528" s="147" t="s">
        <v>242</v>
      </c>
      <c r="B528" s="14">
        <v>43606</v>
      </c>
      <c r="C528" s="195">
        <v>417</v>
      </c>
      <c r="D528" s="149" t="s">
        <v>784</v>
      </c>
      <c r="E528" s="147" t="s">
        <v>144</v>
      </c>
      <c r="F528" s="158">
        <v>141155</v>
      </c>
      <c r="G528" s="150" t="s">
        <v>5374</v>
      </c>
      <c r="H528" s="148">
        <v>43592</v>
      </c>
      <c r="I528" s="149" t="s">
        <v>143</v>
      </c>
      <c r="J528" s="193"/>
      <c r="K528" s="194"/>
      <c r="L528" s="190"/>
    </row>
    <row r="529" spans="1:12" s="192" customFormat="1" hidden="1" x14ac:dyDescent="0.25">
      <c r="A529" s="147" t="s">
        <v>242</v>
      </c>
      <c r="B529" s="14">
        <v>43606</v>
      </c>
      <c r="C529" s="195">
        <v>417</v>
      </c>
      <c r="D529" s="149" t="s">
        <v>784</v>
      </c>
      <c r="E529" s="147" t="s">
        <v>144</v>
      </c>
      <c r="F529" s="158">
        <v>88757.5</v>
      </c>
      <c r="G529" s="150" t="s">
        <v>1265</v>
      </c>
      <c r="H529" s="148">
        <v>43592</v>
      </c>
      <c r="I529" s="149" t="s">
        <v>143</v>
      </c>
      <c r="J529" s="193"/>
      <c r="K529" s="194"/>
      <c r="L529" s="190"/>
    </row>
    <row r="530" spans="1:12" s="192" customFormat="1" hidden="1" x14ac:dyDescent="0.25">
      <c r="A530" s="147" t="s">
        <v>242</v>
      </c>
      <c r="B530" s="14">
        <v>43606</v>
      </c>
      <c r="C530" s="195">
        <v>417</v>
      </c>
      <c r="D530" s="149" t="s">
        <v>784</v>
      </c>
      <c r="E530" s="147" t="s">
        <v>144</v>
      </c>
      <c r="F530" s="158">
        <v>215675</v>
      </c>
      <c r="G530" s="150" t="s">
        <v>477</v>
      </c>
      <c r="H530" s="148">
        <v>43592</v>
      </c>
      <c r="I530" s="149" t="s">
        <v>143</v>
      </c>
      <c r="J530" s="193"/>
      <c r="K530" s="194"/>
      <c r="L530" s="190"/>
    </row>
    <row r="531" spans="1:12" s="192" customFormat="1" hidden="1" x14ac:dyDescent="0.25">
      <c r="A531" s="147" t="s">
        <v>242</v>
      </c>
      <c r="B531" s="14">
        <v>43606</v>
      </c>
      <c r="C531" s="195">
        <v>418</v>
      </c>
      <c r="D531" s="149" t="s">
        <v>388</v>
      </c>
      <c r="E531" s="147" t="s">
        <v>144</v>
      </c>
      <c r="F531" s="158">
        <v>537184.5</v>
      </c>
      <c r="G531" s="150" t="s">
        <v>476</v>
      </c>
      <c r="H531" s="148">
        <v>43592</v>
      </c>
      <c r="I531" s="149" t="s">
        <v>143</v>
      </c>
      <c r="J531" s="193"/>
      <c r="K531" s="194"/>
      <c r="L531" s="190"/>
    </row>
    <row r="532" spans="1:12" s="192" customFormat="1" ht="14.85" hidden="1" customHeight="1" x14ac:dyDescent="0.25">
      <c r="A532" s="147" t="s">
        <v>242</v>
      </c>
      <c r="B532" s="14">
        <v>43606</v>
      </c>
      <c r="C532" s="195">
        <v>419</v>
      </c>
      <c r="D532" s="149" t="s">
        <v>840</v>
      </c>
      <c r="E532" s="147" t="s">
        <v>144</v>
      </c>
      <c r="F532" s="158">
        <v>97938.72</v>
      </c>
      <c r="G532" s="150" t="s">
        <v>1627</v>
      </c>
      <c r="H532" s="148">
        <v>43580</v>
      </c>
      <c r="I532" s="149" t="s">
        <v>143</v>
      </c>
      <c r="J532" s="193"/>
      <c r="K532" s="194"/>
      <c r="L532" s="190"/>
    </row>
    <row r="533" spans="1:12" s="192" customFormat="1" ht="14.85" hidden="1" customHeight="1" x14ac:dyDescent="0.25">
      <c r="A533" s="147" t="s">
        <v>242</v>
      </c>
      <c r="B533" s="14">
        <v>43606</v>
      </c>
      <c r="C533" s="195">
        <v>420</v>
      </c>
      <c r="D533" s="149" t="s">
        <v>1816</v>
      </c>
      <c r="E533" s="147" t="s">
        <v>144</v>
      </c>
      <c r="F533" s="158">
        <v>128894.04</v>
      </c>
      <c r="G533" s="150" t="s">
        <v>4127</v>
      </c>
      <c r="H533" s="148">
        <v>43592</v>
      </c>
      <c r="I533" s="149" t="s">
        <v>143</v>
      </c>
      <c r="J533" s="190"/>
    </row>
    <row r="534" spans="1:12" hidden="1" x14ac:dyDescent="0.25">
      <c r="A534" s="13" t="s">
        <v>151</v>
      </c>
      <c r="B534" s="14">
        <v>43606</v>
      </c>
      <c r="C534" s="13">
        <v>142</v>
      </c>
      <c r="D534" s="13" t="s">
        <v>606</v>
      </c>
      <c r="E534" s="32" t="s">
        <v>22</v>
      </c>
      <c r="F534" s="4">
        <f>625+2435+625</f>
        <v>3685</v>
      </c>
      <c r="G534" s="28" t="s">
        <v>7934</v>
      </c>
      <c r="H534" s="14">
        <v>43602</v>
      </c>
      <c r="I534" s="4" t="s">
        <v>7942</v>
      </c>
      <c r="J534" s="125"/>
    </row>
    <row r="535" spans="1:12" hidden="1" x14ac:dyDescent="0.25">
      <c r="A535" s="13" t="s">
        <v>151</v>
      </c>
      <c r="B535" s="14">
        <v>43606</v>
      </c>
      <c r="C535" s="13">
        <v>141</v>
      </c>
      <c r="D535" s="13" t="s">
        <v>596</v>
      </c>
      <c r="E535" s="32" t="s">
        <v>22</v>
      </c>
      <c r="F535" s="4">
        <f>6820+880</f>
        <v>7700</v>
      </c>
      <c r="G535" s="28" t="s">
        <v>7941</v>
      </c>
      <c r="H535" s="14">
        <v>43602</v>
      </c>
      <c r="I535" s="4" t="s">
        <v>1</v>
      </c>
      <c r="J535" s="125"/>
    </row>
    <row r="536" spans="1:12" s="129" customFormat="1" hidden="1" x14ac:dyDescent="0.25">
      <c r="A536" s="13" t="s">
        <v>151</v>
      </c>
      <c r="B536" s="14">
        <v>43606</v>
      </c>
      <c r="C536" s="28" t="s">
        <v>36</v>
      </c>
      <c r="D536" s="13" t="s">
        <v>1846</v>
      </c>
      <c r="E536" s="13" t="s">
        <v>22</v>
      </c>
      <c r="F536" s="4">
        <v>17080</v>
      </c>
      <c r="G536" s="28" t="s">
        <v>7646</v>
      </c>
      <c r="H536" s="14">
        <v>43599</v>
      </c>
      <c r="I536" s="4" t="s">
        <v>7647</v>
      </c>
      <c r="J536" s="22"/>
      <c r="K536" s="136"/>
    </row>
    <row r="537" spans="1:12" s="129" customFormat="1" hidden="1" x14ac:dyDescent="0.25">
      <c r="A537" s="13" t="s">
        <v>151</v>
      </c>
      <c r="B537" s="14">
        <v>43606</v>
      </c>
      <c r="C537" s="28" t="s">
        <v>36</v>
      </c>
      <c r="D537" s="13" t="s">
        <v>1846</v>
      </c>
      <c r="E537" s="13" t="s">
        <v>22</v>
      </c>
      <c r="F537" s="4">
        <v>48390</v>
      </c>
      <c r="G537" s="28" t="s">
        <v>7860</v>
      </c>
      <c r="H537" s="14">
        <v>43600</v>
      </c>
      <c r="I537" s="4" t="s">
        <v>7861</v>
      </c>
      <c r="J537" s="22"/>
      <c r="K537" s="136"/>
    </row>
    <row r="538" spans="1:12" s="129" customFormat="1" x14ac:dyDescent="0.25">
      <c r="A538" s="13" t="s">
        <v>151</v>
      </c>
      <c r="B538" s="14">
        <v>43606</v>
      </c>
      <c r="C538" s="28" t="s">
        <v>5369</v>
      </c>
      <c r="D538" s="13" t="s">
        <v>372</v>
      </c>
      <c r="E538" s="13" t="s">
        <v>22</v>
      </c>
      <c r="F538" s="4">
        <v>19918.349999999999</v>
      </c>
      <c r="G538" s="28" t="s">
        <v>7714</v>
      </c>
      <c r="H538" s="14">
        <v>43598</v>
      </c>
      <c r="I538" s="4" t="s">
        <v>7715</v>
      </c>
      <c r="J538" s="133"/>
      <c r="K538" s="275"/>
    </row>
    <row r="539" spans="1:12" s="129" customFormat="1" x14ac:dyDescent="0.25">
      <c r="A539" s="13" t="s">
        <v>151</v>
      </c>
      <c r="B539" s="14">
        <v>43606</v>
      </c>
      <c r="C539" s="28" t="s">
        <v>5369</v>
      </c>
      <c r="D539" s="13" t="s">
        <v>372</v>
      </c>
      <c r="E539" s="13" t="s">
        <v>22</v>
      </c>
      <c r="F539" s="4">
        <v>5493</v>
      </c>
      <c r="G539" s="28" t="s">
        <v>7935</v>
      </c>
      <c r="H539" s="14">
        <v>43602</v>
      </c>
      <c r="I539" s="4" t="s">
        <v>7936</v>
      </c>
      <c r="J539" s="133"/>
      <c r="K539" s="275"/>
    </row>
    <row r="540" spans="1:12" s="129" customFormat="1" x14ac:dyDescent="0.25">
      <c r="A540" s="13" t="s">
        <v>151</v>
      </c>
      <c r="B540" s="14">
        <v>43606</v>
      </c>
      <c r="C540" s="28" t="s">
        <v>5369</v>
      </c>
      <c r="D540" s="13" t="s">
        <v>372</v>
      </c>
      <c r="E540" s="13" t="s">
        <v>22</v>
      </c>
      <c r="F540" s="4">
        <v>5290</v>
      </c>
      <c r="G540" s="28" t="s">
        <v>7937</v>
      </c>
      <c r="H540" s="14">
        <v>43601</v>
      </c>
      <c r="I540" s="4" t="s">
        <v>7938</v>
      </c>
      <c r="J540" s="133"/>
      <c r="K540" s="275"/>
    </row>
    <row r="541" spans="1:12" hidden="1" x14ac:dyDescent="0.25">
      <c r="A541" s="32" t="s">
        <v>151</v>
      </c>
      <c r="B541" s="14">
        <v>43606</v>
      </c>
      <c r="C541" s="13">
        <v>140</v>
      </c>
      <c r="D541" s="13" t="s">
        <v>223</v>
      </c>
      <c r="E541" s="32" t="s">
        <v>22</v>
      </c>
      <c r="F541" s="4">
        <v>7560</v>
      </c>
      <c r="G541" s="28" t="s">
        <v>77</v>
      </c>
      <c r="H541" s="14">
        <v>43566</v>
      </c>
      <c r="I541" s="4" t="s">
        <v>3072</v>
      </c>
      <c r="J541" s="76"/>
      <c r="K541" s="246"/>
    </row>
    <row r="542" spans="1:12" hidden="1" x14ac:dyDescent="0.25">
      <c r="A542" s="32" t="s">
        <v>151</v>
      </c>
      <c r="B542" s="14">
        <v>43606</v>
      </c>
      <c r="C542" s="13">
        <v>140</v>
      </c>
      <c r="D542" s="13" t="s">
        <v>223</v>
      </c>
      <c r="E542" s="32" t="s">
        <v>22</v>
      </c>
      <c r="F542" s="4">
        <v>21340</v>
      </c>
      <c r="G542" s="28" t="s">
        <v>320</v>
      </c>
      <c r="H542" s="14">
        <v>43572</v>
      </c>
      <c r="I542" s="4" t="s">
        <v>3072</v>
      </c>
      <c r="J542" s="76"/>
      <c r="K542" s="246"/>
    </row>
    <row r="543" spans="1:12" hidden="1" x14ac:dyDescent="0.25">
      <c r="A543" s="13" t="s">
        <v>151</v>
      </c>
      <c r="B543" s="14">
        <v>43606</v>
      </c>
      <c r="C543" s="13">
        <v>135</v>
      </c>
      <c r="D543" s="13" t="s">
        <v>7920</v>
      </c>
      <c r="E543" s="32" t="s">
        <v>22</v>
      </c>
      <c r="F543" s="4">
        <v>3160</v>
      </c>
      <c r="G543" s="28" t="s">
        <v>7921</v>
      </c>
      <c r="H543" s="14">
        <v>43601</v>
      </c>
      <c r="I543" s="4" t="s">
        <v>7922</v>
      </c>
      <c r="J543" s="125"/>
    </row>
    <row r="544" spans="1:12" hidden="1" x14ac:dyDescent="0.25">
      <c r="A544" s="13" t="s">
        <v>151</v>
      </c>
      <c r="B544" s="14">
        <v>43606</v>
      </c>
      <c r="C544" s="13">
        <v>139</v>
      </c>
      <c r="D544" s="13" t="s">
        <v>5752</v>
      </c>
      <c r="E544" s="32" t="s">
        <v>22</v>
      </c>
      <c r="F544" s="4">
        <v>10762.1</v>
      </c>
      <c r="G544" s="28" t="s">
        <v>7858</v>
      </c>
      <c r="H544" s="14">
        <v>43601</v>
      </c>
      <c r="I544" s="4" t="s">
        <v>7856</v>
      </c>
      <c r="J544" s="125"/>
    </row>
    <row r="545" spans="1:19" hidden="1" x14ac:dyDescent="0.25">
      <c r="A545" s="13" t="s">
        <v>151</v>
      </c>
      <c r="B545" s="14">
        <v>43606</v>
      </c>
      <c r="C545" s="13">
        <v>139</v>
      </c>
      <c r="D545" s="13" t="s">
        <v>5752</v>
      </c>
      <c r="E545" s="32" t="s">
        <v>22</v>
      </c>
      <c r="F545" s="4">
        <v>13134.5</v>
      </c>
      <c r="G545" s="28" t="s">
        <v>7855</v>
      </c>
      <c r="H545" s="14">
        <v>43601</v>
      </c>
      <c r="I545" s="4" t="s">
        <v>7856</v>
      </c>
      <c r="J545" s="125"/>
    </row>
    <row r="546" spans="1:19" hidden="1" x14ac:dyDescent="0.25">
      <c r="A546" s="32" t="s">
        <v>151</v>
      </c>
      <c r="B546" s="14">
        <v>43606</v>
      </c>
      <c r="C546" s="67">
        <v>136</v>
      </c>
      <c r="D546" s="32" t="s">
        <v>1606</v>
      </c>
      <c r="E546" s="32" t="s">
        <v>22</v>
      </c>
      <c r="F546" s="4">
        <v>105000</v>
      </c>
      <c r="G546" s="28" t="s">
        <v>3648</v>
      </c>
      <c r="H546" s="14">
        <v>43493</v>
      </c>
      <c r="I546" s="4" t="s">
        <v>3649</v>
      </c>
      <c r="J546" s="166"/>
      <c r="K546" s="167"/>
      <c r="L546" s="35"/>
    </row>
    <row r="547" spans="1:19" ht="27.6" hidden="1" x14ac:dyDescent="0.25">
      <c r="A547" s="68" t="s">
        <v>92</v>
      </c>
      <c r="B547" s="14">
        <v>43606</v>
      </c>
      <c r="C547" s="13">
        <v>1050</v>
      </c>
      <c r="D547" s="13" t="s">
        <v>373</v>
      </c>
      <c r="E547" s="32" t="s">
        <v>7943</v>
      </c>
      <c r="F547" s="4">
        <v>49351.61</v>
      </c>
      <c r="G547" s="29" t="s">
        <v>7863</v>
      </c>
      <c r="H547" s="14">
        <v>43600</v>
      </c>
      <c r="I547" s="4" t="s">
        <v>7864</v>
      </c>
      <c r="J547" s="128"/>
    </row>
    <row r="548" spans="1:19" s="192" customFormat="1" ht="27.6" hidden="1" x14ac:dyDescent="0.25">
      <c r="A548" s="147" t="s">
        <v>242</v>
      </c>
      <c r="B548" s="164">
        <v>43606</v>
      </c>
      <c r="C548" s="187">
        <v>1051</v>
      </c>
      <c r="D548" s="149" t="s">
        <v>388</v>
      </c>
      <c r="E548" s="32" t="s">
        <v>7943</v>
      </c>
      <c r="F548" s="158">
        <v>999273.05</v>
      </c>
      <c r="G548" s="150" t="s">
        <v>3852</v>
      </c>
      <c r="H548" s="148">
        <v>43592</v>
      </c>
      <c r="I548" s="149" t="s">
        <v>143</v>
      </c>
      <c r="J548" s="193"/>
      <c r="K548" s="194"/>
      <c r="L548" s="190"/>
    </row>
    <row r="549" spans="1:19" s="115" customFormat="1" ht="15.6" hidden="1" x14ac:dyDescent="0.25">
      <c r="A549" s="13" t="s">
        <v>311</v>
      </c>
      <c r="B549" s="14">
        <v>43606</v>
      </c>
      <c r="C549" s="13">
        <v>278</v>
      </c>
      <c r="D549" s="13" t="s">
        <v>873</v>
      </c>
      <c r="E549" s="13" t="s">
        <v>408</v>
      </c>
      <c r="F549" s="4">
        <v>705940.8</v>
      </c>
      <c r="G549" s="13" t="s">
        <v>874</v>
      </c>
      <c r="H549" s="126">
        <v>43563</v>
      </c>
      <c r="I549" s="29" t="s">
        <v>875</v>
      </c>
      <c r="J549" s="385"/>
      <c r="K549" s="116"/>
      <c r="L549" s="116"/>
      <c r="M549" s="116"/>
      <c r="N549" s="116"/>
      <c r="O549" s="117"/>
      <c r="P549" s="117"/>
      <c r="Q549" s="117"/>
      <c r="R549" s="117"/>
      <c r="S549" s="117"/>
    </row>
    <row r="550" spans="1:19" hidden="1" x14ac:dyDescent="0.25">
      <c r="A550" s="68" t="s">
        <v>637</v>
      </c>
      <c r="B550" s="14">
        <v>43606</v>
      </c>
      <c r="C550" s="13">
        <v>549</v>
      </c>
      <c r="D550" s="32" t="s">
        <v>1135</v>
      </c>
      <c r="E550" s="32" t="s">
        <v>547</v>
      </c>
      <c r="F550" s="4">
        <v>49291.199999999997</v>
      </c>
      <c r="G550" s="210" t="s">
        <v>7701</v>
      </c>
      <c r="H550" s="211">
        <v>43593</v>
      </c>
      <c r="I550" s="208" t="s">
        <v>7702</v>
      </c>
      <c r="J550" s="21"/>
      <c r="K550" s="228"/>
    </row>
    <row r="551" spans="1:19" hidden="1" x14ac:dyDescent="0.25">
      <c r="A551" s="68" t="s">
        <v>637</v>
      </c>
      <c r="B551" s="14">
        <v>43606</v>
      </c>
      <c r="C551" s="13">
        <v>550</v>
      </c>
      <c r="D551" s="32" t="s">
        <v>1135</v>
      </c>
      <c r="E551" s="32" t="s">
        <v>547</v>
      </c>
      <c r="F551" s="4">
        <v>45417.599999999999</v>
      </c>
      <c r="G551" s="210" t="s">
        <v>7704</v>
      </c>
      <c r="H551" s="211">
        <v>43593</v>
      </c>
      <c r="I551" s="208" t="s">
        <v>7705</v>
      </c>
      <c r="J551" s="21"/>
      <c r="K551" s="228"/>
    </row>
    <row r="552" spans="1:19" ht="13.2" hidden="1" customHeight="1" x14ac:dyDescent="0.25">
      <c r="A552" s="68" t="s">
        <v>637</v>
      </c>
      <c r="B552" s="14">
        <v>43606</v>
      </c>
      <c r="C552" s="13">
        <v>551</v>
      </c>
      <c r="D552" s="32" t="s">
        <v>1135</v>
      </c>
      <c r="E552" s="32" t="s">
        <v>547</v>
      </c>
      <c r="F552" s="4">
        <v>18136.8</v>
      </c>
      <c r="G552" s="210" t="s">
        <v>7700</v>
      </c>
      <c r="H552" s="211">
        <v>43593</v>
      </c>
      <c r="I552" s="208" t="s">
        <v>7703</v>
      </c>
      <c r="J552" s="21"/>
      <c r="K552" s="228"/>
    </row>
    <row r="553" spans="1:19" hidden="1" x14ac:dyDescent="0.25">
      <c r="A553" s="13" t="s">
        <v>310</v>
      </c>
      <c r="B553" s="14">
        <v>43606</v>
      </c>
      <c r="C553" s="13">
        <v>147</v>
      </c>
      <c r="D553" s="13" t="s">
        <v>210</v>
      </c>
      <c r="E553" s="13" t="s">
        <v>314</v>
      </c>
      <c r="F553" s="37">
        <v>5320.48</v>
      </c>
      <c r="G553" s="29" t="s">
        <v>7868</v>
      </c>
      <c r="H553" s="14">
        <v>43592</v>
      </c>
      <c r="I553" s="4" t="s">
        <v>426</v>
      </c>
      <c r="J553" s="22" t="s">
        <v>771</v>
      </c>
    </row>
    <row r="554" spans="1:19" s="129" customFormat="1" hidden="1" x14ac:dyDescent="0.25">
      <c r="A554" s="13" t="s">
        <v>310</v>
      </c>
      <c r="B554" s="14">
        <v>43606</v>
      </c>
      <c r="C554" s="13">
        <v>148</v>
      </c>
      <c r="D554" s="13" t="s">
        <v>210</v>
      </c>
      <c r="E554" s="13" t="s">
        <v>314</v>
      </c>
      <c r="F554" s="37">
        <v>10826.16</v>
      </c>
      <c r="G554" s="29" t="s">
        <v>7867</v>
      </c>
      <c r="H554" s="14">
        <v>43592</v>
      </c>
      <c r="I554" s="4" t="s">
        <v>546</v>
      </c>
      <c r="J554" s="22" t="s">
        <v>771</v>
      </c>
      <c r="K554" s="136"/>
    </row>
    <row r="555" spans="1:19" ht="15" hidden="1" customHeight="1" x14ac:dyDescent="0.25">
      <c r="A555" s="32" t="s">
        <v>188</v>
      </c>
      <c r="B555" s="14">
        <v>43606</v>
      </c>
      <c r="C555" s="67">
        <v>119</v>
      </c>
      <c r="D555" s="32" t="s">
        <v>156</v>
      </c>
      <c r="E555" s="32" t="s">
        <v>483</v>
      </c>
      <c r="F555" s="4">
        <f>1096766.24</f>
        <v>1096766.24</v>
      </c>
      <c r="G555" s="28" t="s">
        <v>6893</v>
      </c>
      <c r="H555" s="14">
        <v>43563</v>
      </c>
      <c r="I555" s="4" t="s">
        <v>362</v>
      </c>
      <c r="J555" s="166" t="s">
        <v>366</v>
      </c>
      <c r="K555" s="167"/>
      <c r="L555" s="35"/>
    </row>
    <row r="556" spans="1:19" hidden="1" x14ac:dyDescent="0.25">
      <c r="A556" s="61" t="s">
        <v>103</v>
      </c>
      <c r="B556" s="14">
        <v>43606</v>
      </c>
      <c r="C556" s="13">
        <v>842</v>
      </c>
      <c r="D556" s="13" t="s">
        <v>5317</v>
      </c>
      <c r="E556" s="13" t="s">
        <v>62</v>
      </c>
      <c r="F556" s="4">
        <v>53190</v>
      </c>
      <c r="G556" s="28" t="s">
        <v>3621</v>
      </c>
      <c r="H556" s="14">
        <v>43602</v>
      </c>
      <c r="I556" s="4" t="s">
        <v>7958</v>
      </c>
      <c r="J556" s="128"/>
    </row>
    <row r="557" spans="1:19" ht="15" hidden="1" customHeight="1" x14ac:dyDescent="0.25">
      <c r="A557" s="61" t="s">
        <v>442</v>
      </c>
      <c r="B557" s="14">
        <v>43606</v>
      </c>
      <c r="C557" s="13">
        <v>843</v>
      </c>
      <c r="D557" s="13" t="s">
        <v>679</v>
      </c>
      <c r="E557" s="32" t="s">
        <v>62</v>
      </c>
      <c r="F557" s="4">
        <v>4823000</v>
      </c>
      <c r="G557" s="86" t="s">
        <v>1010</v>
      </c>
      <c r="H557" s="211"/>
      <c r="I557" s="4" t="s">
        <v>1011</v>
      </c>
      <c r="J557" s="21"/>
      <c r="K557" s="228"/>
    </row>
    <row r="558" spans="1:19" ht="13.95" hidden="1" customHeight="1" x14ac:dyDescent="0.25">
      <c r="A558" s="68" t="s">
        <v>55</v>
      </c>
      <c r="B558" s="14">
        <v>43606</v>
      </c>
      <c r="C558" s="13">
        <v>844</v>
      </c>
      <c r="D558" s="32" t="s">
        <v>588</v>
      </c>
      <c r="E558" s="32" t="s">
        <v>62</v>
      </c>
      <c r="F558" s="4">
        <v>99156.08</v>
      </c>
      <c r="G558" s="139" t="s">
        <v>450</v>
      </c>
      <c r="H558" s="211"/>
      <c r="I558" s="41" t="s">
        <v>82</v>
      </c>
      <c r="J558" s="21"/>
      <c r="K558" s="228"/>
    </row>
    <row r="559" spans="1:19" ht="13.95" hidden="1" customHeight="1" x14ac:dyDescent="0.25">
      <c r="A559" s="61" t="s">
        <v>91</v>
      </c>
      <c r="B559" s="14">
        <v>43606</v>
      </c>
      <c r="C559" s="13">
        <v>845</v>
      </c>
      <c r="D559" s="32" t="s">
        <v>588</v>
      </c>
      <c r="E559" s="32" t="s">
        <v>62</v>
      </c>
      <c r="F559" s="4">
        <v>295000</v>
      </c>
      <c r="G559" s="86" t="s">
        <v>3298</v>
      </c>
      <c r="H559" s="211"/>
      <c r="I559" s="4" t="s">
        <v>82</v>
      </c>
      <c r="J559" s="21"/>
      <c r="K559" s="228"/>
    </row>
    <row r="560" spans="1:19" ht="13.95" hidden="1" customHeight="1" x14ac:dyDescent="0.25">
      <c r="A560" s="61" t="s">
        <v>91</v>
      </c>
      <c r="B560" s="14">
        <v>43606</v>
      </c>
      <c r="C560" s="13">
        <v>846</v>
      </c>
      <c r="D560" s="32" t="s">
        <v>588</v>
      </c>
      <c r="E560" s="32" t="s">
        <v>62</v>
      </c>
      <c r="F560" s="4">
        <v>207762</v>
      </c>
      <c r="G560" s="86" t="s">
        <v>5963</v>
      </c>
      <c r="H560" s="211"/>
      <c r="I560" s="4" t="s">
        <v>82</v>
      </c>
      <c r="J560" s="21"/>
      <c r="K560" s="228"/>
    </row>
    <row r="561" spans="1:12" ht="13.95" hidden="1" customHeight="1" x14ac:dyDescent="0.25">
      <c r="A561" s="68" t="s">
        <v>442</v>
      </c>
      <c r="B561" s="14">
        <v>43606</v>
      </c>
      <c r="C561" s="13">
        <v>847</v>
      </c>
      <c r="D561" s="32" t="s">
        <v>438</v>
      </c>
      <c r="E561" s="32" t="s">
        <v>62</v>
      </c>
      <c r="F561" s="4">
        <v>593065</v>
      </c>
      <c r="G561" s="86" t="s">
        <v>2037</v>
      </c>
      <c r="H561" s="211"/>
      <c r="I561" s="84" t="s">
        <v>1792</v>
      </c>
      <c r="J561" s="21"/>
      <c r="K561" s="228"/>
    </row>
    <row r="562" spans="1:12" ht="13.95" hidden="1" customHeight="1" x14ac:dyDescent="0.25">
      <c r="A562" s="68" t="s">
        <v>92</v>
      </c>
      <c r="B562" s="14">
        <v>43606</v>
      </c>
      <c r="C562" s="13">
        <v>848</v>
      </c>
      <c r="D562" s="32" t="s">
        <v>438</v>
      </c>
      <c r="E562" s="32" t="s">
        <v>62</v>
      </c>
      <c r="F562" s="4">
        <v>601700</v>
      </c>
      <c r="G562" s="86" t="s">
        <v>1409</v>
      </c>
      <c r="H562" s="211"/>
      <c r="I562" s="84" t="s">
        <v>1410</v>
      </c>
      <c r="J562" s="21"/>
      <c r="K562" s="228"/>
    </row>
    <row r="563" spans="1:12" s="97" customFormat="1" hidden="1" x14ac:dyDescent="0.25">
      <c r="A563" s="61" t="s">
        <v>358</v>
      </c>
      <c r="B563" s="14">
        <v>43606</v>
      </c>
      <c r="C563" s="13">
        <v>849</v>
      </c>
      <c r="D563" s="13" t="s">
        <v>5807</v>
      </c>
      <c r="E563" s="13" t="s">
        <v>62</v>
      </c>
      <c r="F563" s="37">
        <v>220000</v>
      </c>
      <c r="G563" s="29" t="s">
        <v>5414</v>
      </c>
      <c r="H563" s="14">
        <v>43601</v>
      </c>
      <c r="I563" s="4" t="s">
        <v>5808</v>
      </c>
      <c r="J563" s="133"/>
      <c r="K563" s="22"/>
      <c r="L563" s="134"/>
    </row>
    <row r="564" spans="1:12" s="97" customFormat="1" hidden="1" x14ac:dyDescent="0.25">
      <c r="A564" s="61" t="s">
        <v>358</v>
      </c>
      <c r="B564" s="14">
        <v>43606</v>
      </c>
      <c r="C564" s="13">
        <v>850</v>
      </c>
      <c r="D564" s="13" t="s">
        <v>811</v>
      </c>
      <c r="E564" s="13" t="s">
        <v>62</v>
      </c>
      <c r="F564" s="37">
        <v>64940</v>
      </c>
      <c r="G564" s="29" t="s">
        <v>1294</v>
      </c>
      <c r="H564" s="14">
        <v>43601</v>
      </c>
      <c r="I564" s="4" t="s">
        <v>7859</v>
      </c>
      <c r="J564" s="133"/>
      <c r="K564" s="22"/>
      <c r="L564" s="134"/>
    </row>
    <row r="565" spans="1:12" s="129" customFormat="1" hidden="1" x14ac:dyDescent="0.25">
      <c r="A565" s="13" t="s">
        <v>442</v>
      </c>
      <c r="B565" s="14">
        <v>43606</v>
      </c>
      <c r="C565" s="28" t="s">
        <v>1788</v>
      </c>
      <c r="D565" s="13" t="s">
        <v>1387</v>
      </c>
      <c r="E565" s="13" t="s">
        <v>62</v>
      </c>
      <c r="F565" s="4">
        <v>6128</v>
      </c>
      <c r="G565" s="28" t="s">
        <v>7204</v>
      </c>
      <c r="H565" s="14">
        <v>43600</v>
      </c>
      <c r="I565" s="4" t="s">
        <v>1511</v>
      </c>
      <c r="J565" s="22"/>
      <c r="K565" s="136"/>
    </row>
    <row r="566" spans="1:12" ht="13.95" hidden="1" customHeight="1" x14ac:dyDescent="0.25">
      <c r="A566" s="61" t="s">
        <v>1148</v>
      </c>
      <c r="B566" s="14">
        <v>43606</v>
      </c>
      <c r="C566" s="13">
        <v>858</v>
      </c>
      <c r="D566" s="32" t="s">
        <v>588</v>
      </c>
      <c r="E566" s="32" t="s">
        <v>808</v>
      </c>
      <c r="F566" s="4">
        <v>2850000</v>
      </c>
      <c r="G566" s="86" t="s">
        <v>3714</v>
      </c>
      <c r="H566" s="211"/>
      <c r="I566" s="4" t="s">
        <v>82</v>
      </c>
      <c r="J566" s="21"/>
      <c r="K566" s="228"/>
    </row>
    <row r="567" spans="1:12" ht="13.95" hidden="1" customHeight="1" x14ac:dyDescent="0.25">
      <c r="A567" s="61" t="s">
        <v>1149</v>
      </c>
      <c r="B567" s="14">
        <v>43606</v>
      </c>
      <c r="C567" s="13">
        <v>859</v>
      </c>
      <c r="D567" s="32" t="s">
        <v>588</v>
      </c>
      <c r="E567" s="32" t="s">
        <v>808</v>
      </c>
      <c r="F567" s="4">
        <v>1087000</v>
      </c>
      <c r="G567" s="86" t="s">
        <v>2597</v>
      </c>
      <c r="H567" s="211"/>
      <c r="I567" s="4" t="s">
        <v>82</v>
      </c>
      <c r="J567" s="21"/>
      <c r="K567" s="228"/>
    </row>
    <row r="568" spans="1:12" ht="13.95" hidden="1" customHeight="1" x14ac:dyDescent="0.25">
      <c r="A568" s="68" t="s">
        <v>1316</v>
      </c>
      <c r="B568" s="14">
        <v>43606</v>
      </c>
      <c r="C568" s="13">
        <v>860</v>
      </c>
      <c r="D568" s="32" t="s">
        <v>438</v>
      </c>
      <c r="E568" s="32" t="s">
        <v>808</v>
      </c>
      <c r="F568" s="4">
        <v>805235</v>
      </c>
      <c r="G568" s="86" t="s">
        <v>7306</v>
      </c>
      <c r="H568" s="211"/>
      <c r="I568" s="84" t="s">
        <v>202</v>
      </c>
      <c r="J568" s="21"/>
      <c r="K568" s="228"/>
    </row>
    <row r="569" spans="1:12" ht="13.95" hidden="1" customHeight="1" x14ac:dyDescent="0.25">
      <c r="A569" s="68" t="s">
        <v>1148</v>
      </c>
      <c r="B569" s="14">
        <v>43606</v>
      </c>
      <c r="C569" s="13">
        <v>861</v>
      </c>
      <c r="D569" s="32" t="s">
        <v>454</v>
      </c>
      <c r="E569" s="32" t="s">
        <v>808</v>
      </c>
      <c r="F569" s="4">
        <v>1445939</v>
      </c>
      <c r="G569" s="86" t="s">
        <v>4792</v>
      </c>
      <c r="H569" s="211"/>
      <c r="I569" s="4" t="s">
        <v>24</v>
      </c>
      <c r="J569" s="21"/>
      <c r="K569" s="228"/>
    </row>
    <row r="570" spans="1:12" ht="13.95" hidden="1" customHeight="1" x14ac:dyDescent="0.25">
      <c r="A570" s="68" t="s">
        <v>1148</v>
      </c>
      <c r="B570" s="14">
        <v>43606</v>
      </c>
      <c r="C570" s="13">
        <v>862</v>
      </c>
      <c r="D570" s="32" t="s">
        <v>454</v>
      </c>
      <c r="E570" s="32" t="s">
        <v>808</v>
      </c>
      <c r="F570" s="4">
        <v>3554061</v>
      </c>
      <c r="G570" s="86" t="s">
        <v>4792</v>
      </c>
      <c r="H570" s="211"/>
      <c r="I570" s="4" t="s">
        <v>24</v>
      </c>
      <c r="J570" s="21"/>
      <c r="K570" s="228"/>
    </row>
    <row r="571" spans="1:12" hidden="1" x14ac:dyDescent="0.25">
      <c r="A571" s="32" t="s">
        <v>151</v>
      </c>
      <c r="B571" s="14">
        <v>43606</v>
      </c>
      <c r="C571" s="67">
        <v>863</v>
      </c>
      <c r="D571" s="32" t="s">
        <v>93</v>
      </c>
      <c r="E571" s="13" t="s">
        <v>808</v>
      </c>
      <c r="F571" s="4">
        <v>4600</v>
      </c>
      <c r="G571" s="67">
        <v>2414</v>
      </c>
      <c r="H571" s="14">
        <v>43601</v>
      </c>
      <c r="I571" s="4" t="s">
        <v>7875</v>
      </c>
      <c r="J571" s="21"/>
      <c r="K571" s="228"/>
    </row>
    <row r="572" spans="1:12" hidden="1" x14ac:dyDescent="0.25">
      <c r="A572" s="13" t="s">
        <v>209</v>
      </c>
      <c r="B572" s="14">
        <v>43606</v>
      </c>
      <c r="C572" s="13">
        <v>109</v>
      </c>
      <c r="D572" s="13" t="s">
        <v>210</v>
      </c>
      <c r="E572" s="13" t="s">
        <v>134</v>
      </c>
      <c r="F572" s="37">
        <v>33515.589999999997</v>
      </c>
      <c r="G572" s="67" t="s">
        <v>7983</v>
      </c>
      <c r="H572" s="14">
        <v>43602</v>
      </c>
      <c r="I572" s="4" t="s">
        <v>7984</v>
      </c>
      <c r="J572" s="392"/>
      <c r="K572" s="228"/>
    </row>
    <row r="573" spans="1:12" ht="27.6" hidden="1" x14ac:dyDescent="0.25">
      <c r="A573" s="68" t="s">
        <v>151</v>
      </c>
      <c r="B573" s="14">
        <v>43606</v>
      </c>
      <c r="C573" s="13">
        <v>421</v>
      </c>
      <c r="D573" s="32" t="s">
        <v>2899</v>
      </c>
      <c r="E573" s="32" t="s">
        <v>1335</v>
      </c>
      <c r="F573" s="209">
        <v>4900</v>
      </c>
      <c r="G573" s="210" t="s">
        <v>8030</v>
      </c>
      <c r="H573" s="211">
        <v>43605</v>
      </c>
      <c r="I573" s="208" t="s">
        <v>4399</v>
      </c>
      <c r="J573" s="21"/>
      <c r="K573" s="228"/>
    </row>
    <row r="574" spans="1:12" hidden="1" x14ac:dyDescent="0.25">
      <c r="A574" s="13" t="s">
        <v>151</v>
      </c>
      <c r="B574" s="14">
        <v>43606</v>
      </c>
      <c r="C574" s="13">
        <v>489</v>
      </c>
      <c r="D574" s="13" t="s">
        <v>7869</v>
      </c>
      <c r="E574" s="32" t="s">
        <v>958</v>
      </c>
      <c r="F574" s="4">
        <v>23800</v>
      </c>
      <c r="G574" s="28" t="s">
        <v>7870</v>
      </c>
      <c r="H574" s="14">
        <v>43585</v>
      </c>
      <c r="I574" s="4" t="s">
        <v>7871</v>
      </c>
      <c r="J574" s="125"/>
    </row>
    <row r="575" spans="1:12" s="97" customFormat="1" hidden="1" x14ac:dyDescent="0.25">
      <c r="A575" s="61" t="s">
        <v>311</v>
      </c>
      <c r="B575" s="14">
        <v>43606</v>
      </c>
      <c r="C575" s="13">
        <v>464</v>
      </c>
      <c r="D575" s="13" t="s">
        <v>6177</v>
      </c>
      <c r="E575" s="13" t="s">
        <v>958</v>
      </c>
      <c r="F575" s="37">
        <v>216237</v>
      </c>
      <c r="G575" s="29" t="s">
        <v>5125</v>
      </c>
      <c r="H575" s="14">
        <v>43592</v>
      </c>
      <c r="I575" s="4" t="s">
        <v>7795</v>
      </c>
      <c r="J575" s="71" t="s">
        <v>6392</v>
      </c>
      <c r="K575" s="22"/>
      <c r="L575" s="134"/>
    </row>
    <row r="576" spans="1:12" s="97" customFormat="1" hidden="1" x14ac:dyDescent="0.25">
      <c r="A576" s="61" t="s">
        <v>311</v>
      </c>
      <c r="B576" s="14">
        <v>43606</v>
      </c>
      <c r="C576" s="13">
        <v>465</v>
      </c>
      <c r="D576" s="13" t="s">
        <v>6177</v>
      </c>
      <c r="E576" s="13" t="s">
        <v>958</v>
      </c>
      <c r="F576" s="4">
        <v>216090</v>
      </c>
      <c r="G576" s="29" t="s">
        <v>6179</v>
      </c>
      <c r="H576" s="14">
        <v>43553</v>
      </c>
      <c r="I576" s="4" t="s">
        <v>1270</v>
      </c>
      <c r="J576" s="71" t="s">
        <v>6392</v>
      </c>
      <c r="K576" s="22"/>
      <c r="L576" s="134"/>
    </row>
    <row r="577" spans="1:13" s="62" customFormat="1" ht="15" hidden="1" customHeight="1" x14ac:dyDescent="0.25">
      <c r="A577" s="13" t="s">
        <v>311</v>
      </c>
      <c r="B577" s="14">
        <v>43606</v>
      </c>
      <c r="C577" s="13">
        <v>472</v>
      </c>
      <c r="D577" s="13" t="s">
        <v>1757</v>
      </c>
      <c r="E577" s="13" t="s">
        <v>958</v>
      </c>
      <c r="F577" s="37">
        <v>1076160</v>
      </c>
      <c r="G577" s="189" t="s">
        <v>6583</v>
      </c>
      <c r="H577" s="14">
        <v>43599</v>
      </c>
      <c r="I577" s="4" t="s">
        <v>8000</v>
      </c>
      <c r="J577" s="71" t="s">
        <v>6392</v>
      </c>
      <c r="K577" s="35"/>
      <c r="L577" s="35"/>
      <c r="M577" s="35"/>
    </row>
    <row r="578" spans="1:13" s="97" customFormat="1" hidden="1" x14ac:dyDescent="0.25">
      <c r="A578" s="13" t="s">
        <v>311</v>
      </c>
      <c r="B578" s="14">
        <v>43606</v>
      </c>
      <c r="C578" s="13">
        <v>473</v>
      </c>
      <c r="D578" s="13" t="s">
        <v>1082</v>
      </c>
      <c r="E578" s="13" t="s">
        <v>958</v>
      </c>
      <c r="F578" s="4">
        <v>2520000</v>
      </c>
      <c r="G578" s="28" t="s">
        <v>3964</v>
      </c>
      <c r="H578" s="14">
        <v>43601</v>
      </c>
      <c r="I578" s="4" t="s">
        <v>7999</v>
      </c>
      <c r="J578" s="71" t="s">
        <v>6392</v>
      </c>
      <c r="K578" s="22"/>
      <c r="L578" s="134"/>
    </row>
    <row r="579" spans="1:13" s="97" customFormat="1" hidden="1" x14ac:dyDescent="0.25">
      <c r="A579" s="13" t="s">
        <v>311</v>
      </c>
      <c r="B579" s="14">
        <v>43606</v>
      </c>
      <c r="C579" s="13">
        <v>474</v>
      </c>
      <c r="D579" s="13" t="s">
        <v>276</v>
      </c>
      <c r="E579" s="13" t="s">
        <v>958</v>
      </c>
      <c r="F579" s="37">
        <v>1998500</v>
      </c>
      <c r="G579" s="29" t="s">
        <v>8001</v>
      </c>
      <c r="H579" s="14">
        <v>43601</v>
      </c>
      <c r="I579" s="4" t="s">
        <v>8002</v>
      </c>
      <c r="J579" s="71" t="s">
        <v>6392</v>
      </c>
      <c r="K579" s="22"/>
      <c r="L579" s="134"/>
    </row>
    <row r="580" spans="1:13" s="97" customFormat="1" hidden="1" x14ac:dyDescent="0.25">
      <c r="A580" s="13" t="s">
        <v>311</v>
      </c>
      <c r="B580" s="14">
        <v>43606</v>
      </c>
      <c r="C580" s="13">
        <v>475</v>
      </c>
      <c r="D580" s="13" t="s">
        <v>740</v>
      </c>
      <c r="E580" s="13" t="s">
        <v>958</v>
      </c>
      <c r="F580" s="37">
        <v>2496000</v>
      </c>
      <c r="G580" s="29" t="s">
        <v>8003</v>
      </c>
      <c r="H580" s="14">
        <v>43601</v>
      </c>
      <c r="I580" s="4" t="s">
        <v>8004</v>
      </c>
      <c r="J580" s="71" t="s">
        <v>6392</v>
      </c>
      <c r="K580" s="22"/>
      <c r="L580" s="134"/>
    </row>
    <row r="581" spans="1:13" s="97" customFormat="1" hidden="1" x14ac:dyDescent="0.25">
      <c r="A581" s="13" t="s">
        <v>311</v>
      </c>
      <c r="B581" s="14">
        <v>43606</v>
      </c>
      <c r="C581" s="13">
        <v>476</v>
      </c>
      <c r="D581" s="13" t="s">
        <v>6642</v>
      </c>
      <c r="E581" s="13" t="s">
        <v>958</v>
      </c>
      <c r="F581" s="37">
        <v>1676000</v>
      </c>
      <c r="G581" s="29" t="s">
        <v>1384</v>
      </c>
      <c r="H581" s="14">
        <v>43601</v>
      </c>
      <c r="I581" s="4" t="s">
        <v>8005</v>
      </c>
      <c r="J581" s="71" t="s">
        <v>6392</v>
      </c>
      <c r="K581" s="22"/>
      <c r="L581" s="134"/>
    </row>
    <row r="582" spans="1:13" s="97" customFormat="1" hidden="1" x14ac:dyDescent="0.25">
      <c r="A582" s="13" t="s">
        <v>311</v>
      </c>
      <c r="B582" s="14">
        <v>43606</v>
      </c>
      <c r="C582" s="13">
        <v>477</v>
      </c>
      <c r="D582" s="13" t="s">
        <v>6642</v>
      </c>
      <c r="E582" s="13" t="s">
        <v>958</v>
      </c>
      <c r="F582" s="37">
        <v>830000</v>
      </c>
      <c r="G582" s="29" t="s">
        <v>8006</v>
      </c>
      <c r="H582" s="14">
        <v>43601</v>
      </c>
      <c r="I582" s="4" t="s">
        <v>8007</v>
      </c>
      <c r="J582" s="71" t="s">
        <v>6392</v>
      </c>
      <c r="K582" s="22"/>
      <c r="L582" s="134"/>
    </row>
    <row r="583" spans="1:13" s="97" customFormat="1" hidden="1" x14ac:dyDescent="0.25">
      <c r="A583" s="13" t="s">
        <v>311</v>
      </c>
      <c r="B583" s="14">
        <v>43606</v>
      </c>
      <c r="C583" s="13">
        <v>478</v>
      </c>
      <c r="D583" s="13" t="s">
        <v>6642</v>
      </c>
      <c r="E583" s="13" t="s">
        <v>958</v>
      </c>
      <c r="F583" s="37">
        <v>2490000</v>
      </c>
      <c r="G583" s="29" t="s">
        <v>1379</v>
      </c>
      <c r="H583" s="14">
        <v>43601</v>
      </c>
      <c r="I583" s="4" t="s">
        <v>8008</v>
      </c>
      <c r="J583" s="71" t="s">
        <v>6392</v>
      </c>
      <c r="K583" s="22"/>
      <c r="L583" s="134"/>
    </row>
    <row r="584" spans="1:13" s="97" customFormat="1" hidden="1" x14ac:dyDescent="0.25">
      <c r="A584" s="13" t="s">
        <v>311</v>
      </c>
      <c r="B584" s="14">
        <v>43606</v>
      </c>
      <c r="C584" s="13">
        <v>481</v>
      </c>
      <c r="D584" s="13" t="s">
        <v>15</v>
      </c>
      <c r="E584" s="13" t="s">
        <v>958</v>
      </c>
      <c r="F584" s="4">
        <v>1213107.8400000001</v>
      </c>
      <c r="G584" s="29" t="s">
        <v>7644</v>
      </c>
      <c r="H584" s="14">
        <v>43581</v>
      </c>
      <c r="I584" s="4" t="s">
        <v>8010</v>
      </c>
      <c r="J584" s="71" t="s">
        <v>6392</v>
      </c>
      <c r="K584" s="22"/>
      <c r="L584" s="134"/>
    </row>
    <row r="585" spans="1:13" s="97" customFormat="1" hidden="1" x14ac:dyDescent="0.25">
      <c r="A585" s="13" t="s">
        <v>311</v>
      </c>
      <c r="B585" s="14">
        <v>43606</v>
      </c>
      <c r="C585" s="13">
        <v>482</v>
      </c>
      <c r="D585" s="13" t="s">
        <v>15</v>
      </c>
      <c r="E585" s="13" t="s">
        <v>958</v>
      </c>
      <c r="F585" s="4">
        <v>1010923.2</v>
      </c>
      <c r="G585" s="29" t="s">
        <v>6646</v>
      </c>
      <c r="H585" s="14">
        <v>43566</v>
      </c>
      <c r="I585" s="4" t="s">
        <v>8011</v>
      </c>
      <c r="J585" s="71" t="s">
        <v>6392</v>
      </c>
      <c r="K585" s="22"/>
      <c r="L585" s="134"/>
    </row>
    <row r="586" spans="1:13" ht="16.2" hidden="1" customHeight="1" x14ac:dyDescent="0.25">
      <c r="A586" s="32" t="s">
        <v>92</v>
      </c>
      <c r="B586" s="14">
        <v>43607</v>
      </c>
      <c r="C586" s="13">
        <v>1054</v>
      </c>
      <c r="D586" s="32" t="s">
        <v>272</v>
      </c>
      <c r="E586" s="32" t="s">
        <v>38</v>
      </c>
      <c r="F586" s="4">
        <v>15000000</v>
      </c>
      <c r="G586" s="69" t="s">
        <v>617</v>
      </c>
      <c r="H586" s="14"/>
      <c r="I586" s="84" t="s">
        <v>273</v>
      </c>
      <c r="K586" s="62"/>
    </row>
    <row r="587" spans="1:13" ht="13.95" hidden="1" customHeight="1" x14ac:dyDescent="0.25">
      <c r="A587" s="61" t="s">
        <v>407</v>
      </c>
      <c r="B587" s="14">
        <v>43607</v>
      </c>
      <c r="C587" s="13">
        <v>57</v>
      </c>
      <c r="D587" s="32" t="s">
        <v>588</v>
      </c>
      <c r="E587" s="32" t="s">
        <v>488</v>
      </c>
      <c r="F587" s="4">
        <v>560024.79</v>
      </c>
      <c r="G587" s="86" t="s">
        <v>2040</v>
      </c>
      <c r="H587" s="211"/>
      <c r="I587" s="4" t="s">
        <v>2041</v>
      </c>
      <c r="J587" s="21"/>
      <c r="K587" s="228"/>
    </row>
    <row r="588" spans="1:13" ht="27.6" hidden="1" x14ac:dyDescent="0.25">
      <c r="A588" s="68" t="s">
        <v>35</v>
      </c>
      <c r="B588" s="14">
        <v>43607</v>
      </c>
      <c r="C588" s="13">
        <v>824</v>
      </c>
      <c r="D588" s="32" t="s">
        <v>5737</v>
      </c>
      <c r="E588" s="32" t="s">
        <v>1642</v>
      </c>
      <c r="F588" s="4">
        <v>45000</v>
      </c>
      <c r="G588" s="210" t="s">
        <v>7862</v>
      </c>
      <c r="H588" s="211">
        <v>43600</v>
      </c>
      <c r="I588" s="208" t="s">
        <v>484</v>
      </c>
      <c r="J588" s="21"/>
      <c r="K588" s="228"/>
    </row>
    <row r="589" spans="1:13" hidden="1" x14ac:dyDescent="0.25">
      <c r="A589" s="61" t="s">
        <v>460</v>
      </c>
      <c r="B589" s="14">
        <v>43607</v>
      </c>
      <c r="C589" s="13">
        <v>30</v>
      </c>
      <c r="D589" s="14" t="s">
        <v>7620</v>
      </c>
      <c r="E589" s="32" t="s">
        <v>522</v>
      </c>
      <c r="F589" s="4">
        <v>3189.03</v>
      </c>
      <c r="G589" s="86" t="s">
        <v>7623</v>
      </c>
      <c r="H589" s="211"/>
      <c r="I589" s="326"/>
      <c r="K589" s="62"/>
    </row>
    <row r="590" spans="1:13" hidden="1" x14ac:dyDescent="0.25">
      <c r="A590" s="61" t="s">
        <v>460</v>
      </c>
      <c r="B590" s="14">
        <v>43607</v>
      </c>
      <c r="C590" s="13">
        <v>31</v>
      </c>
      <c r="D590" s="14" t="s">
        <v>7621</v>
      </c>
      <c r="E590" s="32" t="s">
        <v>522</v>
      </c>
      <c r="F590" s="4">
        <v>1892.94</v>
      </c>
      <c r="G590" s="86" t="s">
        <v>7622</v>
      </c>
      <c r="H590" s="211"/>
      <c r="I590" s="326"/>
      <c r="K590" s="62"/>
    </row>
    <row r="591" spans="1:13" s="129" customFormat="1" ht="27.6" hidden="1" x14ac:dyDescent="0.25">
      <c r="A591" s="13" t="s">
        <v>1459</v>
      </c>
      <c r="B591" s="14">
        <v>43607</v>
      </c>
      <c r="C591" s="28" t="s">
        <v>5050</v>
      </c>
      <c r="D591" s="13" t="s">
        <v>7711</v>
      </c>
      <c r="E591" s="13" t="s">
        <v>130</v>
      </c>
      <c r="F591" s="4">
        <v>16544.439999999999</v>
      </c>
      <c r="G591" s="28" t="s">
        <v>7712</v>
      </c>
      <c r="H591" s="14">
        <v>43593</v>
      </c>
      <c r="I591" s="4" t="s">
        <v>7713</v>
      </c>
      <c r="J591" s="22"/>
      <c r="K591" s="136"/>
    </row>
    <row r="592" spans="1:13" ht="13.95" hidden="1" customHeight="1" x14ac:dyDescent="0.25">
      <c r="A592" s="13" t="s">
        <v>91</v>
      </c>
      <c r="B592" s="14">
        <v>43607</v>
      </c>
      <c r="C592" s="13">
        <v>812</v>
      </c>
      <c r="D592" s="32" t="s">
        <v>4521</v>
      </c>
      <c r="E592" s="32" t="s">
        <v>130</v>
      </c>
      <c r="F592" s="4">
        <v>153161.54999999999</v>
      </c>
      <c r="G592" s="86" t="s">
        <v>4522</v>
      </c>
      <c r="H592" s="211"/>
      <c r="I592" s="208" t="s">
        <v>4523</v>
      </c>
      <c r="J592" s="21"/>
      <c r="K592" s="228"/>
    </row>
    <row r="593" spans="1:16" ht="13.95" hidden="1" customHeight="1" x14ac:dyDescent="0.25">
      <c r="A593" s="13" t="s">
        <v>91</v>
      </c>
      <c r="B593" s="14">
        <v>43607</v>
      </c>
      <c r="C593" s="13">
        <v>813</v>
      </c>
      <c r="D593" s="32" t="s">
        <v>4521</v>
      </c>
      <c r="E593" s="32" t="s">
        <v>130</v>
      </c>
      <c r="F593" s="4">
        <v>847000</v>
      </c>
      <c r="G593" s="86" t="s">
        <v>4522</v>
      </c>
      <c r="H593" s="211"/>
      <c r="I593" s="208" t="s">
        <v>4523</v>
      </c>
      <c r="J593" s="21"/>
      <c r="K593" s="228"/>
    </row>
    <row r="594" spans="1:16" ht="13.95" hidden="1" customHeight="1" x14ac:dyDescent="0.25">
      <c r="A594" s="13" t="s">
        <v>91</v>
      </c>
      <c r="B594" s="14">
        <v>43607</v>
      </c>
      <c r="C594" s="13">
        <v>814</v>
      </c>
      <c r="D594" s="32" t="s">
        <v>1907</v>
      </c>
      <c r="E594" s="32" t="s">
        <v>130</v>
      </c>
      <c r="F594" s="4">
        <v>5000000</v>
      </c>
      <c r="G594" s="86" t="s">
        <v>2797</v>
      </c>
      <c r="H594" s="14"/>
      <c r="I594" s="41" t="s">
        <v>1834</v>
      </c>
      <c r="J594" s="21"/>
      <c r="K594" s="228"/>
    </row>
    <row r="595" spans="1:16" hidden="1" x14ac:dyDescent="0.25">
      <c r="A595" s="61" t="s">
        <v>55</v>
      </c>
      <c r="B595" s="14">
        <v>43607</v>
      </c>
      <c r="C595" s="13">
        <v>815</v>
      </c>
      <c r="D595" s="13" t="s">
        <v>679</v>
      </c>
      <c r="E595" s="32" t="s">
        <v>130</v>
      </c>
      <c r="F595" s="4">
        <v>177000</v>
      </c>
      <c r="G595" s="86" t="s">
        <v>5249</v>
      </c>
      <c r="H595" s="211"/>
      <c r="I595" s="4" t="s">
        <v>5248</v>
      </c>
      <c r="J595" s="21"/>
      <c r="K595" s="228"/>
    </row>
    <row r="596" spans="1:16" hidden="1" x14ac:dyDescent="0.25">
      <c r="A596" s="13" t="s">
        <v>637</v>
      </c>
      <c r="B596" s="126">
        <v>43607</v>
      </c>
      <c r="C596" s="13">
        <v>372</v>
      </c>
      <c r="D596" s="13" t="s">
        <v>588</v>
      </c>
      <c r="E596" s="13" t="s">
        <v>691</v>
      </c>
      <c r="F596" s="4">
        <v>901962.8</v>
      </c>
      <c r="G596" s="69" t="s">
        <v>744</v>
      </c>
      <c r="H596" s="14"/>
      <c r="I596" s="4" t="s">
        <v>82</v>
      </c>
      <c r="J596" s="62"/>
      <c r="K596" s="62"/>
      <c r="L596" s="35"/>
      <c r="M596" s="35"/>
      <c r="N596" s="35"/>
      <c r="O596" s="35"/>
      <c r="P596" s="35"/>
    </row>
    <row r="597" spans="1:16" s="97" customFormat="1" hidden="1" x14ac:dyDescent="0.25">
      <c r="A597" s="13" t="s">
        <v>1255</v>
      </c>
      <c r="B597" s="126">
        <v>43607</v>
      </c>
      <c r="C597" s="13" t="s">
        <v>8120</v>
      </c>
      <c r="D597" s="13" t="s">
        <v>590</v>
      </c>
      <c r="E597" s="13" t="s">
        <v>691</v>
      </c>
      <c r="F597" s="4">
        <v>400000</v>
      </c>
      <c r="G597" s="29" t="s">
        <v>1323</v>
      </c>
      <c r="H597" s="14">
        <v>42746</v>
      </c>
      <c r="I597" s="4" t="s">
        <v>159</v>
      </c>
      <c r="J597" s="133"/>
      <c r="K597" s="22"/>
      <c r="L597" s="134"/>
    </row>
    <row r="598" spans="1:16" hidden="1" x14ac:dyDescent="0.25">
      <c r="A598" s="13" t="s">
        <v>1350</v>
      </c>
      <c r="B598" s="126">
        <v>43607</v>
      </c>
      <c r="C598" s="13">
        <v>369</v>
      </c>
      <c r="D598" s="32" t="s">
        <v>3662</v>
      </c>
      <c r="E598" s="13" t="s">
        <v>691</v>
      </c>
      <c r="F598" s="4">
        <v>600652.80000000005</v>
      </c>
      <c r="G598" s="29" t="s">
        <v>7580</v>
      </c>
      <c r="H598" s="14">
        <v>43599</v>
      </c>
      <c r="I598" s="4" t="s">
        <v>3664</v>
      </c>
      <c r="J598" s="62"/>
      <c r="K598" s="62"/>
      <c r="L598" s="35"/>
      <c r="M598" s="35"/>
      <c r="N598" s="35"/>
      <c r="O598" s="35"/>
      <c r="P598" s="35"/>
    </row>
    <row r="599" spans="1:16" ht="13.95" hidden="1" customHeight="1" x14ac:dyDescent="0.25">
      <c r="A599" s="68" t="s">
        <v>358</v>
      </c>
      <c r="B599" s="14">
        <v>43607</v>
      </c>
      <c r="C599" s="13">
        <v>1055</v>
      </c>
      <c r="D599" s="32" t="s">
        <v>1077</v>
      </c>
      <c r="E599" s="32" t="s">
        <v>38</v>
      </c>
      <c r="F599" s="4">
        <v>5000000</v>
      </c>
      <c r="G599" s="86" t="s">
        <v>410</v>
      </c>
      <c r="H599" s="211"/>
      <c r="I599" s="208" t="s">
        <v>581</v>
      </c>
      <c r="J599" s="21"/>
      <c r="K599" s="228"/>
    </row>
    <row r="600" spans="1:16" hidden="1" x14ac:dyDescent="0.25">
      <c r="A600" s="13" t="s">
        <v>91</v>
      </c>
      <c r="B600" s="14">
        <v>43607</v>
      </c>
      <c r="C600" s="13">
        <v>822</v>
      </c>
      <c r="D600" s="32" t="s">
        <v>1980</v>
      </c>
      <c r="E600" s="32" t="s">
        <v>130</v>
      </c>
      <c r="F600" s="4">
        <v>1000000</v>
      </c>
      <c r="G600" s="69" t="s">
        <v>5423</v>
      </c>
      <c r="H600" s="14"/>
      <c r="I600" s="41" t="s">
        <v>5424</v>
      </c>
      <c r="K600" s="62"/>
    </row>
    <row r="601" spans="1:16" hidden="1" x14ac:dyDescent="0.25">
      <c r="A601" s="61" t="s">
        <v>1972</v>
      </c>
      <c r="B601" s="14">
        <v>43607</v>
      </c>
      <c r="C601" s="13">
        <v>569</v>
      </c>
      <c r="D601" s="13" t="s">
        <v>149</v>
      </c>
      <c r="E601" s="13" t="s">
        <v>60</v>
      </c>
      <c r="F601" s="37">
        <v>7000</v>
      </c>
      <c r="G601" s="29" t="s">
        <v>5892</v>
      </c>
      <c r="H601" s="14">
        <v>43524</v>
      </c>
      <c r="I601" s="4" t="s">
        <v>5891</v>
      </c>
    </row>
    <row r="602" spans="1:16" hidden="1" x14ac:dyDescent="0.25">
      <c r="A602" s="61" t="s">
        <v>1972</v>
      </c>
      <c r="B602" s="14">
        <v>43607</v>
      </c>
      <c r="C602" s="13">
        <v>569</v>
      </c>
      <c r="D602" s="13" t="s">
        <v>149</v>
      </c>
      <c r="E602" s="13" t="s">
        <v>60</v>
      </c>
      <c r="F602" s="37">
        <v>7000</v>
      </c>
      <c r="G602" s="29" t="s">
        <v>7050</v>
      </c>
      <c r="H602" s="14">
        <v>43555</v>
      </c>
      <c r="I602" s="4" t="s">
        <v>7046</v>
      </c>
    </row>
    <row r="603" spans="1:16" hidden="1" x14ac:dyDescent="0.25">
      <c r="A603" s="32" t="s">
        <v>1640</v>
      </c>
      <c r="B603" s="14">
        <v>43607</v>
      </c>
      <c r="C603" s="13">
        <v>852</v>
      </c>
      <c r="D603" s="32" t="s">
        <v>1179</v>
      </c>
      <c r="E603" s="32" t="s">
        <v>62</v>
      </c>
      <c r="F603" s="4">
        <v>4761383</v>
      </c>
      <c r="G603" s="86" t="s">
        <v>1607</v>
      </c>
      <c r="H603" s="211"/>
      <c r="I603" s="208" t="s">
        <v>237</v>
      </c>
      <c r="J603" s="21"/>
      <c r="K603" s="228"/>
    </row>
    <row r="604" spans="1:16" ht="13.95" hidden="1" customHeight="1" x14ac:dyDescent="0.25">
      <c r="A604" s="13" t="s">
        <v>1222</v>
      </c>
      <c r="B604" s="14">
        <v>43607</v>
      </c>
      <c r="C604" s="13">
        <v>866</v>
      </c>
      <c r="D604" s="32" t="s">
        <v>391</v>
      </c>
      <c r="E604" s="32" t="s">
        <v>62</v>
      </c>
      <c r="F604" s="4">
        <v>500000</v>
      </c>
      <c r="G604" s="69" t="s">
        <v>1584</v>
      </c>
      <c r="H604" s="14"/>
      <c r="I604" s="41" t="s">
        <v>252</v>
      </c>
      <c r="K604" s="62"/>
    </row>
    <row r="605" spans="1:16" ht="13.95" hidden="1" customHeight="1" x14ac:dyDescent="0.25">
      <c r="A605" s="13" t="s">
        <v>442</v>
      </c>
      <c r="B605" s="14">
        <v>43607</v>
      </c>
      <c r="C605" s="13">
        <v>853</v>
      </c>
      <c r="D605" s="32" t="s">
        <v>194</v>
      </c>
      <c r="E605" s="32" t="s">
        <v>62</v>
      </c>
      <c r="F605" s="4">
        <v>1496003.3</v>
      </c>
      <c r="G605" s="69" t="s">
        <v>1864</v>
      </c>
      <c r="H605" s="14"/>
      <c r="I605" s="41" t="s">
        <v>1410</v>
      </c>
      <c r="J605" s="21"/>
      <c r="K605" s="228"/>
    </row>
    <row r="606" spans="1:16" ht="13.95" hidden="1" customHeight="1" x14ac:dyDescent="0.25">
      <c r="A606" s="13" t="s">
        <v>442</v>
      </c>
      <c r="B606" s="14">
        <v>43607</v>
      </c>
      <c r="C606" s="13">
        <v>854</v>
      </c>
      <c r="D606" s="32" t="s">
        <v>194</v>
      </c>
      <c r="E606" s="32" t="s">
        <v>62</v>
      </c>
      <c r="F606" s="4">
        <v>1503996.7</v>
      </c>
      <c r="G606" s="69" t="s">
        <v>1864</v>
      </c>
      <c r="H606" s="14"/>
      <c r="I606" s="41" t="s">
        <v>1410</v>
      </c>
      <c r="J606" s="21"/>
      <c r="K606" s="228"/>
    </row>
    <row r="607" spans="1:16" s="97" customFormat="1" hidden="1" x14ac:dyDescent="0.25">
      <c r="A607" s="13" t="s">
        <v>160</v>
      </c>
      <c r="B607" s="14">
        <v>43607</v>
      </c>
      <c r="C607" s="13">
        <v>865</v>
      </c>
      <c r="D607" s="13" t="s">
        <v>590</v>
      </c>
      <c r="E607" s="13" t="s">
        <v>62</v>
      </c>
      <c r="F607" s="4">
        <v>1874650</v>
      </c>
      <c r="G607" s="29" t="s">
        <v>1197</v>
      </c>
      <c r="H607" s="14">
        <v>41572</v>
      </c>
      <c r="I607" s="4" t="s">
        <v>159</v>
      </c>
      <c r="J607" s="133"/>
      <c r="K607" s="22"/>
      <c r="L607" s="134"/>
    </row>
    <row r="608" spans="1:16" s="97" customFormat="1" hidden="1" x14ac:dyDescent="0.25">
      <c r="A608" s="61" t="s">
        <v>442</v>
      </c>
      <c r="B608" s="14">
        <v>43607</v>
      </c>
      <c r="C608" s="13">
        <v>856</v>
      </c>
      <c r="D608" s="13" t="s">
        <v>2697</v>
      </c>
      <c r="E608" s="13" t="s">
        <v>62</v>
      </c>
      <c r="F608" s="4">
        <v>959978.4</v>
      </c>
      <c r="G608" s="28" t="s">
        <v>6803</v>
      </c>
      <c r="H608" s="14">
        <v>43556</v>
      </c>
      <c r="I608" s="4" t="s">
        <v>1826</v>
      </c>
      <c r="J608" s="133"/>
      <c r="K608" s="22"/>
      <c r="L608" s="134"/>
    </row>
    <row r="609" spans="1:12" s="97" customFormat="1" hidden="1" x14ac:dyDescent="0.25">
      <c r="A609" s="61" t="s">
        <v>91</v>
      </c>
      <c r="B609" s="14">
        <v>43607</v>
      </c>
      <c r="C609" s="13">
        <v>857</v>
      </c>
      <c r="D609" s="13" t="s">
        <v>157</v>
      </c>
      <c r="E609" s="13" t="s">
        <v>62</v>
      </c>
      <c r="F609" s="37">
        <v>165379</v>
      </c>
      <c r="G609" s="29" t="s">
        <v>7729</v>
      </c>
      <c r="H609" s="14">
        <v>43579</v>
      </c>
      <c r="I609" s="4" t="s">
        <v>305</v>
      </c>
      <c r="J609" s="133"/>
      <c r="K609" s="22"/>
      <c r="L609" s="134"/>
    </row>
    <row r="610" spans="1:12" s="97" customFormat="1" hidden="1" x14ac:dyDescent="0.25">
      <c r="A610" s="61" t="s">
        <v>358</v>
      </c>
      <c r="B610" s="14">
        <v>43607</v>
      </c>
      <c r="C610" s="13">
        <v>867</v>
      </c>
      <c r="D610" s="13" t="s">
        <v>740</v>
      </c>
      <c r="E610" s="13" t="s">
        <v>62</v>
      </c>
      <c r="F610" s="37">
        <v>20500</v>
      </c>
      <c r="G610" s="29" t="s">
        <v>7736</v>
      </c>
      <c r="H610" s="14">
        <v>43557</v>
      </c>
      <c r="I610" s="4" t="s">
        <v>7737</v>
      </c>
      <c r="J610" s="133"/>
      <c r="K610" s="22"/>
      <c r="L610" s="134"/>
    </row>
    <row r="611" spans="1:12" s="97" customFormat="1" hidden="1" x14ac:dyDescent="0.25">
      <c r="A611" s="61" t="s">
        <v>442</v>
      </c>
      <c r="B611" s="14">
        <v>43607</v>
      </c>
      <c r="C611" s="13">
        <v>867</v>
      </c>
      <c r="D611" s="13" t="s">
        <v>740</v>
      </c>
      <c r="E611" s="13" t="s">
        <v>62</v>
      </c>
      <c r="F611" s="37">
        <v>77600</v>
      </c>
      <c r="G611" s="29" t="s">
        <v>7738</v>
      </c>
      <c r="H611" s="14">
        <v>43557</v>
      </c>
      <c r="I611" s="4" t="s">
        <v>4902</v>
      </c>
      <c r="J611" s="133"/>
      <c r="K611" s="22"/>
      <c r="L611" s="134"/>
    </row>
    <row r="612" spans="1:12" s="97" customFormat="1" hidden="1" x14ac:dyDescent="0.25">
      <c r="A612" s="61" t="s">
        <v>91</v>
      </c>
      <c r="B612" s="14">
        <v>43607</v>
      </c>
      <c r="C612" s="13">
        <v>867</v>
      </c>
      <c r="D612" s="13" t="s">
        <v>740</v>
      </c>
      <c r="E612" s="13" t="s">
        <v>62</v>
      </c>
      <c r="F612" s="37">
        <v>29620</v>
      </c>
      <c r="G612" s="29" t="s">
        <v>7740</v>
      </c>
      <c r="H612" s="14">
        <v>43560</v>
      </c>
      <c r="I612" s="4" t="s">
        <v>773</v>
      </c>
      <c r="J612" s="133"/>
      <c r="K612" s="22"/>
      <c r="L612" s="134"/>
    </row>
    <row r="613" spans="1:12" s="97" customFormat="1" hidden="1" x14ac:dyDescent="0.25">
      <c r="A613" s="61" t="s">
        <v>358</v>
      </c>
      <c r="B613" s="14">
        <v>43607</v>
      </c>
      <c r="C613" s="13">
        <v>867</v>
      </c>
      <c r="D613" s="13" t="s">
        <v>740</v>
      </c>
      <c r="E613" s="13" t="s">
        <v>62</v>
      </c>
      <c r="F613" s="37">
        <v>244080</v>
      </c>
      <c r="G613" s="29" t="s">
        <v>7741</v>
      </c>
      <c r="H613" s="14">
        <v>43563</v>
      </c>
      <c r="I613" s="4" t="s">
        <v>7742</v>
      </c>
      <c r="J613" s="133"/>
      <c r="K613" s="22"/>
      <c r="L613" s="134"/>
    </row>
    <row r="614" spans="1:12" s="97" customFormat="1" hidden="1" x14ac:dyDescent="0.25">
      <c r="A614" s="61" t="s">
        <v>442</v>
      </c>
      <c r="B614" s="14">
        <v>43607</v>
      </c>
      <c r="C614" s="13">
        <v>867</v>
      </c>
      <c r="D614" s="13" t="s">
        <v>740</v>
      </c>
      <c r="E614" s="13" t="s">
        <v>62</v>
      </c>
      <c r="F614" s="37">
        <v>76056</v>
      </c>
      <c r="G614" s="29" t="s">
        <v>7745</v>
      </c>
      <c r="H614" s="14">
        <v>43563</v>
      </c>
      <c r="I614" s="4" t="s">
        <v>7746</v>
      </c>
      <c r="J614" s="133"/>
      <c r="K614" s="22"/>
      <c r="L614" s="134"/>
    </row>
    <row r="615" spans="1:12" s="97" customFormat="1" hidden="1" x14ac:dyDescent="0.25">
      <c r="A615" s="61" t="s">
        <v>442</v>
      </c>
      <c r="B615" s="14">
        <v>43607</v>
      </c>
      <c r="C615" s="13">
        <v>858</v>
      </c>
      <c r="D615" s="13" t="s">
        <v>100</v>
      </c>
      <c r="E615" s="13" t="s">
        <v>62</v>
      </c>
      <c r="F615" s="37">
        <v>42316.800000000003</v>
      </c>
      <c r="G615" s="29" t="s">
        <v>7162</v>
      </c>
      <c r="H615" s="14">
        <v>43573</v>
      </c>
      <c r="I615" s="4" t="s">
        <v>572</v>
      </c>
      <c r="J615" s="133"/>
      <c r="K615" s="22"/>
      <c r="L615" s="134"/>
    </row>
    <row r="616" spans="1:12" s="97" customFormat="1" hidden="1" x14ac:dyDescent="0.25">
      <c r="A616" s="61" t="s">
        <v>91</v>
      </c>
      <c r="B616" s="14">
        <v>43607</v>
      </c>
      <c r="C616" s="13">
        <v>859</v>
      </c>
      <c r="D616" s="13" t="s">
        <v>280</v>
      </c>
      <c r="E616" s="13" t="s">
        <v>62</v>
      </c>
      <c r="F616" s="37">
        <v>52422</v>
      </c>
      <c r="G616" s="29" t="s">
        <v>6782</v>
      </c>
      <c r="H616" s="14">
        <v>43566</v>
      </c>
      <c r="I616" s="4" t="s">
        <v>6850</v>
      </c>
      <c r="J616" s="133"/>
      <c r="K616" s="22"/>
      <c r="L616" s="134"/>
    </row>
    <row r="617" spans="1:12" s="97" customFormat="1" hidden="1" x14ac:dyDescent="0.25">
      <c r="A617" s="61" t="s">
        <v>442</v>
      </c>
      <c r="B617" s="14">
        <v>43607</v>
      </c>
      <c r="C617" s="13">
        <v>860</v>
      </c>
      <c r="D617" s="13" t="s">
        <v>814</v>
      </c>
      <c r="E617" s="13" t="s">
        <v>62</v>
      </c>
      <c r="F617" s="37">
        <v>67700</v>
      </c>
      <c r="G617" s="29" t="s">
        <v>6843</v>
      </c>
      <c r="H617" s="14">
        <v>43567</v>
      </c>
      <c r="I617" s="4" t="s">
        <v>719</v>
      </c>
      <c r="J617" s="133"/>
      <c r="K617" s="22"/>
      <c r="L617" s="134"/>
    </row>
    <row r="618" spans="1:12" s="97" customFormat="1" hidden="1" x14ac:dyDescent="0.25">
      <c r="A618" s="61" t="s">
        <v>442</v>
      </c>
      <c r="B618" s="14">
        <v>43607</v>
      </c>
      <c r="C618" s="13">
        <v>861</v>
      </c>
      <c r="D618" s="13" t="s">
        <v>304</v>
      </c>
      <c r="E618" s="13" t="s">
        <v>62</v>
      </c>
      <c r="F618" s="4">
        <v>75951</v>
      </c>
      <c r="G618" s="28" t="s">
        <v>7137</v>
      </c>
      <c r="H618" s="14">
        <v>43573</v>
      </c>
      <c r="I618" s="4" t="s">
        <v>7138</v>
      </c>
      <c r="J618" s="133"/>
      <c r="K618" s="22"/>
      <c r="L618" s="134"/>
    </row>
    <row r="619" spans="1:12" hidden="1" x14ac:dyDescent="0.25">
      <c r="A619" s="32" t="s">
        <v>91</v>
      </c>
      <c r="B619" s="14">
        <v>43607</v>
      </c>
      <c r="C619" s="67">
        <v>864</v>
      </c>
      <c r="D619" s="32" t="s">
        <v>7989</v>
      </c>
      <c r="E619" s="13" t="s">
        <v>62</v>
      </c>
      <c r="F619" s="4">
        <v>30000</v>
      </c>
      <c r="G619" s="67">
        <v>9273071975</v>
      </c>
      <c r="H619" s="14">
        <v>43605</v>
      </c>
      <c r="I619" s="4" t="s">
        <v>7990</v>
      </c>
      <c r="J619" s="21"/>
      <c r="K619" s="228"/>
    </row>
    <row r="620" spans="1:12" hidden="1" x14ac:dyDescent="0.25">
      <c r="A620" s="32" t="s">
        <v>91</v>
      </c>
      <c r="B620" s="14">
        <v>43607</v>
      </c>
      <c r="C620" s="67">
        <v>864</v>
      </c>
      <c r="D620" s="32" t="s">
        <v>7989</v>
      </c>
      <c r="E620" s="13" t="s">
        <v>62</v>
      </c>
      <c r="F620" s="4">
        <v>18000</v>
      </c>
      <c r="G620" s="67">
        <v>7559978153</v>
      </c>
      <c r="H620" s="14">
        <v>43605</v>
      </c>
      <c r="I620" s="4" t="s">
        <v>7991</v>
      </c>
      <c r="J620" s="21"/>
      <c r="K620" s="228"/>
    </row>
    <row r="621" spans="1:12" hidden="1" x14ac:dyDescent="0.25">
      <c r="A621" s="61" t="s">
        <v>442</v>
      </c>
      <c r="B621" s="14">
        <v>43607</v>
      </c>
      <c r="C621" s="13">
        <v>863</v>
      </c>
      <c r="D621" s="13" t="s">
        <v>2115</v>
      </c>
      <c r="E621" s="13" t="s">
        <v>62</v>
      </c>
      <c r="F621" s="37">
        <v>26250</v>
      </c>
      <c r="G621" s="29" t="s">
        <v>790</v>
      </c>
      <c r="H621" s="14">
        <v>43555</v>
      </c>
      <c r="I621" s="4" t="s">
        <v>6458</v>
      </c>
    </row>
    <row r="622" spans="1:12" hidden="1" x14ac:dyDescent="0.25">
      <c r="A622" s="61" t="s">
        <v>92</v>
      </c>
      <c r="B622" s="14">
        <v>43607</v>
      </c>
      <c r="C622" s="13">
        <v>863</v>
      </c>
      <c r="D622" s="13" t="s">
        <v>2115</v>
      </c>
      <c r="E622" s="13" t="s">
        <v>62</v>
      </c>
      <c r="F622" s="37">
        <v>10000</v>
      </c>
      <c r="G622" s="29" t="s">
        <v>731</v>
      </c>
      <c r="H622" s="14">
        <v>43555</v>
      </c>
      <c r="I622" s="4" t="s">
        <v>1373</v>
      </c>
    </row>
    <row r="623" spans="1:12" hidden="1" x14ac:dyDescent="0.25">
      <c r="A623" s="61" t="s">
        <v>91</v>
      </c>
      <c r="B623" s="14">
        <v>43607</v>
      </c>
      <c r="C623" s="13">
        <v>863</v>
      </c>
      <c r="D623" s="13" t="s">
        <v>2115</v>
      </c>
      <c r="E623" s="13" t="s">
        <v>62</v>
      </c>
      <c r="F623" s="37">
        <v>10000</v>
      </c>
      <c r="G623" s="29" t="s">
        <v>5527</v>
      </c>
      <c r="H623" s="14">
        <v>43555</v>
      </c>
      <c r="I623" s="4" t="s">
        <v>1373</v>
      </c>
    </row>
    <row r="624" spans="1:12" ht="27.6" hidden="1" x14ac:dyDescent="0.25">
      <c r="A624" s="61" t="s">
        <v>6783</v>
      </c>
      <c r="B624" s="14">
        <v>43607</v>
      </c>
      <c r="C624" s="13">
        <v>862</v>
      </c>
      <c r="D624" s="13" t="s">
        <v>6788</v>
      </c>
      <c r="E624" s="13" t="s">
        <v>62</v>
      </c>
      <c r="F624" s="37">
        <v>56250</v>
      </c>
      <c r="G624" s="29" t="s">
        <v>700</v>
      </c>
      <c r="H624" s="14">
        <v>43542</v>
      </c>
      <c r="I624" s="4" t="s">
        <v>354</v>
      </c>
    </row>
    <row r="625" spans="1:12" hidden="1" x14ac:dyDescent="0.25">
      <c r="A625" s="61" t="s">
        <v>349</v>
      </c>
      <c r="B625" s="14">
        <v>43607</v>
      </c>
      <c r="C625" s="13">
        <v>855</v>
      </c>
      <c r="D625" s="13" t="s">
        <v>149</v>
      </c>
      <c r="E625" s="13" t="s">
        <v>62</v>
      </c>
      <c r="F625" s="37">
        <v>60133</v>
      </c>
      <c r="G625" s="29" t="s">
        <v>1753</v>
      </c>
      <c r="H625" s="14">
        <v>43434</v>
      </c>
      <c r="I625" s="4" t="s">
        <v>6105</v>
      </c>
    </row>
    <row r="626" spans="1:12" hidden="1" x14ac:dyDescent="0.25">
      <c r="A626" s="61" t="s">
        <v>659</v>
      </c>
      <c r="B626" s="14">
        <v>43607</v>
      </c>
      <c r="C626" s="13">
        <v>880</v>
      </c>
      <c r="D626" s="13" t="s">
        <v>5888</v>
      </c>
      <c r="E626" s="13" t="s">
        <v>808</v>
      </c>
      <c r="F626" s="4">
        <v>1972875</v>
      </c>
      <c r="G626" s="174" t="s">
        <v>5762</v>
      </c>
      <c r="H626" s="14"/>
      <c r="I626" s="4" t="s">
        <v>24</v>
      </c>
    </row>
    <row r="627" spans="1:12" hidden="1" x14ac:dyDescent="0.25">
      <c r="A627" s="61" t="s">
        <v>659</v>
      </c>
      <c r="B627" s="14">
        <v>43607</v>
      </c>
      <c r="C627" s="13">
        <v>866</v>
      </c>
      <c r="D627" s="13" t="s">
        <v>8020</v>
      </c>
      <c r="E627" s="13" t="s">
        <v>808</v>
      </c>
      <c r="F627" s="4">
        <v>27125</v>
      </c>
      <c r="G627" s="174" t="s">
        <v>5762</v>
      </c>
      <c r="H627" s="14"/>
      <c r="I627" s="4" t="s">
        <v>8021</v>
      </c>
    </row>
    <row r="628" spans="1:12" hidden="1" x14ac:dyDescent="0.25">
      <c r="A628" s="32" t="s">
        <v>1149</v>
      </c>
      <c r="B628" s="14">
        <v>43607</v>
      </c>
      <c r="C628" s="13">
        <v>865</v>
      </c>
      <c r="D628" s="32" t="s">
        <v>1179</v>
      </c>
      <c r="E628" s="32" t="s">
        <v>808</v>
      </c>
      <c r="F628" s="4">
        <v>238617</v>
      </c>
      <c r="G628" s="69" t="s">
        <v>2190</v>
      </c>
      <c r="H628" s="14"/>
      <c r="I628" s="4" t="s">
        <v>24</v>
      </c>
      <c r="J628" s="21"/>
      <c r="K628" s="228"/>
    </row>
    <row r="629" spans="1:12" s="97" customFormat="1" hidden="1" x14ac:dyDescent="0.25">
      <c r="A629" s="13" t="s">
        <v>1148</v>
      </c>
      <c r="B629" s="14">
        <v>43607</v>
      </c>
      <c r="C629" s="13">
        <v>882</v>
      </c>
      <c r="D629" s="13" t="s">
        <v>487</v>
      </c>
      <c r="E629" s="13" t="s">
        <v>808</v>
      </c>
      <c r="F629" s="4">
        <f>856000-431000</f>
        <v>425000</v>
      </c>
      <c r="G629" s="29" t="s">
        <v>2963</v>
      </c>
      <c r="H629" s="14">
        <v>43514</v>
      </c>
      <c r="I629" s="4" t="s">
        <v>421</v>
      </c>
      <c r="J629" s="133"/>
      <c r="K629" s="22"/>
      <c r="L629" s="134"/>
    </row>
    <row r="630" spans="1:12" s="97" customFormat="1" hidden="1" x14ac:dyDescent="0.25">
      <c r="A630" s="61" t="s">
        <v>1147</v>
      </c>
      <c r="B630" s="14">
        <v>43607</v>
      </c>
      <c r="C630" s="13">
        <v>867</v>
      </c>
      <c r="D630" s="13" t="s">
        <v>539</v>
      </c>
      <c r="E630" s="13" t="s">
        <v>808</v>
      </c>
      <c r="F630" s="37">
        <v>810324</v>
      </c>
      <c r="G630" s="29" t="s">
        <v>7081</v>
      </c>
      <c r="H630" s="14">
        <v>43574</v>
      </c>
      <c r="I630" s="4" t="s">
        <v>1207</v>
      </c>
      <c r="J630" s="133"/>
      <c r="K630" s="22"/>
      <c r="L630" s="134"/>
    </row>
    <row r="631" spans="1:12" s="97" customFormat="1" hidden="1" x14ac:dyDescent="0.25">
      <c r="A631" s="61" t="s">
        <v>1148</v>
      </c>
      <c r="B631" s="14">
        <v>43607</v>
      </c>
      <c r="C631" s="13">
        <v>868</v>
      </c>
      <c r="D631" s="13" t="s">
        <v>589</v>
      </c>
      <c r="E631" s="13" t="s">
        <v>808</v>
      </c>
      <c r="F631" s="37">
        <v>809523</v>
      </c>
      <c r="G631" s="29" t="s">
        <v>7096</v>
      </c>
      <c r="H631" s="14">
        <v>43570</v>
      </c>
      <c r="I631" s="4" t="s">
        <v>1349</v>
      </c>
      <c r="J631" s="133"/>
      <c r="K631" s="22"/>
      <c r="L631" s="134"/>
    </row>
    <row r="632" spans="1:12" s="97" customFormat="1" hidden="1" x14ac:dyDescent="0.25">
      <c r="A632" s="32" t="s">
        <v>1148</v>
      </c>
      <c r="B632" s="14">
        <v>43607</v>
      </c>
      <c r="C632" s="13">
        <v>869</v>
      </c>
      <c r="D632" s="13" t="s">
        <v>6805</v>
      </c>
      <c r="E632" s="13" t="s">
        <v>808</v>
      </c>
      <c r="F632" s="37">
        <v>885000</v>
      </c>
      <c r="G632" s="29" t="s">
        <v>1299</v>
      </c>
      <c r="H632" s="14">
        <v>43566</v>
      </c>
      <c r="I632" s="4" t="s">
        <v>6806</v>
      </c>
      <c r="J632" s="133"/>
      <c r="K632" s="22"/>
      <c r="L632" s="134"/>
    </row>
    <row r="633" spans="1:12" s="97" customFormat="1" hidden="1" x14ac:dyDescent="0.25">
      <c r="A633" s="61" t="s">
        <v>659</v>
      </c>
      <c r="B633" s="14">
        <v>43607</v>
      </c>
      <c r="C633" s="13">
        <v>870</v>
      </c>
      <c r="D633" s="13" t="s">
        <v>243</v>
      </c>
      <c r="E633" s="13" t="s">
        <v>808</v>
      </c>
      <c r="F633" s="37">
        <v>876397.5</v>
      </c>
      <c r="G633" s="29" t="s">
        <v>3977</v>
      </c>
      <c r="H633" s="14">
        <v>43559</v>
      </c>
      <c r="I633" s="4" t="s">
        <v>765</v>
      </c>
      <c r="J633" s="133"/>
      <c r="K633" s="22"/>
      <c r="L633" s="134"/>
    </row>
    <row r="634" spans="1:12" s="97" customFormat="1" hidden="1" x14ac:dyDescent="0.25">
      <c r="A634" s="61" t="s">
        <v>1316</v>
      </c>
      <c r="B634" s="14">
        <v>43607</v>
      </c>
      <c r="C634" s="13">
        <v>881</v>
      </c>
      <c r="D634" s="13" t="s">
        <v>869</v>
      </c>
      <c r="E634" s="13" t="s">
        <v>808</v>
      </c>
      <c r="F634" s="37">
        <v>38500</v>
      </c>
      <c r="G634" s="29" t="s">
        <v>6863</v>
      </c>
      <c r="H634" s="14">
        <v>43571</v>
      </c>
      <c r="I634" s="4" t="s">
        <v>268</v>
      </c>
      <c r="J634" s="133"/>
      <c r="K634" s="22"/>
      <c r="L634" s="134"/>
    </row>
    <row r="635" spans="1:12" s="97" customFormat="1" hidden="1" x14ac:dyDescent="0.25">
      <c r="A635" s="61" t="s">
        <v>1148</v>
      </c>
      <c r="B635" s="14">
        <v>43607</v>
      </c>
      <c r="C635" s="13">
        <v>881</v>
      </c>
      <c r="D635" s="13" t="s">
        <v>869</v>
      </c>
      <c r="E635" s="13" t="s">
        <v>808</v>
      </c>
      <c r="F635" s="4">
        <v>99247.75</v>
      </c>
      <c r="G635" s="28" t="s">
        <v>6864</v>
      </c>
      <c r="H635" s="14">
        <v>43572</v>
      </c>
      <c r="I635" s="4" t="s">
        <v>6211</v>
      </c>
      <c r="J635" s="133"/>
      <c r="K635" s="22"/>
      <c r="L635" s="134"/>
    </row>
    <row r="636" spans="1:12" s="97" customFormat="1" hidden="1" x14ac:dyDescent="0.25">
      <c r="A636" s="61" t="s">
        <v>659</v>
      </c>
      <c r="B636" s="14">
        <v>43607</v>
      </c>
      <c r="C636" s="13">
        <v>881</v>
      </c>
      <c r="D636" s="13" t="s">
        <v>869</v>
      </c>
      <c r="E636" s="13" t="s">
        <v>808</v>
      </c>
      <c r="F636" s="37">
        <v>52011.82</v>
      </c>
      <c r="G636" s="29" t="s">
        <v>7163</v>
      </c>
      <c r="H636" s="14">
        <v>43573</v>
      </c>
      <c r="I636" s="4" t="s">
        <v>268</v>
      </c>
      <c r="J636" s="133"/>
      <c r="K636" s="22"/>
      <c r="L636" s="134"/>
    </row>
    <row r="637" spans="1:12" s="97" customFormat="1" hidden="1" x14ac:dyDescent="0.25">
      <c r="A637" s="61" t="s">
        <v>659</v>
      </c>
      <c r="B637" s="14">
        <v>43607</v>
      </c>
      <c r="C637" s="13">
        <v>871</v>
      </c>
      <c r="D637" s="13" t="s">
        <v>280</v>
      </c>
      <c r="E637" s="13" t="s">
        <v>808</v>
      </c>
      <c r="F637" s="4">
        <v>17751</v>
      </c>
      <c r="G637" s="28" t="s">
        <v>3510</v>
      </c>
      <c r="H637" s="14">
        <v>43564</v>
      </c>
      <c r="I637" s="4" t="s">
        <v>6845</v>
      </c>
      <c r="J637" s="133"/>
      <c r="K637" s="22"/>
      <c r="L637" s="134"/>
    </row>
    <row r="638" spans="1:12" s="97" customFormat="1" hidden="1" x14ac:dyDescent="0.25">
      <c r="A638" s="61" t="s">
        <v>659</v>
      </c>
      <c r="B638" s="14">
        <v>43607</v>
      </c>
      <c r="C638" s="13">
        <v>872</v>
      </c>
      <c r="D638" s="13" t="s">
        <v>814</v>
      </c>
      <c r="E638" s="13" t="s">
        <v>808</v>
      </c>
      <c r="F638" s="37">
        <v>69090</v>
      </c>
      <c r="G638" s="29" t="s">
        <v>4361</v>
      </c>
      <c r="H638" s="14">
        <v>43570</v>
      </c>
      <c r="I638" s="4" t="s">
        <v>142</v>
      </c>
      <c r="J638" s="133"/>
      <c r="K638" s="22"/>
      <c r="L638" s="134"/>
    </row>
    <row r="639" spans="1:12" s="97" customFormat="1" hidden="1" x14ac:dyDescent="0.25">
      <c r="A639" s="61" t="s">
        <v>659</v>
      </c>
      <c r="B639" s="14">
        <v>43607</v>
      </c>
      <c r="C639" s="13">
        <v>879</v>
      </c>
      <c r="D639" s="13" t="s">
        <v>448</v>
      </c>
      <c r="E639" s="13" t="s">
        <v>808</v>
      </c>
      <c r="F639" s="4">
        <v>50000</v>
      </c>
      <c r="G639" s="29" t="s">
        <v>4931</v>
      </c>
      <c r="H639" s="14">
        <v>43522</v>
      </c>
      <c r="I639" s="4" t="s">
        <v>63</v>
      </c>
      <c r="J639" s="133"/>
      <c r="K639" s="22"/>
      <c r="L639" s="134"/>
    </row>
    <row r="640" spans="1:12" hidden="1" x14ac:dyDescent="0.25">
      <c r="A640" s="61" t="s">
        <v>1148</v>
      </c>
      <c r="B640" s="14">
        <v>43607</v>
      </c>
      <c r="C640" s="13">
        <v>883</v>
      </c>
      <c r="D640" s="13" t="s">
        <v>282</v>
      </c>
      <c r="E640" s="13" t="s">
        <v>808</v>
      </c>
      <c r="F640" s="37">
        <v>10725</v>
      </c>
      <c r="G640" s="29" t="s">
        <v>6433</v>
      </c>
      <c r="H640" s="14">
        <v>43559</v>
      </c>
      <c r="I640" s="4" t="s">
        <v>283</v>
      </c>
    </row>
    <row r="641" spans="1:17" hidden="1" x14ac:dyDescent="0.25">
      <c r="A641" s="13" t="s">
        <v>1316</v>
      </c>
      <c r="B641" s="14">
        <v>43607</v>
      </c>
      <c r="C641" s="13">
        <v>883</v>
      </c>
      <c r="D641" s="13" t="s">
        <v>282</v>
      </c>
      <c r="E641" s="13" t="s">
        <v>808</v>
      </c>
      <c r="F641" s="4">
        <v>2145</v>
      </c>
      <c r="G641" s="28" t="s">
        <v>6434</v>
      </c>
      <c r="H641" s="14">
        <v>43559</v>
      </c>
      <c r="I641" s="4" t="s">
        <v>283</v>
      </c>
    </row>
    <row r="642" spans="1:17" hidden="1" x14ac:dyDescent="0.25">
      <c r="A642" s="13" t="s">
        <v>659</v>
      </c>
      <c r="B642" s="14">
        <v>43607</v>
      </c>
      <c r="C642" s="13">
        <v>883</v>
      </c>
      <c r="D642" s="13" t="s">
        <v>282</v>
      </c>
      <c r="E642" s="13" t="s">
        <v>808</v>
      </c>
      <c r="F642" s="4">
        <v>1430</v>
      </c>
      <c r="G642" s="28" t="s">
        <v>6435</v>
      </c>
      <c r="H642" s="14">
        <v>43559</v>
      </c>
      <c r="I642" s="4" t="s">
        <v>283</v>
      </c>
    </row>
    <row r="643" spans="1:17" hidden="1" x14ac:dyDescent="0.25">
      <c r="A643" s="61" t="s">
        <v>1316</v>
      </c>
      <c r="B643" s="14">
        <v>43607</v>
      </c>
      <c r="C643" s="13">
        <v>883</v>
      </c>
      <c r="D643" s="13" t="s">
        <v>282</v>
      </c>
      <c r="E643" s="13" t="s">
        <v>808</v>
      </c>
      <c r="F643" s="37">
        <v>3575</v>
      </c>
      <c r="G643" s="29" t="s">
        <v>5143</v>
      </c>
      <c r="H643" s="14">
        <v>43566</v>
      </c>
      <c r="I643" s="4" t="s">
        <v>283</v>
      </c>
    </row>
    <row r="644" spans="1:17" hidden="1" x14ac:dyDescent="0.25">
      <c r="A644" s="61" t="s">
        <v>1148</v>
      </c>
      <c r="B644" s="14">
        <v>43607</v>
      </c>
      <c r="C644" s="13">
        <v>883</v>
      </c>
      <c r="D644" s="13" t="s">
        <v>282</v>
      </c>
      <c r="E644" s="13" t="s">
        <v>808</v>
      </c>
      <c r="F644" s="37">
        <v>2860</v>
      </c>
      <c r="G644" s="29" t="s">
        <v>7026</v>
      </c>
      <c r="H644" s="14">
        <v>43573</v>
      </c>
      <c r="I644" s="4" t="s">
        <v>283</v>
      </c>
    </row>
    <row r="645" spans="1:17" hidden="1" x14ac:dyDescent="0.25">
      <c r="A645" s="61" t="s">
        <v>659</v>
      </c>
      <c r="B645" s="14">
        <v>43607</v>
      </c>
      <c r="C645" s="13">
        <v>873</v>
      </c>
      <c r="D645" s="13" t="s">
        <v>250</v>
      </c>
      <c r="E645" s="13" t="s">
        <v>808</v>
      </c>
      <c r="F645" s="4">
        <v>100000</v>
      </c>
      <c r="G645" s="28" t="s">
        <v>6095</v>
      </c>
      <c r="H645" s="14">
        <v>43554</v>
      </c>
      <c r="I645" s="4" t="s">
        <v>4088</v>
      </c>
    </row>
    <row r="646" spans="1:17" hidden="1" x14ac:dyDescent="0.25">
      <c r="A646" s="32" t="s">
        <v>1147</v>
      </c>
      <c r="B646" s="14">
        <v>43607</v>
      </c>
      <c r="C646" s="13">
        <v>874</v>
      </c>
      <c r="D646" s="13" t="s">
        <v>29</v>
      </c>
      <c r="E646" s="13" t="s">
        <v>808</v>
      </c>
      <c r="F646" s="37">
        <f>297825-100000</f>
        <v>197825</v>
      </c>
      <c r="G646" s="29" t="s">
        <v>1368</v>
      </c>
      <c r="H646" s="14">
        <v>43542</v>
      </c>
      <c r="I646" s="4" t="s">
        <v>1061</v>
      </c>
    </row>
    <row r="647" spans="1:17" hidden="1" x14ac:dyDescent="0.25">
      <c r="A647" s="61" t="s">
        <v>659</v>
      </c>
      <c r="B647" s="14">
        <v>43607</v>
      </c>
      <c r="C647" s="13">
        <v>875</v>
      </c>
      <c r="D647" s="218" t="s">
        <v>764</v>
      </c>
      <c r="E647" s="13" t="s">
        <v>808</v>
      </c>
      <c r="F647" s="224">
        <v>67687.5</v>
      </c>
      <c r="G647" s="28" t="s">
        <v>4858</v>
      </c>
      <c r="H647" s="14">
        <v>43555</v>
      </c>
      <c r="I647" s="32" t="s">
        <v>6449</v>
      </c>
    </row>
    <row r="648" spans="1:17" hidden="1" x14ac:dyDescent="0.25">
      <c r="A648" s="32" t="s">
        <v>1147</v>
      </c>
      <c r="B648" s="14">
        <v>43607</v>
      </c>
      <c r="C648" s="13">
        <v>876</v>
      </c>
      <c r="D648" s="13" t="s">
        <v>692</v>
      </c>
      <c r="E648" s="13" t="s">
        <v>808</v>
      </c>
      <c r="F648" s="37">
        <f>239625-100000</f>
        <v>139625</v>
      </c>
      <c r="G648" s="29" t="s">
        <v>731</v>
      </c>
      <c r="H648" s="14">
        <v>43551</v>
      </c>
      <c r="I648" s="4" t="s">
        <v>2027</v>
      </c>
    </row>
    <row r="649" spans="1:17" hidden="1" x14ac:dyDescent="0.25">
      <c r="A649" s="61" t="s">
        <v>35</v>
      </c>
      <c r="B649" s="14">
        <v>43607</v>
      </c>
      <c r="C649" s="13">
        <v>877</v>
      </c>
      <c r="D649" s="13" t="s">
        <v>149</v>
      </c>
      <c r="E649" s="13" t="s">
        <v>808</v>
      </c>
      <c r="F649" s="37">
        <v>7000</v>
      </c>
      <c r="G649" s="29" t="s">
        <v>7036</v>
      </c>
      <c r="H649" s="14">
        <v>43220</v>
      </c>
      <c r="I649" s="4" t="s">
        <v>7037</v>
      </c>
    </row>
    <row r="650" spans="1:17" hidden="1" x14ac:dyDescent="0.25">
      <c r="A650" s="32" t="s">
        <v>151</v>
      </c>
      <c r="B650" s="14">
        <v>43607</v>
      </c>
      <c r="C650" s="67">
        <v>878</v>
      </c>
      <c r="D650" s="32" t="s">
        <v>93</v>
      </c>
      <c r="E650" s="13" t="s">
        <v>808</v>
      </c>
      <c r="F650" s="4">
        <v>6000</v>
      </c>
      <c r="G650" s="67">
        <v>2461</v>
      </c>
      <c r="H650" s="14">
        <v>43605</v>
      </c>
      <c r="I650" s="4" t="s">
        <v>8993</v>
      </c>
      <c r="J650" s="21"/>
      <c r="K650" s="228"/>
    </row>
    <row r="651" spans="1:17" hidden="1" x14ac:dyDescent="0.25">
      <c r="A651" s="68" t="s">
        <v>151</v>
      </c>
      <c r="B651" s="14">
        <v>43607</v>
      </c>
      <c r="C651" s="13">
        <v>32</v>
      </c>
      <c r="D651" s="32" t="s">
        <v>2899</v>
      </c>
      <c r="E651" s="32" t="s">
        <v>522</v>
      </c>
      <c r="F651" s="209">
        <v>4400</v>
      </c>
      <c r="G651" s="210" t="s">
        <v>8121</v>
      </c>
      <c r="H651" s="211">
        <v>43606</v>
      </c>
      <c r="I651" s="208" t="s">
        <v>4399</v>
      </c>
      <c r="J651" s="21"/>
      <c r="K651" s="228"/>
    </row>
    <row r="652" spans="1:17" hidden="1" x14ac:dyDescent="0.25">
      <c r="A652" s="68" t="s">
        <v>151</v>
      </c>
      <c r="B652" s="14">
        <v>43607</v>
      </c>
      <c r="C652" s="13">
        <v>40</v>
      </c>
      <c r="D652" s="32" t="s">
        <v>2899</v>
      </c>
      <c r="E652" s="32" t="s">
        <v>482</v>
      </c>
      <c r="F652" s="209">
        <v>3400</v>
      </c>
      <c r="G652" s="210" t="s">
        <v>8122</v>
      </c>
      <c r="H652" s="211">
        <v>43605</v>
      </c>
      <c r="I652" s="208" t="s">
        <v>4399</v>
      </c>
      <c r="J652" s="21"/>
      <c r="K652" s="228"/>
    </row>
    <row r="653" spans="1:17" ht="13.95" hidden="1" customHeight="1" x14ac:dyDescent="0.25">
      <c r="A653" s="13" t="s">
        <v>455</v>
      </c>
      <c r="B653" s="126">
        <v>43608</v>
      </c>
      <c r="C653" s="13">
        <v>502</v>
      </c>
      <c r="D653" s="13" t="s">
        <v>4438</v>
      </c>
      <c r="E653" s="32" t="s">
        <v>958</v>
      </c>
      <c r="F653" s="4">
        <v>2000000</v>
      </c>
      <c r="G653" s="69" t="s">
        <v>4437</v>
      </c>
      <c r="H653" s="14"/>
      <c r="I653" s="4" t="s">
        <v>24</v>
      </c>
      <c r="J653" s="71"/>
      <c r="K653" s="62"/>
      <c r="L653" s="62"/>
      <c r="M653" s="35"/>
      <c r="N653" s="35"/>
      <c r="O653" s="35"/>
      <c r="P653" s="35"/>
      <c r="Q653" s="35"/>
    </row>
    <row r="654" spans="1:17" ht="13.95" hidden="1" customHeight="1" x14ac:dyDescent="0.25">
      <c r="A654" s="68" t="s">
        <v>455</v>
      </c>
      <c r="B654" s="126">
        <v>43608</v>
      </c>
      <c r="C654" s="13">
        <v>494</v>
      </c>
      <c r="D654" s="32" t="s">
        <v>2144</v>
      </c>
      <c r="E654" s="32" t="s">
        <v>958</v>
      </c>
      <c r="F654" s="4">
        <v>465000</v>
      </c>
      <c r="G654" s="86" t="s">
        <v>7299</v>
      </c>
      <c r="H654" s="211"/>
      <c r="I654" s="41" t="s">
        <v>7298</v>
      </c>
      <c r="J654" s="21"/>
      <c r="K654" s="228"/>
    </row>
    <row r="655" spans="1:17" s="97" customFormat="1" hidden="1" x14ac:dyDescent="0.25">
      <c r="A655" s="13" t="s">
        <v>455</v>
      </c>
      <c r="B655" s="126">
        <v>43608</v>
      </c>
      <c r="C655" s="13">
        <v>495</v>
      </c>
      <c r="D655" s="13" t="s">
        <v>1082</v>
      </c>
      <c r="E655" s="13" t="s">
        <v>958</v>
      </c>
      <c r="F655" s="327">
        <f>814000.11-54810.63</f>
        <v>759189.48</v>
      </c>
      <c r="G655" s="28" t="s">
        <v>3218</v>
      </c>
      <c r="H655" s="14">
        <v>43458</v>
      </c>
      <c r="I655" s="4" t="s">
        <v>421</v>
      </c>
      <c r="J655" s="133"/>
      <c r="K655" s="22"/>
      <c r="L655" s="134"/>
    </row>
    <row r="656" spans="1:17" s="97" customFormat="1" hidden="1" x14ac:dyDescent="0.25">
      <c r="A656" s="61" t="s">
        <v>310</v>
      </c>
      <c r="B656" s="126">
        <v>43608</v>
      </c>
      <c r="C656" s="13">
        <v>496</v>
      </c>
      <c r="D656" s="13" t="s">
        <v>280</v>
      </c>
      <c r="E656" s="13" t="s">
        <v>958</v>
      </c>
      <c r="F656" s="4">
        <v>5585</v>
      </c>
      <c r="G656" s="28" t="s">
        <v>3512</v>
      </c>
      <c r="H656" s="14">
        <v>43565</v>
      </c>
      <c r="I656" s="4" t="s">
        <v>6846</v>
      </c>
      <c r="J656" s="133"/>
      <c r="K656" s="22"/>
      <c r="L656" s="134"/>
    </row>
    <row r="657" spans="1:16" s="97" customFormat="1" hidden="1" x14ac:dyDescent="0.25">
      <c r="A657" s="32" t="s">
        <v>455</v>
      </c>
      <c r="B657" s="126">
        <v>43608</v>
      </c>
      <c r="C657" s="13">
        <v>501</v>
      </c>
      <c r="D657" s="13" t="s">
        <v>5033</v>
      </c>
      <c r="E657" s="13" t="s">
        <v>958</v>
      </c>
      <c r="F657" s="37">
        <v>80456.5</v>
      </c>
      <c r="G657" s="29" t="s">
        <v>318</v>
      </c>
      <c r="H657" s="14">
        <v>43521</v>
      </c>
      <c r="I657" s="4" t="s">
        <v>6692</v>
      </c>
      <c r="J657" s="133"/>
      <c r="K657" s="22"/>
      <c r="L657" s="134"/>
    </row>
    <row r="658" spans="1:16" hidden="1" x14ac:dyDescent="0.25">
      <c r="A658" s="61" t="s">
        <v>455</v>
      </c>
      <c r="B658" s="126">
        <v>43608</v>
      </c>
      <c r="C658" s="13">
        <v>497</v>
      </c>
      <c r="D658" s="13" t="s">
        <v>5345</v>
      </c>
      <c r="E658" s="13" t="s">
        <v>958</v>
      </c>
      <c r="F658" s="37">
        <v>63800</v>
      </c>
      <c r="G658" s="29" t="s">
        <v>3104</v>
      </c>
      <c r="H658" s="14">
        <v>43540</v>
      </c>
      <c r="I658" s="4" t="s">
        <v>5346</v>
      </c>
    </row>
    <row r="659" spans="1:16" s="2" customFormat="1" hidden="1" x14ac:dyDescent="0.25">
      <c r="A659" s="32" t="s">
        <v>310</v>
      </c>
      <c r="B659" s="126">
        <v>43608</v>
      </c>
      <c r="C659" s="13">
        <v>500</v>
      </c>
      <c r="D659" s="13" t="s">
        <v>149</v>
      </c>
      <c r="E659" s="32" t="s">
        <v>958</v>
      </c>
      <c r="F659" s="4">
        <v>3000</v>
      </c>
      <c r="G659" s="29" t="s">
        <v>2648</v>
      </c>
      <c r="H659" s="14">
        <v>43514</v>
      </c>
      <c r="I659" s="32" t="s">
        <v>4887</v>
      </c>
      <c r="J659" s="16"/>
      <c r="K659" s="5"/>
    </row>
    <row r="660" spans="1:16" hidden="1" x14ac:dyDescent="0.25">
      <c r="A660" s="61" t="s">
        <v>455</v>
      </c>
      <c r="B660" s="126">
        <v>43608</v>
      </c>
      <c r="C660" s="13">
        <v>500</v>
      </c>
      <c r="D660" s="13" t="s">
        <v>149</v>
      </c>
      <c r="E660" s="13" t="s">
        <v>958</v>
      </c>
      <c r="F660" s="37">
        <v>4500</v>
      </c>
      <c r="G660" s="29" t="s">
        <v>3330</v>
      </c>
      <c r="H660" s="14">
        <v>43514</v>
      </c>
      <c r="I660" s="4" t="s">
        <v>4887</v>
      </c>
    </row>
    <row r="661" spans="1:16" hidden="1" x14ac:dyDescent="0.25">
      <c r="A661" s="61" t="s">
        <v>455</v>
      </c>
      <c r="B661" s="126">
        <v>43608</v>
      </c>
      <c r="C661" s="13">
        <v>500</v>
      </c>
      <c r="D661" s="13" t="s">
        <v>149</v>
      </c>
      <c r="E661" s="13" t="s">
        <v>958</v>
      </c>
      <c r="F661" s="37">
        <v>7500</v>
      </c>
      <c r="G661" s="29" t="s">
        <v>7062</v>
      </c>
      <c r="H661" s="14">
        <v>43571</v>
      </c>
      <c r="I661" s="4" t="s">
        <v>7056</v>
      </c>
    </row>
    <row r="662" spans="1:16" hidden="1" x14ac:dyDescent="0.25">
      <c r="A662" s="61" t="s">
        <v>310</v>
      </c>
      <c r="B662" s="126">
        <v>43608</v>
      </c>
      <c r="C662" s="13">
        <v>500</v>
      </c>
      <c r="D662" s="13" t="s">
        <v>149</v>
      </c>
      <c r="E662" s="13" t="s">
        <v>958</v>
      </c>
      <c r="F662" s="37">
        <v>7000</v>
      </c>
      <c r="G662" s="29" t="s">
        <v>2818</v>
      </c>
      <c r="H662" s="14">
        <v>43571</v>
      </c>
      <c r="I662" s="4" t="s">
        <v>7056</v>
      </c>
    </row>
    <row r="663" spans="1:16" hidden="1" x14ac:dyDescent="0.25">
      <c r="A663" s="61" t="s">
        <v>455</v>
      </c>
      <c r="B663" s="126">
        <v>43608</v>
      </c>
      <c r="C663" s="13">
        <v>498</v>
      </c>
      <c r="D663" s="13" t="s">
        <v>7697</v>
      </c>
      <c r="E663" s="13" t="s">
        <v>958</v>
      </c>
      <c r="F663" s="37">
        <v>5500</v>
      </c>
      <c r="G663" s="29" t="s">
        <v>6789</v>
      </c>
      <c r="H663" s="14">
        <v>43395</v>
      </c>
      <c r="I663" s="4" t="s">
        <v>1061</v>
      </c>
    </row>
    <row r="664" spans="1:16" x14ac:dyDescent="0.25">
      <c r="A664" s="32" t="s">
        <v>151</v>
      </c>
      <c r="B664" s="126">
        <v>43608</v>
      </c>
      <c r="C664" s="67">
        <v>499</v>
      </c>
      <c r="D664" s="32" t="s">
        <v>4162</v>
      </c>
      <c r="E664" s="13" t="s">
        <v>958</v>
      </c>
      <c r="F664" s="4">
        <v>5536.74</v>
      </c>
      <c r="G664" s="67">
        <v>12299722</v>
      </c>
      <c r="H664" s="14">
        <v>43605</v>
      </c>
      <c r="I664" s="4" t="s">
        <v>7988</v>
      </c>
      <c r="J664" s="21"/>
      <c r="K664" s="228"/>
    </row>
    <row r="665" spans="1:16" hidden="1" x14ac:dyDescent="0.25">
      <c r="A665" s="68" t="s">
        <v>659</v>
      </c>
      <c r="B665" s="126">
        <v>43608</v>
      </c>
      <c r="C665" s="13">
        <v>375</v>
      </c>
      <c r="D665" s="32" t="s">
        <v>2144</v>
      </c>
      <c r="E665" s="13" t="s">
        <v>691</v>
      </c>
      <c r="F665" s="4">
        <v>1034602.04</v>
      </c>
      <c r="G665" s="174" t="s">
        <v>2145</v>
      </c>
      <c r="H665" s="14"/>
      <c r="I665" s="4" t="s">
        <v>503</v>
      </c>
      <c r="J665" s="62"/>
      <c r="K665" s="62"/>
      <c r="L665" s="35"/>
      <c r="M665" s="35"/>
      <c r="N665" s="35"/>
      <c r="O665" s="35"/>
      <c r="P665" s="35"/>
    </row>
    <row r="666" spans="1:16" hidden="1" x14ac:dyDescent="0.25">
      <c r="A666" s="13" t="s">
        <v>639</v>
      </c>
      <c r="B666" s="126">
        <v>43608</v>
      </c>
      <c r="C666" s="28" t="s">
        <v>7689</v>
      </c>
      <c r="D666" s="32" t="s">
        <v>432</v>
      </c>
      <c r="E666" s="32" t="s">
        <v>691</v>
      </c>
      <c r="F666" s="4">
        <v>230000</v>
      </c>
      <c r="G666" s="69" t="s">
        <v>7262</v>
      </c>
      <c r="H666" s="14"/>
      <c r="I666" s="4" t="s">
        <v>433</v>
      </c>
      <c r="J666" s="21"/>
      <c r="K666" s="228"/>
    </row>
    <row r="667" spans="1:16" hidden="1" x14ac:dyDescent="0.25">
      <c r="A667" s="61" t="s">
        <v>1350</v>
      </c>
      <c r="B667" s="126">
        <v>43608</v>
      </c>
      <c r="C667" s="13">
        <v>377</v>
      </c>
      <c r="D667" s="13" t="s">
        <v>944</v>
      </c>
      <c r="E667" s="13" t="s">
        <v>691</v>
      </c>
      <c r="F667" s="37">
        <f>195750-100000</f>
        <v>95750</v>
      </c>
      <c r="G667" s="29" t="s">
        <v>169</v>
      </c>
      <c r="H667" s="14">
        <v>43542</v>
      </c>
      <c r="I667" s="4" t="s">
        <v>402</v>
      </c>
    </row>
    <row r="668" spans="1:16" hidden="1" x14ac:dyDescent="0.25">
      <c r="A668" s="61" t="s">
        <v>637</v>
      </c>
      <c r="B668" s="126">
        <v>43608</v>
      </c>
      <c r="C668" s="13">
        <v>373</v>
      </c>
      <c r="D668" s="13" t="s">
        <v>1099</v>
      </c>
      <c r="E668" s="13" t="s">
        <v>691</v>
      </c>
      <c r="F668" s="37">
        <v>31424.400000000001</v>
      </c>
      <c r="G668" s="29" t="s">
        <v>5494</v>
      </c>
      <c r="H668" s="14">
        <v>43536</v>
      </c>
      <c r="I668" s="4" t="s">
        <v>6072</v>
      </c>
    </row>
    <row r="669" spans="1:16" hidden="1" x14ac:dyDescent="0.25">
      <c r="A669" s="13" t="s">
        <v>1350</v>
      </c>
      <c r="B669" s="126">
        <v>43608</v>
      </c>
      <c r="C669" s="13">
        <v>374</v>
      </c>
      <c r="D669" s="13" t="s">
        <v>1395</v>
      </c>
      <c r="E669" s="13" t="s">
        <v>691</v>
      </c>
      <c r="F669" s="4">
        <v>19400</v>
      </c>
      <c r="G669" s="28" t="s">
        <v>5884</v>
      </c>
      <c r="H669" s="14">
        <v>43546</v>
      </c>
      <c r="I669" s="4" t="s">
        <v>5885</v>
      </c>
    </row>
    <row r="670" spans="1:16" hidden="1" x14ac:dyDescent="0.25">
      <c r="A670" s="61" t="s">
        <v>1350</v>
      </c>
      <c r="B670" s="126">
        <v>43608</v>
      </c>
      <c r="C670" s="13">
        <v>378</v>
      </c>
      <c r="D670" s="13" t="s">
        <v>1985</v>
      </c>
      <c r="E670" s="13" t="s">
        <v>691</v>
      </c>
      <c r="F670" s="4">
        <f>171000-71000</f>
        <v>100000</v>
      </c>
      <c r="G670" s="28" t="s">
        <v>153</v>
      </c>
      <c r="H670" s="14">
        <v>43549</v>
      </c>
      <c r="I670" s="4" t="s">
        <v>4317</v>
      </c>
    </row>
    <row r="671" spans="1:16" ht="13.8" hidden="1" customHeight="1" x14ac:dyDescent="0.25">
      <c r="A671" s="32" t="s">
        <v>1149</v>
      </c>
      <c r="B671" s="14">
        <v>43608</v>
      </c>
      <c r="C671" s="13">
        <v>891</v>
      </c>
      <c r="D671" s="32" t="s">
        <v>181</v>
      </c>
      <c r="E671" s="32" t="s">
        <v>808</v>
      </c>
      <c r="F671" s="4">
        <v>9000</v>
      </c>
      <c r="G671" s="29" t="s">
        <v>7245</v>
      </c>
      <c r="H671" s="14">
        <v>43578</v>
      </c>
      <c r="I671" s="4" t="s">
        <v>102</v>
      </c>
      <c r="J671" s="21"/>
      <c r="K671" s="228"/>
    </row>
    <row r="672" spans="1:16" ht="15" hidden="1" customHeight="1" x14ac:dyDescent="0.25">
      <c r="A672" s="13" t="s">
        <v>184</v>
      </c>
      <c r="B672" s="14">
        <v>43608</v>
      </c>
      <c r="C672" s="13">
        <v>636</v>
      </c>
      <c r="D672" s="13" t="s">
        <v>1215</v>
      </c>
      <c r="E672" s="32" t="s">
        <v>1121</v>
      </c>
      <c r="F672" s="4">
        <v>147900</v>
      </c>
      <c r="G672" s="28" t="s">
        <v>251</v>
      </c>
      <c r="H672" s="14">
        <v>43549</v>
      </c>
      <c r="I672" s="4" t="s">
        <v>1865</v>
      </c>
      <c r="J672" s="76" t="s">
        <v>771</v>
      </c>
    </row>
    <row r="673" spans="1:19" ht="15" hidden="1" customHeight="1" x14ac:dyDescent="0.25">
      <c r="A673" s="13" t="s">
        <v>184</v>
      </c>
      <c r="B673" s="14">
        <v>43608</v>
      </c>
      <c r="C673" s="13">
        <v>637</v>
      </c>
      <c r="D673" s="13" t="s">
        <v>1533</v>
      </c>
      <c r="E673" s="32" t="s">
        <v>1121</v>
      </c>
      <c r="F673" s="4">
        <v>133500</v>
      </c>
      <c r="G673" s="28" t="s">
        <v>7216</v>
      </c>
      <c r="H673" s="14">
        <v>43577</v>
      </c>
      <c r="I673" s="4" t="s">
        <v>1535</v>
      </c>
      <c r="J673" s="125" t="s">
        <v>1386</v>
      </c>
    </row>
    <row r="674" spans="1:19" ht="27.6" hidden="1" x14ac:dyDescent="0.25">
      <c r="A674" s="13" t="s">
        <v>151</v>
      </c>
      <c r="B674" s="14">
        <v>43608</v>
      </c>
      <c r="C674" s="13">
        <v>638</v>
      </c>
      <c r="D674" s="13" t="s">
        <v>1075</v>
      </c>
      <c r="E674" s="13" t="s">
        <v>1121</v>
      </c>
      <c r="F674" s="4">
        <v>10900</v>
      </c>
      <c r="G674" s="29" t="s">
        <v>886</v>
      </c>
      <c r="H674" s="14">
        <v>43059</v>
      </c>
      <c r="I674" s="4" t="s">
        <v>1076</v>
      </c>
      <c r="J674" s="22" t="s">
        <v>526</v>
      </c>
      <c r="K674" s="62"/>
    </row>
    <row r="675" spans="1:19" s="62" customFormat="1" ht="15" hidden="1" customHeight="1" x14ac:dyDescent="0.25">
      <c r="A675" s="13" t="s">
        <v>151</v>
      </c>
      <c r="B675" s="14">
        <v>43608</v>
      </c>
      <c r="C675" s="28" t="s">
        <v>4700</v>
      </c>
      <c r="D675" s="13" t="s">
        <v>1555</v>
      </c>
      <c r="E675" s="32" t="s">
        <v>1121</v>
      </c>
      <c r="F675" s="4">
        <v>51110.76</v>
      </c>
      <c r="G675" s="29" t="s">
        <v>7408</v>
      </c>
      <c r="H675" s="14">
        <v>43585</v>
      </c>
      <c r="I675" s="4" t="s">
        <v>3277</v>
      </c>
      <c r="J675" s="71" t="s">
        <v>1386</v>
      </c>
      <c r="O675" s="35"/>
      <c r="P675" s="35"/>
      <c r="Q675" s="35"/>
      <c r="R675" s="35"/>
      <c r="S675" s="35"/>
    </row>
    <row r="676" spans="1:19" s="129" customFormat="1" hidden="1" x14ac:dyDescent="0.25">
      <c r="A676" s="13" t="s">
        <v>151</v>
      </c>
      <c r="B676" s="14">
        <v>43608</v>
      </c>
      <c r="C676" s="28" t="s">
        <v>169</v>
      </c>
      <c r="D676" s="13" t="s">
        <v>5954</v>
      </c>
      <c r="E676" s="13" t="s">
        <v>22</v>
      </c>
      <c r="F676" s="4">
        <v>2540</v>
      </c>
      <c r="G676" s="28" t="s">
        <v>8024</v>
      </c>
      <c r="H676" s="14">
        <v>43606</v>
      </c>
      <c r="I676" s="4" t="s">
        <v>8025</v>
      </c>
      <c r="J676" s="133"/>
      <c r="K676" s="275"/>
    </row>
    <row r="677" spans="1:19" hidden="1" x14ac:dyDescent="0.25">
      <c r="A677" s="13" t="s">
        <v>151</v>
      </c>
      <c r="B677" s="14">
        <v>43608</v>
      </c>
      <c r="C677" s="13">
        <v>143</v>
      </c>
      <c r="D677" s="13" t="s">
        <v>606</v>
      </c>
      <c r="E677" s="32" t="s">
        <v>22</v>
      </c>
      <c r="F677" s="4">
        <f>1475+3650+1325</f>
        <v>6450</v>
      </c>
      <c r="G677" s="28" t="s">
        <v>8031</v>
      </c>
      <c r="H677" s="14">
        <v>43606</v>
      </c>
      <c r="I677" s="4" t="s">
        <v>8032</v>
      </c>
      <c r="J677" s="125"/>
    </row>
    <row r="678" spans="1:19" s="129" customFormat="1" ht="27.6" hidden="1" x14ac:dyDescent="0.25">
      <c r="A678" s="13" t="s">
        <v>151</v>
      </c>
      <c r="B678" s="14">
        <v>43608</v>
      </c>
      <c r="C678" s="28" t="s">
        <v>8136</v>
      </c>
      <c r="D678" s="13" t="s">
        <v>1945</v>
      </c>
      <c r="E678" s="32" t="s">
        <v>1427</v>
      </c>
      <c r="F678" s="4">
        <v>14196</v>
      </c>
      <c r="G678" s="28" t="s">
        <v>2186</v>
      </c>
      <c r="H678" s="14">
        <v>43370</v>
      </c>
      <c r="I678" s="4" t="s">
        <v>1835</v>
      </c>
      <c r="J678" s="22" t="s">
        <v>526</v>
      </c>
      <c r="K678" s="136"/>
    </row>
    <row r="679" spans="1:19" s="129" customFormat="1" ht="27.6" hidden="1" x14ac:dyDescent="0.25">
      <c r="A679" s="13" t="s">
        <v>151</v>
      </c>
      <c r="B679" s="14">
        <v>43608</v>
      </c>
      <c r="C679" s="28" t="s">
        <v>1153</v>
      </c>
      <c r="D679" s="13" t="s">
        <v>1945</v>
      </c>
      <c r="E679" s="32" t="s">
        <v>2021</v>
      </c>
      <c r="F679" s="4">
        <v>15912</v>
      </c>
      <c r="G679" s="28" t="s">
        <v>2187</v>
      </c>
      <c r="H679" s="14">
        <v>43370</v>
      </c>
      <c r="I679" s="4" t="s">
        <v>1835</v>
      </c>
      <c r="J679" s="22" t="s">
        <v>526</v>
      </c>
      <c r="K679" s="136"/>
    </row>
    <row r="680" spans="1:19" ht="15" hidden="1" customHeight="1" x14ac:dyDescent="0.25">
      <c r="A680" s="61" t="s">
        <v>1934</v>
      </c>
      <c r="B680" s="14">
        <v>43608</v>
      </c>
      <c r="C680" s="13">
        <v>457</v>
      </c>
      <c r="D680" s="32" t="s">
        <v>281</v>
      </c>
      <c r="E680" s="32" t="s">
        <v>136</v>
      </c>
      <c r="F680" s="4">
        <v>159024</v>
      </c>
      <c r="G680" s="29" t="s">
        <v>7641</v>
      </c>
      <c r="H680" s="14">
        <v>43598</v>
      </c>
      <c r="I680" s="41" t="s">
        <v>362</v>
      </c>
      <c r="J680" s="35" t="s">
        <v>771</v>
      </c>
      <c r="K680" s="35"/>
      <c r="L680" s="35"/>
    </row>
    <row r="681" spans="1:19" ht="15" hidden="1" customHeight="1" x14ac:dyDescent="0.25">
      <c r="A681" s="61" t="s">
        <v>1934</v>
      </c>
      <c r="B681" s="14">
        <v>43608</v>
      </c>
      <c r="C681" s="13">
        <v>456</v>
      </c>
      <c r="D681" s="32" t="s">
        <v>281</v>
      </c>
      <c r="E681" s="32" t="s">
        <v>136</v>
      </c>
      <c r="F681" s="4">
        <v>692263</v>
      </c>
      <c r="G681" s="29" t="s">
        <v>6684</v>
      </c>
      <c r="H681" s="14">
        <v>43567</v>
      </c>
      <c r="I681" s="41" t="s">
        <v>847</v>
      </c>
      <c r="J681" s="35" t="s">
        <v>1386</v>
      </c>
      <c r="K681" s="35"/>
      <c r="L681" s="35"/>
    </row>
    <row r="682" spans="1:19" ht="15" hidden="1" customHeight="1" x14ac:dyDescent="0.25">
      <c r="A682" s="68" t="s">
        <v>206</v>
      </c>
      <c r="B682" s="14">
        <v>43608</v>
      </c>
      <c r="C682" s="13">
        <v>88</v>
      </c>
      <c r="D682" s="32" t="s">
        <v>281</v>
      </c>
      <c r="E682" s="32" t="s">
        <v>178</v>
      </c>
      <c r="F682" s="4">
        <v>4601.46</v>
      </c>
      <c r="G682" s="29" t="s">
        <v>7638</v>
      </c>
      <c r="H682" s="14">
        <v>43598</v>
      </c>
      <c r="I682" s="41" t="s">
        <v>362</v>
      </c>
      <c r="J682" s="35" t="s">
        <v>771</v>
      </c>
      <c r="K682" s="35"/>
      <c r="L682" s="35"/>
    </row>
    <row r="683" spans="1:19" ht="15" hidden="1" customHeight="1" x14ac:dyDescent="0.25">
      <c r="A683" s="68" t="s">
        <v>206</v>
      </c>
      <c r="B683" s="14">
        <v>43608</v>
      </c>
      <c r="C683" s="13">
        <v>89</v>
      </c>
      <c r="D683" s="32" t="s">
        <v>281</v>
      </c>
      <c r="E683" s="32" t="s">
        <v>178</v>
      </c>
      <c r="F683" s="4">
        <v>16085</v>
      </c>
      <c r="G683" s="29" t="s">
        <v>6682</v>
      </c>
      <c r="H683" s="14">
        <v>43567</v>
      </c>
      <c r="I683" s="41" t="s">
        <v>847</v>
      </c>
      <c r="J683" s="35" t="s">
        <v>1386</v>
      </c>
      <c r="K683" s="35"/>
      <c r="L683" s="35"/>
    </row>
    <row r="684" spans="1:19" ht="15" hidden="1" customHeight="1" x14ac:dyDescent="0.25">
      <c r="A684" s="32" t="s">
        <v>455</v>
      </c>
      <c r="B684" s="14">
        <v>43608</v>
      </c>
      <c r="C684" s="13">
        <v>345</v>
      </c>
      <c r="D684" s="32" t="s">
        <v>281</v>
      </c>
      <c r="E684" s="32" t="s">
        <v>440</v>
      </c>
      <c r="F684" s="4">
        <v>347441</v>
      </c>
      <c r="G684" s="29" t="s">
        <v>6688</v>
      </c>
      <c r="H684" s="14">
        <v>43570</v>
      </c>
      <c r="I684" s="41" t="s">
        <v>847</v>
      </c>
      <c r="J684" s="35" t="s">
        <v>1386</v>
      </c>
      <c r="K684" s="35"/>
      <c r="L684" s="35"/>
    </row>
    <row r="685" spans="1:19" ht="15" hidden="1" customHeight="1" x14ac:dyDescent="0.25">
      <c r="A685" s="32" t="s">
        <v>310</v>
      </c>
      <c r="B685" s="14">
        <v>43608</v>
      </c>
      <c r="C685" s="13">
        <v>152</v>
      </c>
      <c r="D685" s="32" t="s">
        <v>281</v>
      </c>
      <c r="E685" s="32" t="s">
        <v>314</v>
      </c>
      <c r="F685" s="4">
        <v>357665</v>
      </c>
      <c r="G685" s="29" t="s">
        <v>6679</v>
      </c>
      <c r="H685" s="14">
        <v>43567</v>
      </c>
      <c r="I685" s="41" t="s">
        <v>847</v>
      </c>
      <c r="J685" s="35" t="s">
        <v>1386</v>
      </c>
      <c r="K685" s="35"/>
      <c r="L685" s="35"/>
    </row>
    <row r="686" spans="1:19" ht="15" hidden="1" customHeight="1" x14ac:dyDescent="0.25">
      <c r="A686" s="32" t="s">
        <v>311</v>
      </c>
      <c r="B686" s="14">
        <v>43608</v>
      </c>
      <c r="C686" s="13">
        <v>287</v>
      </c>
      <c r="D686" s="32" t="s">
        <v>281</v>
      </c>
      <c r="E686" s="32" t="s">
        <v>408</v>
      </c>
      <c r="F686" s="4">
        <v>478145</v>
      </c>
      <c r="G686" s="29" t="s">
        <v>6677</v>
      </c>
      <c r="H686" s="14">
        <v>43567</v>
      </c>
      <c r="I686" s="41" t="s">
        <v>847</v>
      </c>
      <c r="J686" s="35" t="s">
        <v>1386</v>
      </c>
      <c r="K686" s="35"/>
      <c r="L686" s="35"/>
    </row>
    <row r="687" spans="1:19" hidden="1" x14ac:dyDescent="0.25">
      <c r="A687" s="68" t="s">
        <v>639</v>
      </c>
      <c r="B687" s="14">
        <v>43608</v>
      </c>
      <c r="C687" s="13">
        <v>573</v>
      </c>
      <c r="D687" s="32" t="s">
        <v>905</v>
      </c>
      <c r="E687" s="32" t="s">
        <v>60</v>
      </c>
      <c r="F687" s="4">
        <v>5000000</v>
      </c>
      <c r="G687" s="86" t="s">
        <v>1120</v>
      </c>
      <c r="H687" s="211"/>
      <c r="I687" s="208" t="s">
        <v>1119</v>
      </c>
      <c r="J687" s="21"/>
      <c r="K687" s="228"/>
    </row>
    <row r="688" spans="1:19" hidden="1" x14ac:dyDescent="0.25">
      <c r="A688" s="13" t="s">
        <v>151</v>
      </c>
      <c r="B688" s="126">
        <v>43608</v>
      </c>
      <c r="C688" s="13">
        <v>493</v>
      </c>
      <c r="D688" s="13" t="s">
        <v>5553</v>
      </c>
      <c r="E688" s="32" t="s">
        <v>958</v>
      </c>
      <c r="F688" s="4">
        <v>3000</v>
      </c>
      <c r="G688" s="28" t="s">
        <v>8035</v>
      </c>
      <c r="H688" s="14">
        <v>43607</v>
      </c>
      <c r="I688" s="4" t="s">
        <v>8036</v>
      </c>
      <c r="J688" s="125"/>
    </row>
    <row r="689" spans="1:19" hidden="1" x14ac:dyDescent="0.25">
      <c r="A689" s="13" t="s">
        <v>151</v>
      </c>
      <c r="B689" s="14">
        <v>43608</v>
      </c>
      <c r="C689" s="13">
        <v>310</v>
      </c>
      <c r="D689" s="13" t="s">
        <v>5553</v>
      </c>
      <c r="E689" s="32" t="s">
        <v>481</v>
      </c>
      <c r="F689" s="4">
        <v>6800</v>
      </c>
      <c r="G689" s="28" t="s">
        <v>7022</v>
      </c>
      <c r="H689" s="14">
        <v>43601</v>
      </c>
      <c r="I689" s="4" t="s">
        <v>8037</v>
      </c>
      <c r="J689" s="125"/>
    </row>
    <row r="690" spans="1:19" ht="13.95" hidden="1" customHeight="1" x14ac:dyDescent="0.25">
      <c r="A690" s="61" t="s">
        <v>1316</v>
      </c>
      <c r="B690" s="14">
        <v>43608</v>
      </c>
      <c r="C690" s="13">
        <v>888</v>
      </c>
      <c r="D690" s="13" t="s">
        <v>432</v>
      </c>
      <c r="E690" s="32" t="s">
        <v>808</v>
      </c>
      <c r="F690" s="4">
        <v>2500000</v>
      </c>
      <c r="G690" s="86" t="s">
        <v>4008</v>
      </c>
      <c r="H690" s="211"/>
      <c r="I690" s="4" t="s">
        <v>24</v>
      </c>
      <c r="J690" s="21"/>
      <c r="K690" s="228"/>
    </row>
    <row r="691" spans="1:19" s="129" customFormat="1" hidden="1" x14ac:dyDescent="0.25">
      <c r="A691" s="13" t="s">
        <v>2320</v>
      </c>
      <c r="B691" s="14">
        <v>43608</v>
      </c>
      <c r="C691" s="28" t="s">
        <v>8137</v>
      </c>
      <c r="D691" s="13" t="s">
        <v>298</v>
      </c>
      <c r="E691" s="13" t="s">
        <v>808</v>
      </c>
      <c r="F691" s="4">
        <v>6000</v>
      </c>
      <c r="G691" s="28" t="s">
        <v>8026</v>
      </c>
      <c r="H691" s="14">
        <v>43606</v>
      </c>
      <c r="I691" s="4" t="s">
        <v>1297</v>
      </c>
      <c r="J691" s="133"/>
      <c r="K691" s="275"/>
    </row>
    <row r="692" spans="1:19" ht="13.8" hidden="1" customHeight="1" x14ac:dyDescent="0.25">
      <c r="A692" s="32" t="s">
        <v>1148</v>
      </c>
      <c r="B692" s="14">
        <v>43608</v>
      </c>
      <c r="C692" s="13">
        <v>890</v>
      </c>
      <c r="D692" s="32" t="s">
        <v>181</v>
      </c>
      <c r="E692" s="32" t="s">
        <v>808</v>
      </c>
      <c r="F692" s="4">
        <v>16800</v>
      </c>
      <c r="G692" s="29" t="s">
        <v>1598</v>
      </c>
      <c r="H692" s="14">
        <v>43613</v>
      </c>
      <c r="I692" s="4" t="s">
        <v>102</v>
      </c>
      <c r="J692" s="21"/>
      <c r="K692" s="228"/>
    </row>
    <row r="693" spans="1:19" ht="13.8" hidden="1" customHeight="1" x14ac:dyDescent="0.25">
      <c r="A693" s="32" t="s">
        <v>1147</v>
      </c>
      <c r="B693" s="14">
        <v>43608</v>
      </c>
      <c r="C693" s="13">
        <v>891</v>
      </c>
      <c r="D693" s="32" t="s">
        <v>181</v>
      </c>
      <c r="E693" s="32" t="s">
        <v>808</v>
      </c>
      <c r="F693" s="4">
        <v>20400</v>
      </c>
      <c r="G693" s="29" t="s">
        <v>7246</v>
      </c>
      <c r="H693" s="14">
        <v>43578</v>
      </c>
      <c r="I693" s="4" t="s">
        <v>102</v>
      </c>
      <c r="J693" s="21"/>
      <c r="K693" s="228"/>
    </row>
    <row r="694" spans="1:19" s="2" customFormat="1" hidden="1" x14ac:dyDescent="0.25">
      <c r="A694" s="13" t="s">
        <v>6</v>
      </c>
      <c r="B694" s="14">
        <v>43608</v>
      </c>
      <c r="C694" s="13">
        <v>242</v>
      </c>
      <c r="D694" s="13" t="s">
        <v>585</v>
      </c>
      <c r="E694" s="13" t="s">
        <v>183</v>
      </c>
      <c r="F694" s="4">
        <v>870</v>
      </c>
      <c r="G694" s="28" t="s">
        <v>7857</v>
      </c>
      <c r="H694" s="14">
        <v>43599</v>
      </c>
      <c r="I694" s="4" t="s">
        <v>1</v>
      </c>
      <c r="J694" s="341"/>
      <c r="K694" s="31"/>
      <c r="L694" s="31"/>
      <c r="M694" s="31"/>
      <c r="N694" s="31"/>
      <c r="O694" s="34"/>
      <c r="P694" s="34"/>
      <c r="Q694" s="34"/>
      <c r="R694" s="34"/>
      <c r="S694" s="34"/>
    </row>
    <row r="695" spans="1:19" s="2" customFormat="1" ht="15" hidden="1" customHeight="1" x14ac:dyDescent="0.25">
      <c r="A695" s="13" t="s">
        <v>6</v>
      </c>
      <c r="B695" s="14">
        <v>43608</v>
      </c>
      <c r="C695" s="13">
        <v>243</v>
      </c>
      <c r="D695" s="13" t="s">
        <v>1394</v>
      </c>
      <c r="E695" s="13" t="s">
        <v>183</v>
      </c>
      <c r="F695" s="4">
        <v>139320</v>
      </c>
      <c r="G695" s="29" t="s">
        <v>52</v>
      </c>
      <c r="H695" s="14">
        <v>43602</v>
      </c>
      <c r="I695" s="4" t="s">
        <v>7987</v>
      </c>
      <c r="J695" s="341"/>
      <c r="K695" s="31"/>
      <c r="L695" s="31"/>
      <c r="M695" s="31"/>
      <c r="N695" s="31"/>
      <c r="O695" s="34"/>
      <c r="P695" s="34"/>
      <c r="Q695" s="34"/>
      <c r="R695" s="34"/>
      <c r="S695" s="34"/>
    </row>
    <row r="696" spans="1:19" s="2" customFormat="1" hidden="1" x14ac:dyDescent="0.25">
      <c r="A696" s="13" t="s">
        <v>6</v>
      </c>
      <c r="B696" s="14">
        <v>43608</v>
      </c>
      <c r="C696" s="13">
        <v>244</v>
      </c>
      <c r="D696" s="32" t="s">
        <v>94</v>
      </c>
      <c r="E696" s="13" t="s">
        <v>183</v>
      </c>
      <c r="F696" s="4">
        <v>22440</v>
      </c>
      <c r="G696" s="29" t="s">
        <v>7985</v>
      </c>
      <c r="H696" s="14">
        <v>43601</v>
      </c>
      <c r="I696" s="4" t="s">
        <v>7986</v>
      </c>
      <c r="J696" s="341"/>
      <c r="K696" s="31"/>
      <c r="L696" s="31"/>
      <c r="M696" s="31"/>
      <c r="N696" s="31"/>
      <c r="O696" s="34"/>
      <c r="P696" s="34"/>
      <c r="Q696" s="34"/>
      <c r="R696" s="34"/>
      <c r="S696" s="34"/>
    </row>
    <row r="697" spans="1:19" s="2" customFormat="1" hidden="1" x14ac:dyDescent="0.25">
      <c r="A697" s="13" t="s">
        <v>6</v>
      </c>
      <c r="B697" s="14">
        <v>43608</v>
      </c>
      <c r="C697" s="13">
        <v>245</v>
      </c>
      <c r="D697" s="13" t="s">
        <v>743</v>
      </c>
      <c r="E697" s="13" t="s">
        <v>183</v>
      </c>
      <c r="F697" s="4">
        <v>16500</v>
      </c>
      <c r="G697" s="29" t="s">
        <v>7954</v>
      </c>
      <c r="H697" s="14">
        <v>43595</v>
      </c>
      <c r="I697" s="4" t="s">
        <v>7953</v>
      </c>
      <c r="J697" s="341"/>
      <c r="K697" s="31"/>
      <c r="L697" s="31"/>
      <c r="M697" s="31"/>
      <c r="N697" s="31"/>
      <c r="O697" s="34"/>
      <c r="P697" s="34"/>
      <c r="Q697" s="34"/>
      <c r="R697" s="34"/>
      <c r="S697" s="34"/>
    </row>
    <row r="698" spans="1:19" s="2" customFormat="1" hidden="1" x14ac:dyDescent="0.25">
      <c r="A698" s="13" t="s">
        <v>6</v>
      </c>
      <c r="B698" s="14">
        <v>43608</v>
      </c>
      <c r="C698" s="13">
        <v>246</v>
      </c>
      <c r="D698" s="13" t="s">
        <v>8123</v>
      </c>
      <c r="E698" s="13" t="s">
        <v>183</v>
      </c>
      <c r="F698" s="4">
        <v>22000</v>
      </c>
      <c r="G698" s="29" t="s">
        <v>8124</v>
      </c>
      <c r="H698" s="14">
        <v>43607</v>
      </c>
      <c r="I698" s="4" t="s">
        <v>8125</v>
      </c>
      <c r="J698" s="341"/>
      <c r="K698" s="31"/>
      <c r="L698" s="31"/>
      <c r="M698" s="31"/>
      <c r="N698" s="31"/>
      <c r="O698" s="34"/>
      <c r="P698" s="34"/>
      <c r="Q698" s="34"/>
      <c r="R698" s="34"/>
      <c r="S698" s="34"/>
    </row>
    <row r="699" spans="1:19" s="97" customFormat="1" hidden="1" x14ac:dyDescent="0.25">
      <c r="A699" s="13" t="s">
        <v>151</v>
      </c>
      <c r="B699" s="14">
        <v>43608</v>
      </c>
      <c r="C699" s="13">
        <v>311</v>
      </c>
      <c r="D699" s="13" t="s">
        <v>3641</v>
      </c>
      <c r="E699" s="13" t="s">
        <v>481</v>
      </c>
      <c r="F699" s="4">
        <v>6000</v>
      </c>
      <c r="G699" s="29" t="s">
        <v>8138</v>
      </c>
      <c r="H699" s="14">
        <v>43521</v>
      </c>
      <c r="I699" s="4" t="s">
        <v>512</v>
      </c>
      <c r="J699" s="71"/>
      <c r="K699" s="22"/>
      <c r="L699" s="134"/>
    </row>
    <row r="700" spans="1:19" s="97" customFormat="1" hidden="1" x14ac:dyDescent="0.25">
      <c r="A700" s="13" t="s">
        <v>151</v>
      </c>
      <c r="B700" s="14">
        <v>43608</v>
      </c>
      <c r="C700" s="13">
        <v>574</v>
      </c>
      <c r="D700" s="13" t="s">
        <v>3641</v>
      </c>
      <c r="E700" s="13" t="s">
        <v>60</v>
      </c>
      <c r="F700" s="4">
        <v>80000</v>
      </c>
      <c r="G700" s="29" t="s">
        <v>8139</v>
      </c>
      <c r="H700" s="14">
        <v>43521</v>
      </c>
      <c r="I700" s="4" t="s">
        <v>512</v>
      </c>
      <c r="J700" s="71"/>
      <c r="K700" s="22"/>
      <c r="L700" s="134"/>
    </row>
    <row r="701" spans="1:19" ht="15" hidden="1" customHeight="1" x14ac:dyDescent="0.25">
      <c r="A701" s="32" t="s">
        <v>213</v>
      </c>
      <c r="B701" s="14">
        <v>43609</v>
      </c>
      <c r="C701" s="67">
        <v>461</v>
      </c>
      <c r="D701" s="32" t="s">
        <v>757</v>
      </c>
      <c r="E701" s="32" t="s">
        <v>136</v>
      </c>
      <c r="F701" s="4">
        <f>1041150.05</f>
        <v>1041150.05</v>
      </c>
      <c r="G701" s="28" t="s">
        <v>8043</v>
      </c>
      <c r="H701" s="14">
        <v>43546</v>
      </c>
      <c r="I701" s="4" t="s">
        <v>362</v>
      </c>
      <c r="J701" s="166" t="s">
        <v>721</v>
      </c>
      <c r="K701" s="167"/>
      <c r="L701" s="35"/>
    </row>
    <row r="702" spans="1:19" ht="15" hidden="1" customHeight="1" x14ac:dyDescent="0.25">
      <c r="A702" s="32" t="s">
        <v>213</v>
      </c>
      <c r="B702" s="14">
        <v>43609</v>
      </c>
      <c r="C702" s="67">
        <v>462</v>
      </c>
      <c r="D702" s="32" t="s">
        <v>757</v>
      </c>
      <c r="E702" s="32" t="s">
        <v>136</v>
      </c>
      <c r="F702" s="4">
        <v>958849.95</v>
      </c>
      <c r="G702" s="28" t="s">
        <v>8045</v>
      </c>
      <c r="H702" s="14">
        <v>43566</v>
      </c>
      <c r="I702" s="4" t="s">
        <v>362</v>
      </c>
      <c r="J702" s="166" t="s">
        <v>366</v>
      </c>
      <c r="K702" s="167"/>
      <c r="L702" s="35"/>
    </row>
    <row r="703" spans="1:19" ht="15" hidden="1" customHeight="1" x14ac:dyDescent="0.25">
      <c r="A703" s="32" t="s">
        <v>41</v>
      </c>
      <c r="B703" s="14">
        <v>43609</v>
      </c>
      <c r="C703" s="67">
        <v>135</v>
      </c>
      <c r="D703" s="32" t="s">
        <v>200</v>
      </c>
      <c r="E703" s="32" t="s">
        <v>195</v>
      </c>
      <c r="F703" s="4">
        <v>1500000</v>
      </c>
      <c r="G703" s="28" t="s">
        <v>5751</v>
      </c>
      <c r="H703" s="14">
        <v>43524</v>
      </c>
      <c r="I703" s="4" t="s">
        <v>362</v>
      </c>
      <c r="J703" s="166" t="s">
        <v>721</v>
      </c>
      <c r="K703" s="167"/>
      <c r="L703" s="35"/>
    </row>
    <row r="704" spans="1:19" ht="15" hidden="1" customHeight="1" x14ac:dyDescent="0.25">
      <c r="A704" s="32" t="s">
        <v>213</v>
      </c>
      <c r="B704" s="14">
        <v>43609</v>
      </c>
      <c r="C704" s="67">
        <v>460</v>
      </c>
      <c r="D704" s="32" t="s">
        <v>757</v>
      </c>
      <c r="E704" s="32" t="s">
        <v>136</v>
      </c>
      <c r="F704" s="4">
        <v>810875.36</v>
      </c>
      <c r="G704" s="28" t="s">
        <v>8044</v>
      </c>
      <c r="H704" s="14">
        <v>43551</v>
      </c>
      <c r="I704" s="4" t="s">
        <v>362</v>
      </c>
      <c r="J704" s="166" t="s">
        <v>771</v>
      </c>
      <c r="K704" s="167"/>
      <c r="L704" s="35"/>
    </row>
    <row r="705" spans="1:12" hidden="1" x14ac:dyDescent="0.25">
      <c r="A705" s="61" t="s">
        <v>460</v>
      </c>
      <c r="B705" s="14">
        <v>43609</v>
      </c>
      <c r="C705" s="13">
        <v>425</v>
      </c>
      <c r="D705" s="13" t="s">
        <v>8033</v>
      </c>
      <c r="E705" s="32" t="s">
        <v>144</v>
      </c>
      <c r="F705" s="4">
        <v>48608</v>
      </c>
      <c r="G705" s="86" t="s">
        <v>8034</v>
      </c>
      <c r="H705" s="211"/>
      <c r="I705" s="326"/>
      <c r="K705" s="62"/>
    </row>
    <row r="706" spans="1:12" hidden="1" x14ac:dyDescent="0.25">
      <c r="A706" s="61" t="s">
        <v>460</v>
      </c>
      <c r="B706" s="14">
        <v>43609</v>
      </c>
      <c r="C706" s="13">
        <v>120</v>
      </c>
      <c r="D706" s="14" t="s">
        <v>5578</v>
      </c>
      <c r="E706" s="32" t="s">
        <v>483</v>
      </c>
      <c r="F706" s="4">
        <v>30184</v>
      </c>
      <c r="G706" s="86" t="s">
        <v>5579</v>
      </c>
      <c r="H706" s="211"/>
      <c r="I706" s="326"/>
      <c r="K706" s="62"/>
    </row>
    <row r="707" spans="1:12" hidden="1" x14ac:dyDescent="0.25">
      <c r="A707" s="61" t="s">
        <v>460</v>
      </c>
      <c r="B707" s="14">
        <v>43609</v>
      </c>
      <c r="C707" s="13">
        <v>121</v>
      </c>
      <c r="D707" s="14" t="s">
        <v>5582</v>
      </c>
      <c r="E707" s="32" t="s">
        <v>483</v>
      </c>
      <c r="F707" s="4">
        <v>32878</v>
      </c>
      <c r="G707" s="86" t="s">
        <v>5583</v>
      </c>
      <c r="H707" s="211"/>
      <c r="I707" s="326"/>
      <c r="K707" s="62"/>
    </row>
    <row r="708" spans="1:12" hidden="1" x14ac:dyDescent="0.25">
      <c r="A708" s="61" t="s">
        <v>460</v>
      </c>
      <c r="B708" s="14">
        <v>43609</v>
      </c>
      <c r="C708" s="13">
        <v>640</v>
      </c>
      <c r="D708" s="14" t="s">
        <v>5847</v>
      </c>
      <c r="E708" s="32" t="s">
        <v>1121</v>
      </c>
      <c r="F708" s="4">
        <v>42000</v>
      </c>
      <c r="G708" s="86" t="s">
        <v>5848</v>
      </c>
      <c r="H708" s="211"/>
      <c r="I708" s="326"/>
      <c r="K708" s="62"/>
    </row>
    <row r="709" spans="1:12" ht="16.5" hidden="1" customHeight="1" x14ac:dyDescent="0.25">
      <c r="A709" s="13" t="s">
        <v>184</v>
      </c>
      <c r="B709" s="14">
        <v>43609</v>
      </c>
      <c r="C709" s="67">
        <v>642</v>
      </c>
      <c r="D709" s="32" t="s">
        <v>189</v>
      </c>
      <c r="E709" s="32" t="s">
        <v>1121</v>
      </c>
      <c r="F709" s="4">
        <v>168000</v>
      </c>
      <c r="G709" s="28" t="s">
        <v>1568</v>
      </c>
      <c r="H709" s="14">
        <v>43565</v>
      </c>
      <c r="I709" s="4" t="s">
        <v>2146</v>
      </c>
      <c r="J709" s="263" t="s">
        <v>6976</v>
      </c>
      <c r="K709" s="63"/>
      <c r="L709" s="62"/>
    </row>
    <row r="710" spans="1:12" ht="15" hidden="1" customHeight="1" x14ac:dyDescent="0.25">
      <c r="A710" s="13" t="s">
        <v>184</v>
      </c>
      <c r="B710" s="14">
        <v>43609</v>
      </c>
      <c r="C710" s="13">
        <v>641</v>
      </c>
      <c r="D710" s="13" t="s">
        <v>1533</v>
      </c>
      <c r="E710" s="32" t="s">
        <v>1121</v>
      </c>
      <c r="F710" s="4">
        <f>229500-133500</f>
        <v>96000</v>
      </c>
      <c r="G710" s="28" t="s">
        <v>7216</v>
      </c>
      <c r="H710" s="14">
        <v>43577</v>
      </c>
      <c r="I710" s="4" t="s">
        <v>1535</v>
      </c>
      <c r="J710" s="125" t="s">
        <v>1386</v>
      </c>
    </row>
    <row r="711" spans="1:12" ht="15" hidden="1" customHeight="1" x14ac:dyDescent="0.25">
      <c r="A711" s="13" t="s">
        <v>184</v>
      </c>
      <c r="B711" s="14">
        <v>43609</v>
      </c>
      <c r="C711" s="13">
        <v>643</v>
      </c>
      <c r="D711" s="13" t="s">
        <v>897</v>
      </c>
      <c r="E711" s="32" t="s">
        <v>1121</v>
      </c>
      <c r="F711" s="4">
        <v>74750</v>
      </c>
      <c r="G711" s="28" t="s">
        <v>7252</v>
      </c>
      <c r="H711" s="14">
        <v>43580</v>
      </c>
      <c r="I711" s="4" t="s">
        <v>7253</v>
      </c>
      <c r="J711" s="76"/>
    </row>
    <row r="712" spans="1:12" ht="15" hidden="1" customHeight="1" x14ac:dyDescent="0.25">
      <c r="A712" s="13" t="s">
        <v>184</v>
      </c>
      <c r="B712" s="14">
        <v>43609</v>
      </c>
      <c r="C712" s="13">
        <v>643</v>
      </c>
      <c r="D712" s="13" t="s">
        <v>897</v>
      </c>
      <c r="E712" s="32" t="s">
        <v>1121</v>
      </c>
      <c r="F712" s="4">
        <v>65280</v>
      </c>
      <c r="G712" s="28" t="s">
        <v>7209</v>
      </c>
      <c r="H712" s="14">
        <v>43578</v>
      </c>
      <c r="I712" s="4" t="s">
        <v>7210</v>
      </c>
      <c r="J712" s="76"/>
    </row>
    <row r="713" spans="1:12" ht="15" hidden="1" customHeight="1" x14ac:dyDescent="0.25">
      <c r="A713" s="13" t="s">
        <v>184</v>
      </c>
      <c r="B713" s="14">
        <v>43609</v>
      </c>
      <c r="C713" s="13">
        <v>644</v>
      </c>
      <c r="D713" s="13" t="s">
        <v>348</v>
      </c>
      <c r="E713" s="32" t="s">
        <v>1121</v>
      </c>
      <c r="F713" s="4">
        <f>1218350</f>
        <v>1218350</v>
      </c>
      <c r="G713" s="28" t="s">
        <v>1380</v>
      </c>
      <c r="H713" s="14">
        <v>43586</v>
      </c>
      <c r="I713" s="4" t="s">
        <v>1124</v>
      </c>
      <c r="J713" s="76" t="s">
        <v>1386</v>
      </c>
    </row>
    <row r="714" spans="1:12" hidden="1" x14ac:dyDescent="0.25">
      <c r="A714" s="13" t="s">
        <v>184</v>
      </c>
      <c r="B714" s="14">
        <v>43609</v>
      </c>
      <c r="C714" s="13">
        <v>645</v>
      </c>
      <c r="D714" s="13" t="s">
        <v>394</v>
      </c>
      <c r="E714" s="32" t="s">
        <v>1121</v>
      </c>
      <c r="F714" s="4">
        <v>10350</v>
      </c>
      <c r="G714" s="28" t="s">
        <v>7877</v>
      </c>
      <c r="H714" s="14">
        <v>43585</v>
      </c>
      <c r="I714" s="4" t="s">
        <v>295</v>
      </c>
      <c r="J714" s="76"/>
    </row>
    <row r="715" spans="1:12" s="129" customFormat="1" x14ac:dyDescent="0.25">
      <c r="A715" s="13" t="s">
        <v>151</v>
      </c>
      <c r="B715" s="14">
        <v>43609</v>
      </c>
      <c r="C715" s="28" t="s">
        <v>3391</v>
      </c>
      <c r="D715" s="13" t="s">
        <v>372</v>
      </c>
      <c r="E715" s="13" t="s">
        <v>22</v>
      </c>
      <c r="F715" s="4">
        <v>100000</v>
      </c>
      <c r="G715" s="28" t="s">
        <v>7583</v>
      </c>
      <c r="H715" s="14">
        <v>43593</v>
      </c>
      <c r="I715" s="4" t="s">
        <v>836</v>
      </c>
      <c r="J715" s="133"/>
      <c r="K715" s="275"/>
    </row>
    <row r="716" spans="1:12" ht="27.6" hidden="1" x14ac:dyDescent="0.25">
      <c r="A716" s="13" t="s">
        <v>91</v>
      </c>
      <c r="B716" s="14">
        <v>43609</v>
      </c>
      <c r="C716" s="28" t="s">
        <v>8146</v>
      </c>
      <c r="D716" s="13" t="s">
        <v>3653</v>
      </c>
      <c r="E716" s="13" t="s">
        <v>2021</v>
      </c>
      <c r="F716" s="37">
        <v>90200</v>
      </c>
      <c r="G716" s="29" t="s">
        <v>8040</v>
      </c>
      <c r="H716" s="14">
        <v>43607</v>
      </c>
      <c r="I716" s="4" t="s">
        <v>8041</v>
      </c>
      <c r="K716" s="62"/>
    </row>
    <row r="717" spans="1:12" ht="27.6" hidden="1" x14ac:dyDescent="0.25">
      <c r="A717" s="13" t="s">
        <v>8129</v>
      </c>
      <c r="B717" s="14">
        <v>43609</v>
      </c>
      <c r="C717" s="28" t="s">
        <v>1740</v>
      </c>
      <c r="D717" s="13" t="s">
        <v>8130</v>
      </c>
      <c r="E717" s="13" t="s">
        <v>5586</v>
      </c>
      <c r="F717" s="37">
        <v>17850</v>
      </c>
      <c r="G717" s="29" t="s">
        <v>8131</v>
      </c>
      <c r="H717" s="14">
        <v>43607</v>
      </c>
      <c r="I717" s="4" t="s">
        <v>8132</v>
      </c>
      <c r="K717" s="62"/>
    </row>
    <row r="718" spans="1:12" hidden="1" x14ac:dyDescent="0.25">
      <c r="A718" s="13" t="s">
        <v>651</v>
      </c>
      <c r="B718" s="14">
        <v>43609</v>
      </c>
      <c r="C718" s="13">
        <v>839</v>
      </c>
      <c r="D718" s="13" t="s">
        <v>133</v>
      </c>
      <c r="E718" s="32" t="s">
        <v>130</v>
      </c>
      <c r="F718" s="4">
        <f>829200</f>
        <v>829200</v>
      </c>
      <c r="G718" s="29" t="s">
        <v>7992</v>
      </c>
      <c r="H718" s="14"/>
      <c r="I718" s="4" t="s">
        <v>861</v>
      </c>
      <c r="J718" s="21" t="s">
        <v>5269</v>
      </c>
      <c r="K718" s="228"/>
    </row>
    <row r="719" spans="1:12" ht="13.95" hidden="1" customHeight="1" x14ac:dyDescent="0.25">
      <c r="A719" s="61" t="s">
        <v>310</v>
      </c>
      <c r="B719" s="14">
        <v>43609</v>
      </c>
      <c r="C719" s="13">
        <v>505</v>
      </c>
      <c r="D719" s="13" t="s">
        <v>474</v>
      </c>
      <c r="E719" s="32" t="s">
        <v>958</v>
      </c>
      <c r="F719" s="4">
        <v>1000000</v>
      </c>
      <c r="G719" s="86" t="s">
        <v>5726</v>
      </c>
      <c r="H719" s="211"/>
      <c r="I719" s="4" t="s">
        <v>5727</v>
      </c>
      <c r="J719" s="21"/>
      <c r="K719" s="228"/>
    </row>
    <row r="720" spans="1:12" ht="13.95" hidden="1" customHeight="1" x14ac:dyDescent="0.25">
      <c r="A720" s="61" t="s">
        <v>1034</v>
      </c>
      <c r="B720" s="14">
        <v>43609</v>
      </c>
      <c r="C720" s="13">
        <v>869</v>
      </c>
      <c r="D720" s="13" t="s">
        <v>1035</v>
      </c>
      <c r="E720" s="32" t="s">
        <v>62</v>
      </c>
      <c r="F720" s="4">
        <v>500000</v>
      </c>
      <c r="G720" s="86" t="s">
        <v>1036</v>
      </c>
      <c r="H720" s="211"/>
      <c r="I720" s="4" t="s">
        <v>879</v>
      </c>
      <c r="J720" s="21"/>
      <c r="K720" s="228"/>
    </row>
    <row r="721" spans="1:19" ht="13.95" hidden="1" customHeight="1" x14ac:dyDescent="0.25">
      <c r="A721" s="68" t="s">
        <v>1147</v>
      </c>
      <c r="B721" s="14">
        <v>43609</v>
      </c>
      <c r="C721" s="13">
        <v>894</v>
      </c>
      <c r="D721" s="32" t="s">
        <v>2592</v>
      </c>
      <c r="E721" s="32" t="s">
        <v>808</v>
      </c>
      <c r="F721" s="4">
        <v>518300</v>
      </c>
      <c r="G721" s="86" t="s">
        <v>2593</v>
      </c>
      <c r="H721" s="211"/>
      <c r="I721" s="4" t="s">
        <v>2594</v>
      </c>
      <c r="J721" s="21"/>
      <c r="K721" s="228"/>
    </row>
    <row r="722" spans="1:19" s="115" customFormat="1" ht="15.6" hidden="1" x14ac:dyDescent="0.25">
      <c r="A722" s="61" t="s">
        <v>651</v>
      </c>
      <c r="B722" s="14">
        <v>43609</v>
      </c>
      <c r="C722" s="13">
        <v>559</v>
      </c>
      <c r="D722" s="13" t="s">
        <v>813</v>
      </c>
      <c r="E722" s="13" t="s">
        <v>547</v>
      </c>
      <c r="F722" s="37">
        <v>2000000</v>
      </c>
      <c r="G722" s="29" t="s">
        <v>810</v>
      </c>
      <c r="H722" s="14">
        <v>42340</v>
      </c>
      <c r="I722" s="41" t="s">
        <v>1560</v>
      </c>
      <c r="J722" s="258"/>
      <c r="K722" s="116"/>
      <c r="L722" s="116"/>
      <c r="M722" s="116"/>
      <c r="N722" s="116"/>
      <c r="O722" s="117"/>
      <c r="P722" s="117"/>
      <c r="Q722" s="117"/>
      <c r="R722" s="117"/>
      <c r="S722" s="117"/>
    </row>
    <row r="723" spans="1:19" hidden="1" x14ac:dyDescent="0.25">
      <c r="A723" s="68" t="s">
        <v>151</v>
      </c>
      <c r="B723" s="14">
        <v>43609</v>
      </c>
      <c r="C723" s="13">
        <v>58</v>
      </c>
      <c r="D723" s="32" t="s">
        <v>2899</v>
      </c>
      <c r="E723" s="32" t="s">
        <v>488</v>
      </c>
      <c r="F723" s="209">
        <v>4000</v>
      </c>
      <c r="G723" s="210" t="s">
        <v>8147</v>
      </c>
      <c r="H723" s="211">
        <v>43606</v>
      </c>
      <c r="I723" s="208" t="s">
        <v>4399</v>
      </c>
      <c r="J723" s="21"/>
      <c r="K723" s="228"/>
    </row>
    <row r="724" spans="1:19" hidden="1" x14ac:dyDescent="0.25">
      <c r="A724" s="32" t="s">
        <v>212</v>
      </c>
      <c r="B724" s="14">
        <v>43609</v>
      </c>
      <c r="C724" s="13">
        <v>463</v>
      </c>
      <c r="D724" s="32" t="s">
        <v>212</v>
      </c>
      <c r="E724" s="32" t="s">
        <v>136</v>
      </c>
      <c r="F724" s="4">
        <v>1000000</v>
      </c>
      <c r="G724" s="28" t="s">
        <v>7220</v>
      </c>
      <c r="H724" s="14">
        <v>41218</v>
      </c>
      <c r="I724" s="41" t="s">
        <v>277</v>
      </c>
      <c r="K724" s="63"/>
      <c r="L724" s="62"/>
    </row>
    <row r="725" spans="1:19" ht="13.95" hidden="1" customHeight="1" x14ac:dyDescent="0.25">
      <c r="A725" s="68" t="s">
        <v>310</v>
      </c>
      <c r="B725" s="14">
        <v>43609</v>
      </c>
      <c r="C725" s="13">
        <v>510</v>
      </c>
      <c r="D725" s="32" t="s">
        <v>4487</v>
      </c>
      <c r="E725" s="32" t="s">
        <v>958</v>
      </c>
      <c r="F725" s="4">
        <v>15000000</v>
      </c>
      <c r="G725" s="86" t="s">
        <v>4486</v>
      </c>
      <c r="H725" s="211"/>
      <c r="I725" s="84" t="s">
        <v>273</v>
      </c>
      <c r="J725" s="21"/>
      <c r="K725" s="228"/>
    </row>
    <row r="726" spans="1:19" ht="13.95" hidden="1" customHeight="1" x14ac:dyDescent="0.25">
      <c r="A726" s="68" t="s">
        <v>310</v>
      </c>
      <c r="B726" s="14">
        <v>43609</v>
      </c>
      <c r="C726" s="13">
        <v>509</v>
      </c>
      <c r="D726" s="13" t="s">
        <v>510</v>
      </c>
      <c r="E726" s="32" t="s">
        <v>958</v>
      </c>
      <c r="F726" s="4">
        <v>5000000</v>
      </c>
      <c r="G726" s="86" t="s">
        <v>4467</v>
      </c>
      <c r="H726" s="14"/>
      <c r="I726" s="4" t="s">
        <v>237</v>
      </c>
      <c r="J726" s="71"/>
      <c r="K726" s="62"/>
      <c r="L726" s="62"/>
    </row>
    <row r="727" spans="1:19" ht="14.1" hidden="1" customHeight="1" x14ac:dyDescent="0.25">
      <c r="A727" s="68" t="s">
        <v>310</v>
      </c>
      <c r="B727" s="14">
        <v>43609</v>
      </c>
      <c r="C727" s="13">
        <v>507</v>
      </c>
      <c r="D727" s="32" t="s">
        <v>5516</v>
      </c>
      <c r="E727" s="13" t="s">
        <v>958</v>
      </c>
      <c r="F727" s="4">
        <v>2966847.86</v>
      </c>
      <c r="G727" s="86" t="s">
        <v>4991</v>
      </c>
      <c r="H727" s="211"/>
      <c r="I727" s="208" t="s">
        <v>229</v>
      </c>
      <c r="J727" s="21"/>
      <c r="K727" s="228"/>
    </row>
    <row r="728" spans="1:19" s="62" customFormat="1" ht="15" hidden="1" customHeight="1" x14ac:dyDescent="0.25">
      <c r="A728" s="32" t="s">
        <v>310</v>
      </c>
      <c r="B728" s="14">
        <v>43609</v>
      </c>
      <c r="C728" s="13">
        <v>508</v>
      </c>
      <c r="D728" s="13" t="s">
        <v>5044</v>
      </c>
      <c r="E728" s="13" t="s">
        <v>958</v>
      </c>
      <c r="F728" s="37">
        <f>2234993.67-1000000-700000</f>
        <v>534993.66999999993</v>
      </c>
      <c r="G728" s="189" t="s">
        <v>6205</v>
      </c>
      <c r="H728" s="14">
        <v>43555</v>
      </c>
      <c r="I728" s="4" t="s">
        <v>6370</v>
      </c>
      <c r="J728" s="133"/>
      <c r="K728" s="22"/>
      <c r="M728" s="444"/>
      <c r="O728" s="35"/>
      <c r="P728" s="35"/>
      <c r="Q728" s="35"/>
      <c r="R728" s="35"/>
      <c r="S728" s="35"/>
    </row>
    <row r="729" spans="1:19" hidden="1" x14ac:dyDescent="0.25">
      <c r="A729" s="61" t="s">
        <v>460</v>
      </c>
      <c r="B729" s="14">
        <v>43612</v>
      </c>
      <c r="C729" s="13">
        <v>245</v>
      </c>
      <c r="D729" s="13" t="s">
        <v>6627</v>
      </c>
      <c r="E729" s="13" t="s">
        <v>1336</v>
      </c>
      <c r="F729" s="256">
        <v>302250</v>
      </c>
      <c r="G729" s="69" t="s">
        <v>6628</v>
      </c>
      <c r="H729" s="14">
        <v>43566</v>
      </c>
      <c r="I729" s="274" t="s">
        <v>7539</v>
      </c>
      <c r="J729" s="169"/>
    </row>
    <row r="730" spans="1:19" ht="27.6" hidden="1" x14ac:dyDescent="0.25">
      <c r="A730" s="61" t="s">
        <v>460</v>
      </c>
      <c r="B730" s="14">
        <v>43612</v>
      </c>
      <c r="C730" s="13">
        <v>649</v>
      </c>
      <c r="D730" s="14" t="s">
        <v>5565</v>
      </c>
      <c r="E730" s="32" t="s">
        <v>1121</v>
      </c>
      <c r="F730" s="4">
        <v>41440</v>
      </c>
      <c r="G730" s="86" t="s">
        <v>5566</v>
      </c>
      <c r="H730" s="211"/>
      <c r="I730" s="326"/>
      <c r="K730" s="62"/>
    </row>
    <row r="731" spans="1:19" ht="27.6" hidden="1" x14ac:dyDescent="0.25">
      <c r="A731" s="61" t="s">
        <v>460</v>
      </c>
      <c r="B731" s="14">
        <v>43612</v>
      </c>
      <c r="C731" s="13">
        <v>650</v>
      </c>
      <c r="D731" s="14" t="s">
        <v>5833</v>
      </c>
      <c r="E731" s="32" t="s">
        <v>1121</v>
      </c>
      <c r="F731" s="4">
        <v>36000</v>
      </c>
      <c r="G731" s="86" t="s">
        <v>5832</v>
      </c>
      <c r="H731" s="211"/>
      <c r="I731" s="326"/>
      <c r="K731" s="62"/>
    </row>
    <row r="732" spans="1:19" hidden="1" x14ac:dyDescent="0.25">
      <c r="A732" s="13" t="s">
        <v>184</v>
      </c>
      <c r="B732" s="14">
        <v>43612</v>
      </c>
      <c r="C732" s="67">
        <v>651</v>
      </c>
      <c r="D732" s="32" t="s">
        <v>1785</v>
      </c>
      <c r="E732" s="32" t="s">
        <v>1121</v>
      </c>
      <c r="F732" s="208">
        <v>357390</v>
      </c>
      <c r="G732" s="25" t="s">
        <v>4080</v>
      </c>
      <c r="H732" s="212">
        <v>43560</v>
      </c>
      <c r="I732" s="208" t="s">
        <v>6974</v>
      </c>
      <c r="J732" s="76" t="s">
        <v>6975</v>
      </c>
      <c r="K732" s="260"/>
      <c r="L732" s="62"/>
    </row>
    <row r="733" spans="1:19" hidden="1" x14ac:dyDescent="0.25">
      <c r="A733" s="13" t="s">
        <v>184</v>
      </c>
      <c r="B733" s="14">
        <v>43612</v>
      </c>
      <c r="C733" s="13">
        <v>652</v>
      </c>
      <c r="D733" s="13" t="s">
        <v>197</v>
      </c>
      <c r="E733" s="32" t="s">
        <v>1121</v>
      </c>
      <c r="F733" s="4">
        <v>121146</v>
      </c>
      <c r="G733" s="28" t="s">
        <v>6776</v>
      </c>
      <c r="H733" s="14">
        <v>43573</v>
      </c>
      <c r="I733" s="4" t="s">
        <v>1181</v>
      </c>
      <c r="J733" s="76" t="s">
        <v>1386</v>
      </c>
    </row>
    <row r="734" spans="1:19" ht="15" hidden="1" customHeight="1" x14ac:dyDescent="0.25">
      <c r="A734" s="13" t="s">
        <v>184</v>
      </c>
      <c r="B734" s="14">
        <v>43612</v>
      </c>
      <c r="C734" s="13">
        <v>653</v>
      </c>
      <c r="D734" s="13" t="s">
        <v>348</v>
      </c>
      <c r="E734" s="32" t="s">
        <v>1121</v>
      </c>
      <c r="F734" s="4">
        <f>2141485.1-500000</f>
        <v>1641485.1</v>
      </c>
      <c r="G734" s="28" t="s">
        <v>7897</v>
      </c>
      <c r="H734" s="14">
        <v>43586</v>
      </c>
      <c r="I734" s="4" t="s">
        <v>309</v>
      </c>
      <c r="J734" s="76" t="s">
        <v>1386</v>
      </c>
    </row>
    <row r="735" spans="1:19" ht="15" hidden="1" customHeight="1" x14ac:dyDescent="0.25">
      <c r="A735" s="13" t="s">
        <v>184</v>
      </c>
      <c r="B735" s="14">
        <v>43612</v>
      </c>
      <c r="C735" s="13">
        <v>654</v>
      </c>
      <c r="D735" s="13" t="s">
        <v>531</v>
      </c>
      <c r="E735" s="32" t="s">
        <v>1121</v>
      </c>
      <c r="F735" s="4">
        <v>36300</v>
      </c>
      <c r="G735" s="28" t="s">
        <v>7879</v>
      </c>
      <c r="H735" s="14">
        <v>43591</v>
      </c>
      <c r="I735" s="4" t="s">
        <v>532</v>
      </c>
      <c r="J735" s="125" t="s">
        <v>7880</v>
      </c>
    </row>
    <row r="736" spans="1:19" s="192" customFormat="1" hidden="1" x14ac:dyDescent="0.25">
      <c r="A736" s="147" t="s">
        <v>242</v>
      </c>
      <c r="B736" s="14">
        <v>43612</v>
      </c>
      <c r="C736" s="195">
        <v>655</v>
      </c>
      <c r="D736" s="149" t="s">
        <v>784</v>
      </c>
      <c r="E736" s="147" t="s">
        <v>1121</v>
      </c>
      <c r="F736" s="158">
        <v>86724</v>
      </c>
      <c r="G736" s="150" t="s">
        <v>1319</v>
      </c>
      <c r="H736" s="148">
        <v>43592</v>
      </c>
      <c r="I736" s="149" t="s">
        <v>143</v>
      </c>
      <c r="J736" s="193"/>
      <c r="K736" s="194"/>
      <c r="L736" s="190"/>
    </row>
    <row r="737" spans="1:19" s="192" customFormat="1" hidden="1" x14ac:dyDescent="0.25">
      <c r="A737" s="147" t="s">
        <v>242</v>
      </c>
      <c r="B737" s="14">
        <v>43612</v>
      </c>
      <c r="C737" s="195">
        <v>655</v>
      </c>
      <c r="D737" s="149" t="s">
        <v>784</v>
      </c>
      <c r="E737" s="147" t="s">
        <v>1121</v>
      </c>
      <c r="F737" s="158">
        <v>82908</v>
      </c>
      <c r="G737" s="150" t="s">
        <v>341</v>
      </c>
      <c r="H737" s="148">
        <v>43592</v>
      </c>
      <c r="I737" s="149" t="s">
        <v>143</v>
      </c>
      <c r="J737" s="193"/>
      <c r="K737" s="194"/>
      <c r="L737" s="190"/>
    </row>
    <row r="738" spans="1:19" s="192" customFormat="1" hidden="1" x14ac:dyDescent="0.25">
      <c r="A738" s="147" t="s">
        <v>242</v>
      </c>
      <c r="B738" s="14">
        <v>43612</v>
      </c>
      <c r="C738" s="195">
        <v>655</v>
      </c>
      <c r="D738" s="149" t="s">
        <v>784</v>
      </c>
      <c r="E738" s="147" t="s">
        <v>1121</v>
      </c>
      <c r="F738" s="158">
        <v>458552.88</v>
      </c>
      <c r="G738" s="150" t="s">
        <v>1510</v>
      </c>
      <c r="H738" s="148">
        <v>43592</v>
      </c>
      <c r="I738" s="149" t="s">
        <v>143</v>
      </c>
      <c r="J738" s="193"/>
      <c r="K738" s="194"/>
      <c r="L738" s="190"/>
    </row>
    <row r="739" spans="1:19" s="62" customFormat="1" ht="13.95" hidden="1" customHeight="1" x14ac:dyDescent="0.25">
      <c r="A739" s="61" t="s">
        <v>151</v>
      </c>
      <c r="B739" s="14">
        <v>43612</v>
      </c>
      <c r="C739" s="13">
        <v>656</v>
      </c>
      <c r="D739" s="13" t="s">
        <v>592</v>
      </c>
      <c r="E739" s="13" t="s">
        <v>1121</v>
      </c>
      <c r="F739" s="4">
        <v>4366</v>
      </c>
      <c r="G739" s="29" t="s">
        <v>4249</v>
      </c>
      <c r="H739" s="14">
        <v>42005</v>
      </c>
      <c r="I739" s="4" t="s">
        <v>565</v>
      </c>
      <c r="J739" s="22" t="s">
        <v>526</v>
      </c>
      <c r="O739" s="35"/>
      <c r="P739" s="35"/>
      <c r="Q739" s="35"/>
      <c r="R739" s="35"/>
      <c r="S739" s="35"/>
    </row>
    <row r="740" spans="1:19" s="62" customFormat="1" ht="13.95" hidden="1" customHeight="1" x14ac:dyDescent="0.25">
      <c r="A740" s="13" t="s">
        <v>151</v>
      </c>
      <c r="B740" s="14">
        <v>43612</v>
      </c>
      <c r="C740" s="13">
        <v>657</v>
      </c>
      <c r="D740" s="13" t="s">
        <v>593</v>
      </c>
      <c r="E740" s="13" t="s">
        <v>1121</v>
      </c>
      <c r="F740" s="4">
        <v>1735</v>
      </c>
      <c r="G740" s="29" t="s">
        <v>4250</v>
      </c>
      <c r="H740" s="14">
        <v>42024</v>
      </c>
      <c r="I740" s="4" t="s">
        <v>594</v>
      </c>
      <c r="J740" s="22" t="s">
        <v>526</v>
      </c>
      <c r="O740" s="35"/>
      <c r="P740" s="35"/>
      <c r="Q740" s="35"/>
      <c r="R740" s="35"/>
      <c r="S740" s="35"/>
    </row>
    <row r="741" spans="1:19" s="62" customFormat="1" ht="13.95" hidden="1" customHeight="1" x14ac:dyDescent="0.25">
      <c r="A741" s="61" t="s">
        <v>151</v>
      </c>
      <c r="B741" s="14">
        <v>43612</v>
      </c>
      <c r="C741" s="13">
        <v>658</v>
      </c>
      <c r="D741" s="13" t="s">
        <v>593</v>
      </c>
      <c r="E741" s="13" t="s">
        <v>1121</v>
      </c>
      <c r="F741" s="4">
        <v>1070</v>
      </c>
      <c r="G741" s="29" t="s">
        <v>2614</v>
      </c>
      <c r="H741" s="14">
        <v>43466</v>
      </c>
      <c r="I741" s="4" t="s">
        <v>1796</v>
      </c>
      <c r="J741" s="22" t="s">
        <v>526</v>
      </c>
      <c r="O741" s="35"/>
      <c r="P741" s="35"/>
      <c r="Q741" s="35"/>
      <c r="R741" s="35"/>
      <c r="S741" s="35"/>
    </row>
    <row r="742" spans="1:19" s="62" customFormat="1" ht="15" hidden="1" customHeight="1" x14ac:dyDescent="0.25">
      <c r="A742" s="13" t="s">
        <v>151</v>
      </c>
      <c r="B742" s="14">
        <v>43612</v>
      </c>
      <c r="C742" s="13">
        <v>659</v>
      </c>
      <c r="D742" s="13" t="s">
        <v>1277</v>
      </c>
      <c r="E742" s="13" t="s">
        <v>1121</v>
      </c>
      <c r="F742" s="4">
        <v>49200</v>
      </c>
      <c r="G742" s="29" t="s">
        <v>8047</v>
      </c>
      <c r="H742" s="14">
        <v>43585</v>
      </c>
      <c r="I742" s="4" t="s">
        <v>3278</v>
      </c>
      <c r="J742" s="71" t="s">
        <v>771</v>
      </c>
      <c r="O742" s="35"/>
      <c r="P742" s="35"/>
      <c r="Q742" s="35"/>
      <c r="R742" s="35"/>
      <c r="S742" s="35"/>
    </row>
    <row r="743" spans="1:19" hidden="1" x14ac:dyDescent="0.25">
      <c r="A743" s="61" t="s">
        <v>460</v>
      </c>
      <c r="B743" s="14">
        <v>43612</v>
      </c>
      <c r="C743" s="13">
        <v>428</v>
      </c>
      <c r="D743" s="13" t="s">
        <v>5561</v>
      </c>
      <c r="E743" s="32" t="s">
        <v>144</v>
      </c>
      <c r="F743" s="4">
        <v>41514</v>
      </c>
      <c r="G743" s="86" t="s">
        <v>5562</v>
      </c>
      <c r="H743" s="211"/>
      <c r="I743" s="326"/>
      <c r="K743" s="62"/>
    </row>
    <row r="744" spans="1:19" hidden="1" x14ac:dyDescent="0.25">
      <c r="A744" s="61" t="s">
        <v>460</v>
      </c>
      <c r="B744" s="14">
        <v>43612</v>
      </c>
      <c r="C744" s="13">
        <v>429</v>
      </c>
      <c r="D744" s="13" t="s">
        <v>5584</v>
      </c>
      <c r="E744" s="32" t="s">
        <v>144</v>
      </c>
      <c r="F744" s="4">
        <v>49020</v>
      </c>
      <c r="G744" s="86" t="s">
        <v>5585</v>
      </c>
      <c r="H744" s="211"/>
      <c r="I744" s="326"/>
      <c r="K744" s="62"/>
    </row>
    <row r="745" spans="1:19" s="192" customFormat="1" hidden="1" x14ac:dyDescent="0.25">
      <c r="A745" s="147" t="s">
        <v>242</v>
      </c>
      <c r="B745" s="14">
        <v>43612</v>
      </c>
      <c r="C745" s="195">
        <v>430</v>
      </c>
      <c r="D745" s="149" t="s">
        <v>490</v>
      </c>
      <c r="E745" s="147" t="s">
        <v>144</v>
      </c>
      <c r="F745" s="158">
        <v>266402.5</v>
      </c>
      <c r="G745" s="150" t="s">
        <v>7391</v>
      </c>
      <c r="H745" s="148">
        <v>43563</v>
      </c>
      <c r="I745" s="149" t="s">
        <v>143</v>
      </c>
      <c r="J745" s="193"/>
      <c r="K745" s="194"/>
      <c r="L745" s="190"/>
    </row>
    <row r="746" spans="1:19" s="192" customFormat="1" hidden="1" x14ac:dyDescent="0.25">
      <c r="A746" s="147" t="s">
        <v>242</v>
      </c>
      <c r="B746" s="14">
        <v>43612</v>
      </c>
      <c r="C746" s="195">
        <v>431</v>
      </c>
      <c r="D746" s="149" t="s">
        <v>388</v>
      </c>
      <c r="E746" s="147" t="s">
        <v>144</v>
      </c>
      <c r="F746" s="158">
        <v>1253107.5</v>
      </c>
      <c r="G746" s="150" t="s">
        <v>31</v>
      </c>
      <c r="H746" s="148">
        <v>43592</v>
      </c>
      <c r="I746" s="149" t="s">
        <v>143</v>
      </c>
      <c r="J746" s="193"/>
      <c r="K746" s="194"/>
      <c r="L746" s="190"/>
    </row>
    <row r="747" spans="1:19" s="192" customFormat="1" hidden="1" x14ac:dyDescent="0.25">
      <c r="A747" s="147" t="s">
        <v>242</v>
      </c>
      <c r="B747" s="14">
        <v>43612</v>
      </c>
      <c r="C747" s="195">
        <v>432</v>
      </c>
      <c r="D747" s="149" t="s">
        <v>784</v>
      </c>
      <c r="E747" s="147" t="s">
        <v>144</v>
      </c>
      <c r="F747" s="158">
        <v>230534.95</v>
      </c>
      <c r="G747" s="150" t="s">
        <v>1152</v>
      </c>
      <c r="H747" s="148">
        <v>43592</v>
      </c>
      <c r="I747" s="149" t="s">
        <v>143</v>
      </c>
      <c r="J747" s="193"/>
      <c r="K747" s="194"/>
      <c r="L747" s="190"/>
    </row>
    <row r="748" spans="1:19" s="115" customFormat="1" ht="15.6" hidden="1" x14ac:dyDescent="0.25">
      <c r="A748" s="13" t="s">
        <v>1148</v>
      </c>
      <c r="B748" s="14">
        <v>43612</v>
      </c>
      <c r="C748" s="13">
        <v>466</v>
      </c>
      <c r="D748" s="13" t="s">
        <v>873</v>
      </c>
      <c r="E748" s="13" t="s">
        <v>136</v>
      </c>
      <c r="F748" s="4">
        <v>242804.4</v>
      </c>
      <c r="G748" s="13" t="s">
        <v>874</v>
      </c>
      <c r="H748" s="126">
        <v>43563</v>
      </c>
      <c r="I748" s="29" t="s">
        <v>875</v>
      </c>
      <c r="K748" s="116"/>
      <c r="L748" s="116"/>
      <c r="M748" s="116"/>
      <c r="N748" s="116"/>
      <c r="O748" s="117"/>
      <c r="P748" s="117"/>
      <c r="Q748" s="117"/>
      <c r="R748" s="117"/>
      <c r="S748" s="117"/>
    </row>
    <row r="749" spans="1:19" s="115" customFormat="1" ht="15.6" hidden="1" x14ac:dyDescent="0.25">
      <c r="A749" s="13" t="s">
        <v>1147</v>
      </c>
      <c r="B749" s="14">
        <v>43612</v>
      </c>
      <c r="C749" s="13">
        <v>466</v>
      </c>
      <c r="D749" s="13" t="s">
        <v>873</v>
      </c>
      <c r="E749" s="13" t="s">
        <v>136</v>
      </c>
      <c r="F749" s="4">
        <v>173480.95</v>
      </c>
      <c r="G749" s="13" t="s">
        <v>7403</v>
      </c>
      <c r="H749" s="126">
        <v>43563</v>
      </c>
      <c r="I749" s="29" t="s">
        <v>875</v>
      </c>
      <c r="K749" s="116"/>
      <c r="L749" s="116"/>
      <c r="M749" s="116"/>
      <c r="N749" s="116"/>
      <c r="O749" s="117"/>
      <c r="P749" s="117"/>
      <c r="Q749" s="117"/>
      <c r="R749" s="117"/>
      <c r="S749" s="117"/>
    </row>
    <row r="750" spans="1:19" s="62" customFormat="1" ht="27.6" hidden="1" x14ac:dyDescent="0.25">
      <c r="A750" s="13" t="s">
        <v>660</v>
      </c>
      <c r="B750" s="14">
        <v>43612</v>
      </c>
      <c r="C750" s="13">
        <v>845</v>
      </c>
      <c r="D750" s="13" t="s">
        <v>6928</v>
      </c>
      <c r="E750" s="13" t="s">
        <v>130</v>
      </c>
      <c r="F750" s="37">
        <v>197250</v>
      </c>
      <c r="G750" s="29" t="s">
        <v>6929</v>
      </c>
      <c r="H750" s="14">
        <v>43572</v>
      </c>
      <c r="I750" s="4" t="s">
        <v>6930</v>
      </c>
      <c r="J750" s="476" t="s">
        <v>6931</v>
      </c>
      <c r="O750" s="35"/>
      <c r="P750" s="35"/>
      <c r="Q750" s="35"/>
      <c r="R750" s="35"/>
      <c r="S750" s="35"/>
    </row>
    <row r="751" spans="1:19" hidden="1" x14ac:dyDescent="0.25">
      <c r="A751" s="13" t="s">
        <v>1481</v>
      </c>
      <c r="B751" s="151">
        <v>43612</v>
      </c>
      <c r="C751" s="13">
        <v>846</v>
      </c>
      <c r="D751" s="32" t="s">
        <v>1482</v>
      </c>
      <c r="E751" s="13" t="s">
        <v>130</v>
      </c>
      <c r="F751" s="4">
        <v>115000</v>
      </c>
      <c r="G751" s="29" t="s">
        <v>4284</v>
      </c>
      <c r="H751" s="14"/>
      <c r="I751" s="208" t="s">
        <v>6934</v>
      </c>
      <c r="J751" s="62" t="s">
        <v>4010</v>
      </c>
      <c r="K751" s="62"/>
      <c r="L751" s="35"/>
      <c r="M751" s="35"/>
      <c r="N751" s="35"/>
      <c r="O751" s="35"/>
      <c r="P751" s="35"/>
    </row>
    <row r="752" spans="1:19" ht="13.95" hidden="1" customHeight="1" x14ac:dyDescent="0.25">
      <c r="A752" s="32" t="s">
        <v>92</v>
      </c>
      <c r="B752" s="14">
        <v>43612</v>
      </c>
      <c r="C752" s="13">
        <v>1099</v>
      </c>
      <c r="D752" s="32" t="s">
        <v>39</v>
      </c>
      <c r="E752" s="32" t="s">
        <v>38</v>
      </c>
      <c r="F752" s="4">
        <v>2375000</v>
      </c>
      <c r="G752" s="86" t="s">
        <v>615</v>
      </c>
      <c r="H752" s="211"/>
      <c r="I752" s="41" t="s">
        <v>97</v>
      </c>
      <c r="J752" s="21"/>
      <c r="K752" s="228"/>
    </row>
    <row r="753" spans="1:19" ht="13.95" hidden="1" customHeight="1" x14ac:dyDescent="0.25">
      <c r="A753" s="32" t="s">
        <v>35</v>
      </c>
      <c r="B753" s="14">
        <v>43612</v>
      </c>
      <c r="C753" s="13">
        <v>592</v>
      </c>
      <c r="D753" s="32" t="s">
        <v>39</v>
      </c>
      <c r="E753" s="32" t="s">
        <v>963</v>
      </c>
      <c r="F753" s="4">
        <f>1628800</f>
        <v>1628800</v>
      </c>
      <c r="G753" s="86" t="s">
        <v>1019</v>
      </c>
      <c r="H753" s="211"/>
      <c r="I753" s="41" t="s">
        <v>97</v>
      </c>
      <c r="J753" s="21"/>
      <c r="K753" s="228"/>
    </row>
    <row r="754" spans="1:19" hidden="1" x14ac:dyDescent="0.25">
      <c r="A754" s="68" t="s">
        <v>639</v>
      </c>
      <c r="B754" s="14">
        <v>43612</v>
      </c>
      <c r="C754" s="13">
        <v>591</v>
      </c>
      <c r="D754" s="32" t="s">
        <v>905</v>
      </c>
      <c r="E754" s="32" t="s">
        <v>60</v>
      </c>
      <c r="F754" s="4">
        <v>4700000</v>
      </c>
      <c r="G754" s="86" t="s">
        <v>1120</v>
      </c>
      <c r="H754" s="211"/>
      <c r="I754" s="208" t="s">
        <v>1119</v>
      </c>
      <c r="J754" s="21"/>
      <c r="K754" s="228"/>
    </row>
    <row r="755" spans="1:19" ht="15.6" hidden="1" customHeight="1" x14ac:dyDescent="0.25">
      <c r="A755" s="68" t="s">
        <v>213</v>
      </c>
      <c r="B755" s="14">
        <v>43612</v>
      </c>
      <c r="C755" s="13">
        <v>593</v>
      </c>
      <c r="D755" s="32" t="s">
        <v>506</v>
      </c>
      <c r="E755" s="32" t="s">
        <v>60</v>
      </c>
      <c r="F755" s="4">
        <v>400000</v>
      </c>
      <c r="G755" s="86" t="s">
        <v>1090</v>
      </c>
      <c r="H755" s="211"/>
      <c r="I755" s="84" t="s">
        <v>220</v>
      </c>
      <c r="J755" s="21"/>
      <c r="K755" s="228"/>
    </row>
    <row r="756" spans="1:19" ht="15.6" hidden="1" customHeight="1" x14ac:dyDescent="0.25">
      <c r="A756" s="68" t="s">
        <v>188</v>
      </c>
      <c r="B756" s="14">
        <v>43612</v>
      </c>
      <c r="C756" s="13">
        <v>594</v>
      </c>
      <c r="D756" s="32" t="s">
        <v>506</v>
      </c>
      <c r="E756" s="32" t="s">
        <v>60</v>
      </c>
      <c r="F756" s="4">
        <v>101707.8</v>
      </c>
      <c r="G756" s="86" t="s">
        <v>1086</v>
      </c>
      <c r="H756" s="211"/>
      <c r="I756" s="84" t="s">
        <v>220</v>
      </c>
      <c r="J756" s="21"/>
      <c r="K756" s="228"/>
    </row>
    <row r="757" spans="1:19" hidden="1" x14ac:dyDescent="0.25">
      <c r="A757" s="61" t="s">
        <v>311</v>
      </c>
      <c r="B757" s="14">
        <v>43612</v>
      </c>
      <c r="C757" s="13">
        <v>513</v>
      </c>
      <c r="D757" s="13" t="s">
        <v>7076</v>
      </c>
      <c r="E757" s="13" t="s">
        <v>958</v>
      </c>
      <c r="F757" s="37">
        <f>94800+94800</f>
        <v>189600</v>
      </c>
      <c r="G757" s="29" t="s">
        <v>8151</v>
      </c>
      <c r="H757" s="14">
        <v>43439</v>
      </c>
      <c r="I757" s="4" t="s">
        <v>1826</v>
      </c>
    </row>
    <row r="758" spans="1:19" hidden="1" x14ac:dyDescent="0.25">
      <c r="A758" s="61" t="s">
        <v>311</v>
      </c>
      <c r="B758" s="14">
        <v>43612</v>
      </c>
      <c r="C758" s="13">
        <v>514</v>
      </c>
      <c r="D758" s="13" t="s">
        <v>7076</v>
      </c>
      <c r="E758" s="13" t="s">
        <v>958</v>
      </c>
      <c r="F758" s="37">
        <v>99240</v>
      </c>
      <c r="G758" s="29" t="s">
        <v>6802</v>
      </c>
      <c r="H758" s="14">
        <v>43542</v>
      </c>
      <c r="I758" s="4" t="s">
        <v>1826</v>
      </c>
    </row>
    <row r="759" spans="1:19" s="97" customFormat="1" hidden="1" x14ac:dyDescent="0.25">
      <c r="A759" s="61" t="s">
        <v>311</v>
      </c>
      <c r="B759" s="14">
        <v>43612</v>
      </c>
      <c r="C759" s="13">
        <v>515</v>
      </c>
      <c r="D759" s="13" t="s">
        <v>254</v>
      </c>
      <c r="E759" s="13" t="s">
        <v>958</v>
      </c>
      <c r="F759" s="37">
        <v>53920</v>
      </c>
      <c r="G759" s="29" t="s">
        <v>7088</v>
      </c>
      <c r="H759" s="14">
        <v>43549</v>
      </c>
      <c r="I759" s="4" t="s">
        <v>773</v>
      </c>
      <c r="J759" s="22"/>
      <c r="K759" s="21"/>
      <c r="L759" s="134"/>
    </row>
    <row r="760" spans="1:19" s="62" customFormat="1" hidden="1" x14ac:dyDescent="0.25">
      <c r="A760" s="32" t="s">
        <v>455</v>
      </c>
      <c r="B760" s="14">
        <v>43612</v>
      </c>
      <c r="C760" s="13">
        <v>516</v>
      </c>
      <c r="D760" s="13" t="s">
        <v>243</v>
      </c>
      <c r="E760" s="13" t="s">
        <v>958</v>
      </c>
      <c r="F760" s="37">
        <v>874638.36</v>
      </c>
      <c r="G760" s="189" t="s">
        <v>1211</v>
      </c>
      <c r="H760" s="14">
        <v>43511</v>
      </c>
      <c r="I760" s="4" t="s">
        <v>5116</v>
      </c>
      <c r="J760" s="22"/>
      <c r="K760" s="21"/>
      <c r="L760" s="71"/>
      <c r="M760" s="170"/>
      <c r="N760" s="71"/>
      <c r="O760" s="71"/>
      <c r="P760" s="35"/>
      <c r="Q760" s="35"/>
      <c r="R760" s="35"/>
      <c r="S760" s="35"/>
    </row>
    <row r="761" spans="1:19" hidden="1" x14ac:dyDescent="0.25">
      <c r="A761" s="61" t="s">
        <v>455</v>
      </c>
      <c r="B761" s="14">
        <v>43612</v>
      </c>
      <c r="C761" s="13">
        <v>517</v>
      </c>
      <c r="D761" s="13" t="s">
        <v>282</v>
      </c>
      <c r="E761" s="13" t="s">
        <v>958</v>
      </c>
      <c r="F761" s="37">
        <v>10725</v>
      </c>
      <c r="G761" s="29" t="s">
        <v>6431</v>
      </c>
      <c r="H761" s="14">
        <v>43559</v>
      </c>
      <c r="I761" s="4" t="s">
        <v>283</v>
      </c>
    </row>
    <row r="762" spans="1:19" hidden="1" x14ac:dyDescent="0.25">
      <c r="A762" s="61" t="s">
        <v>455</v>
      </c>
      <c r="B762" s="14">
        <v>43612</v>
      </c>
      <c r="C762" s="13">
        <v>517</v>
      </c>
      <c r="D762" s="13" t="s">
        <v>282</v>
      </c>
      <c r="E762" s="13" t="s">
        <v>958</v>
      </c>
      <c r="F762" s="37">
        <v>19305</v>
      </c>
      <c r="G762" s="29" t="s">
        <v>5140</v>
      </c>
      <c r="H762" s="14">
        <v>43566</v>
      </c>
      <c r="I762" s="4" t="s">
        <v>283</v>
      </c>
    </row>
    <row r="763" spans="1:19" s="115" customFormat="1" ht="15" hidden="1" customHeight="1" x14ac:dyDescent="0.25">
      <c r="A763" s="13" t="s">
        <v>151</v>
      </c>
      <c r="B763" s="14">
        <v>43612</v>
      </c>
      <c r="C763" s="13">
        <v>465</v>
      </c>
      <c r="D763" s="13" t="s">
        <v>1443</v>
      </c>
      <c r="E763" s="13" t="s">
        <v>136</v>
      </c>
      <c r="F763" s="4">
        <v>250000</v>
      </c>
      <c r="G763" s="29" t="s">
        <v>8169</v>
      </c>
      <c r="H763" s="126">
        <v>43593</v>
      </c>
      <c r="I763" s="4" t="s">
        <v>1444</v>
      </c>
      <c r="J763" s="454"/>
      <c r="K763" s="116"/>
      <c r="L763" s="116"/>
      <c r="M763" s="116"/>
      <c r="N763" s="116"/>
      <c r="O763" s="117"/>
      <c r="P763" s="117"/>
      <c r="Q763" s="117"/>
      <c r="R763" s="117"/>
      <c r="S763" s="117"/>
    </row>
    <row r="764" spans="1:19" s="50" customFormat="1" ht="27.6" hidden="1" x14ac:dyDescent="0.25">
      <c r="A764" s="13" t="s">
        <v>92</v>
      </c>
      <c r="B764" s="14">
        <v>43612</v>
      </c>
      <c r="C764" s="13" t="s">
        <v>8170</v>
      </c>
      <c r="D764" s="32" t="s">
        <v>373</v>
      </c>
      <c r="E764" s="218" t="s">
        <v>7168</v>
      </c>
      <c r="F764" s="224">
        <f>2238409.33+2655900</f>
        <v>4894309.33</v>
      </c>
      <c r="G764" s="28" t="s">
        <v>4765</v>
      </c>
      <c r="H764" s="14">
        <v>42851</v>
      </c>
      <c r="I764" s="32" t="s">
        <v>4764</v>
      </c>
      <c r="J764" s="325"/>
    </row>
    <row r="765" spans="1:19" s="50" customFormat="1" ht="27.6" hidden="1" x14ac:dyDescent="0.25">
      <c r="A765" s="13" t="s">
        <v>1081</v>
      </c>
      <c r="B765" s="14">
        <v>43612</v>
      </c>
      <c r="C765" s="13">
        <v>59</v>
      </c>
      <c r="D765" s="32" t="s">
        <v>8173</v>
      </c>
      <c r="E765" s="218" t="s">
        <v>488</v>
      </c>
      <c r="F765" s="224">
        <v>960000</v>
      </c>
      <c r="G765" s="28" t="s">
        <v>8174</v>
      </c>
      <c r="H765" s="14">
        <v>43598</v>
      </c>
      <c r="I765" s="32" t="s">
        <v>8175</v>
      </c>
      <c r="J765" s="325"/>
    </row>
    <row r="766" spans="1:19" s="50" customFormat="1" ht="27.6" hidden="1" x14ac:dyDescent="0.25">
      <c r="A766" s="13" t="s">
        <v>92</v>
      </c>
      <c r="B766" s="14">
        <v>43612</v>
      </c>
      <c r="C766" s="13">
        <v>842</v>
      </c>
      <c r="D766" s="32" t="s">
        <v>8171</v>
      </c>
      <c r="E766" s="218" t="s">
        <v>7168</v>
      </c>
      <c r="F766" s="224">
        <v>524590.63</v>
      </c>
      <c r="G766" s="28" t="s">
        <v>8172</v>
      </c>
      <c r="H766" s="14">
        <v>43518</v>
      </c>
      <c r="I766" s="32"/>
      <c r="J766" s="325"/>
    </row>
    <row r="767" spans="1:19" hidden="1" x14ac:dyDescent="0.25">
      <c r="A767" s="32" t="s">
        <v>184</v>
      </c>
      <c r="B767" s="14">
        <v>43612</v>
      </c>
      <c r="C767" s="13">
        <v>648</v>
      </c>
      <c r="D767" s="32" t="s">
        <v>1606</v>
      </c>
      <c r="E767" s="32" t="s">
        <v>1121</v>
      </c>
      <c r="F767" s="4">
        <v>122000</v>
      </c>
      <c r="G767" s="28" t="s">
        <v>8128</v>
      </c>
      <c r="H767" s="14">
        <v>43605</v>
      </c>
      <c r="I767" s="4" t="s">
        <v>8127</v>
      </c>
      <c r="J767" s="166"/>
      <c r="K767" s="167"/>
      <c r="L767" s="35"/>
    </row>
    <row r="768" spans="1:19" ht="27.6" hidden="1" x14ac:dyDescent="0.25">
      <c r="A768" s="61" t="s">
        <v>460</v>
      </c>
      <c r="B768" s="14">
        <v>43612</v>
      </c>
      <c r="C768" s="13">
        <v>771</v>
      </c>
      <c r="D768" s="14" t="s">
        <v>5830</v>
      </c>
      <c r="E768" s="32" t="s">
        <v>2058</v>
      </c>
      <c r="F768" s="4">
        <v>123318</v>
      </c>
      <c r="G768" s="86" t="s">
        <v>5831</v>
      </c>
      <c r="H768" s="211"/>
      <c r="I768" s="326"/>
      <c r="K768" s="62"/>
    </row>
    <row r="769" spans="1:19" s="2" customFormat="1" hidden="1" x14ac:dyDescent="0.25">
      <c r="A769" s="13" t="s">
        <v>741</v>
      </c>
      <c r="B769" s="14">
        <v>43612</v>
      </c>
      <c r="C769" s="13">
        <v>567</v>
      </c>
      <c r="D769" s="13" t="s">
        <v>1513</v>
      </c>
      <c r="E769" s="13" t="s">
        <v>434</v>
      </c>
      <c r="F769" s="4">
        <v>1867980</v>
      </c>
      <c r="G769" s="28" t="s">
        <v>111</v>
      </c>
      <c r="H769" s="14">
        <v>43566</v>
      </c>
      <c r="I769" s="4" t="s">
        <v>6791</v>
      </c>
      <c r="J769" s="121"/>
      <c r="K769" s="5"/>
    </row>
    <row r="770" spans="1:19" s="31" customFormat="1" ht="27.6" hidden="1" x14ac:dyDescent="0.25">
      <c r="A770" s="13" t="s">
        <v>91</v>
      </c>
      <c r="B770" s="14">
        <v>43613</v>
      </c>
      <c r="C770" s="13">
        <v>436</v>
      </c>
      <c r="D770" s="13" t="s">
        <v>745</v>
      </c>
      <c r="E770" s="13" t="s">
        <v>2021</v>
      </c>
      <c r="F770" s="37">
        <v>400000</v>
      </c>
      <c r="G770" s="29" t="s">
        <v>2018</v>
      </c>
      <c r="H770" s="14">
        <v>43377</v>
      </c>
      <c r="I770" s="4" t="s">
        <v>484</v>
      </c>
      <c r="J770" s="34"/>
      <c r="O770" s="34"/>
      <c r="P770" s="34"/>
      <c r="Q770" s="34"/>
      <c r="R770" s="34"/>
      <c r="S770" s="34"/>
    </row>
    <row r="771" spans="1:19" hidden="1" x14ac:dyDescent="0.25">
      <c r="A771" s="61" t="s">
        <v>460</v>
      </c>
      <c r="B771" s="14">
        <v>43613</v>
      </c>
      <c r="C771" s="13">
        <v>122</v>
      </c>
      <c r="D771" s="14" t="s">
        <v>5563</v>
      </c>
      <c r="E771" s="32" t="s">
        <v>483</v>
      </c>
      <c r="F771" s="4">
        <v>40633</v>
      </c>
      <c r="G771" s="86" t="s">
        <v>5564</v>
      </c>
      <c r="H771" s="211"/>
      <c r="I771" s="326"/>
      <c r="K771" s="62"/>
    </row>
    <row r="772" spans="1:19" ht="27.6" hidden="1" x14ac:dyDescent="0.25">
      <c r="A772" s="61" t="s">
        <v>460</v>
      </c>
      <c r="B772" s="14">
        <v>43613</v>
      </c>
      <c r="C772" s="13">
        <v>123</v>
      </c>
      <c r="D772" s="14" t="s">
        <v>5580</v>
      </c>
      <c r="E772" s="32" t="s">
        <v>483</v>
      </c>
      <c r="F772" s="4">
        <v>47925</v>
      </c>
      <c r="G772" s="86" t="s">
        <v>5581</v>
      </c>
      <c r="H772" s="211"/>
      <c r="I772" s="326"/>
      <c r="K772" s="62"/>
    </row>
    <row r="773" spans="1:19" hidden="1" x14ac:dyDescent="0.25">
      <c r="A773" s="61" t="s">
        <v>460</v>
      </c>
      <c r="B773" s="14">
        <v>43613</v>
      </c>
      <c r="C773" s="13">
        <v>124</v>
      </c>
      <c r="D773" s="14" t="s">
        <v>5834</v>
      </c>
      <c r="E773" s="32" t="s">
        <v>483</v>
      </c>
      <c r="F773" s="4">
        <v>41960</v>
      </c>
      <c r="G773" s="86" t="s">
        <v>5835</v>
      </c>
      <c r="H773" s="211"/>
      <c r="I773" s="326"/>
      <c r="K773" s="62"/>
    </row>
    <row r="774" spans="1:19" hidden="1" x14ac:dyDescent="0.25">
      <c r="A774" s="61" t="s">
        <v>460</v>
      </c>
      <c r="B774" s="14">
        <v>43613</v>
      </c>
      <c r="C774" s="13">
        <v>125</v>
      </c>
      <c r="D774" s="14" t="s">
        <v>5836</v>
      </c>
      <c r="E774" s="32" t="s">
        <v>483</v>
      </c>
      <c r="F774" s="4">
        <v>36850</v>
      </c>
      <c r="G774" s="86" t="s">
        <v>5837</v>
      </c>
      <c r="H774" s="211"/>
      <c r="I774" s="326"/>
      <c r="K774" s="62"/>
    </row>
    <row r="775" spans="1:19" hidden="1" x14ac:dyDescent="0.25">
      <c r="A775" s="61" t="s">
        <v>460</v>
      </c>
      <c r="B775" s="14">
        <v>43613</v>
      </c>
      <c r="C775" s="13">
        <v>126</v>
      </c>
      <c r="D775" s="14" t="s">
        <v>5838</v>
      </c>
      <c r="E775" s="32" t="s">
        <v>483</v>
      </c>
      <c r="F775" s="4">
        <v>65690</v>
      </c>
      <c r="G775" s="86" t="s">
        <v>5839</v>
      </c>
      <c r="H775" s="211"/>
      <c r="I775" s="326"/>
      <c r="K775" s="62"/>
    </row>
    <row r="776" spans="1:19" ht="27.6" hidden="1" x14ac:dyDescent="0.25">
      <c r="A776" s="32" t="s">
        <v>215</v>
      </c>
      <c r="B776" s="14">
        <v>43613</v>
      </c>
      <c r="C776" s="67">
        <v>855</v>
      </c>
      <c r="D776" s="32" t="s">
        <v>373</v>
      </c>
      <c r="E776" s="32" t="s">
        <v>1427</v>
      </c>
      <c r="F776" s="4">
        <v>469741.83</v>
      </c>
      <c r="G776" s="28" t="s">
        <v>1406</v>
      </c>
      <c r="H776" s="14">
        <v>43152</v>
      </c>
      <c r="I776" s="4" t="s">
        <v>362</v>
      </c>
      <c r="J776" s="166" t="s">
        <v>366</v>
      </c>
      <c r="K776" s="167"/>
      <c r="L776" s="35"/>
    </row>
    <row r="777" spans="1:19" ht="27.6" hidden="1" x14ac:dyDescent="0.25">
      <c r="A777" s="32" t="s">
        <v>214</v>
      </c>
      <c r="B777" s="14">
        <v>43613</v>
      </c>
      <c r="C777" s="67">
        <v>854</v>
      </c>
      <c r="D777" s="32" t="s">
        <v>373</v>
      </c>
      <c r="E777" s="32" t="s">
        <v>1427</v>
      </c>
      <c r="F777" s="4">
        <v>540133.48</v>
      </c>
      <c r="G777" s="28" t="s">
        <v>1407</v>
      </c>
      <c r="H777" s="14">
        <v>43152</v>
      </c>
      <c r="I777" s="4" t="s">
        <v>362</v>
      </c>
      <c r="J777" s="166" t="s">
        <v>366</v>
      </c>
      <c r="K777" s="167"/>
      <c r="L777" s="35"/>
    </row>
    <row r="778" spans="1:19" hidden="1" x14ac:dyDescent="0.25">
      <c r="A778" s="61" t="s">
        <v>103</v>
      </c>
      <c r="B778" s="14">
        <v>43613</v>
      </c>
      <c r="C778" s="13">
        <v>873</v>
      </c>
      <c r="D778" s="13" t="s">
        <v>8142</v>
      </c>
      <c r="E778" s="13" t="s">
        <v>62</v>
      </c>
      <c r="F778" s="37">
        <v>98800</v>
      </c>
      <c r="G778" s="29" t="s">
        <v>1746</v>
      </c>
      <c r="H778" s="14">
        <v>43546</v>
      </c>
      <c r="I778" s="4" t="s">
        <v>8143</v>
      </c>
      <c r="J778" s="128"/>
    </row>
    <row r="779" spans="1:19" hidden="1" x14ac:dyDescent="0.25">
      <c r="A779" s="61" t="s">
        <v>103</v>
      </c>
      <c r="B779" s="14">
        <v>43613</v>
      </c>
      <c r="C779" s="13">
        <v>873</v>
      </c>
      <c r="D779" s="13" t="s">
        <v>8142</v>
      </c>
      <c r="E779" s="13" t="s">
        <v>62</v>
      </c>
      <c r="F779" s="37">
        <v>50000</v>
      </c>
      <c r="G779" s="29" t="s">
        <v>3120</v>
      </c>
      <c r="H779" s="14">
        <v>43609</v>
      </c>
      <c r="I779" s="4" t="s">
        <v>8148</v>
      </c>
      <c r="J779" s="128"/>
    </row>
    <row r="780" spans="1:19" hidden="1" x14ac:dyDescent="0.25">
      <c r="A780" s="61" t="s">
        <v>103</v>
      </c>
      <c r="B780" s="14">
        <v>43613</v>
      </c>
      <c r="C780" s="13">
        <v>874</v>
      </c>
      <c r="D780" s="13" t="s">
        <v>5911</v>
      </c>
      <c r="E780" s="13" t="s">
        <v>62</v>
      </c>
      <c r="F780" s="37">
        <v>56400</v>
      </c>
      <c r="G780" s="29" t="s">
        <v>177</v>
      </c>
      <c r="H780" s="14">
        <v>43607</v>
      </c>
      <c r="I780" s="4" t="s">
        <v>8141</v>
      </c>
      <c r="J780" s="128"/>
    </row>
    <row r="781" spans="1:19" ht="13.95" hidden="1" customHeight="1" x14ac:dyDescent="0.25">
      <c r="A781" s="68" t="s">
        <v>1165</v>
      </c>
      <c r="B781" s="14">
        <v>43613</v>
      </c>
      <c r="C781" s="13">
        <v>875</v>
      </c>
      <c r="D781" s="32" t="s">
        <v>2759</v>
      </c>
      <c r="E781" s="32" t="s">
        <v>62</v>
      </c>
      <c r="F781" s="4">
        <v>1000000</v>
      </c>
      <c r="G781" s="86" t="s">
        <v>2608</v>
      </c>
      <c r="H781" s="211"/>
      <c r="I781" s="84" t="s">
        <v>23</v>
      </c>
      <c r="J781" s="21"/>
      <c r="K781" s="228"/>
    </row>
    <row r="782" spans="1:19" hidden="1" x14ac:dyDescent="0.25">
      <c r="A782" s="32" t="s">
        <v>527</v>
      </c>
      <c r="B782" s="14">
        <v>43613</v>
      </c>
      <c r="C782" s="13">
        <v>872</v>
      </c>
      <c r="D782" s="32" t="s">
        <v>528</v>
      </c>
      <c r="E782" s="32" t="s">
        <v>62</v>
      </c>
      <c r="F782" s="4">
        <v>2000000</v>
      </c>
      <c r="G782" s="69" t="s">
        <v>529</v>
      </c>
      <c r="H782" s="14"/>
      <c r="I782" s="41" t="s">
        <v>273</v>
      </c>
      <c r="J782" s="21"/>
      <c r="K782" s="228"/>
    </row>
    <row r="783" spans="1:19" ht="15" hidden="1" customHeight="1" x14ac:dyDescent="0.25">
      <c r="A783" s="68" t="s">
        <v>92</v>
      </c>
      <c r="B783" s="14">
        <v>43613</v>
      </c>
      <c r="C783" s="13">
        <v>876</v>
      </c>
      <c r="D783" s="13" t="s">
        <v>969</v>
      </c>
      <c r="E783" s="32" t="s">
        <v>62</v>
      </c>
      <c r="F783" s="4">
        <v>4000000</v>
      </c>
      <c r="G783" s="86" t="s">
        <v>2035</v>
      </c>
      <c r="H783" s="14"/>
      <c r="I783" s="4" t="s">
        <v>229</v>
      </c>
      <c r="J783" s="71"/>
      <c r="K783" s="62"/>
      <c r="L783" s="62"/>
    </row>
    <row r="784" spans="1:19" ht="27.6" hidden="1" x14ac:dyDescent="0.25">
      <c r="A784" s="68" t="s">
        <v>214</v>
      </c>
      <c r="B784" s="14">
        <v>43613</v>
      </c>
      <c r="C784" s="13">
        <v>877</v>
      </c>
      <c r="D784" s="32" t="s">
        <v>8152</v>
      </c>
      <c r="E784" s="32" t="s">
        <v>62</v>
      </c>
      <c r="F784" s="4">
        <v>275294.23</v>
      </c>
      <c r="G784" s="69" t="s">
        <v>613</v>
      </c>
      <c r="H784" s="14"/>
      <c r="I784" s="41" t="s">
        <v>79</v>
      </c>
      <c r="K784" s="62"/>
    </row>
    <row r="785" spans="1:12" ht="13.95" hidden="1" customHeight="1" x14ac:dyDescent="0.25">
      <c r="A785" s="61" t="s">
        <v>358</v>
      </c>
      <c r="B785" s="14">
        <v>43613</v>
      </c>
      <c r="C785" s="13">
        <v>878</v>
      </c>
      <c r="D785" s="13" t="s">
        <v>204</v>
      </c>
      <c r="E785" s="32" t="s">
        <v>62</v>
      </c>
      <c r="F785" s="4">
        <v>2000000</v>
      </c>
      <c r="G785" s="86" t="s">
        <v>6603</v>
      </c>
      <c r="H785" s="211"/>
      <c r="I785" s="4" t="s">
        <v>6604</v>
      </c>
      <c r="J785" s="21"/>
      <c r="K785" s="228"/>
    </row>
    <row r="786" spans="1:12" s="97" customFormat="1" hidden="1" x14ac:dyDescent="0.25">
      <c r="A786" s="61" t="s">
        <v>442</v>
      </c>
      <c r="B786" s="14">
        <v>43613</v>
      </c>
      <c r="C786" s="13">
        <v>879</v>
      </c>
      <c r="D786" s="13" t="s">
        <v>304</v>
      </c>
      <c r="E786" s="13" t="s">
        <v>62</v>
      </c>
      <c r="F786" s="4">
        <v>434544</v>
      </c>
      <c r="G786" s="28" t="s">
        <v>7074</v>
      </c>
      <c r="H786" s="14">
        <v>43570</v>
      </c>
      <c r="I786" s="4" t="s">
        <v>1826</v>
      </c>
      <c r="J786" s="133"/>
      <c r="K786" s="22"/>
      <c r="L786" s="134"/>
    </row>
    <row r="787" spans="1:12" s="97" customFormat="1" hidden="1" x14ac:dyDescent="0.25">
      <c r="A787" s="61" t="s">
        <v>92</v>
      </c>
      <c r="B787" s="14">
        <v>43613</v>
      </c>
      <c r="C787" s="13">
        <v>880</v>
      </c>
      <c r="D787" s="13" t="s">
        <v>740</v>
      </c>
      <c r="E787" s="13" t="s">
        <v>62</v>
      </c>
      <c r="F787" s="37">
        <v>210140</v>
      </c>
      <c r="G787" s="29" t="s">
        <v>7731</v>
      </c>
      <c r="H787" s="14">
        <v>43550</v>
      </c>
      <c r="I787" s="4" t="s">
        <v>4902</v>
      </c>
      <c r="J787" s="22"/>
      <c r="K787" s="21"/>
      <c r="L787" s="134"/>
    </row>
    <row r="788" spans="1:12" s="97" customFormat="1" hidden="1" x14ac:dyDescent="0.25">
      <c r="A788" s="61" t="s">
        <v>92</v>
      </c>
      <c r="B788" s="14">
        <v>43613</v>
      </c>
      <c r="C788" s="13">
        <v>880</v>
      </c>
      <c r="D788" s="13" t="s">
        <v>740</v>
      </c>
      <c r="E788" s="13" t="s">
        <v>62</v>
      </c>
      <c r="F788" s="37">
        <v>242060</v>
      </c>
      <c r="G788" s="29" t="s">
        <v>7732</v>
      </c>
      <c r="H788" s="14">
        <v>43551</v>
      </c>
      <c r="I788" s="4" t="s">
        <v>4902</v>
      </c>
      <c r="J788" s="22"/>
      <c r="K788" s="21"/>
      <c r="L788" s="134"/>
    </row>
    <row r="789" spans="1:12" s="97" customFormat="1" hidden="1" x14ac:dyDescent="0.25">
      <c r="A789" s="61" t="s">
        <v>92</v>
      </c>
      <c r="B789" s="14">
        <v>43613</v>
      </c>
      <c r="C789" s="13">
        <v>880</v>
      </c>
      <c r="D789" s="13" t="s">
        <v>740</v>
      </c>
      <c r="E789" s="13" t="s">
        <v>62</v>
      </c>
      <c r="F789" s="37">
        <v>196740</v>
      </c>
      <c r="G789" s="29" t="s">
        <v>7733</v>
      </c>
      <c r="H789" s="14">
        <v>43551</v>
      </c>
      <c r="I789" s="4" t="s">
        <v>4902</v>
      </c>
      <c r="J789" s="22"/>
      <c r="K789" s="21"/>
      <c r="L789" s="134"/>
    </row>
    <row r="790" spans="1:12" s="97" customFormat="1" hidden="1" x14ac:dyDescent="0.25">
      <c r="A790" s="61" t="s">
        <v>442</v>
      </c>
      <c r="B790" s="14">
        <v>43613</v>
      </c>
      <c r="C790" s="13">
        <v>880</v>
      </c>
      <c r="D790" s="13" t="s">
        <v>740</v>
      </c>
      <c r="E790" s="13" t="s">
        <v>62</v>
      </c>
      <c r="F790" s="37">
        <v>71600</v>
      </c>
      <c r="G790" s="29" t="s">
        <v>7734</v>
      </c>
      <c r="H790" s="14">
        <v>43557</v>
      </c>
      <c r="I790" s="4" t="s">
        <v>7735</v>
      </c>
      <c r="J790" s="22"/>
      <c r="K790" s="21"/>
      <c r="L790" s="134"/>
    </row>
    <row r="791" spans="1:12" hidden="1" x14ac:dyDescent="0.25">
      <c r="A791" s="61" t="s">
        <v>442</v>
      </c>
      <c r="B791" s="14">
        <v>43613</v>
      </c>
      <c r="C791" s="13">
        <v>881</v>
      </c>
      <c r="D791" s="13" t="s">
        <v>381</v>
      </c>
      <c r="E791" s="13" t="s">
        <v>62</v>
      </c>
      <c r="F791" s="37">
        <v>46500</v>
      </c>
      <c r="G791" s="29" t="s">
        <v>111</v>
      </c>
      <c r="H791" s="14">
        <v>43555</v>
      </c>
      <c r="I791" s="4" t="s">
        <v>1328</v>
      </c>
      <c r="J791" s="128"/>
    </row>
    <row r="792" spans="1:12" hidden="1" x14ac:dyDescent="0.25">
      <c r="A792" s="61" t="s">
        <v>442</v>
      </c>
      <c r="B792" s="14">
        <v>43613</v>
      </c>
      <c r="C792" s="13">
        <v>882</v>
      </c>
      <c r="D792" s="13" t="s">
        <v>1739</v>
      </c>
      <c r="E792" s="13" t="s">
        <v>62</v>
      </c>
      <c r="F792" s="37">
        <f>216000-108000</f>
        <v>108000</v>
      </c>
      <c r="G792" s="29" t="s">
        <v>158</v>
      </c>
      <c r="H792" s="14">
        <v>43542</v>
      </c>
      <c r="I792" s="4" t="s">
        <v>4097</v>
      </c>
      <c r="J792" s="128"/>
    </row>
    <row r="793" spans="1:12" s="2" customFormat="1" hidden="1" x14ac:dyDescent="0.25">
      <c r="A793" s="61" t="s">
        <v>442</v>
      </c>
      <c r="B793" s="14">
        <v>43613</v>
      </c>
      <c r="C793" s="13">
        <v>883</v>
      </c>
      <c r="D793" s="13" t="s">
        <v>6794</v>
      </c>
      <c r="E793" s="13" t="s">
        <v>62</v>
      </c>
      <c r="F793" s="37">
        <v>3000</v>
      </c>
      <c r="G793" s="29" t="s">
        <v>6795</v>
      </c>
      <c r="H793" s="14">
        <v>43570</v>
      </c>
      <c r="I793" s="4" t="s">
        <v>6796</v>
      </c>
      <c r="J793" s="121"/>
      <c r="K793" s="5"/>
    </row>
    <row r="794" spans="1:12" hidden="1" x14ac:dyDescent="0.25">
      <c r="A794" s="61" t="s">
        <v>92</v>
      </c>
      <c r="B794" s="14">
        <v>43613</v>
      </c>
      <c r="C794" s="13">
        <v>884</v>
      </c>
      <c r="D794" s="13" t="s">
        <v>282</v>
      </c>
      <c r="E794" s="13" t="s">
        <v>62</v>
      </c>
      <c r="F794" s="37">
        <v>10010</v>
      </c>
      <c r="G794" s="29" t="s">
        <v>6428</v>
      </c>
      <c r="H794" s="14">
        <v>43559</v>
      </c>
      <c r="I794" s="4" t="s">
        <v>283</v>
      </c>
    </row>
    <row r="795" spans="1:12" hidden="1" x14ac:dyDescent="0.25">
      <c r="A795" s="61" t="s">
        <v>442</v>
      </c>
      <c r="B795" s="14">
        <v>43613</v>
      </c>
      <c r="C795" s="13">
        <v>884</v>
      </c>
      <c r="D795" s="13" t="s">
        <v>282</v>
      </c>
      <c r="E795" s="13" t="s">
        <v>62</v>
      </c>
      <c r="F795" s="37">
        <v>16445</v>
      </c>
      <c r="G795" s="29" t="s">
        <v>6430</v>
      </c>
      <c r="H795" s="14">
        <v>43559</v>
      </c>
      <c r="I795" s="4" t="s">
        <v>283</v>
      </c>
    </row>
    <row r="796" spans="1:12" hidden="1" x14ac:dyDescent="0.25">
      <c r="A796" s="61" t="s">
        <v>442</v>
      </c>
      <c r="B796" s="14">
        <v>43613</v>
      </c>
      <c r="C796" s="13">
        <v>884</v>
      </c>
      <c r="D796" s="13" t="s">
        <v>282</v>
      </c>
      <c r="E796" s="13" t="s">
        <v>62</v>
      </c>
      <c r="F796" s="37">
        <v>27170</v>
      </c>
      <c r="G796" s="29" t="s">
        <v>6774</v>
      </c>
      <c r="H796" s="14">
        <v>43566</v>
      </c>
      <c r="I796" s="4" t="s">
        <v>283</v>
      </c>
    </row>
    <row r="797" spans="1:12" hidden="1" x14ac:dyDescent="0.25">
      <c r="A797" s="61" t="s">
        <v>92</v>
      </c>
      <c r="B797" s="14">
        <v>43613</v>
      </c>
      <c r="C797" s="13">
        <v>884</v>
      </c>
      <c r="D797" s="13" t="s">
        <v>282</v>
      </c>
      <c r="E797" s="13" t="s">
        <v>62</v>
      </c>
      <c r="F797" s="37">
        <v>17160</v>
      </c>
      <c r="G797" s="29" t="s">
        <v>6775</v>
      </c>
      <c r="H797" s="14">
        <v>43566</v>
      </c>
      <c r="I797" s="4" t="s">
        <v>283</v>
      </c>
    </row>
    <row r="798" spans="1:12" hidden="1" x14ac:dyDescent="0.25">
      <c r="A798" s="61" t="s">
        <v>358</v>
      </c>
      <c r="B798" s="14">
        <v>43613</v>
      </c>
      <c r="C798" s="13">
        <v>884</v>
      </c>
      <c r="D798" s="13" t="s">
        <v>282</v>
      </c>
      <c r="E798" s="13" t="s">
        <v>62</v>
      </c>
      <c r="F798" s="37">
        <v>4290</v>
      </c>
      <c r="G798" s="29" t="s">
        <v>6776</v>
      </c>
      <c r="H798" s="14">
        <v>43566</v>
      </c>
      <c r="I798" s="4" t="s">
        <v>283</v>
      </c>
    </row>
    <row r="799" spans="1:12" hidden="1" x14ac:dyDescent="0.25">
      <c r="A799" s="61" t="s">
        <v>55</v>
      </c>
      <c r="B799" s="14">
        <v>43613</v>
      </c>
      <c r="C799" s="13">
        <v>884</v>
      </c>
      <c r="D799" s="13" t="s">
        <v>282</v>
      </c>
      <c r="E799" s="13" t="s">
        <v>62</v>
      </c>
      <c r="F799" s="37">
        <v>715</v>
      </c>
      <c r="G799" s="29" t="s">
        <v>6777</v>
      </c>
      <c r="H799" s="14">
        <v>43566</v>
      </c>
      <c r="I799" s="4" t="s">
        <v>283</v>
      </c>
    </row>
    <row r="800" spans="1:12" hidden="1" x14ac:dyDescent="0.25">
      <c r="A800" s="61" t="s">
        <v>91</v>
      </c>
      <c r="B800" s="14">
        <v>43613</v>
      </c>
      <c r="C800" s="13">
        <v>884</v>
      </c>
      <c r="D800" s="13" t="s">
        <v>282</v>
      </c>
      <c r="E800" s="13" t="s">
        <v>62</v>
      </c>
      <c r="F800" s="37">
        <v>37180</v>
      </c>
      <c r="G800" s="29" t="s">
        <v>5139</v>
      </c>
      <c r="H800" s="14">
        <v>43566</v>
      </c>
      <c r="I800" s="4" t="s">
        <v>283</v>
      </c>
    </row>
    <row r="801" spans="1:16" hidden="1" x14ac:dyDescent="0.25">
      <c r="A801" s="61" t="s">
        <v>358</v>
      </c>
      <c r="B801" s="14">
        <v>43613</v>
      </c>
      <c r="C801" s="13">
        <v>885</v>
      </c>
      <c r="D801" s="13" t="s">
        <v>2047</v>
      </c>
      <c r="E801" s="13" t="s">
        <v>62</v>
      </c>
      <c r="F801" s="37">
        <v>49300</v>
      </c>
      <c r="G801" s="29" t="s">
        <v>325</v>
      </c>
      <c r="H801" s="14">
        <v>43557</v>
      </c>
      <c r="I801" s="4" t="s">
        <v>95</v>
      </c>
    </row>
    <row r="802" spans="1:16" hidden="1" x14ac:dyDescent="0.25">
      <c r="A802" s="61" t="s">
        <v>442</v>
      </c>
      <c r="B802" s="14">
        <v>43613</v>
      </c>
      <c r="C802" s="13">
        <v>886</v>
      </c>
      <c r="D802" s="13" t="s">
        <v>431</v>
      </c>
      <c r="E802" s="13" t="s">
        <v>62</v>
      </c>
      <c r="F802" s="37">
        <v>17000</v>
      </c>
      <c r="G802" s="29" t="s">
        <v>7</v>
      </c>
      <c r="H802" s="14">
        <v>43574</v>
      </c>
      <c r="I802" s="4" t="s">
        <v>95</v>
      </c>
    </row>
    <row r="803" spans="1:16" hidden="1" x14ac:dyDescent="0.25">
      <c r="A803" s="61" t="s">
        <v>103</v>
      </c>
      <c r="B803" s="14">
        <v>43613</v>
      </c>
      <c r="C803" s="13">
        <v>887</v>
      </c>
      <c r="D803" s="13" t="s">
        <v>6788</v>
      </c>
      <c r="E803" s="13" t="s">
        <v>62</v>
      </c>
      <c r="F803" s="37">
        <v>8750</v>
      </c>
      <c r="G803" s="29" t="s">
        <v>1128</v>
      </c>
      <c r="H803" s="14">
        <v>43546</v>
      </c>
      <c r="I803" s="4" t="s">
        <v>354</v>
      </c>
    </row>
    <row r="804" spans="1:16" hidden="1" x14ac:dyDescent="0.25">
      <c r="A804" s="61" t="s">
        <v>103</v>
      </c>
      <c r="B804" s="14">
        <v>43613</v>
      </c>
      <c r="C804" s="13">
        <v>887</v>
      </c>
      <c r="D804" s="13" t="s">
        <v>6788</v>
      </c>
      <c r="E804" s="13" t="s">
        <v>62</v>
      </c>
      <c r="F804" s="37">
        <v>10000</v>
      </c>
      <c r="G804" s="29" t="s">
        <v>6789</v>
      </c>
      <c r="H804" s="14">
        <v>43549</v>
      </c>
      <c r="I804" s="4" t="s">
        <v>354</v>
      </c>
    </row>
    <row r="805" spans="1:16" hidden="1" x14ac:dyDescent="0.25">
      <c r="A805" s="13" t="s">
        <v>637</v>
      </c>
      <c r="B805" s="126">
        <v>43613</v>
      </c>
      <c r="C805" s="13">
        <v>385</v>
      </c>
      <c r="D805" s="13" t="s">
        <v>30</v>
      </c>
      <c r="E805" s="13" t="s">
        <v>691</v>
      </c>
      <c r="F805" s="4">
        <v>555000</v>
      </c>
      <c r="G805" s="69" t="s">
        <v>2188</v>
      </c>
      <c r="H805" s="14"/>
      <c r="I805" s="208" t="s">
        <v>79</v>
      </c>
      <c r="J805" s="62"/>
      <c r="K805" s="62"/>
      <c r="L805" s="35"/>
      <c r="M805" s="35"/>
      <c r="N805" s="35"/>
      <c r="O805" s="35"/>
      <c r="P805" s="35"/>
    </row>
    <row r="806" spans="1:16" hidden="1" x14ac:dyDescent="0.25">
      <c r="A806" s="13" t="s">
        <v>637</v>
      </c>
      <c r="B806" s="126">
        <v>43613</v>
      </c>
      <c r="C806" s="13">
        <v>382</v>
      </c>
      <c r="D806" s="13" t="s">
        <v>30</v>
      </c>
      <c r="E806" s="13" t="s">
        <v>691</v>
      </c>
      <c r="F806" s="4">
        <v>2445000</v>
      </c>
      <c r="G806" s="69" t="s">
        <v>4038</v>
      </c>
      <c r="H806" s="14"/>
      <c r="I806" s="208" t="s">
        <v>20</v>
      </c>
      <c r="J806" s="62"/>
      <c r="K806" s="62"/>
      <c r="L806" s="35"/>
      <c r="M806" s="35"/>
      <c r="N806" s="35"/>
      <c r="O806" s="35"/>
      <c r="P806" s="35"/>
    </row>
    <row r="807" spans="1:16" s="97" customFormat="1" hidden="1" x14ac:dyDescent="0.25">
      <c r="A807" s="61" t="s">
        <v>1350</v>
      </c>
      <c r="B807" s="126">
        <v>43613</v>
      </c>
      <c r="C807" s="13">
        <v>380</v>
      </c>
      <c r="D807" s="13" t="s">
        <v>6868</v>
      </c>
      <c r="E807" s="13" t="s">
        <v>691</v>
      </c>
      <c r="F807" s="37">
        <v>149284.20000000001</v>
      </c>
      <c r="G807" s="210" t="s">
        <v>6874</v>
      </c>
      <c r="H807" s="211">
        <v>43557</v>
      </c>
      <c r="I807" s="4" t="s">
        <v>6875</v>
      </c>
      <c r="J807" s="133"/>
      <c r="K807" s="22"/>
      <c r="L807" s="134"/>
    </row>
    <row r="808" spans="1:16" s="97" customFormat="1" hidden="1" x14ac:dyDescent="0.25">
      <c r="A808" s="61" t="s">
        <v>1350</v>
      </c>
      <c r="B808" s="126">
        <v>43613</v>
      </c>
      <c r="C808" s="13">
        <v>380</v>
      </c>
      <c r="D808" s="13" t="s">
        <v>6868</v>
      </c>
      <c r="E808" s="13" t="s">
        <v>691</v>
      </c>
      <c r="F808" s="37">
        <v>14960.64</v>
      </c>
      <c r="G808" s="210" t="s">
        <v>6876</v>
      </c>
      <c r="H808" s="211">
        <v>43563</v>
      </c>
      <c r="I808" s="4" t="s">
        <v>6873</v>
      </c>
      <c r="J808" s="133"/>
      <c r="K808" s="22"/>
      <c r="L808" s="134"/>
    </row>
    <row r="809" spans="1:16" s="97" customFormat="1" hidden="1" x14ac:dyDescent="0.25">
      <c r="A809" s="61" t="s">
        <v>1350</v>
      </c>
      <c r="B809" s="126">
        <v>43613</v>
      </c>
      <c r="C809" s="13">
        <v>380</v>
      </c>
      <c r="D809" s="13" t="s">
        <v>6868</v>
      </c>
      <c r="E809" s="13" t="s">
        <v>691</v>
      </c>
      <c r="F809" s="37">
        <v>50069.59</v>
      </c>
      <c r="G809" s="210" t="s">
        <v>6877</v>
      </c>
      <c r="H809" s="211">
        <v>43563</v>
      </c>
      <c r="I809" s="4" t="s">
        <v>6878</v>
      </c>
      <c r="J809" s="133"/>
      <c r="K809" s="22"/>
      <c r="L809" s="134"/>
    </row>
    <row r="810" spans="1:16" hidden="1" x14ac:dyDescent="0.25">
      <c r="A810" s="61" t="s">
        <v>637</v>
      </c>
      <c r="B810" s="126">
        <v>43613</v>
      </c>
      <c r="C810" s="13">
        <v>383</v>
      </c>
      <c r="D810" s="13" t="s">
        <v>3250</v>
      </c>
      <c r="E810" s="13" t="s">
        <v>691</v>
      </c>
      <c r="F810" s="37">
        <v>3000</v>
      </c>
      <c r="G810" s="29" t="s">
        <v>7949</v>
      </c>
      <c r="H810" s="14">
        <v>43607</v>
      </c>
      <c r="I810" s="4" t="s">
        <v>8149</v>
      </c>
    </row>
    <row r="811" spans="1:16" s="2" customFormat="1" hidden="1" x14ac:dyDescent="0.25">
      <c r="A811" s="61" t="s">
        <v>1350</v>
      </c>
      <c r="B811" s="126">
        <v>43613</v>
      </c>
      <c r="C811" s="13">
        <v>384</v>
      </c>
      <c r="D811" s="13" t="s">
        <v>340</v>
      </c>
      <c r="E811" s="13" t="s">
        <v>691</v>
      </c>
      <c r="F811" s="37">
        <v>2000</v>
      </c>
      <c r="G811" s="29" t="s">
        <v>117</v>
      </c>
      <c r="H811" s="14">
        <v>43571</v>
      </c>
      <c r="I811" s="4" t="s">
        <v>767</v>
      </c>
      <c r="J811" s="121"/>
      <c r="K811" s="5"/>
    </row>
    <row r="812" spans="1:16" hidden="1" x14ac:dyDescent="0.25">
      <c r="A812" s="61" t="s">
        <v>637</v>
      </c>
      <c r="B812" s="126">
        <v>43613</v>
      </c>
      <c r="C812" s="13">
        <v>386</v>
      </c>
      <c r="D812" s="13" t="s">
        <v>282</v>
      </c>
      <c r="E812" s="13" t="s">
        <v>691</v>
      </c>
      <c r="F812" s="37">
        <v>11440</v>
      </c>
      <c r="G812" s="29" t="s">
        <v>6432</v>
      </c>
      <c r="H812" s="14">
        <v>43559</v>
      </c>
      <c r="I812" s="4" t="s">
        <v>283</v>
      </c>
    </row>
    <row r="813" spans="1:16" hidden="1" x14ac:dyDescent="0.25">
      <c r="A813" s="61" t="s">
        <v>637</v>
      </c>
      <c r="B813" s="126">
        <v>43613</v>
      </c>
      <c r="C813" s="13">
        <v>386</v>
      </c>
      <c r="D813" s="13" t="s">
        <v>282</v>
      </c>
      <c r="E813" s="13" t="s">
        <v>691</v>
      </c>
      <c r="F813" s="37">
        <v>18590</v>
      </c>
      <c r="G813" s="29" t="s">
        <v>5141</v>
      </c>
      <c r="H813" s="14">
        <v>43566</v>
      </c>
      <c r="I813" s="4" t="s">
        <v>283</v>
      </c>
    </row>
    <row r="814" spans="1:16" hidden="1" x14ac:dyDescent="0.25">
      <c r="A814" s="32" t="s">
        <v>1350</v>
      </c>
      <c r="B814" s="126">
        <v>43613</v>
      </c>
      <c r="C814" s="13">
        <v>381</v>
      </c>
      <c r="D814" s="13" t="s">
        <v>1985</v>
      </c>
      <c r="E814" s="13" t="s">
        <v>691</v>
      </c>
      <c r="F814" s="4">
        <v>60800</v>
      </c>
      <c r="G814" s="28" t="s">
        <v>5251</v>
      </c>
      <c r="H814" s="14">
        <v>43553</v>
      </c>
      <c r="I814" s="4" t="s">
        <v>4317</v>
      </c>
    </row>
    <row r="815" spans="1:16" hidden="1" x14ac:dyDescent="0.25">
      <c r="A815" s="61" t="s">
        <v>637</v>
      </c>
      <c r="B815" s="126">
        <v>43613</v>
      </c>
      <c r="C815" s="13">
        <v>381</v>
      </c>
      <c r="D815" s="13" t="s">
        <v>1985</v>
      </c>
      <c r="E815" s="13" t="s">
        <v>691</v>
      </c>
      <c r="F815" s="4">
        <v>9900</v>
      </c>
      <c r="G815" s="28" t="s">
        <v>1510</v>
      </c>
      <c r="H815" s="14">
        <v>43553</v>
      </c>
      <c r="I815" s="4" t="s">
        <v>122</v>
      </c>
    </row>
    <row r="816" spans="1:16" ht="13.95" hidden="1" customHeight="1" x14ac:dyDescent="0.25">
      <c r="A816" s="61" t="s">
        <v>213</v>
      </c>
      <c r="B816" s="14">
        <v>43613</v>
      </c>
      <c r="C816" s="13">
        <v>900</v>
      </c>
      <c r="D816" s="13" t="s">
        <v>880</v>
      </c>
      <c r="E816" s="32" t="s">
        <v>808</v>
      </c>
      <c r="F816" s="4">
        <v>500000</v>
      </c>
      <c r="G816" s="86" t="s">
        <v>1321</v>
      </c>
      <c r="H816" s="211"/>
      <c r="I816" s="4" t="s">
        <v>1322</v>
      </c>
      <c r="J816" s="21"/>
      <c r="K816" s="228"/>
    </row>
    <row r="817" spans="1:12" hidden="1" x14ac:dyDescent="0.25">
      <c r="A817" s="61" t="s">
        <v>659</v>
      </c>
      <c r="B817" s="14">
        <v>43613</v>
      </c>
      <c r="C817" s="13">
        <v>903</v>
      </c>
      <c r="D817" s="32" t="s">
        <v>5965</v>
      </c>
      <c r="E817" s="13" t="s">
        <v>808</v>
      </c>
      <c r="F817" s="4">
        <v>1000000</v>
      </c>
      <c r="G817" s="174" t="s">
        <v>5966</v>
      </c>
      <c r="H817" s="14"/>
      <c r="I817" s="4" t="s">
        <v>24</v>
      </c>
    </row>
    <row r="818" spans="1:12" s="97" customFormat="1" hidden="1" x14ac:dyDescent="0.25">
      <c r="A818" s="61" t="s">
        <v>1316</v>
      </c>
      <c r="B818" s="14">
        <v>43613</v>
      </c>
      <c r="C818" s="13">
        <v>904</v>
      </c>
      <c r="D818" s="13" t="s">
        <v>304</v>
      </c>
      <c r="E818" s="13" t="s">
        <v>808</v>
      </c>
      <c r="F818" s="4">
        <v>533304</v>
      </c>
      <c r="G818" s="28" t="s">
        <v>7075</v>
      </c>
      <c r="H818" s="14">
        <v>43577</v>
      </c>
      <c r="I818" s="4" t="s">
        <v>1826</v>
      </c>
      <c r="J818" s="133"/>
      <c r="K818" s="22"/>
      <c r="L818" s="134"/>
    </row>
    <row r="819" spans="1:12" s="96" customFormat="1" hidden="1" x14ac:dyDescent="0.25">
      <c r="A819" s="13" t="s">
        <v>160</v>
      </c>
      <c r="B819" s="14">
        <v>43613</v>
      </c>
      <c r="C819" s="13">
        <v>918</v>
      </c>
      <c r="D819" s="13" t="s">
        <v>590</v>
      </c>
      <c r="E819" s="13" t="s">
        <v>808</v>
      </c>
      <c r="F819" s="262">
        <v>243312</v>
      </c>
      <c r="G819" s="29" t="s">
        <v>1198</v>
      </c>
      <c r="H819" s="14">
        <v>42996</v>
      </c>
      <c r="I819" s="4" t="s">
        <v>159</v>
      </c>
      <c r="J819" s="97"/>
      <c r="K819" s="97"/>
      <c r="L819" s="97"/>
    </row>
    <row r="820" spans="1:12" s="97" customFormat="1" hidden="1" x14ac:dyDescent="0.25">
      <c r="A820" s="68" t="s">
        <v>160</v>
      </c>
      <c r="B820" s="14">
        <v>43613</v>
      </c>
      <c r="C820" s="13">
        <v>920</v>
      </c>
      <c r="D820" s="13" t="s">
        <v>982</v>
      </c>
      <c r="E820" s="13" t="s">
        <v>808</v>
      </c>
      <c r="F820" s="4">
        <v>286000</v>
      </c>
      <c r="G820" s="29" t="s">
        <v>1094</v>
      </c>
      <c r="H820" s="14">
        <v>42992</v>
      </c>
      <c r="I820" s="4" t="s">
        <v>1093</v>
      </c>
      <c r="J820" s="133"/>
      <c r="K820" s="22"/>
      <c r="L820" s="134"/>
    </row>
    <row r="821" spans="1:12" s="97" customFormat="1" hidden="1" x14ac:dyDescent="0.25">
      <c r="A821" s="13" t="s">
        <v>1148</v>
      </c>
      <c r="B821" s="14">
        <v>43613</v>
      </c>
      <c r="C821" s="13">
        <v>905</v>
      </c>
      <c r="D821" s="13" t="s">
        <v>257</v>
      </c>
      <c r="E821" s="13" t="s">
        <v>808</v>
      </c>
      <c r="F821" s="4">
        <v>898212</v>
      </c>
      <c r="G821" s="29" t="s">
        <v>4687</v>
      </c>
      <c r="H821" s="14">
        <v>43523</v>
      </c>
      <c r="I821" s="4" t="s">
        <v>4688</v>
      </c>
      <c r="J821" s="133"/>
      <c r="K821" s="22"/>
      <c r="L821" s="134"/>
    </row>
    <row r="822" spans="1:12" s="97" customFormat="1" hidden="1" x14ac:dyDescent="0.25">
      <c r="A822" s="61" t="s">
        <v>1148</v>
      </c>
      <c r="B822" s="14">
        <v>43613</v>
      </c>
      <c r="C822" s="13">
        <v>906</v>
      </c>
      <c r="D822" s="13" t="s">
        <v>589</v>
      </c>
      <c r="E822" s="13" t="s">
        <v>808</v>
      </c>
      <c r="F822" s="37">
        <v>796131</v>
      </c>
      <c r="G822" s="29" t="s">
        <v>7108</v>
      </c>
      <c r="H822" s="14">
        <v>43578</v>
      </c>
      <c r="I822" s="4" t="s">
        <v>7109</v>
      </c>
      <c r="J822" s="133"/>
      <c r="K822" s="22"/>
      <c r="L822" s="134"/>
    </row>
    <row r="823" spans="1:12" s="97" customFormat="1" hidden="1" x14ac:dyDescent="0.25">
      <c r="A823" s="32" t="s">
        <v>1148</v>
      </c>
      <c r="B823" s="14">
        <v>43613</v>
      </c>
      <c r="C823" s="13">
        <v>921</v>
      </c>
      <c r="D823" s="13" t="s">
        <v>249</v>
      </c>
      <c r="E823" s="13" t="s">
        <v>808</v>
      </c>
      <c r="F823" s="4">
        <f>502170-499320</f>
        <v>2850</v>
      </c>
      <c r="G823" s="29" t="s">
        <v>3589</v>
      </c>
      <c r="H823" s="14">
        <v>43552</v>
      </c>
      <c r="I823" s="4" t="s">
        <v>6717</v>
      </c>
      <c r="J823" s="133"/>
      <c r="K823" s="22"/>
      <c r="L823" s="134"/>
    </row>
    <row r="824" spans="1:12" s="97" customFormat="1" hidden="1" x14ac:dyDescent="0.25">
      <c r="A824" s="61" t="s">
        <v>1148</v>
      </c>
      <c r="B824" s="14">
        <v>43613</v>
      </c>
      <c r="C824" s="13">
        <v>921</v>
      </c>
      <c r="D824" s="13" t="s">
        <v>249</v>
      </c>
      <c r="E824" s="13" t="s">
        <v>808</v>
      </c>
      <c r="F824" s="327">
        <f>819168.42-810189</f>
        <v>8979.4200000000419</v>
      </c>
      <c r="G824" s="28" t="s">
        <v>4265</v>
      </c>
      <c r="H824" s="14">
        <v>43560</v>
      </c>
      <c r="I824" s="4" t="s">
        <v>423</v>
      </c>
      <c r="J824" s="133"/>
      <c r="K824" s="22"/>
      <c r="L824" s="134"/>
    </row>
    <row r="825" spans="1:12" s="97" customFormat="1" hidden="1" x14ac:dyDescent="0.25">
      <c r="A825" s="61" t="s">
        <v>1147</v>
      </c>
      <c r="B825" s="14">
        <v>43613</v>
      </c>
      <c r="C825" s="13">
        <v>921</v>
      </c>
      <c r="D825" s="13" t="s">
        <v>249</v>
      </c>
      <c r="E825" s="13" t="s">
        <v>808</v>
      </c>
      <c r="F825" s="4">
        <v>803822.7</v>
      </c>
      <c r="G825" s="28" t="s">
        <v>865</v>
      </c>
      <c r="H825" s="14">
        <v>43564</v>
      </c>
      <c r="I825" s="4" t="s">
        <v>1207</v>
      </c>
      <c r="J825" s="133"/>
      <c r="K825" s="22"/>
      <c r="L825" s="134"/>
    </row>
    <row r="826" spans="1:12" s="97" customFormat="1" hidden="1" x14ac:dyDescent="0.25">
      <c r="A826" s="61" t="s">
        <v>1147</v>
      </c>
      <c r="B826" s="14">
        <v>43613</v>
      </c>
      <c r="C826" s="13">
        <v>921</v>
      </c>
      <c r="D826" s="13" t="s">
        <v>249</v>
      </c>
      <c r="E826" s="13" t="s">
        <v>808</v>
      </c>
      <c r="F826" s="327">
        <f>842050.8-839633.09</f>
        <v>2417.7100000000792</v>
      </c>
      <c r="G826" s="28" t="s">
        <v>6793</v>
      </c>
      <c r="H826" s="14">
        <v>43565</v>
      </c>
      <c r="I826" s="4" t="s">
        <v>4694</v>
      </c>
      <c r="J826" s="133"/>
      <c r="K826" s="22"/>
      <c r="L826" s="134"/>
    </row>
    <row r="827" spans="1:12" s="97" customFormat="1" hidden="1" x14ac:dyDescent="0.25">
      <c r="A827" s="32" t="s">
        <v>1149</v>
      </c>
      <c r="B827" s="14">
        <v>43613</v>
      </c>
      <c r="C827" s="13">
        <v>907</v>
      </c>
      <c r="D827" s="13" t="s">
        <v>1082</v>
      </c>
      <c r="E827" s="13" t="s">
        <v>808</v>
      </c>
      <c r="F827" s="4">
        <v>885549.92</v>
      </c>
      <c r="G827" s="29" t="s">
        <v>301</v>
      </c>
      <c r="H827" s="14">
        <v>43537</v>
      </c>
      <c r="I827" s="4" t="s">
        <v>423</v>
      </c>
      <c r="J827" s="133"/>
      <c r="K827" s="22"/>
      <c r="L827" s="134"/>
    </row>
    <row r="828" spans="1:12" s="50" customFormat="1" hidden="1" x14ac:dyDescent="0.25">
      <c r="A828" s="61" t="s">
        <v>1148</v>
      </c>
      <c r="B828" s="14">
        <v>43613</v>
      </c>
      <c r="C828" s="13">
        <v>908</v>
      </c>
      <c r="D828" s="13" t="s">
        <v>447</v>
      </c>
      <c r="E828" s="13" t="s">
        <v>808</v>
      </c>
      <c r="F828" s="4">
        <v>240000</v>
      </c>
      <c r="G828" s="28" t="s">
        <v>150</v>
      </c>
      <c r="H828" s="14">
        <v>43573</v>
      </c>
      <c r="I828" s="4" t="s">
        <v>1315</v>
      </c>
      <c r="J828" s="21"/>
    </row>
    <row r="829" spans="1:12" hidden="1" x14ac:dyDescent="0.25">
      <c r="A829" s="61" t="s">
        <v>495</v>
      </c>
      <c r="B829" s="14">
        <v>43613</v>
      </c>
      <c r="C829" s="13">
        <v>909</v>
      </c>
      <c r="D829" s="13" t="s">
        <v>7194</v>
      </c>
      <c r="E829" s="13" t="s">
        <v>808</v>
      </c>
      <c r="F829" s="37">
        <v>48000</v>
      </c>
      <c r="G829" s="29" t="s">
        <v>2519</v>
      </c>
      <c r="H829" s="14">
        <v>43558</v>
      </c>
      <c r="I829" s="4" t="s">
        <v>319</v>
      </c>
      <c r="J829" s="128"/>
    </row>
    <row r="830" spans="1:12" hidden="1" x14ac:dyDescent="0.25">
      <c r="A830" s="32" t="s">
        <v>1148</v>
      </c>
      <c r="B830" s="14">
        <v>43613</v>
      </c>
      <c r="C830" s="13">
        <v>910</v>
      </c>
      <c r="D830" s="13" t="s">
        <v>545</v>
      </c>
      <c r="E830" s="13" t="s">
        <v>808</v>
      </c>
      <c r="F830" s="4">
        <v>41450</v>
      </c>
      <c r="G830" s="28" t="s">
        <v>6130</v>
      </c>
      <c r="H830" s="14">
        <v>43556</v>
      </c>
      <c r="I830" s="4" t="s">
        <v>6131</v>
      </c>
      <c r="J830" s="128"/>
    </row>
    <row r="831" spans="1:12" s="2" customFormat="1" hidden="1" x14ac:dyDescent="0.25">
      <c r="A831" s="61" t="s">
        <v>1316</v>
      </c>
      <c r="B831" s="14">
        <v>43613</v>
      </c>
      <c r="C831" s="13">
        <v>911</v>
      </c>
      <c r="D831" s="13" t="s">
        <v>340</v>
      </c>
      <c r="E831" s="13" t="s">
        <v>808</v>
      </c>
      <c r="F831" s="37">
        <v>7700</v>
      </c>
      <c r="G831" s="29" t="s">
        <v>6175</v>
      </c>
      <c r="H831" s="14">
        <v>43571</v>
      </c>
      <c r="I831" s="4" t="s">
        <v>1345</v>
      </c>
      <c r="J831" s="121"/>
      <c r="K831" s="5"/>
    </row>
    <row r="832" spans="1:12" hidden="1" x14ac:dyDescent="0.25">
      <c r="A832" s="13" t="s">
        <v>1147</v>
      </c>
      <c r="B832" s="14">
        <v>43613</v>
      </c>
      <c r="C832" s="13">
        <v>922</v>
      </c>
      <c r="D832" s="13" t="s">
        <v>1935</v>
      </c>
      <c r="E832" s="13" t="s">
        <v>808</v>
      </c>
      <c r="F832" s="37">
        <v>1000000</v>
      </c>
      <c r="G832" s="69" t="s">
        <v>2321</v>
      </c>
      <c r="H832" s="14"/>
      <c r="I832" s="4" t="s">
        <v>2318</v>
      </c>
      <c r="J832" s="169"/>
    </row>
    <row r="833" spans="1:12" hidden="1" x14ac:dyDescent="0.25">
      <c r="A833" s="61" t="s">
        <v>5258</v>
      </c>
      <c r="B833" s="14">
        <v>43613</v>
      </c>
      <c r="C833" s="13">
        <v>919</v>
      </c>
      <c r="D833" s="13" t="s">
        <v>5347</v>
      </c>
      <c r="E833" s="13" t="s">
        <v>808</v>
      </c>
      <c r="F833" s="37">
        <f>424800-100000-200000</f>
        <v>124800</v>
      </c>
      <c r="G833" s="29" t="s">
        <v>300</v>
      </c>
      <c r="H833" s="14">
        <v>43543</v>
      </c>
      <c r="I833" s="4" t="s">
        <v>164</v>
      </c>
    </row>
    <row r="834" spans="1:12" ht="27.6" hidden="1" x14ac:dyDescent="0.25">
      <c r="A834" s="61" t="s">
        <v>1894</v>
      </c>
      <c r="B834" s="14">
        <v>43613</v>
      </c>
      <c r="C834" s="13">
        <v>912</v>
      </c>
      <c r="D834" s="13" t="s">
        <v>80</v>
      </c>
      <c r="E834" s="13" t="s">
        <v>808</v>
      </c>
      <c r="F834" s="37">
        <v>90000</v>
      </c>
      <c r="G834" s="29" t="s">
        <v>6780</v>
      </c>
      <c r="H834" s="14">
        <v>43570</v>
      </c>
      <c r="I834" s="4" t="s">
        <v>2157</v>
      </c>
    </row>
    <row r="835" spans="1:12" ht="27.6" hidden="1" x14ac:dyDescent="0.25">
      <c r="A835" s="61" t="s">
        <v>1806</v>
      </c>
      <c r="B835" s="14">
        <v>43613</v>
      </c>
      <c r="C835" s="13">
        <v>913</v>
      </c>
      <c r="D835" s="13" t="s">
        <v>29</v>
      </c>
      <c r="E835" s="13" t="s">
        <v>808</v>
      </c>
      <c r="F835" s="37">
        <v>100000</v>
      </c>
      <c r="G835" s="29" t="s">
        <v>729</v>
      </c>
      <c r="H835" s="14">
        <v>43545</v>
      </c>
      <c r="I835" s="4" t="s">
        <v>511</v>
      </c>
    </row>
    <row r="836" spans="1:12" hidden="1" x14ac:dyDescent="0.25">
      <c r="A836" s="61" t="s">
        <v>659</v>
      </c>
      <c r="B836" s="14">
        <v>43613</v>
      </c>
      <c r="C836" s="13">
        <v>914</v>
      </c>
      <c r="D836" s="13" t="s">
        <v>5888</v>
      </c>
      <c r="E836" s="13" t="s">
        <v>808</v>
      </c>
      <c r="F836" s="37">
        <v>233750</v>
      </c>
      <c r="G836" s="29" t="s">
        <v>3104</v>
      </c>
      <c r="H836" s="14">
        <v>43556</v>
      </c>
      <c r="I836" s="4" t="s">
        <v>402</v>
      </c>
    </row>
    <row r="837" spans="1:12" hidden="1" x14ac:dyDescent="0.25">
      <c r="A837" s="61" t="s">
        <v>659</v>
      </c>
      <c r="B837" s="14">
        <v>43613</v>
      </c>
      <c r="C837" s="13">
        <v>915</v>
      </c>
      <c r="D837" s="13" t="s">
        <v>692</v>
      </c>
      <c r="E837" s="13" t="s">
        <v>808</v>
      </c>
      <c r="F837" s="37">
        <v>81125</v>
      </c>
      <c r="G837" s="29" t="s">
        <v>36</v>
      </c>
      <c r="H837" s="14">
        <v>43569</v>
      </c>
      <c r="I837" s="4" t="s">
        <v>419</v>
      </c>
    </row>
    <row r="838" spans="1:12" hidden="1" x14ac:dyDescent="0.25">
      <c r="A838" s="61" t="s">
        <v>1316</v>
      </c>
      <c r="B838" s="14">
        <v>43613</v>
      </c>
      <c r="C838" s="13">
        <v>916</v>
      </c>
      <c r="D838" s="13" t="s">
        <v>431</v>
      </c>
      <c r="E838" s="13" t="s">
        <v>808</v>
      </c>
      <c r="F838" s="37">
        <v>17000</v>
      </c>
      <c r="G838" s="29" t="s">
        <v>26</v>
      </c>
      <c r="H838" s="14">
        <v>43577</v>
      </c>
      <c r="I838" s="4" t="s">
        <v>95</v>
      </c>
    </row>
    <row r="839" spans="1:12" hidden="1" x14ac:dyDescent="0.25">
      <c r="A839" s="13" t="s">
        <v>659</v>
      </c>
      <c r="B839" s="14">
        <v>43613</v>
      </c>
      <c r="C839" s="13">
        <v>917</v>
      </c>
      <c r="D839" s="13" t="s">
        <v>6788</v>
      </c>
      <c r="E839" s="13" t="s">
        <v>808</v>
      </c>
      <c r="F839" s="4">
        <v>10000</v>
      </c>
      <c r="G839" s="28" t="s">
        <v>6790</v>
      </c>
      <c r="H839" s="14">
        <v>43552</v>
      </c>
      <c r="I839" s="4" t="s">
        <v>354</v>
      </c>
    </row>
    <row r="840" spans="1:12" hidden="1" x14ac:dyDescent="0.25">
      <c r="A840" s="61" t="s">
        <v>261</v>
      </c>
      <c r="B840" s="14">
        <v>43613</v>
      </c>
      <c r="C840" s="13">
        <v>901</v>
      </c>
      <c r="D840" s="13" t="s">
        <v>149</v>
      </c>
      <c r="E840" s="13" t="s">
        <v>808</v>
      </c>
      <c r="F840" s="4">
        <v>7000</v>
      </c>
      <c r="G840" s="28" t="s">
        <v>6115</v>
      </c>
      <c r="H840" s="14">
        <v>43496</v>
      </c>
      <c r="I840" s="4" t="s">
        <v>4884</v>
      </c>
    </row>
    <row r="841" spans="1:12" hidden="1" x14ac:dyDescent="0.25">
      <c r="A841" s="61" t="s">
        <v>659</v>
      </c>
      <c r="B841" s="14">
        <v>43613</v>
      </c>
      <c r="C841" s="13">
        <v>902</v>
      </c>
      <c r="D841" s="13" t="s">
        <v>149</v>
      </c>
      <c r="E841" s="13" t="s">
        <v>808</v>
      </c>
      <c r="F841" s="4">
        <v>10500</v>
      </c>
      <c r="G841" s="28" t="s">
        <v>2042</v>
      </c>
      <c r="H841" s="14">
        <v>43496</v>
      </c>
      <c r="I841" s="4" t="s">
        <v>4884</v>
      </c>
    </row>
    <row r="842" spans="1:12" ht="15" hidden="1" customHeight="1" x14ac:dyDescent="0.25">
      <c r="A842" s="32" t="s">
        <v>213</v>
      </c>
      <c r="B842" s="14">
        <v>43613</v>
      </c>
      <c r="C842" s="67">
        <v>469</v>
      </c>
      <c r="D842" s="32" t="s">
        <v>757</v>
      </c>
      <c r="E842" s="32" t="s">
        <v>136</v>
      </c>
      <c r="F842" s="4">
        <f>1077114.09-958849.95</f>
        <v>118264.14000000013</v>
      </c>
      <c r="G842" s="28" t="s">
        <v>8045</v>
      </c>
      <c r="H842" s="14">
        <v>43566</v>
      </c>
      <c r="I842" s="4" t="s">
        <v>362</v>
      </c>
      <c r="J842" s="166" t="s">
        <v>366</v>
      </c>
      <c r="K842" s="167"/>
      <c r="L842" s="35"/>
    </row>
    <row r="843" spans="1:12" ht="13.95" hidden="1" customHeight="1" x14ac:dyDescent="0.25">
      <c r="A843" s="13" t="s">
        <v>358</v>
      </c>
      <c r="B843" s="14">
        <v>43613</v>
      </c>
      <c r="C843" s="13">
        <v>74</v>
      </c>
      <c r="D843" s="32" t="s">
        <v>1392</v>
      </c>
      <c r="E843" s="32" t="s">
        <v>742</v>
      </c>
      <c r="F843" s="4">
        <v>389340</v>
      </c>
      <c r="G843" s="210" t="s">
        <v>6617</v>
      </c>
      <c r="H843" s="211">
        <v>43566</v>
      </c>
      <c r="I843" s="208" t="s">
        <v>8155</v>
      </c>
      <c r="J843" s="21"/>
      <c r="K843" s="228"/>
    </row>
    <row r="844" spans="1:12" ht="13.95" hidden="1" customHeight="1" x14ac:dyDescent="0.25">
      <c r="A844" s="13" t="s">
        <v>91</v>
      </c>
      <c r="B844" s="14">
        <v>43613</v>
      </c>
      <c r="C844" s="13">
        <v>853</v>
      </c>
      <c r="D844" s="32" t="s">
        <v>4521</v>
      </c>
      <c r="E844" s="32" t="s">
        <v>130</v>
      </c>
      <c r="F844" s="4">
        <v>500000</v>
      </c>
      <c r="G844" s="86" t="s">
        <v>4522</v>
      </c>
      <c r="H844" s="211"/>
      <c r="I844" s="208" t="s">
        <v>4523</v>
      </c>
      <c r="J844" s="21"/>
      <c r="K844" s="228"/>
    </row>
    <row r="845" spans="1:12" ht="13.95" hidden="1" customHeight="1" x14ac:dyDescent="0.25">
      <c r="A845" s="68" t="s">
        <v>1637</v>
      </c>
      <c r="B845" s="14">
        <v>43613</v>
      </c>
      <c r="C845" s="13">
        <v>889</v>
      </c>
      <c r="D845" s="32" t="s">
        <v>1644</v>
      </c>
      <c r="E845" s="32" t="s">
        <v>62</v>
      </c>
      <c r="F845" s="4">
        <v>3135000</v>
      </c>
      <c r="G845" s="86" t="s">
        <v>4252</v>
      </c>
      <c r="H845" s="211"/>
      <c r="I845" s="84" t="s">
        <v>23</v>
      </c>
      <c r="J845" s="21"/>
      <c r="K845" s="228"/>
    </row>
    <row r="846" spans="1:12" s="97" customFormat="1" hidden="1" x14ac:dyDescent="0.25">
      <c r="A846" s="68" t="s">
        <v>160</v>
      </c>
      <c r="B846" s="14">
        <v>43613</v>
      </c>
      <c r="C846" s="13">
        <v>890</v>
      </c>
      <c r="D846" s="13" t="s">
        <v>982</v>
      </c>
      <c r="E846" s="13" t="s">
        <v>62</v>
      </c>
      <c r="F846" s="4">
        <v>500000</v>
      </c>
      <c r="G846" s="29" t="s">
        <v>1296</v>
      </c>
      <c r="H846" s="14">
        <v>41319</v>
      </c>
      <c r="I846" s="4" t="s">
        <v>1093</v>
      </c>
      <c r="J846" s="133"/>
      <c r="K846" s="22"/>
      <c r="L846" s="134"/>
    </row>
    <row r="847" spans="1:12" s="97" customFormat="1" hidden="1" x14ac:dyDescent="0.25">
      <c r="A847" s="13" t="s">
        <v>160</v>
      </c>
      <c r="B847" s="14">
        <v>43613</v>
      </c>
      <c r="C847" s="13">
        <v>891</v>
      </c>
      <c r="D847" s="13" t="s">
        <v>590</v>
      </c>
      <c r="E847" s="13" t="s">
        <v>62</v>
      </c>
      <c r="F847" s="4">
        <v>1000000</v>
      </c>
      <c r="G847" s="29" t="s">
        <v>1197</v>
      </c>
      <c r="H847" s="14">
        <v>41572</v>
      </c>
      <c r="I847" s="4" t="s">
        <v>159</v>
      </c>
      <c r="J847" s="133"/>
      <c r="K847" s="22"/>
      <c r="L847" s="134"/>
    </row>
    <row r="848" spans="1:12" s="97" customFormat="1" hidden="1" x14ac:dyDescent="0.25">
      <c r="A848" s="61" t="s">
        <v>92</v>
      </c>
      <c r="B848" s="14">
        <v>43613</v>
      </c>
      <c r="C848" s="13">
        <v>892</v>
      </c>
      <c r="D848" s="13" t="s">
        <v>1491</v>
      </c>
      <c r="E848" s="13" t="s">
        <v>62</v>
      </c>
      <c r="F848" s="37">
        <v>250000</v>
      </c>
      <c r="G848" s="29" t="s">
        <v>6816</v>
      </c>
      <c r="H848" s="14">
        <v>43567</v>
      </c>
      <c r="I848" s="4" t="s">
        <v>555</v>
      </c>
      <c r="J848" s="133"/>
      <c r="K848" s="22"/>
      <c r="L848" s="134"/>
    </row>
    <row r="849" spans="1:16" s="93" customFormat="1" hidden="1" x14ac:dyDescent="0.25">
      <c r="A849" s="61" t="s">
        <v>92</v>
      </c>
      <c r="B849" s="14">
        <v>43613</v>
      </c>
      <c r="C849" s="13">
        <v>893</v>
      </c>
      <c r="D849" s="13" t="s">
        <v>244</v>
      </c>
      <c r="E849" s="13" t="s">
        <v>62</v>
      </c>
      <c r="F849" s="37">
        <v>250000</v>
      </c>
      <c r="G849" s="29" t="s">
        <v>898</v>
      </c>
      <c r="H849" s="14">
        <v>43570</v>
      </c>
      <c r="I849" s="4" t="s">
        <v>3433</v>
      </c>
      <c r="J849" s="130"/>
      <c r="K849" s="16"/>
      <c r="L849" s="92"/>
    </row>
    <row r="850" spans="1:16" hidden="1" x14ac:dyDescent="0.25">
      <c r="A850" s="61" t="s">
        <v>358</v>
      </c>
      <c r="B850" s="14">
        <v>43613</v>
      </c>
      <c r="C850" s="13">
        <v>894</v>
      </c>
      <c r="D850" s="13" t="s">
        <v>2047</v>
      </c>
      <c r="E850" s="13" t="s">
        <v>62</v>
      </c>
      <c r="F850" s="37">
        <v>46750</v>
      </c>
      <c r="G850" s="29" t="s">
        <v>359</v>
      </c>
      <c r="H850" s="14">
        <v>43557</v>
      </c>
      <c r="I850" s="4" t="s">
        <v>95</v>
      </c>
    </row>
    <row r="851" spans="1:16" hidden="1" x14ac:dyDescent="0.25">
      <c r="A851" s="61" t="s">
        <v>91</v>
      </c>
      <c r="B851" s="14">
        <v>43613</v>
      </c>
      <c r="C851" s="13">
        <v>895</v>
      </c>
      <c r="D851" s="13" t="s">
        <v>1985</v>
      </c>
      <c r="E851" s="13" t="s">
        <v>62</v>
      </c>
      <c r="F851" s="37">
        <v>13950</v>
      </c>
      <c r="G851" s="29" t="s">
        <v>1402</v>
      </c>
      <c r="H851" s="14">
        <v>43549</v>
      </c>
      <c r="I851" s="4" t="s">
        <v>122</v>
      </c>
    </row>
    <row r="852" spans="1:16" ht="27.6" hidden="1" x14ac:dyDescent="0.25">
      <c r="A852" s="61" t="s">
        <v>6103</v>
      </c>
      <c r="B852" s="14">
        <v>43613</v>
      </c>
      <c r="C852" s="13">
        <v>895</v>
      </c>
      <c r="D852" s="13" t="s">
        <v>1985</v>
      </c>
      <c r="E852" s="13" t="s">
        <v>62</v>
      </c>
      <c r="F852" s="4">
        <v>37950</v>
      </c>
      <c r="G852" s="28" t="s">
        <v>5200</v>
      </c>
      <c r="H852" s="14">
        <v>43553</v>
      </c>
      <c r="I852" s="4" t="s">
        <v>122</v>
      </c>
    </row>
    <row r="853" spans="1:16" hidden="1" x14ac:dyDescent="0.25">
      <c r="A853" s="61" t="s">
        <v>442</v>
      </c>
      <c r="B853" s="14">
        <v>43613</v>
      </c>
      <c r="C853" s="13">
        <v>896</v>
      </c>
      <c r="D853" s="13" t="s">
        <v>692</v>
      </c>
      <c r="E853" s="13" t="s">
        <v>62</v>
      </c>
      <c r="F853" s="37">
        <v>134750</v>
      </c>
      <c r="G853" s="29" t="s">
        <v>6784</v>
      </c>
      <c r="H853" s="14">
        <v>43569</v>
      </c>
      <c r="I853" s="4" t="s">
        <v>419</v>
      </c>
    </row>
    <row r="854" spans="1:16" s="466" customFormat="1" hidden="1" x14ac:dyDescent="0.25">
      <c r="A854" s="356" t="s">
        <v>455</v>
      </c>
      <c r="B854" s="102">
        <v>43613</v>
      </c>
      <c r="C854" s="328">
        <v>521</v>
      </c>
      <c r="D854" s="328" t="s">
        <v>740</v>
      </c>
      <c r="E854" s="328" t="s">
        <v>958</v>
      </c>
      <c r="F854" s="101">
        <v>675000</v>
      </c>
      <c r="G854" s="462" t="s">
        <v>8238</v>
      </c>
      <c r="H854" s="102"/>
      <c r="I854" s="327"/>
      <c r="J854" s="464" t="s">
        <v>8239</v>
      </c>
      <c r="K854" s="144"/>
      <c r="L854" s="465"/>
    </row>
    <row r="855" spans="1:16" s="97" customFormat="1" ht="27.6" hidden="1" x14ac:dyDescent="0.25">
      <c r="A855" s="13" t="s">
        <v>455</v>
      </c>
      <c r="B855" s="14">
        <v>43613</v>
      </c>
      <c r="C855" s="13">
        <v>522</v>
      </c>
      <c r="D855" s="13" t="s">
        <v>7763</v>
      </c>
      <c r="E855" s="13" t="s">
        <v>958</v>
      </c>
      <c r="F855" s="4">
        <v>350000</v>
      </c>
      <c r="G855" s="28" t="s">
        <v>7764</v>
      </c>
      <c r="H855" s="14">
        <v>43592</v>
      </c>
      <c r="I855" s="4" t="s">
        <v>421</v>
      </c>
      <c r="J855" s="133"/>
      <c r="K855" s="22"/>
      <c r="L855" s="134"/>
    </row>
    <row r="856" spans="1:16" s="97" customFormat="1" hidden="1" x14ac:dyDescent="0.25">
      <c r="A856" s="32" t="s">
        <v>455</v>
      </c>
      <c r="B856" s="14">
        <v>43613</v>
      </c>
      <c r="C856" s="13">
        <v>523</v>
      </c>
      <c r="D856" s="13" t="s">
        <v>1082</v>
      </c>
      <c r="E856" s="13" t="s">
        <v>958</v>
      </c>
      <c r="F856" s="4">
        <v>850969.92</v>
      </c>
      <c r="G856" s="29" t="s">
        <v>33</v>
      </c>
      <c r="H856" s="14">
        <v>43539</v>
      </c>
      <c r="I856" s="4" t="s">
        <v>423</v>
      </c>
      <c r="J856" s="133"/>
      <c r="K856" s="22"/>
      <c r="L856" s="134"/>
    </row>
    <row r="857" spans="1:16" hidden="1" x14ac:dyDescent="0.25">
      <c r="A857" s="61" t="s">
        <v>455</v>
      </c>
      <c r="B857" s="14">
        <v>43613</v>
      </c>
      <c r="C857" s="13">
        <v>524</v>
      </c>
      <c r="D857" s="13" t="s">
        <v>5345</v>
      </c>
      <c r="E857" s="13" t="s">
        <v>958</v>
      </c>
      <c r="F857" s="37">
        <v>60000</v>
      </c>
      <c r="G857" s="28" t="s">
        <v>199</v>
      </c>
      <c r="H857" s="14">
        <v>43555</v>
      </c>
      <c r="I857" s="4" t="s">
        <v>5346</v>
      </c>
    </row>
    <row r="858" spans="1:16" hidden="1" x14ac:dyDescent="0.25">
      <c r="A858" s="61" t="s">
        <v>311</v>
      </c>
      <c r="B858" s="14">
        <v>43613</v>
      </c>
      <c r="C858" s="13">
        <v>525</v>
      </c>
      <c r="D858" s="13" t="s">
        <v>80</v>
      </c>
      <c r="E858" s="13" t="s">
        <v>958</v>
      </c>
      <c r="F858" s="37">
        <v>23040</v>
      </c>
      <c r="G858" s="29" t="s">
        <v>7423</v>
      </c>
      <c r="H858" s="14">
        <v>43574</v>
      </c>
      <c r="I858" s="4" t="s">
        <v>354</v>
      </c>
    </row>
    <row r="859" spans="1:16" ht="13.95" hidden="1" customHeight="1" x14ac:dyDescent="0.25">
      <c r="A859" s="13" t="s">
        <v>637</v>
      </c>
      <c r="B859" s="126">
        <v>43613</v>
      </c>
      <c r="C859" s="13">
        <v>387</v>
      </c>
      <c r="D859" s="32" t="s">
        <v>228</v>
      </c>
      <c r="E859" s="32" t="s">
        <v>691</v>
      </c>
      <c r="F859" s="4">
        <f>3400000-1200000</f>
        <v>2200000</v>
      </c>
      <c r="G859" s="86" t="s">
        <v>7545</v>
      </c>
      <c r="H859" s="14"/>
      <c r="I859" s="41" t="s">
        <v>229</v>
      </c>
      <c r="J859" s="21"/>
      <c r="K859" s="228"/>
    </row>
    <row r="860" spans="1:16" hidden="1" x14ac:dyDescent="0.25">
      <c r="A860" s="13" t="s">
        <v>637</v>
      </c>
      <c r="B860" s="126">
        <v>43613</v>
      </c>
      <c r="C860" s="13">
        <v>388</v>
      </c>
      <c r="D860" s="13" t="s">
        <v>470</v>
      </c>
      <c r="E860" s="13" t="s">
        <v>691</v>
      </c>
      <c r="F860" s="4">
        <v>3000000</v>
      </c>
      <c r="G860" s="69" t="s">
        <v>1818</v>
      </c>
      <c r="H860" s="14"/>
      <c r="I860" s="208" t="s">
        <v>237</v>
      </c>
      <c r="J860" s="62"/>
      <c r="K860" s="62"/>
      <c r="L860" s="35"/>
      <c r="M860" s="35"/>
      <c r="N860" s="35"/>
      <c r="O860" s="35"/>
      <c r="P860" s="35"/>
    </row>
    <row r="861" spans="1:16" hidden="1" x14ac:dyDescent="0.25">
      <c r="A861" s="61" t="s">
        <v>1455</v>
      </c>
      <c r="B861" s="126">
        <v>43613</v>
      </c>
      <c r="C861" s="13">
        <v>389</v>
      </c>
      <c r="D861" s="13" t="s">
        <v>447</v>
      </c>
      <c r="E861" s="13" t="s">
        <v>691</v>
      </c>
      <c r="F861" s="37">
        <v>60000</v>
      </c>
      <c r="G861" s="29" t="s">
        <v>4098</v>
      </c>
      <c r="H861" s="14">
        <v>43570</v>
      </c>
      <c r="I861" s="4" t="s">
        <v>6425</v>
      </c>
    </row>
    <row r="862" spans="1:16" hidden="1" x14ac:dyDescent="0.25">
      <c r="A862" s="61" t="s">
        <v>1350</v>
      </c>
      <c r="B862" s="126">
        <v>43613</v>
      </c>
      <c r="C862" s="13">
        <v>390</v>
      </c>
      <c r="D862" s="13" t="s">
        <v>4870</v>
      </c>
      <c r="E862" s="13" t="s">
        <v>691</v>
      </c>
      <c r="F862" s="37">
        <v>64500</v>
      </c>
      <c r="G862" s="29" t="s">
        <v>7431</v>
      </c>
      <c r="H862" s="14">
        <v>43555</v>
      </c>
      <c r="I862" s="4" t="s">
        <v>6781</v>
      </c>
    </row>
    <row r="863" spans="1:16" hidden="1" x14ac:dyDescent="0.25">
      <c r="A863" s="61" t="s">
        <v>637</v>
      </c>
      <c r="B863" s="126">
        <v>43613</v>
      </c>
      <c r="C863" s="13">
        <v>391</v>
      </c>
      <c r="D863" s="13" t="s">
        <v>1688</v>
      </c>
      <c r="E863" s="13" t="s">
        <v>691</v>
      </c>
      <c r="F863" s="37">
        <v>12960</v>
      </c>
      <c r="G863" s="29" t="s">
        <v>7035</v>
      </c>
      <c r="H863" s="14">
        <v>43556</v>
      </c>
      <c r="I863" s="4" t="s">
        <v>6455</v>
      </c>
    </row>
    <row r="864" spans="1:16" s="62" customFormat="1" ht="15" hidden="1" customHeight="1" x14ac:dyDescent="0.25">
      <c r="A864" s="13" t="s">
        <v>8</v>
      </c>
      <c r="B864" s="14">
        <v>43613</v>
      </c>
      <c r="C864" s="13">
        <v>926</v>
      </c>
      <c r="D864" s="13" t="s">
        <v>1765</v>
      </c>
      <c r="E864" s="13" t="s">
        <v>808</v>
      </c>
      <c r="F864" s="4">
        <v>1000000</v>
      </c>
      <c r="G864" s="69" t="s">
        <v>1766</v>
      </c>
      <c r="H864" s="14"/>
      <c r="I864" s="4" t="s">
        <v>1204</v>
      </c>
      <c r="J864" s="71"/>
    </row>
    <row r="865" spans="1:12" s="97" customFormat="1" hidden="1" x14ac:dyDescent="0.25">
      <c r="A865" s="32" t="s">
        <v>1148</v>
      </c>
      <c r="B865" s="14">
        <v>43613</v>
      </c>
      <c r="C865" s="13">
        <v>927</v>
      </c>
      <c r="D865" s="13" t="s">
        <v>243</v>
      </c>
      <c r="E865" s="13" t="s">
        <v>808</v>
      </c>
      <c r="F865" s="4">
        <v>723077.76</v>
      </c>
      <c r="G865" s="28" t="s">
        <v>3383</v>
      </c>
      <c r="H865" s="14">
        <v>43514</v>
      </c>
      <c r="I865" s="4" t="s">
        <v>264</v>
      </c>
      <c r="J865" s="133"/>
      <c r="K865" s="22"/>
      <c r="L865" s="134"/>
    </row>
    <row r="866" spans="1:12" s="97" customFormat="1" hidden="1" x14ac:dyDescent="0.25">
      <c r="A866" s="61" t="s">
        <v>1148</v>
      </c>
      <c r="B866" s="14">
        <v>43613</v>
      </c>
      <c r="C866" s="13">
        <v>928</v>
      </c>
      <c r="D866" s="13" t="s">
        <v>539</v>
      </c>
      <c r="E866" s="13" t="s">
        <v>808</v>
      </c>
      <c r="F866" s="37">
        <v>743580</v>
      </c>
      <c r="G866" s="29" t="s">
        <v>7082</v>
      </c>
      <c r="H866" s="14">
        <v>43574</v>
      </c>
      <c r="I866" s="4" t="s">
        <v>421</v>
      </c>
      <c r="J866" s="133"/>
      <c r="K866" s="22"/>
      <c r="L866" s="134"/>
    </row>
    <row r="867" spans="1:12" s="97" customFormat="1" hidden="1" x14ac:dyDescent="0.25">
      <c r="A867" s="61" t="s">
        <v>1147</v>
      </c>
      <c r="B867" s="14">
        <v>43613</v>
      </c>
      <c r="C867" s="13">
        <v>928</v>
      </c>
      <c r="D867" s="13" t="s">
        <v>539</v>
      </c>
      <c r="E867" s="13" t="s">
        <v>808</v>
      </c>
      <c r="F867" s="37">
        <v>820287</v>
      </c>
      <c r="G867" s="29" t="s">
        <v>6120</v>
      </c>
      <c r="H867" s="14">
        <v>43577</v>
      </c>
      <c r="I867" s="4" t="s">
        <v>7083</v>
      </c>
      <c r="J867" s="133"/>
      <c r="K867" s="22"/>
      <c r="L867" s="134"/>
    </row>
    <row r="868" spans="1:12" s="97" customFormat="1" hidden="1" x14ac:dyDescent="0.25">
      <c r="A868" s="61" t="s">
        <v>1147</v>
      </c>
      <c r="B868" s="14">
        <v>43613</v>
      </c>
      <c r="C868" s="13">
        <v>929</v>
      </c>
      <c r="D868" s="13" t="s">
        <v>6642</v>
      </c>
      <c r="E868" s="13" t="s">
        <v>808</v>
      </c>
      <c r="F868" s="37">
        <v>1514463.3</v>
      </c>
      <c r="G868" s="29" t="s">
        <v>3317</v>
      </c>
      <c r="H868" s="14">
        <v>43579</v>
      </c>
      <c r="I868" s="4" t="s">
        <v>1207</v>
      </c>
      <c r="J868" s="133"/>
      <c r="K868" s="22"/>
      <c r="L868" s="134"/>
    </row>
    <row r="869" spans="1:12" s="97" customFormat="1" hidden="1" x14ac:dyDescent="0.25">
      <c r="A869" s="61" t="s">
        <v>1147</v>
      </c>
      <c r="B869" s="14">
        <v>43613</v>
      </c>
      <c r="C869" s="13">
        <v>930</v>
      </c>
      <c r="D869" s="13" t="s">
        <v>6805</v>
      </c>
      <c r="E869" s="13" t="s">
        <v>808</v>
      </c>
      <c r="F869" s="37">
        <v>822375</v>
      </c>
      <c r="G869" s="29" t="s">
        <v>1393</v>
      </c>
      <c r="H869" s="14">
        <v>43571</v>
      </c>
      <c r="I869" s="4" t="s">
        <v>423</v>
      </c>
      <c r="J869" s="133"/>
      <c r="K869" s="22"/>
      <c r="L869" s="134"/>
    </row>
    <row r="870" spans="1:12" hidden="1" x14ac:dyDescent="0.25">
      <c r="A870" s="61" t="s">
        <v>659</v>
      </c>
      <c r="B870" s="14">
        <v>43613</v>
      </c>
      <c r="C870" s="13">
        <v>931</v>
      </c>
      <c r="D870" s="13" t="s">
        <v>944</v>
      </c>
      <c r="E870" s="13" t="s">
        <v>808</v>
      </c>
      <c r="F870" s="37">
        <v>67500</v>
      </c>
      <c r="G870" s="29" t="s">
        <v>139</v>
      </c>
      <c r="H870" s="14">
        <v>43549</v>
      </c>
      <c r="I870" s="4" t="s">
        <v>6071</v>
      </c>
    </row>
    <row r="871" spans="1:12" hidden="1" x14ac:dyDescent="0.25">
      <c r="A871" s="61" t="s">
        <v>659</v>
      </c>
      <c r="B871" s="14">
        <v>43613</v>
      </c>
      <c r="C871" s="13">
        <v>932</v>
      </c>
      <c r="D871" s="13" t="s">
        <v>1099</v>
      </c>
      <c r="E871" s="13" t="s">
        <v>808</v>
      </c>
      <c r="F871" s="37">
        <v>28153.200000000001</v>
      </c>
      <c r="G871" s="29" t="s">
        <v>2677</v>
      </c>
      <c r="H871" s="14">
        <v>43542</v>
      </c>
      <c r="I871" s="4" t="s">
        <v>461</v>
      </c>
    </row>
    <row r="872" spans="1:12" ht="41.4" hidden="1" x14ac:dyDescent="0.25">
      <c r="A872" s="61" t="s">
        <v>6426</v>
      </c>
      <c r="B872" s="14">
        <v>43613</v>
      </c>
      <c r="C872" s="13">
        <v>933</v>
      </c>
      <c r="D872" s="13" t="s">
        <v>381</v>
      </c>
      <c r="E872" s="13" t="s">
        <v>808</v>
      </c>
      <c r="F872" s="37">
        <f>139200-33200</f>
        <v>106000</v>
      </c>
      <c r="G872" s="29" t="s">
        <v>724</v>
      </c>
      <c r="H872" s="14">
        <v>43555</v>
      </c>
      <c r="I872" s="4" t="s">
        <v>95</v>
      </c>
    </row>
    <row r="873" spans="1:12" hidden="1" x14ac:dyDescent="0.25">
      <c r="A873" s="61" t="s">
        <v>1148</v>
      </c>
      <c r="B873" s="14">
        <v>43613</v>
      </c>
      <c r="C873" s="13">
        <v>934</v>
      </c>
      <c r="D873" s="13" t="s">
        <v>282</v>
      </c>
      <c r="E873" s="13" t="s">
        <v>808</v>
      </c>
      <c r="F873" s="37">
        <v>7150</v>
      </c>
      <c r="G873" s="29" t="s">
        <v>5142</v>
      </c>
      <c r="H873" s="14">
        <v>43566</v>
      </c>
      <c r="I873" s="4" t="s">
        <v>283</v>
      </c>
    </row>
    <row r="874" spans="1:12" hidden="1" x14ac:dyDescent="0.25">
      <c r="A874" s="61" t="s">
        <v>659</v>
      </c>
      <c r="B874" s="14">
        <v>43613</v>
      </c>
      <c r="C874" s="13">
        <v>935</v>
      </c>
      <c r="D874" s="13" t="s">
        <v>250</v>
      </c>
      <c r="E874" s="13" t="s">
        <v>808</v>
      </c>
      <c r="F874" s="4">
        <f>371687.5-100000</f>
        <v>271687.5</v>
      </c>
      <c r="G874" s="28" t="s">
        <v>6095</v>
      </c>
      <c r="H874" s="14">
        <v>43554</v>
      </c>
      <c r="I874" s="4" t="s">
        <v>4088</v>
      </c>
    </row>
    <row r="875" spans="1:12" ht="27.6" hidden="1" x14ac:dyDescent="0.25">
      <c r="A875" s="61" t="s">
        <v>1806</v>
      </c>
      <c r="B875" s="14">
        <v>43613</v>
      </c>
      <c r="C875" s="13">
        <v>936</v>
      </c>
      <c r="D875" s="13" t="s">
        <v>29</v>
      </c>
      <c r="E875" s="13" t="s">
        <v>808</v>
      </c>
      <c r="F875" s="37">
        <f>221400-100000</f>
        <v>121400</v>
      </c>
      <c r="G875" s="29" t="s">
        <v>729</v>
      </c>
      <c r="H875" s="14">
        <v>43545</v>
      </c>
      <c r="I875" s="4" t="s">
        <v>511</v>
      </c>
    </row>
    <row r="876" spans="1:12" hidden="1" x14ac:dyDescent="0.25">
      <c r="A876" s="61" t="s">
        <v>1316</v>
      </c>
      <c r="B876" s="14">
        <v>43613</v>
      </c>
      <c r="C876" s="13">
        <v>936</v>
      </c>
      <c r="D876" s="13" t="s">
        <v>29</v>
      </c>
      <c r="E876" s="13" t="s">
        <v>808</v>
      </c>
      <c r="F876" s="37">
        <v>22800</v>
      </c>
      <c r="G876" s="29" t="s">
        <v>3406</v>
      </c>
      <c r="H876" s="14">
        <v>43550</v>
      </c>
      <c r="I876" s="4" t="s">
        <v>87</v>
      </c>
    </row>
    <row r="877" spans="1:12" hidden="1" x14ac:dyDescent="0.25">
      <c r="A877" s="61" t="s">
        <v>659</v>
      </c>
      <c r="B877" s="14">
        <v>43613</v>
      </c>
      <c r="C877" s="13">
        <v>937</v>
      </c>
      <c r="D877" s="218" t="s">
        <v>764</v>
      </c>
      <c r="E877" s="13" t="s">
        <v>808</v>
      </c>
      <c r="F877" s="224">
        <v>68250</v>
      </c>
      <c r="G877" s="28" t="s">
        <v>5191</v>
      </c>
      <c r="H877" s="14">
        <v>43563</v>
      </c>
      <c r="I877" s="32" t="s">
        <v>6450</v>
      </c>
    </row>
    <row r="878" spans="1:12" hidden="1" x14ac:dyDescent="0.25">
      <c r="A878" s="13" t="s">
        <v>1316</v>
      </c>
      <c r="B878" s="14">
        <v>43613</v>
      </c>
      <c r="C878" s="13">
        <v>938</v>
      </c>
      <c r="D878" s="13" t="s">
        <v>1985</v>
      </c>
      <c r="E878" s="13" t="s">
        <v>808</v>
      </c>
      <c r="F878" s="4">
        <v>19000</v>
      </c>
      <c r="G878" s="28" t="s">
        <v>1210</v>
      </c>
      <c r="H878" s="14">
        <v>43553</v>
      </c>
      <c r="I878" s="4" t="s">
        <v>4317</v>
      </c>
    </row>
    <row r="879" spans="1:12" ht="27.6" hidden="1" x14ac:dyDescent="0.25">
      <c r="A879" s="32" t="s">
        <v>6104</v>
      </c>
      <c r="B879" s="14">
        <v>43613</v>
      </c>
      <c r="C879" s="13">
        <v>938</v>
      </c>
      <c r="D879" s="13" t="s">
        <v>1985</v>
      </c>
      <c r="E879" s="13" t="s">
        <v>808</v>
      </c>
      <c r="F879" s="4">
        <v>27500</v>
      </c>
      <c r="G879" s="28" t="s">
        <v>1319</v>
      </c>
      <c r="H879" s="14">
        <v>43553</v>
      </c>
      <c r="I879" s="4" t="s">
        <v>122</v>
      </c>
    </row>
    <row r="880" spans="1:12" hidden="1" x14ac:dyDescent="0.25">
      <c r="A880" s="61" t="s">
        <v>1316</v>
      </c>
      <c r="B880" s="14">
        <v>43613</v>
      </c>
      <c r="C880" s="13">
        <v>939</v>
      </c>
      <c r="D880" s="13" t="s">
        <v>4874</v>
      </c>
      <c r="E880" s="13" t="s">
        <v>808</v>
      </c>
      <c r="F880" s="37">
        <v>10175</v>
      </c>
      <c r="G880" s="29" t="s">
        <v>3587</v>
      </c>
      <c r="H880" s="14">
        <v>43557</v>
      </c>
      <c r="I880" s="4" t="s">
        <v>87</v>
      </c>
    </row>
    <row r="881" spans="1:19" hidden="1" x14ac:dyDescent="0.25">
      <c r="A881" s="61" t="s">
        <v>1148</v>
      </c>
      <c r="B881" s="14">
        <v>43613</v>
      </c>
      <c r="C881" s="13">
        <v>939</v>
      </c>
      <c r="D881" s="13" t="s">
        <v>4874</v>
      </c>
      <c r="E881" s="13" t="s">
        <v>808</v>
      </c>
      <c r="F881" s="37">
        <v>60000</v>
      </c>
      <c r="G881" s="29" t="s">
        <v>1389</v>
      </c>
      <c r="H881" s="14">
        <v>43585</v>
      </c>
      <c r="I881" s="4" t="s">
        <v>419</v>
      </c>
    </row>
    <row r="882" spans="1:19" hidden="1" x14ac:dyDescent="0.25">
      <c r="A882" s="61" t="s">
        <v>188</v>
      </c>
      <c r="B882" s="14">
        <v>43613</v>
      </c>
      <c r="C882" s="13">
        <v>940</v>
      </c>
      <c r="D882" s="13" t="s">
        <v>149</v>
      </c>
      <c r="E882" s="13" t="s">
        <v>808</v>
      </c>
      <c r="F882" s="4">
        <v>12000</v>
      </c>
      <c r="G882" s="28" t="s">
        <v>6118</v>
      </c>
      <c r="H882" s="14">
        <v>43514</v>
      </c>
      <c r="I882" s="4" t="s">
        <v>4886</v>
      </c>
    </row>
    <row r="883" spans="1:19" hidden="1" x14ac:dyDescent="0.25">
      <c r="A883" s="61" t="s">
        <v>261</v>
      </c>
      <c r="B883" s="14">
        <v>43613</v>
      </c>
      <c r="C883" s="13">
        <v>940</v>
      </c>
      <c r="D883" s="13" t="s">
        <v>149</v>
      </c>
      <c r="E883" s="13" t="s">
        <v>808</v>
      </c>
      <c r="F883" s="4">
        <v>1500</v>
      </c>
      <c r="G883" s="28" t="s">
        <v>2113</v>
      </c>
      <c r="H883" s="14">
        <v>43514</v>
      </c>
      <c r="I883" s="4" t="s">
        <v>4887</v>
      </c>
    </row>
    <row r="884" spans="1:19" hidden="1" x14ac:dyDescent="0.25">
      <c r="A884" s="61" t="s">
        <v>659</v>
      </c>
      <c r="B884" s="14">
        <v>43613</v>
      </c>
      <c r="C884" s="13">
        <v>940</v>
      </c>
      <c r="D884" s="13" t="s">
        <v>149</v>
      </c>
      <c r="E884" s="13" t="s">
        <v>808</v>
      </c>
      <c r="F884" s="4">
        <v>500</v>
      </c>
      <c r="G884" s="28" t="s">
        <v>6119</v>
      </c>
      <c r="H884" s="14">
        <v>43514</v>
      </c>
      <c r="I884" s="4" t="s">
        <v>4887</v>
      </c>
    </row>
    <row r="885" spans="1:19" hidden="1" x14ac:dyDescent="0.25">
      <c r="A885" s="32" t="s">
        <v>1316</v>
      </c>
      <c r="B885" s="14">
        <v>43613</v>
      </c>
      <c r="C885" s="13">
        <v>940</v>
      </c>
      <c r="D885" s="13" t="s">
        <v>149</v>
      </c>
      <c r="E885" s="13" t="s">
        <v>808</v>
      </c>
      <c r="F885" s="4">
        <v>1000</v>
      </c>
      <c r="G885" s="28" t="s">
        <v>6120</v>
      </c>
      <c r="H885" s="14">
        <v>43514</v>
      </c>
      <c r="I885" s="4" t="s">
        <v>4887</v>
      </c>
    </row>
    <row r="886" spans="1:19" hidden="1" x14ac:dyDescent="0.25">
      <c r="A886" s="32" t="s">
        <v>659</v>
      </c>
      <c r="B886" s="14">
        <v>43613</v>
      </c>
      <c r="C886" s="13">
        <v>941</v>
      </c>
      <c r="D886" s="13" t="s">
        <v>2115</v>
      </c>
      <c r="E886" s="13" t="s">
        <v>808</v>
      </c>
      <c r="F886" s="4">
        <v>35750</v>
      </c>
      <c r="G886" s="28" t="s">
        <v>727</v>
      </c>
      <c r="H886" s="14">
        <v>43555</v>
      </c>
      <c r="I886" s="4" t="s">
        <v>164</v>
      </c>
    </row>
    <row r="887" spans="1:19" hidden="1" x14ac:dyDescent="0.25">
      <c r="A887" s="32" t="s">
        <v>1148</v>
      </c>
      <c r="B887" s="14">
        <v>43613</v>
      </c>
      <c r="C887" s="13">
        <v>941</v>
      </c>
      <c r="D887" s="13" t="s">
        <v>2115</v>
      </c>
      <c r="E887" s="13" t="s">
        <v>808</v>
      </c>
      <c r="F887" s="4">
        <v>167900</v>
      </c>
      <c r="G887" s="28" t="s">
        <v>85</v>
      </c>
      <c r="H887" s="14">
        <v>43555</v>
      </c>
      <c r="I887" s="4" t="s">
        <v>164</v>
      </c>
    </row>
    <row r="888" spans="1:19" ht="27.6" hidden="1" x14ac:dyDescent="0.25">
      <c r="A888" s="13" t="s">
        <v>55</v>
      </c>
      <c r="B888" s="14">
        <v>43613</v>
      </c>
      <c r="C888" s="13">
        <v>852</v>
      </c>
      <c r="D888" s="32" t="s">
        <v>285</v>
      </c>
      <c r="E888" s="32" t="s">
        <v>1427</v>
      </c>
      <c r="F888" s="4">
        <v>7000000</v>
      </c>
      <c r="G888" s="69" t="s">
        <v>954</v>
      </c>
      <c r="H888" s="14"/>
      <c r="I888" s="41" t="s">
        <v>955</v>
      </c>
      <c r="K888" s="62"/>
    </row>
    <row r="889" spans="1:19" hidden="1" x14ac:dyDescent="0.25">
      <c r="A889" s="13" t="s">
        <v>209</v>
      </c>
      <c r="B889" s="14">
        <v>43613</v>
      </c>
      <c r="C889" s="13">
        <v>112</v>
      </c>
      <c r="D889" s="13" t="s">
        <v>210</v>
      </c>
      <c r="E889" s="13" t="s">
        <v>134</v>
      </c>
      <c r="F889" s="37">
        <v>29306.75</v>
      </c>
      <c r="G889" s="67" t="s">
        <v>7981</v>
      </c>
      <c r="H889" s="14">
        <v>43572</v>
      </c>
      <c r="I889" s="4" t="s">
        <v>7982</v>
      </c>
      <c r="J889" s="406"/>
      <c r="K889" s="228"/>
    </row>
    <row r="890" spans="1:19" ht="27.6" hidden="1" x14ac:dyDescent="0.25">
      <c r="A890" s="32" t="s">
        <v>1147</v>
      </c>
      <c r="B890" s="14">
        <v>43613</v>
      </c>
      <c r="C890" s="67">
        <v>923</v>
      </c>
      <c r="D890" s="32" t="s">
        <v>7555</v>
      </c>
      <c r="E890" s="13" t="s">
        <v>808</v>
      </c>
      <c r="F890" s="4">
        <v>3212129</v>
      </c>
      <c r="G890" s="67">
        <v>6527</v>
      </c>
      <c r="H890" s="14">
        <v>43584</v>
      </c>
      <c r="I890" s="4" t="s">
        <v>7603</v>
      </c>
      <c r="J890" s="21"/>
      <c r="K890" s="228"/>
    </row>
    <row r="891" spans="1:19" ht="16.2" hidden="1" customHeight="1" x14ac:dyDescent="0.25">
      <c r="A891" s="68" t="s">
        <v>1654</v>
      </c>
      <c r="B891" s="14">
        <v>43613</v>
      </c>
      <c r="C891" s="13">
        <v>888</v>
      </c>
      <c r="D891" s="32" t="s">
        <v>1655</v>
      </c>
      <c r="E891" s="32" t="s">
        <v>62</v>
      </c>
      <c r="F891" s="4">
        <v>2000000</v>
      </c>
      <c r="G891" s="69" t="s">
        <v>1656</v>
      </c>
      <c r="H891" s="14"/>
      <c r="I891" s="84" t="s">
        <v>273</v>
      </c>
      <c r="K891" s="62"/>
    </row>
    <row r="892" spans="1:19" s="115" customFormat="1" ht="15" hidden="1" customHeight="1" x14ac:dyDescent="0.25">
      <c r="A892" s="13" t="s">
        <v>2320</v>
      </c>
      <c r="B892" s="14">
        <v>43613</v>
      </c>
      <c r="C892" s="13">
        <v>471</v>
      </c>
      <c r="D892" s="13" t="s">
        <v>2615</v>
      </c>
      <c r="E892" s="13" t="s">
        <v>136</v>
      </c>
      <c r="F892" s="4">
        <v>305084.75</v>
      </c>
      <c r="G892" s="265" t="s">
        <v>2616</v>
      </c>
      <c r="H892" s="126">
        <v>43374</v>
      </c>
      <c r="I892" s="4" t="s">
        <v>2617</v>
      </c>
      <c r="J892" s="21" t="s">
        <v>1386</v>
      </c>
      <c r="K892" s="116"/>
      <c r="L892" s="116"/>
      <c r="M892" s="116"/>
      <c r="N892" s="116"/>
      <c r="O892" s="117"/>
      <c r="P892" s="117"/>
      <c r="Q892" s="117"/>
      <c r="R892" s="117"/>
      <c r="S892" s="117"/>
    </row>
    <row r="893" spans="1:19" hidden="1" x14ac:dyDescent="0.25">
      <c r="A893" s="32" t="s">
        <v>151</v>
      </c>
      <c r="B893" s="14">
        <v>43613</v>
      </c>
      <c r="C893" s="13"/>
      <c r="D893" s="32" t="s">
        <v>8246</v>
      </c>
      <c r="E893" s="32" t="s">
        <v>144</v>
      </c>
      <c r="F893" s="4">
        <v>22000</v>
      </c>
      <c r="G893" s="13"/>
      <c r="H893" s="14"/>
      <c r="I893" s="4" t="s">
        <v>8247</v>
      </c>
      <c r="K893" s="245"/>
    </row>
    <row r="894" spans="1:19" hidden="1" x14ac:dyDescent="0.25">
      <c r="A894" s="32" t="s">
        <v>151</v>
      </c>
      <c r="B894" s="14">
        <v>43613</v>
      </c>
      <c r="C894" s="13"/>
      <c r="D894" s="32" t="s">
        <v>8248</v>
      </c>
      <c r="E894" s="32" t="s">
        <v>1121</v>
      </c>
      <c r="F894" s="4">
        <f>3000*2</f>
        <v>6000</v>
      </c>
      <c r="G894" s="13"/>
      <c r="H894" s="14"/>
      <c r="I894" s="4" t="s">
        <v>8249</v>
      </c>
      <c r="K894" s="245"/>
    </row>
    <row r="895" spans="1:19" s="2" customFormat="1" ht="27.6" hidden="1" x14ac:dyDescent="0.25">
      <c r="A895" s="13" t="s">
        <v>206</v>
      </c>
      <c r="B895" s="14">
        <v>43614</v>
      </c>
      <c r="C895" s="13">
        <v>90</v>
      </c>
      <c r="D895" s="13" t="s">
        <v>6989</v>
      </c>
      <c r="E895" s="13" t="s">
        <v>178</v>
      </c>
      <c r="F895" s="4">
        <v>2530211.5700000003</v>
      </c>
      <c r="G895" s="28" t="s">
        <v>8145</v>
      </c>
      <c r="H895" s="14">
        <v>43566</v>
      </c>
      <c r="I895" s="4" t="s">
        <v>8144</v>
      </c>
      <c r="J895" s="121"/>
      <c r="K895" s="5"/>
    </row>
    <row r="896" spans="1:19" ht="27.6" hidden="1" x14ac:dyDescent="0.25">
      <c r="A896" s="13" t="s">
        <v>92</v>
      </c>
      <c r="B896" s="14">
        <v>43614</v>
      </c>
      <c r="C896" s="13">
        <v>865</v>
      </c>
      <c r="D896" s="32" t="s">
        <v>1392</v>
      </c>
      <c r="E896" s="32" t="s">
        <v>7168</v>
      </c>
      <c r="F896" s="4">
        <v>660240</v>
      </c>
      <c r="G896" s="210" t="s">
        <v>6617</v>
      </c>
      <c r="H896" s="211">
        <v>43566</v>
      </c>
      <c r="I896" s="208" t="s">
        <v>8155</v>
      </c>
      <c r="J896" s="21"/>
      <c r="K896" s="228"/>
    </row>
    <row r="897" spans="1:12" hidden="1" x14ac:dyDescent="0.25">
      <c r="A897" s="61" t="s">
        <v>460</v>
      </c>
      <c r="B897" s="14">
        <v>43614</v>
      </c>
      <c r="C897" s="13">
        <v>438</v>
      </c>
      <c r="D897" s="13" t="s">
        <v>5845</v>
      </c>
      <c r="E897" s="32" t="s">
        <v>144</v>
      </c>
      <c r="F897" s="4">
        <v>53015</v>
      </c>
      <c r="G897" s="86" t="s">
        <v>5846</v>
      </c>
      <c r="H897" s="211"/>
      <c r="I897" s="326"/>
      <c r="K897" s="62"/>
    </row>
    <row r="898" spans="1:12" hidden="1" x14ac:dyDescent="0.25">
      <c r="A898" s="61" t="s">
        <v>460</v>
      </c>
      <c r="B898" s="14">
        <v>43614</v>
      </c>
      <c r="C898" s="13">
        <v>437</v>
      </c>
      <c r="D898" s="13" t="s">
        <v>6237</v>
      </c>
      <c r="E898" s="32" t="s">
        <v>144</v>
      </c>
      <c r="F898" s="4">
        <v>37762</v>
      </c>
      <c r="G898" s="69" t="s">
        <v>6238</v>
      </c>
      <c r="H898" s="14"/>
      <c r="I898" s="326"/>
      <c r="K898" s="62"/>
    </row>
    <row r="899" spans="1:12" s="192" customFormat="1" hidden="1" x14ac:dyDescent="0.25">
      <c r="A899" s="147" t="s">
        <v>242</v>
      </c>
      <c r="B899" s="14">
        <v>43614</v>
      </c>
      <c r="C899" s="195">
        <v>439</v>
      </c>
      <c r="D899" s="149" t="s">
        <v>388</v>
      </c>
      <c r="E899" s="147" t="s">
        <v>144</v>
      </c>
      <c r="F899" s="158">
        <v>447956.85</v>
      </c>
      <c r="G899" s="150" t="s">
        <v>1367</v>
      </c>
      <c r="H899" s="148">
        <v>43592</v>
      </c>
      <c r="I899" s="149" t="s">
        <v>143</v>
      </c>
      <c r="J899" s="193"/>
      <c r="K899" s="194"/>
      <c r="L899" s="190"/>
    </row>
    <row r="900" spans="1:12" s="192" customFormat="1" hidden="1" x14ac:dyDescent="0.25">
      <c r="A900" s="147" t="s">
        <v>242</v>
      </c>
      <c r="B900" s="14">
        <v>43614</v>
      </c>
      <c r="C900" s="195">
        <v>439</v>
      </c>
      <c r="D900" s="149" t="s">
        <v>388</v>
      </c>
      <c r="E900" s="147" t="s">
        <v>144</v>
      </c>
      <c r="F900" s="158">
        <v>387640.95</v>
      </c>
      <c r="G900" s="150" t="s">
        <v>53</v>
      </c>
      <c r="H900" s="148">
        <v>43592</v>
      </c>
      <c r="I900" s="149" t="s">
        <v>143</v>
      </c>
      <c r="J900" s="193"/>
      <c r="K900" s="194"/>
      <c r="L900" s="190"/>
    </row>
    <row r="901" spans="1:12" ht="27.6" hidden="1" customHeight="1" x14ac:dyDescent="0.25">
      <c r="A901" s="32" t="s">
        <v>151</v>
      </c>
      <c r="B901" s="14">
        <v>43614</v>
      </c>
      <c r="C901" s="13">
        <v>440</v>
      </c>
      <c r="D901" s="32" t="s">
        <v>412</v>
      </c>
      <c r="E901" s="32" t="s">
        <v>144</v>
      </c>
      <c r="F901" s="4">
        <v>90000</v>
      </c>
      <c r="G901" s="13">
        <v>33</v>
      </c>
      <c r="H901" s="14">
        <v>43586</v>
      </c>
      <c r="I901" s="4" t="s">
        <v>3969</v>
      </c>
      <c r="J901" s="22" t="s">
        <v>1386</v>
      </c>
      <c r="K901" s="245"/>
    </row>
    <row r="902" spans="1:12" ht="16.5" hidden="1" customHeight="1" x14ac:dyDescent="0.25">
      <c r="A902" s="13" t="s">
        <v>184</v>
      </c>
      <c r="B902" s="14">
        <v>43614</v>
      </c>
      <c r="C902" s="67">
        <v>665</v>
      </c>
      <c r="D902" s="32" t="s">
        <v>1359</v>
      </c>
      <c r="E902" s="32" t="s">
        <v>1121</v>
      </c>
      <c r="F902" s="208">
        <f>883068</f>
        <v>883068</v>
      </c>
      <c r="G902" s="25" t="s">
        <v>7314</v>
      </c>
      <c r="H902" s="212">
        <v>43586</v>
      </c>
      <c r="I902" s="208" t="s">
        <v>294</v>
      </c>
      <c r="J902" s="76" t="s">
        <v>1386</v>
      </c>
      <c r="K902" s="260"/>
      <c r="L902" s="62"/>
    </row>
    <row r="903" spans="1:12" ht="15" hidden="1" customHeight="1" x14ac:dyDescent="0.25">
      <c r="A903" s="13" t="s">
        <v>184</v>
      </c>
      <c r="B903" s="14">
        <v>43614</v>
      </c>
      <c r="C903" s="13">
        <v>666</v>
      </c>
      <c r="D903" s="13" t="s">
        <v>1215</v>
      </c>
      <c r="E903" s="32" t="s">
        <v>1121</v>
      </c>
      <c r="F903" s="4">
        <v>334260</v>
      </c>
      <c r="G903" s="28" t="s">
        <v>1226</v>
      </c>
      <c r="H903" s="14">
        <v>43581</v>
      </c>
      <c r="I903" s="4" t="s">
        <v>293</v>
      </c>
      <c r="J903" s="76" t="s">
        <v>1386</v>
      </c>
    </row>
    <row r="904" spans="1:12" ht="15" hidden="1" customHeight="1" x14ac:dyDescent="0.25">
      <c r="A904" s="13" t="s">
        <v>184</v>
      </c>
      <c r="B904" s="14">
        <v>43614</v>
      </c>
      <c r="C904" s="13">
        <v>667</v>
      </c>
      <c r="D904" s="13" t="s">
        <v>817</v>
      </c>
      <c r="E904" s="32" t="s">
        <v>1121</v>
      </c>
      <c r="F904" s="4">
        <v>360172.89</v>
      </c>
      <c r="G904" s="28" t="s">
        <v>375</v>
      </c>
      <c r="H904" s="14">
        <v>43585</v>
      </c>
      <c r="I904" s="4" t="s">
        <v>7883</v>
      </c>
      <c r="J904" s="125" t="s">
        <v>7884</v>
      </c>
    </row>
    <row r="905" spans="1:12" hidden="1" x14ac:dyDescent="0.25">
      <c r="A905" s="13" t="s">
        <v>184</v>
      </c>
      <c r="B905" s="14">
        <v>43614</v>
      </c>
      <c r="C905" s="13">
        <v>668</v>
      </c>
      <c r="D905" s="13" t="s">
        <v>812</v>
      </c>
      <c r="E905" s="32" t="s">
        <v>1121</v>
      </c>
      <c r="F905" s="4">
        <v>357000</v>
      </c>
      <c r="G905" s="28" t="s">
        <v>7893</v>
      </c>
      <c r="H905" s="14">
        <v>43556</v>
      </c>
      <c r="I905" s="4" t="s">
        <v>1483</v>
      </c>
      <c r="J905" s="125" t="s">
        <v>771</v>
      </c>
    </row>
    <row r="906" spans="1:12" hidden="1" x14ac:dyDescent="0.25">
      <c r="A906" s="13" t="s">
        <v>184</v>
      </c>
      <c r="B906" s="14">
        <v>43614</v>
      </c>
      <c r="C906" s="13">
        <v>669</v>
      </c>
      <c r="D906" s="13" t="s">
        <v>5240</v>
      </c>
      <c r="E906" s="32" t="s">
        <v>1121</v>
      </c>
      <c r="F906" s="4">
        <v>122265</v>
      </c>
      <c r="G906" s="28" t="s">
        <v>7204</v>
      </c>
      <c r="H906" s="14">
        <v>43598</v>
      </c>
      <c r="I906" s="4" t="s">
        <v>5241</v>
      </c>
      <c r="J906" s="76" t="s">
        <v>7895</v>
      </c>
    </row>
    <row r="907" spans="1:12" ht="15" hidden="1" customHeight="1" x14ac:dyDescent="0.25">
      <c r="A907" s="13" t="s">
        <v>184</v>
      </c>
      <c r="B907" s="14">
        <v>43614</v>
      </c>
      <c r="C907" s="13">
        <v>670</v>
      </c>
      <c r="D907" s="13" t="s">
        <v>47</v>
      </c>
      <c r="E907" s="32" t="s">
        <v>1121</v>
      </c>
      <c r="F907" s="4">
        <v>5880</v>
      </c>
      <c r="G907" s="28" t="s">
        <v>8216</v>
      </c>
      <c r="H907" s="14">
        <v>43605</v>
      </c>
      <c r="I907" s="4" t="s">
        <v>5255</v>
      </c>
    </row>
    <row r="908" spans="1:12" ht="15" hidden="1" customHeight="1" x14ac:dyDescent="0.25">
      <c r="A908" s="13" t="s">
        <v>184</v>
      </c>
      <c r="B908" s="14">
        <v>43614</v>
      </c>
      <c r="C908" s="13">
        <v>670</v>
      </c>
      <c r="D908" s="13" t="s">
        <v>47</v>
      </c>
      <c r="E908" s="32" t="s">
        <v>1121</v>
      </c>
      <c r="F908" s="4">
        <v>1890</v>
      </c>
      <c r="G908" s="28" t="s">
        <v>8217</v>
      </c>
      <c r="H908" s="14">
        <v>43602</v>
      </c>
      <c r="I908" s="4" t="s">
        <v>746</v>
      </c>
    </row>
    <row r="909" spans="1:12" ht="15" hidden="1" customHeight="1" x14ac:dyDescent="0.25">
      <c r="A909" s="13" t="s">
        <v>184</v>
      </c>
      <c r="B909" s="14">
        <v>43614</v>
      </c>
      <c r="C909" s="13">
        <v>671</v>
      </c>
      <c r="D909" s="13" t="s">
        <v>8227</v>
      </c>
      <c r="E909" s="32" t="s">
        <v>1121</v>
      </c>
      <c r="F909" s="4">
        <v>2534</v>
      </c>
      <c r="G909" s="28" t="s">
        <v>4852</v>
      </c>
      <c r="H909" s="14">
        <v>43608</v>
      </c>
      <c r="I909" s="4" t="s">
        <v>8228</v>
      </c>
      <c r="J909" s="76"/>
    </row>
    <row r="910" spans="1:12" ht="15" hidden="1" customHeight="1" x14ac:dyDescent="0.25">
      <c r="A910" s="13" t="s">
        <v>184</v>
      </c>
      <c r="B910" s="14">
        <v>43614</v>
      </c>
      <c r="C910" s="13">
        <v>672</v>
      </c>
      <c r="D910" s="13" t="s">
        <v>897</v>
      </c>
      <c r="E910" s="32" t="s">
        <v>1121</v>
      </c>
      <c r="F910" s="4">
        <v>70270</v>
      </c>
      <c r="G910" s="28" t="s">
        <v>8219</v>
      </c>
      <c r="H910" s="14">
        <v>43585</v>
      </c>
      <c r="I910" s="4" t="s">
        <v>8218</v>
      </c>
      <c r="J910" s="76"/>
    </row>
    <row r="911" spans="1:12" ht="15" hidden="1" customHeight="1" x14ac:dyDescent="0.25">
      <c r="A911" s="13" t="s">
        <v>184</v>
      </c>
      <c r="B911" s="14">
        <v>43614</v>
      </c>
      <c r="C911" s="67">
        <v>673</v>
      </c>
      <c r="D911" s="13" t="s">
        <v>238</v>
      </c>
      <c r="E911" s="32" t="s">
        <v>1121</v>
      </c>
      <c r="F911" s="4">
        <v>29184</v>
      </c>
      <c r="G911" s="28" t="s">
        <v>3443</v>
      </c>
      <c r="H911" s="14">
        <v>43608</v>
      </c>
      <c r="I911" s="4" t="s">
        <v>179</v>
      </c>
      <c r="J911" s="125"/>
    </row>
    <row r="912" spans="1:12" ht="15" hidden="1" customHeight="1" x14ac:dyDescent="0.25">
      <c r="A912" s="13" t="s">
        <v>184</v>
      </c>
      <c r="B912" s="14">
        <v>43614</v>
      </c>
      <c r="C912" s="13">
        <v>674</v>
      </c>
      <c r="D912" s="13" t="s">
        <v>7955</v>
      </c>
      <c r="E912" s="32" t="s">
        <v>1121</v>
      </c>
      <c r="F912" s="4">
        <v>11600</v>
      </c>
      <c r="G912" s="28" t="s">
        <v>8214</v>
      </c>
      <c r="H912" s="14">
        <v>43612</v>
      </c>
      <c r="I912" s="4" t="s">
        <v>7957</v>
      </c>
      <c r="J912" s="76" t="s">
        <v>8215</v>
      </c>
    </row>
    <row r="913" spans="1:12" ht="15" hidden="1" customHeight="1" x14ac:dyDescent="0.25">
      <c r="A913" s="13" t="s">
        <v>964</v>
      </c>
      <c r="B913" s="14">
        <v>43614</v>
      </c>
      <c r="C913" s="13">
        <v>675</v>
      </c>
      <c r="D913" s="13" t="s">
        <v>1885</v>
      </c>
      <c r="E913" s="32" t="s">
        <v>1121</v>
      </c>
      <c r="F913" s="4">
        <v>32400</v>
      </c>
      <c r="G913" s="28" t="s">
        <v>7548</v>
      </c>
      <c r="H913" s="14">
        <v>43553</v>
      </c>
      <c r="I913" s="4" t="s">
        <v>1892</v>
      </c>
      <c r="J913" s="76" t="s">
        <v>1386</v>
      </c>
    </row>
    <row r="914" spans="1:12" ht="15" hidden="1" customHeight="1" x14ac:dyDescent="0.25">
      <c r="A914" s="13" t="s">
        <v>964</v>
      </c>
      <c r="B914" s="14">
        <v>43614</v>
      </c>
      <c r="C914" s="13">
        <v>676</v>
      </c>
      <c r="D914" s="13" t="s">
        <v>321</v>
      </c>
      <c r="E914" s="32" t="s">
        <v>1121</v>
      </c>
      <c r="F914" s="4">
        <v>90000</v>
      </c>
      <c r="G914" s="28" t="s">
        <v>176</v>
      </c>
      <c r="H914" s="14">
        <v>43585</v>
      </c>
      <c r="I914" s="4" t="s">
        <v>3671</v>
      </c>
      <c r="J914" s="76" t="s">
        <v>1386</v>
      </c>
      <c r="L914" s="76"/>
    </row>
    <row r="915" spans="1:12" ht="13.95" hidden="1" customHeight="1" x14ac:dyDescent="0.25">
      <c r="A915" s="32" t="s">
        <v>151</v>
      </c>
      <c r="B915" s="14">
        <v>43614</v>
      </c>
      <c r="C915" s="67">
        <v>677</v>
      </c>
      <c r="D915" s="32" t="s">
        <v>412</v>
      </c>
      <c r="E915" s="13" t="s">
        <v>1121</v>
      </c>
      <c r="F915" s="4">
        <v>20000</v>
      </c>
      <c r="G915" s="13">
        <v>30</v>
      </c>
      <c r="H915" s="14">
        <v>43586</v>
      </c>
      <c r="I915" s="4" t="s">
        <v>1908</v>
      </c>
      <c r="J915" s="22" t="s">
        <v>1386</v>
      </c>
      <c r="K915" s="245"/>
    </row>
    <row r="916" spans="1:12" s="129" customFormat="1" hidden="1" x14ac:dyDescent="0.25">
      <c r="A916" s="13" t="s">
        <v>151</v>
      </c>
      <c r="B916" s="14">
        <v>43614</v>
      </c>
      <c r="C916" s="28" t="s">
        <v>8293</v>
      </c>
      <c r="D916" s="13" t="s">
        <v>7381</v>
      </c>
      <c r="E916" s="32" t="s">
        <v>1121</v>
      </c>
      <c r="F916" s="37">
        <v>3800</v>
      </c>
      <c r="G916" s="28" t="s">
        <v>7382</v>
      </c>
      <c r="H916" s="14">
        <v>43612</v>
      </c>
      <c r="I916" s="4" t="s">
        <v>7383</v>
      </c>
      <c r="J916" s="170" t="s">
        <v>526</v>
      </c>
      <c r="K916" s="136"/>
    </row>
    <row r="917" spans="1:12" s="129" customFormat="1" hidden="1" x14ac:dyDescent="0.25">
      <c r="A917" s="13" t="s">
        <v>151</v>
      </c>
      <c r="B917" s="14">
        <v>43614</v>
      </c>
      <c r="C917" s="28" t="s">
        <v>8294</v>
      </c>
      <c r="D917" s="13" t="s">
        <v>1846</v>
      </c>
      <c r="E917" s="13" t="s">
        <v>1121</v>
      </c>
      <c r="F917" s="4">
        <v>20350</v>
      </c>
      <c r="G917" s="28" t="s">
        <v>8186</v>
      </c>
      <c r="H917" s="14">
        <v>43608</v>
      </c>
      <c r="I917" s="4" t="s">
        <v>8187</v>
      </c>
      <c r="J917" s="22"/>
      <c r="K917" s="136"/>
    </row>
    <row r="918" spans="1:12" hidden="1" x14ac:dyDescent="0.25">
      <c r="A918" s="32" t="s">
        <v>151</v>
      </c>
      <c r="B918" s="14">
        <v>43614</v>
      </c>
      <c r="C918" s="13">
        <v>680</v>
      </c>
      <c r="D918" s="13" t="s">
        <v>223</v>
      </c>
      <c r="E918" s="13" t="s">
        <v>1121</v>
      </c>
      <c r="F918" s="4">
        <v>6800</v>
      </c>
      <c r="G918" s="28" t="s">
        <v>3964</v>
      </c>
      <c r="H918" s="14">
        <v>43558</v>
      </c>
      <c r="I918" s="4" t="s">
        <v>3072</v>
      </c>
      <c r="J918" s="76"/>
      <c r="K918" s="246"/>
    </row>
    <row r="919" spans="1:12" s="129" customFormat="1" hidden="1" x14ac:dyDescent="0.25">
      <c r="A919" s="13" t="s">
        <v>151</v>
      </c>
      <c r="B919" s="14">
        <v>43614</v>
      </c>
      <c r="C919" s="28" t="s">
        <v>117</v>
      </c>
      <c r="D919" s="13" t="s">
        <v>8182</v>
      </c>
      <c r="E919" s="32" t="s">
        <v>22</v>
      </c>
      <c r="F919" s="37">
        <v>14090</v>
      </c>
      <c r="G919" s="28" t="s">
        <v>8183</v>
      </c>
      <c r="H919" s="14">
        <v>43609</v>
      </c>
      <c r="I919" s="4" t="s">
        <v>8184</v>
      </c>
      <c r="J919" s="170" t="s">
        <v>526</v>
      </c>
      <c r="K919" s="136"/>
    </row>
    <row r="920" spans="1:12" hidden="1" x14ac:dyDescent="0.25">
      <c r="A920" s="13" t="s">
        <v>151</v>
      </c>
      <c r="B920" s="14">
        <v>43614</v>
      </c>
      <c r="C920" s="13">
        <v>151</v>
      </c>
      <c r="D920" s="13" t="s">
        <v>606</v>
      </c>
      <c r="E920" s="32" t="s">
        <v>22</v>
      </c>
      <c r="F920" s="4">
        <v>1800</v>
      </c>
      <c r="G920" s="28" t="s">
        <v>8190</v>
      </c>
      <c r="H920" s="14">
        <v>43608</v>
      </c>
      <c r="I920" s="4" t="s">
        <v>3982</v>
      </c>
      <c r="J920" s="125"/>
    </row>
    <row r="921" spans="1:12" s="129" customFormat="1" x14ac:dyDescent="0.25">
      <c r="A921" s="13" t="s">
        <v>151</v>
      </c>
      <c r="B921" s="14">
        <v>43614</v>
      </c>
      <c r="C921" s="28" t="s">
        <v>3601</v>
      </c>
      <c r="D921" s="13" t="s">
        <v>372</v>
      </c>
      <c r="E921" s="13" t="s">
        <v>22</v>
      </c>
      <c r="F921" s="4">
        <f>343161.01-150000-100000</f>
        <v>93161.010000000009</v>
      </c>
      <c r="G921" s="28" t="s">
        <v>7583</v>
      </c>
      <c r="H921" s="14">
        <v>43593</v>
      </c>
      <c r="I921" s="4" t="s">
        <v>836</v>
      </c>
      <c r="J921" s="133"/>
      <c r="K921" s="275"/>
    </row>
    <row r="922" spans="1:12" s="129" customFormat="1" x14ac:dyDescent="0.25">
      <c r="A922" s="13" t="s">
        <v>151</v>
      </c>
      <c r="B922" s="14">
        <v>43614</v>
      </c>
      <c r="C922" s="28" t="s">
        <v>6175</v>
      </c>
      <c r="D922" s="13" t="s">
        <v>4162</v>
      </c>
      <c r="E922" s="13" t="s">
        <v>22</v>
      </c>
      <c r="F922" s="4">
        <v>9384.2000000000007</v>
      </c>
      <c r="G922" s="28" t="s">
        <v>8191</v>
      </c>
      <c r="H922" s="14">
        <v>43608</v>
      </c>
      <c r="I922" s="4" t="s">
        <v>836</v>
      </c>
      <c r="J922" s="133"/>
      <c r="K922" s="275"/>
    </row>
    <row r="923" spans="1:12" hidden="1" x14ac:dyDescent="0.25">
      <c r="A923" s="32" t="s">
        <v>151</v>
      </c>
      <c r="B923" s="14">
        <v>43614</v>
      </c>
      <c r="C923" s="13">
        <v>149</v>
      </c>
      <c r="D923" s="13" t="s">
        <v>223</v>
      </c>
      <c r="E923" s="32" t="s">
        <v>22</v>
      </c>
      <c r="F923" s="4">
        <v>36560</v>
      </c>
      <c r="G923" s="28" t="s">
        <v>2911</v>
      </c>
      <c r="H923" s="14">
        <v>43584</v>
      </c>
      <c r="I923" s="4" t="s">
        <v>3072</v>
      </c>
      <c r="J923" s="76"/>
      <c r="K923" s="246"/>
    </row>
    <row r="924" spans="1:12" ht="15" hidden="1" customHeight="1" x14ac:dyDescent="0.25">
      <c r="A924" s="32" t="s">
        <v>151</v>
      </c>
      <c r="B924" s="14">
        <v>43614</v>
      </c>
      <c r="C924" s="13">
        <v>152</v>
      </c>
      <c r="D924" s="13" t="s">
        <v>6551</v>
      </c>
      <c r="E924" s="32" t="s">
        <v>22</v>
      </c>
      <c r="F924" s="4">
        <v>7500</v>
      </c>
      <c r="G924" s="28" t="s">
        <v>300</v>
      </c>
      <c r="H924" s="14">
        <v>43571</v>
      </c>
      <c r="I924" s="4" t="s">
        <v>7969</v>
      </c>
      <c r="J924" s="76"/>
    </row>
    <row r="925" spans="1:12" ht="15" hidden="1" customHeight="1" x14ac:dyDescent="0.25">
      <c r="A925" s="32" t="s">
        <v>151</v>
      </c>
      <c r="B925" s="14">
        <v>43614</v>
      </c>
      <c r="C925" s="13">
        <v>152</v>
      </c>
      <c r="D925" s="13" t="s">
        <v>6551</v>
      </c>
      <c r="E925" s="32" t="s">
        <v>22</v>
      </c>
      <c r="F925" s="4">
        <v>5000</v>
      </c>
      <c r="G925" s="28" t="s">
        <v>3375</v>
      </c>
      <c r="H925" s="14">
        <v>43580</v>
      </c>
      <c r="I925" s="4" t="s">
        <v>6754</v>
      </c>
      <c r="J925" s="76"/>
    </row>
    <row r="926" spans="1:12" ht="15" hidden="1" customHeight="1" x14ac:dyDescent="0.25">
      <c r="A926" s="32" t="s">
        <v>151</v>
      </c>
      <c r="B926" s="14">
        <v>43614</v>
      </c>
      <c r="C926" s="13">
        <v>152</v>
      </c>
      <c r="D926" s="13" t="s">
        <v>6551</v>
      </c>
      <c r="E926" s="32" t="s">
        <v>22</v>
      </c>
      <c r="F926" s="4">
        <v>7000</v>
      </c>
      <c r="G926" s="28" t="s">
        <v>728</v>
      </c>
      <c r="H926" s="14">
        <v>43577</v>
      </c>
      <c r="I926" s="4" t="s">
        <v>7968</v>
      </c>
      <c r="J926" s="76"/>
    </row>
    <row r="927" spans="1:12" s="129" customFormat="1" ht="13.95" hidden="1" customHeight="1" x14ac:dyDescent="0.25">
      <c r="A927" s="13" t="s">
        <v>151</v>
      </c>
      <c r="B927" s="14">
        <v>43614</v>
      </c>
      <c r="C927" s="28" t="s">
        <v>6232</v>
      </c>
      <c r="D927" s="13" t="s">
        <v>1078</v>
      </c>
      <c r="E927" s="13" t="s">
        <v>22</v>
      </c>
      <c r="F927" s="4">
        <v>7500</v>
      </c>
      <c r="G927" s="28" t="s">
        <v>7644</v>
      </c>
      <c r="H927" s="14">
        <v>43585</v>
      </c>
      <c r="I927" s="4" t="s">
        <v>7645</v>
      </c>
      <c r="J927" s="22"/>
      <c r="K927" s="136"/>
    </row>
    <row r="928" spans="1:12" ht="15" hidden="1" customHeight="1" x14ac:dyDescent="0.25">
      <c r="A928" s="13" t="s">
        <v>310</v>
      </c>
      <c r="B928" s="14">
        <v>43614</v>
      </c>
      <c r="C928" s="13">
        <v>155</v>
      </c>
      <c r="D928" s="13" t="s">
        <v>3005</v>
      </c>
      <c r="E928" s="13" t="s">
        <v>314</v>
      </c>
      <c r="F928" s="37">
        <v>49714.57</v>
      </c>
      <c r="G928" s="29" t="s">
        <v>8168</v>
      </c>
      <c r="H928" s="14">
        <v>43601</v>
      </c>
      <c r="I928" s="4" t="s">
        <v>8167</v>
      </c>
      <c r="J928" s="76"/>
    </row>
    <row r="929" spans="1:19" ht="15" hidden="1" customHeight="1" x14ac:dyDescent="0.25">
      <c r="A929" s="13" t="s">
        <v>310</v>
      </c>
      <c r="B929" s="14">
        <v>43614</v>
      </c>
      <c r="C929" s="13">
        <v>156</v>
      </c>
      <c r="D929" s="13" t="s">
        <v>5776</v>
      </c>
      <c r="E929" s="32" t="s">
        <v>314</v>
      </c>
      <c r="F929" s="4">
        <v>15000</v>
      </c>
      <c r="G929" s="28" t="s">
        <v>25</v>
      </c>
      <c r="H929" s="14">
        <v>43607</v>
      </c>
      <c r="I929" s="4" t="s">
        <v>8221</v>
      </c>
      <c r="J929" s="76"/>
    </row>
    <row r="930" spans="1:19" hidden="1" x14ac:dyDescent="0.25">
      <c r="A930" s="32" t="s">
        <v>1149</v>
      </c>
      <c r="B930" s="14">
        <v>43614</v>
      </c>
      <c r="C930" s="13">
        <v>472</v>
      </c>
      <c r="D930" s="32" t="s">
        <v>4006</v>
      </c>
      <c r="E930" s="32" t="s">
        <v>136</v>
      </c>
      <c r="F930" s="4">
        <v>1000000</v>
      </c>
      <c r="G930" s="174" t="s">
        <v>5821</v>
      </c>
      <c r="H930" s="14">
        <v>43486</v>
      </c>
      <c r="I930" s="41" t="s">
        <v>490</v>
      </c>
      <c r="K930" s="63"/>
      <c r="L930" s="62"/>
    </row>
    <row r="931" spans="1:19" ht="15" hidden="1" customHeight="1" x14ac:dyDescent="0.25">
      <c r="A931" s="13" t="s">
        <v>213</v>
      </c>
      <c r="B931" s="14">
        <v>43614</v>
      </c>
      <c r="C931" s="13">
        <v>473</v>
      </c>
      <c r="D931" s="13" t="s">
        <v>5776</v>
      </c>
      <c r="E931" s="32" t="s">
        <v>136</v>
      </c>
      <c r="F931" s="4">
        <v>15000</v>
      </c>
      <c r="G931" s="28" t="s">
        <v>201</v>
      </c>
      <c r="H931" s="14">
        <v>43607</v>
      </c>
      <c r="I931" s="4" t="s">
        <v>8221</v>
      </c>
      <c r="J931" s="76"/>
    </row>
    <row r="932" spans="1:19" ht="27.6" hidden="1" x14ac:dyDescent="0.25">
      <c r="A932" s="32" t="s">
        <v>2020</v>
      </c>
      <c r="B932" s="14">
        <v>43614</v>
      </c>
      <c r="C932" s="13">
        <v>864</v>
      </c>
      <c r="D932" s="32" t="s">
        <v>392</v>
      </c>
      <c r="E932" s="32" t="s">
        <v>5586</v>
      </c>
      <c r="F932" s="4">
        <f>1656607.18</f>
        <v>1656607.18</v>
      </c>
      <c r="G932" s="28" t="s">
        <v>1185</v>
      </c>
      <c r="H932" s="14">
        <v>43586</v>
      </c>
      <c r="I932" s="41" t="s">
        <v>620</v>
      </c>
      <c r="J932" s="35" t="s">
        <v>771</v>
      </c>
      <c r="K932" s="167"/>
      <c r="L932" s="35"/>
    </row>
    <row r="933" spans="1:19" ht="13.95" hidden="1" customHeight="1" x14ac:dyDescent="0.25">
      <c r="A933" s="68" t="s">
        <v>638</v>
      </c>
      <c r="B933" s="14">
        <v>43614</v>
      </c>
      <c r="C933" s="67">
        <v>569</v>
      </c>
      <c r="D933" s="32" t="s">
        <v>595</v>
      </c>
      <c r="E933" s="32" t="s">
        <v>547</v>
      </c>
      <c r="F933" s="4">
        <f>1986175.69</f>
        <v>1986175.69</v>
      </c>
      <c r="G933" s="28" t="s">
        <v>6157</v>
      </c>
      <c r="H933" s="14">
        <v>43555</v>
      </c>
      <c r="I933" s="41" t="s">
        <v>949</v>
      </c>
      <c r="J933" s="166" t="s">
        <v>366</v>
      </c>
      <c r="K933" s="167"/>
      <c r="L933" s="35"/>
    </row>
    <row r="934" spans="1:19" ht="15" hidden="1" customHeight="1" x14ac:dyDescent="0.25">
      <c r="A934" s="13" t="s">
        <v>311</v>
      </c>
      <c r="B934" s="14">
        <v>43614</v>
      </c>
      <c r="C934" s="13">
        <v>291</v>
      </c>
      <c r="D934" s="13" t="s">
        <v>3005</v>
      </c>
      <c r="E934" s="13" t="s">
        <v>408</v>
      </c>
      <c r="F934" s="37">
        <v>49714.57</v>
      </c>
      <c r="G934" s="29" t="s">
        <v>8166</v>
      </c>
      <c r="H934" s="14">
        <v>43601</v>
      </c>
      <c r="I934" s="4" t="s">
        <v>8167</v>
      </c>
      <c r="J934" s="76"/>
    </row>
    <row r="935" spans="1:19" s="62" customFormat="1" ht="13.95" hidden="1" customHeight="1" x14ac:dyDescent="0.25">
      <c r="A935" s="13" t="s">
        <v>91</v>
      </c>
      <c r="B935" s="14">
        <v>43614</v>
      </c>
      <c r="C935" s="13">
        <v>856</v>
      </c>
      <c r="D935" s="13" t="s">
        <v>267</v>
      </c>
      <c r="E935" s="13" t="s">
        <v>130</v>
      </c>
      <c r="F935" s="37">
        <v>89600</v>
      </c>
      <c r="G935" s="29" t="s">
        <v>299</v>
      </c>
      <c r="H935" s="14">
        <v>43555</v>
      </c>
      <c r="I935" s="4" t="s">
        <v>576</v>
      </c>
      <c r="J935" s="71"/>
      <c r="O935" s="35"/>
      <c r="P935" s="35"/>
      <c r="Q935" s="35"/>
      <c r="R935" s="35"/>
      <c r="S935" s="35"/>
    </row>
    <row r="936" spans="1:19" s="62" customFormat="1" ht="13.95" hidden="1" customHeight="1" x14ac:dyDescent="0.25">
      <c r="A936" s="13" t="s">
        <v>442</v>
      </c>
      <c r="B936" s="14">
        <v>43614</v>
      </c>
      <c r="C936" s="13">
        <v>857</v>
      </c>
      <c r="D936" s="13" t="s">
        <v>267</v>
      </c>
      <c r="E936" s="13" t="s">
        <v>130</v>
      </c>
      <c r="F936" s="37">
        <v>102200</v>
      </c>
      <c r="G936" s="29" t="s">
        <v>3362</v>
      </c>
      <c r="H936" s="14">
        <v>43555</v>
      </c>
      <c r="I936" s="4" t="s">
        <v>576</v>
      </c>
      <c r="J936" s="71"/>
      <c r="O936" s="35"/>
      <c r="P936" s="35"/>
      <c r="Q936" s="35"/>
      <c r="R936" s="35"/>
      <c r="S936" s="35"/>
    </row>
    <row r="937" spans="1:19" ht="13.95" hidden="1" customHeight="1" x14ac:dyDescent="0.25">
      <c r="A937" s="68" t="s">
        <v>358</v>
      </c>
      <c r="B937" s="14">
        <v>43614</v>
      </c>
      <c r="C937" s="13">
        <v>1116</v>
      </c>
      <c r="D937" s="32" t="s">
        <v>1077</v>
      </c>
      <c r="E937" s="32" t="s">
        <v>38</v>
      </c>
      <c r="F937" s="4">
        <v>5000000</v>
      </c>
      <c r="G937" s="86" t="s">
        <v>410</v>
      </c>
      <c r="H937" s="211"/>
      <c r="I937" s="208" t="s">
        <v>581</v>
      </c>
      <c r="J937" s="21"/>
      <c r="K937" s="228"/>
    </row>
    <row r="938" spans="1:19" ht="13.95" hidden="1" customHeight="1" x14ac:dyDescent="0.25">
      <c r="A938" s="61" t="s">
        <v>92</v>
      </c>
      <c r="B938" s="14">
        <v>43614</v>
      </c>
      <c r="C938" s="13">
        <v>901</v>
      </c>
      <c r="D938" s="32" t="s">
        <v>667</v>
      </c>
      <c r="E938" s="32" t="s">
        <v>62</v>
      </c>
      <c r="F938" s="4">
        <v>10000000</v>
      </c>
      <c r="G938" s="86" t="s">
        <v>5425</v>
      </c>
      <c r="H938" s="211"/>
      <c r="I938" s="208" t="s">
        <v>5426</v>
      </c>
      <c r="J938" s="21"/>
      <c r="K938" s="228"/>
    </row>
    <row r="939" spans="1:19" ht="13.95" hidden="1" customHeight="1" x14ac:dyDescent="0.25">
      <c r="A939" s="13" t="s">
        <v>527</v>
      </c>
      <c r="B939" s="14">
        <v>43614</v>
      </c>
      <c r="C939" s="13">
        <v>898</v>
      </c>
      <c r="D939" s="13" t="s">
        <v>7288</v>
      </c>
      <c r="E939" s="13" t="s">
        <v>62</v>
      </c>
      <c r="F939" s="4">
        <v>3000000</v>
      </c>
      <c r="G939" s="86" t="s">
        <v>8229</v>
      </c>
      <c r="H939" s="14"/>
      <c r="I939" s="4" t="s">
        <v>361</v>
      </c>
      <c r="K939" s="228"/>
    </row>
    <row r="940" spans="1:19" ht="13.95" hidden="1" customHeight="1" x14ac:dyDescent="0.25">
      <c r="A940" s="61" t="s">
        <v>91</v>
      </c>
      <c r="B940" s="14">
        <v>43614</v>
      </c>
      <c r="C940" s="13">
        <v>900</v>
      </c>
      <c r="D940" s="13" t="s">
        <v>1029</v>
      </c>
      <c r="E940" s="32" t="s">
        <v>62</v>
      </c>
      <c r="F940" s="4">
        <v>1000000</v>
      </c>
      <c r="G940" s="86" t="s">
        <v>786</v>
      </c>
      <c r="H940" s="211"/>
      <c r="I940" s="4" t="s">
        <v>20</v>
      </c>
      <c r="J940" s="21"/>
      <c r="K940" s="228"/>
    </row>
    <row r="941" spans="1:19" ht="13.95" hidden="1" customHeight="1" x14ac:dyDescent="0.25">
      <c r="A941" s="32" t="s">
        <v>668</v>
      </c>
      <c r="B941" s="14">
        <v>43614</v>
      </c>
      <c r="C941" s="13">
        <v>902</v>
      </c>
      <c r="D941" s="13" t="s">
        <v>513</v>
      </c>
      <c r="E941" s="32" t="s">
        <v>62</v>
      </c>
      <c r="F941" s="4">
        <v>505000</v>
      </c>
      <c r="G941" s="86" t="s">
        <v>1667</v>
      </c>
      <c r="H941" s="14"/>
      <c r="I941" s="4" t="s">
        <v>252</v>
      </c>
      <c r="J941" s="21"/>
      <c r="K941" s="228"/>
    </row>
    <row r="942" spans="1:19" ht="16.5" hidden="1" customHeight="1" x14ac:dyDescent="0.25">
      <c r="A942" s="68" t="s">
        <v>91</v>
      </c>
      <c r="B942" s="14">
        <v>43614</v>
      </c>
      <c r="C942" s="13">
        <v>899</v>
      </c>
      <c r="D942" s="32" t="s">
        <v>34</v>
      </c>
      <c r="E942" s="32" t="s">
        <v>62</v>
      </c>
      <c r="F942" s="4">
        <v>1000000</v>
      </c>
      <c r="G942" s="69" t="s">
        <v>8696</v>
      </c>
      <c r="H942" s="14"/>
      <c r="I942" s="41" t="s">
        <v>8134</v>
      </c>
      <c r="K942" s="62"/>
    </row>
    <row r="943" spans="1:19" ht="13.95" hidden="1" customHeight="1" x14ac:dyDescent="0.25">
      <c r="A943" s="68" t="s">
        <v>1147</v>
      </c>
      <c r="B943" s="14">
        <v>43614</v>
      </c>
      <c r="C943" s="13">
        <v>945</v>
      </c>
      <c r="D943" s="32" t="s">
        <v>2592</v>
      </c>
      <c r="E943" s="32" t="s">
        <v>808</v>
      </c>
      <c r="F943" s="4">
        <v>1000000</v>
      </c>
      <c r="G943" s="86" t="s">
        <v>2593</v>
      </c>
      <c r="H943" s="211"/>
      <c r="I943" s="4" t="s">
        <v>2594</v>
      </c>
      <c r="J943" s="21"/>
      <c r="K943" s="228"/>
    </row>
    <row r="944" spans="1:19" ht="13.95" hidden="1" customHeight="1" x14ac:dyDescent="0.25">
      <c r="A944" s="68" t="s">
        <v>1316</v>
      </c>
      <c r="B944" s="14">
        <v>43614</v>
      </c>
      <c r="C944" s="13">
        <v>946</v>
      </c>
      <c r="D944" s="32" t="s">
        <v>438</v>
      </c>
      <c r="E944" s="32" t="s">
        <v>808</v>
      </c>
      <c r="F944" s="4">
        <v>2000000</v>
      </c>
      <c r="G944" s="86" t="s">
        <v>7306</v>
      </c>
      <c r="H944" s="211"/>
      <c r="I944" s="84" t="s">
        <v>202</v>
      </c>
      <c r="J944" s="21"/>
      <c r="K944" s="228"/>
    </row>
    <row r="945" spans="1:19" ht="13.95" hidden="1" customHeight="1" x14ac:dyDescent="0.25">
      <c r="A945" s="68" t="s">
        <v>1148</v>
      </c>
      <c r="B945" s="14">
        <v>43614</v>
      </c>
      <c r="C945" s="13">
        <v>943</v>
      </c>
      <c r="D945" s="32" t="s">
        <v>1736</v>
      </c>
      <c r="E945" s="32" t="s">
        <v>808</v>
      </c>
      <c r="F945" s="4">
        <v>5000000</v>
      </c>
      <c r="G945" s="86" t="s">
        <v>2596</v>
      </c>
      <c r="H945" s="211"/>
      <c r="I945" s="41" t="s">
        <v>24</v>
      </c>
      <c r="J945" s="21"/>
      <c r="K945" s="228"/>
    </row>
    <row r="946" spans="1:19" ht="13.95" hidden="1" customHeight="1" x14ac:dyDescent="0.25">
      <c r="A946" s="68" t="s">
        <v>1148</v>
      </c>
      <c r="B946" s="14">
        <v>43614</v>
      </c>
      <c r="C946" s="13">
        <v>947</v>
      </c>
      <c r="D946" s="32" t="s">
        <v>454</v>
      </c>
      <c r="E946" s="32" t="s">
        <v>808</v>
      </c>
      <c r="F946" s="4">
        <v>5000000</v>
      </c>
      <c r="G946" s="86" t="s">
        <v>4792</v>
      </c>
      <c r="H946" s="211"/>
      <c r="I946" s="4" t="s">
        <v>24</v>
      </c>
      <c r="J946" s="21"/>
      <c r="K946" s="228"/>
    </row>
    <row r="947" spans="1:19" ht="13.95" hidden="1" customHeight="1" x14ac:dyDescent="0.25">
      <c r="A947" s="61" t="s">
        <v>1316</v>
      </c>
      <c r="B947" s="14">
        <v>43614</v>
      </c>
      <c r="C947" s="13">
        <v>948</v>
      </c>
      <c r="D947" s="13" t="s">
        <v>432</v>
      </c>
      <c r="E947" s="32" t="s">
        <v>808</v>
      </c>
      <c r="F947" s="4">
        <v>2000000</v>
      </c>
      <c r="G947" s="86" t="s">
        <v>4008</v>
      </c>
      <c r="H947" s="211"/>
      <c r="I947" s="4" t="s">
        <v>24</v>
      </c>
      <c r="J947" s="21"/>
      <c r="K947" s="228"/>
    </row>
    <row r="948" spans="1:19" hidden="1" x14ac:dyDescent="0.25">
      <c r="A948" s="13" t="s">
        <v>151</v>
      </c>
      <c r="B948" s="14">
        <v>43614</v>
      </c>
      <c r="C948" s="13">
        <v>944</v>
      </c>
      <c r="D948" s="13" t="s">
        <v>6318</v>
      </c>
      <c r="E948" s="32" t="s">
        <v>808</v>
      </c>
      <c r="F948" s="4">
        <v>9000</v>
      </c>
      <c r="G948" s="28" t="s">
        <v>8199</v>
      </c>
      <c r="H948" s="14">
        <v>43601</v>
      </c>
      <c r="I948" s="4" t="s">
        <v>8200</v>
      </c>
      <c r="J948" s="125"/>
    </row>
    <row r="949" spans="1:19" hidden="1" x14ac:dyDescent="0.25">
      <c r="A949" s="13" t="s">
        <v>1350</v>
      </c>
      <c r="B949" s="126">
        <v>43614</v>
      </c>
      <c r="C949" s="28" t="s">
        <v>3843</v>
      </c>
      <c r="D949" s="32" t="s">
        <v>432</v>
      </c>
      <c r="E949" s="32" t="s">
        <v>691</v>
      </c>
      <c r="F949" s="4">
        <v>390000</v>
      </c>
      <c r="G949" s="69" t="s">
        <v>8230</v>
      </c>
      <c r="H949" s="14"/>
      <c r="I949" s="4" t="s">
        <v>433</v>
      </c>
      <c r="J949" s="21"/>
      <c r="K949" s="228"/>
    </row>
    <row r="950" spans="1:19" hidden="1" x14ac:dyDescent="0.25">
      <c r="A950" s="13" t="s">
        <v>1350</v>
      </c>
      <c r="B950" s="126">
        <v>43614</v>
      </c>
      <c r="C950" s="28" t="s">
        <v>4598</v>
      </c>
      <c r="D950" s="13" t="s">
        <v>6350</v>
      </c>
      <c r="E950" s="13" t="s">
        <v>691</v>
      </c>
      <c r="F950" s="37">
        <v>59833.95</v>
      </c>
      <c r="G950" s="29" t="s">
        <v>6360</v>
      </c>
      <c r="H950" s="14">
        <v>43550</v>
      </c>
      <c r="I950" s="4" t="s">
        <v>6352</v>
      </c>
      <c r="J950" s="128"/>
      <c r="K950" s="71"/>
    </row>
    <row r="951" spans="1:19" hidden="1" x14ac:dyDescent="0.25">
      <c r="A951" s="68" t="s">
        <v>659</v>
      </c>
      <c r="B951" s="126">
        <v>43614</v>
      </c>
      <c r="C951" s="127">
        <v>396</v>
      </c>
      <c r="D951" s="32" t="s">
        <v>1555</v>
      </c>
      <c r="E951" s="32" t="s">
        <v>691</v>
      </c>
      <c r="F951" s="4">
        <v>8400</v>
      </c>
      <c r="G951" s="29" t="s">
        <v>8189</v>
      </c>
      <c r="H951" s="14">
        <v>43585</v>
      </c>
      <c r="I951" s="4" t="s">
        <v>118</v>
      </c>
      <c r="J951" s="21" t="s">
        <v>1386</v>
      </c>
      <c r="K951" s="228"/>
    </row>
    <row r="952" spans="1:19" hidden="1" x14ac:dyDescent="0.25">
      <c r="A952" s="13" t="s">
        <v>151</v>
      </c>
      <c r="B952" s="126">
        <v>43614</v>
      </c>
      <c r="C952" s="13">
        <v>399</v>
      </c>
      <c r="D952" s="13" t="s">
        <v>7869</v>
      </c>
      <c r="E952" s="32" t="s">
        <v>691</v>
      </c>
      <c r="F952" s="4">
        <v>3950</v>
      </c>
      <c r="G952" s="28" t="s">
        <v>8206</v>
      </c>
      <c r="H952" s="14">
        <v>43585</v>
      </c>
      <c r="I952" s="4" t="s">
        <v>8207</v>
      </c>
      <c r="J952" s="125"/>
    </row>
    <row r="953" spans="1:19" hidden="1" x14ac:dyDescent="0.25">
      <c r="A953" s="13" t="s">
        <v>151</v>
      </c>
      <c r="B953" s="126">
        <v>43614</v>
      </c>
      <c r="C953" s="13">
        <v>397</v>
      </c>
      <c r="D953" s="13" t="s">
        <v>6318</v>
      </c>
      <c r="E953" s="32" t="s">
        <v>691</v>
      </c>
      <c r="F953" s="4">
        <v>19000</v>
      </c>
      <c r="G953" s="28" t="s">
        <v>8195</v>
      </c>
      <c r="H953" s="14">
        <v>43601</v>
      </c>
      <c r="I953" s="4" t="s">
        <v>8197</v>
      </c>
      <c r="J953" s="125"/>
    </row>
    <row r="954" spans="1:19" s="62" customFormat="1" ht="15" hidden="1" customHeight="1" x14ac:dyDescent="0.25">
      <c r="A954" s="13" t="s">
        <v>455</v>
      </c>
      <c r="B954" s="14">
        <v>43614</v>
      </c>
      <c r="C954" s="28" t="s">
        <v>8291</v>
      </c>
      <c r="D954" s="13" t="s">
        <v>1555</v>
      </c>
      <c r="E954" s="32" t="s">
        <v>958</v>
      </c>
      <c r="F954" s="4">
        <v>8400</v>
      </c>
      <c r="G954" s="29" t="s">
        <v>8188</v>
      </c>
      <c r="H954" s="14">
        <v>43585</v>
      </c>
      <c r="I954" s="4" t="s">
        <v>118</v>
      </c>
      <c r="J954" s="71" t="s">
        <v>1386</v>
      </c>
      <c r="O954" s="35"/>
      <c r="P954" s="35"/>
      <c r="Q954" s="35"/>
      <c r="R954" s="35"/>
      <c r="S954" s="35"/>
    </row>
    <row r="955" spans="1:19" hidden="1" x14ac:dyDescent="0.25">
      <c r="A955" s="13" t="s">
        <v>455</v>
      </c>
      <c r="B955" s="14">
        <v>43614</v>
      </c>
      <c r="C955" s="28" t="s">
        <v>6001</v>
      </c>
      <c r="D955" s="13" t="s">
        <v>6350</v>
      </c>
      <c r="E955" s="13" t="s">
        <v>958</v>
      </c>
      <c r="F955" s="37">
        <v>39598.480000000003</v>
      </c>
      <c r="G955" s="29" t="s">
        <v>6354</v>
      </c>
      <c r="H955" s="14">
        <v>43556</v>
      </c>
      <c r="I955" s="4" t="s">
        <v>6352</v>
      </c>
      <c r="J955" s="128"/>
      <c r="K955" s="71"/>
    </row>
    <row r="956" spans="1:19" hidden="1" x14ac:dyDescent="0.25">
      <c r="A956" s="13" t="s">
        <v>310</v>
      </c>
      <c r="B956" s="14">
        <v>43614</v>
      </c>
      <c r="C956" s="28" t="s">
        <v>6001</v>
      </c>
      <c r="D956" s="13" t="s">
        <v>6350</v>
      </c>
      <c r="E956" s="13" t="s">
        <v>958</v>
      </c>
      <c r="F956" s="37">
        <v>28633.15</v>
      </c>
      <c r="G956" s="29" t="s">
        <v>6362</v>
      </c>
      <c r="H956" s="14">
        <v>43556</v>
      </c>
      <c r="I956" s="4" t="s">
        <v>6352</v>
      </c>
      <c r="J956" s="128"/>
      <c r="K956" s="71"/>
    </row>
    <row r="957" spans="1:19" hidden="1" x14ac:dyDescent="0.25">
      <c r="A957" s="13" t="s">
        <v>151</v>
      </c>
      <c r="B957" s="14">
        <v>43614</v>
      </c>
      <c r="C957" s="13">
        <v>528</v>
      </c>
      <c r="D957" s="13" t="s">
        <v>6318</v>
      </c>
      <c r="E957" s="32" t="s">
        <v>958</v>
      </c>
      <c r="F957" s="4">
        <v>6000</v>
      </c>
      <c r="G957" s="28" t="s">
        <v>8196</v>
      </c>
      <c r="H957" s="14">
        <v>43601</v>
      </c>
      <c r="I957" s="4" t="s">
        <v>8198</v>
      </c>
      <c r="J957" s="125"/>
    </row>
    <row r="958" spans="1:19" s="129" customFormat="1" hidden="1" x14ac:dyDescent="0.25">
      <c r="A958" s="13" t="s">
        <v>151</v>
      </c>
      <c r="B958" s="14">
        <v>43614</v>
      </c>
      <c r="C958" s="28" t="s">
        <v>8292</v>
      </c>
      <c r="D958" s="13" t="s">
        <v>8177</v>
      </c>
      <c r="E958" s="32" t="s">
        <v>958</v>
      </c>
      <c r="F958" s="37">
        <v>1300</v>
      </c>
      <c r="G958" s="28"/>
      <c r="H958" s="14"/>
      <c r="I958" s="4" t="s">
        <v>8178</v>
      </c>
      <c r="J958" s="170"/>
      <c r="K958" s="136"/>
    </row>
    <row r="959" spans="1:19" ht="27.6" hidden="1" x14ac:dyDescent="0.25">
      <c r="A959" s="13" t="s">
        <v>55</v>
      </c>
      <c r="B959" s="14">
        <v>43614</v>
      </c>
      <c r="C959" s="13">
        <v>858</v>
      </c>
      <c r="D959" s="13" t="s">
        <v>8234</v>
      </c>
      <c r="E959" s="32" t="s">
        <v>1427</v>
      </c>
      <c r="F959" s="4">
        <v>28000</v>
      </c>
      <c r="G959" s="28" t="s">
        <v>3862</v>
      </c>
      <c r="H959" s="14">
        <v>43600</v>
      </c>
      <c r="I959" s="4" t="s">
        <v>8235</v>
      </c>
      <c r="J959" s="125"/>
    </row>
    <row r="960" spans="1:19" s="115" customFormat="1" ht="15.6" hidden="1" x14ac:dyDescent="0.25">
      <c r="A960" s="32" t="s">
        <v>6</v>
      </c>
      <c r="B960" s="14">
        <v>43614</v>
      </c>
      <c r="C960" s="13">
        <v>252</v>
      </c>
      <c r="D960" s="32" t="s">
        <v>1555</v>
      </c>
      <c r="E960" s="13" t="s">
        <v>183</v>
      </c>
      <c r="F960" s="4">
        <v>2174.16</v>
      </c>
      <c r="G960" s="13" t="s">
        <v>8140</v>
      </c>
      <c r="H960" s="14">
        <v>43585</v>
      </c>
      <c r="I960" s="4" t="s">
        <v>118</v>
      </c>
      <c r="J960" s="21" t="s">
        <v>771</v>
      </c>
      <c r="K960" s="116"/>
      <c r="L960" s="116"/>
      <c r="M960" s="116"/>
      <c r="N960" s="116"/>
      <c r="O960" s="117"/>
      <c r="P960" s="117"/>
      <c r="Q960" s="117"/>
      <c r="R960" s="117"/>
      <c r="S960" s="117"/>
    </row>
    <row r="961" spans="1:19" s="2" customFormat="1" ht="15" hidden="1" customHeight="1" x14ac:dyDescent="0.25">
      <c r="A961" s="13" t="s">
        <v>6</v>
      </c>
      <c r="B961" s="14">
        <v>43614</v>
      </c>
      <c r="C961" s="13">
        <v>253</v>
      </c>
      <c r="D961" s="13" t="s">
        <v>1416</v>
      </c>
      <c r="E961" s="13" t="s">
        <v>183</v>
      </c>
      <c r="F961" s="4">
        <v>11612.9</v>
      </c>
      <c r="G961" s="29" t="s">
        <v>8236</v>
      </c>
      <c r="H961" s="14">
        <v>43612</v>
      </c>
      <c r="I961" s="4" t="s">
        <v>1417</v>
      </c>
      <c r="J961" s="341" t="s">
        <v>526</v>
      </c>
      <c r="K961" s="31"/>
      <c r="L961" s="31"/>
      <c r="M961" s="31"/>
      <c r="N961" s="31"/>
      <c r="O961" s="34"/>
      <c r="P961" s="34"/>
      <c r="Q961" s="34"/>
      <c r="R961" s="34"/>
      <c r="S961" s="34"/>
    </row>
    <row r="962" spans="1:19" s="2" customFormat="1" ht="15" hidden="1" customHeight="1" x14ac:dyDescent="0.25">
      <c r="A962" s="13" t="s">
        <v>6</v>
      </c>
      <c r="B962" s="14">
        <v>43614</v>
      </c>
      <c r="C962" s="13">
        <v>254</v>
      </c>
      <c r="D962" s="13" t="s">
        <v>1438</v>
      </c>
      <c r="E962" s="13" t="s">
        <v>183</v>
      </c>
      <c r="F962" s="4">
        <v>10000</v>
      </c>
      <c r="G962" s="29" t="s">
        <v>8237</v>
      </c>
      <c r="H962" s="14">
        <v>43612</v>
      </c>
      <c r="I962" s="4" t="s">
        <v>1439</v>
      </c>
      <c r="J962" s="341"/>
      <c r="K962" s="31"/>
      <c r="L962" s="31"/>
      <c r="M962" s="31"/>
      <c r="N962" s="31"/>
      <c r="O962" s="34"/>
      <c r="P962" s="34"/>
      <c r="Q962" s="34"/>
      <c r="R962" s="34"/>
      <c r="S962" s="34"/>
    </row>
    <row r="963" spans="1:19" s="2" customFormat="1" ht="15" hidden="1" customHeight="1" x14ac:dyDescent="0.25">
      <c r="A963" s="13" t="s">
        <v>6</v>
      </c>
      <c r="B963" s="14">
        <v>43614</v>
      </c>
      <c r="C963" s="13">
        <v>255</v>
      </c>
      <c r="D963" s="13" t="s">
        <v>464</v>
      </c>
      <c r="E963" s="13" t="s">
        <v>183</v>
      </c>
      <c r="F963" s="4">
        <v>16785</v>
      </c>
      <c r="G963" s="29" t="s">
        <v>878</v>
      </c>
      <c r="H963" s="14">
        <v>43609</v>
      </c>
      <c r="I963" s="4" t="s">
        <v>4815</v>
      </c>
      <c r="J963" s="341"/>
      <c r="K963" s="31"/>
      <c r="L963" s="31"/>
      <c r="M963" s="31"/>
      <c r="N963" s="31"/>
      <c r="O963" s="34"/>
      <c r="P963" s="34"/>
      <c r="Q963" s="34"/>
      <c r="R963" s="34"/>
      <c r="S963" s="34"/>
    </row>
    <row r="964" spans="1:19" s="2" customFormat="1" hidden="1" x14ac:dyDescent="0.25">
      <c r="A964" s="13" t="s">
        <v>6</v>
      </c>
      <c r="B964" s="14">
        <v>43614</v>
      </c>
      <c r="C964" s="13">
        <v>256</v>
      </c>
      <c r="D964" s="32" t="s">
        <v>530</v>
      </c>
      <c r="E964" s="13" t="s">
        <v>183</v>
      </c>
      <c r="F964" s="4">
        <v>21000</v>
      </c>
      <c r="G964" s="29" t="s">
        <v>8180</v>
      </c>
      <c r="H964" s="14">
        <v>43592</v>
      </c>
      <c r="I964" s="4" t="s">
        <v>165</v>
      </c>
      <c r="J964" s="341"/>
      <c r="K964" s="31"/>
      <c r="L964" s="31"/>
      <c r="M964" s="31"/>
      <c r="N964" s="31"/>
      <c r="O964" s="34"/>
      <c r="P964" s="34"/>
      <c r="Q964" s="34"/>
      <c r="R964" s="34"/>
      <c r="S964" s="34"/>
    </row>
    <row r="965" spans="1:19" s="2" customFormat="1" ht="15" hidden="1" customHeight="1" x14ac:dyDescent="0.25">
      <c r="A965" s="13" t="s">
        <v>6</v>
      </c>
      <c r="B965" s="14">
        <v>43614</v>
      </c>
      <c r="C965" s="13">
        <v>257</v>
      </c>
      <c r="D965" s="13" t="s">
        <v>1394</v>
      </c>
      <c r="E965" s="13" t="s">
        <v>183</v>
      </c>
      <c r="F965" s="4">
        <v>139320</v>
      </c>
      <c r="G965" s="29" t="s">
        <v>52</v>
      </c>
      <c r="H965" s="14">
        <v>43602</v>
      </c>
      <c r="I965" s="4" t="s">
        <v>7987</v>
      </c>
      <c r="J965" s="341"/>
      <c r="K965" s="31"/>
      <c r="L965" s="31"/>
      <c r="M965" s="31"/>
      <c r="N965" s="31"/>
      <c r="O965" s="34"/>
      <c r="P965" s="34"/>
      <c r="Q965" s="34"/>
      <c r="R965" s="34"/>
      <c r="S965" s="34"/>
    </row>
    <row r="966" spans="1:19" s="50" customFormat="1" ht="27.6" hidden="1" x14ac:dyDescent="0.25">
      <c r="A966" s="13" t="s">
        <v>92</v>
      </c>
      <c r="B966" s="14">
        <v>43614</v>
      </c>
      <c r="C966" s="13" t="s">
        <v>8295</v>
      </c>
      <c r="D966" s="32" t="s">
        <v>373</v>
      </c>
      <c r="E966" s="218" t="s">
        <v>7168</v>
      </c>
      <c r="F966" s="224">
        <f>2484720+2359000+1995660</f>
        <v>6839380</v>
      </c>
      <c r="G966" s="28" t="s">
        <v>4765</v>
      </c>
      <c r="H966" s="14">
        <v>42851</v>
      </c>
      <c r="I966" s="32" t="s">
        <v>4764</v>
      </c>
      <c r="J966" s="325"/>
    </row>
    <row r="967" spans="1:19" ht="15" hidden="1" customHeight="1" x14ac:dyDescent="0.25">
      <c r="A967" s="32" t="s">
        <v>213</v>
      </c>
      <c r="B967" s="14">
        <v>43614</v>
      </c>
      <c r="C967" s="67">
        <v>475</v>
      </c>
      <c r="D967" s="32" t="s">
        <v>757</v>
      </c>
      <c r="E967" s="32" t="s">
        <v>136</v>
      </c>
      <c r="F967" s="4">
        <v>1000000</v>
      </c>
      <c r="G967" s="28"/>
      <c r="H967" s="14"/>
      <c r="I967" s="4" t="s">
        <v>284</v>
      </c>
      <c r="J967" s="166"/>
      <c r="K967" s="167"/>
      <c r="L967" s="35"/>
    </row>
    <row r="968" spans="1:19" ht="27.6" hidden="1" x14ac:dyDescent="0.25">
      <c r="A968" s="32" t="s">
        <v>151</v>
      </c>
      <c r="B968" s="14">
        <v>43614</v>
      </c>
      <c r="C968" s="67">
        <v>394</v>
      </c>
      <c r="D968" s="32" t="s">
        <v>7698</v>
      </c>
      <c r="E968" s="32" t="s">
        <v>691</v>
      </c>
      <c r="F968" s="4">
        <v>5000</v>
      </c>
      <c r="G968" s="29" t="s">
        <v>3279</v>
      </c>
      <c r="H968" s="14">
        <v>43613</v>
      </c>
      <c r="I968" s="4" t="s">
        <v>7699</v>
      </c>
      <c r="J968" s="166"/>
      <c r="K968" s="167"/>
      <c r="L968" s="35"/>
    </row>
    <row r="969" spans="1:19" hidden="1" x14ac:dyDescent="0.25">
      <c r="A969" s="32" t="s">
        <v>151</v>
      </c>
      <c r="B969" s="14">
        <v>43614</v>
      </c>
      <c r="C969" s="67">
        <v>611</v>
      </c>
      <c r="D969" s="32" t="s">
        <v>8296</v>
      </c>
      <c r="E969" s="32" t="s">
        <v>60</v>
      </c>
      <c r="F969" s="4">
        <v>245000</v>
      </c>
      <c r="G969" s="29" t="s">
        <v>1295</v>
      </c>
      <c r="H969" s="14">
        <v>43612</v>
      </c>
      <c r="I969" s="4" t="s">
        <v>4402</v>
      </c>
      <c r="J969" s="166"/>
      <c r="K969" s="167"/>
      <c r="L969" s="35"/>
    </row>
    <row r="970" spans="1:19" ht="27.6" hidden="1" x14ac:dyDescent="0.25">
      <c r="A970" s="68" t="s">
        <v>151</v>
      </c>
      <c r="B970" s="14">
        <v>43614</v>
      </c>
      <c r="C970" s="13">
        <v>2</v>
      </c>
      <c r="D970" s="32" t="s">
        <v>1169</v>
      </c>
      <c r="E970" s="32" t="s">
        <v>8297</v>
      </c>
      <c r="F970" s="4">
        <v>30000</v>
      </c>
      <c r="G970" s="210" t="s">
        <v>141</v>
      </c>
      <c r="H970" s="211">
        <v>43524</v>
      </c>
      <c r="I970" s="208" t="s">
        <v>4625</v>
      </c>
      <c r="J970" s="21"/>
      <c r="K970" s="228"/>
    </row>
    <row r="971" spans="1:19" hidden="1" x14ac:dyDescent="0.25">
      <c r="A971" s="68" t="s">
        <v>151</v>
      </c>
      <c r="B971" s="14">
        <v>43614</v>
      </c>
      <c r="C971" s="13">
        <v>1</v>
      </c>
      <c r="D971" s="32" t="s">
        <v>1169</v>
      </c>
      <c r="E971" s="32" t="s">
        <v>8298</v>
      </c>
      <c r="F971" s="4">
        <v>30000</v>
      </c>
      <c r="G971" s="210" t="s">
        <v>320</v>
      </c>
      <c r="H971" s="211">
        <v>43522</v>
      </c>
      <c r="I971" s="208" t="s">
        <v>4625</v>
      </c>
      <c r="J971" s="21"/>
      <c r="K971" s="228"/>
    </row>
    <row r="972" spans="1:19" hidden="1" x14ac:dyDescent="0.25">
      <c r="A972" s="68" t="s">
        <v>151</v>
      </c>
      <c r="B972" s="14">
        <v>43614</v>
      </c>
      <c r="C972" s="13">
        <v>3</v>
      </c>
      <c r="D972" s="32" t="s">
        <v>1169</v>
      </c>
      <c r="E972" s="32" t="s">
        <v>8299</v>
      </c>
      <c r="F972" s="4">
        <v>30000</v>
      </c>
      <c r="G972" s="210" t="s">
        <v>201</v>
      </c>
      <c r="H972" s="211">
        <v>43522</v>
      </c>
      <c r="I972" s="208" t="s">
        <v>4625</v>
      </c>
      <c r="J972" s="21"/>
      <c r="K972" s="228"/>
    </row>
    <row r="973" spans="1:19" hidden="1" x14ac:dyDescent="0.25">
      <c r="A973" s="68" t="s">
        <v>151</v>
      </c>
      <c r="B973" s="14">
        <v>43614</v>
      </c>
      <c r="C973" s="13">
        <v>1</v>
      </c>
      <c r="D973" s="32" t="s">
        <v>2899</v>
      </c>
      <c r="E973" s="32" t="s">
        <v>8300</v>
      </c>
      <c r="F973" s="209">
        <v>4000</v>
      </c>
      <c r="G973" s="210" t="s">
        <v>8301</v>
      </c>
      <c r="H973" s="211">
        <v>43566</v>
      </c>
      <c r="I973" s="208" t="s">
        <v>4399</v>
      </c>
      <c r="J973" s="21"/>
      <c r="K973" s="228"/>
    </row>
    <row r="974" spans="1:19" hidden="1" x14ac:dyDescent="0.25">
      <c r="A974" s="68" t="s">
        <v>151</v>
      </c>
      <c r="B974" s="14">
        <v>43614</v>
      </c>
      <c r="C974" s="13">
        <v>146</v>
      </c>
      <c r="D974" s="32" t="s">
        <v>2899</v>
      </c>
      <c r="E974" s="32" t="s">
        <v>22</v>
      </c>
      <c r="F974" s="209">
        <v>800</v>
      </c>
      <c r="G974" s="210" t="s">
        <v>8302</v>
      </c>
      <c r="H974" s="211">
        <v>43614</v>
      </c>
      <c r="I974" s="208" t="s">
        <v>7309</v>
      </c>
      <c r="J974" s="21"/>
      <c r="K974" s="228"/>
    </row>
    <row r="975" spans="1:19" ht="27.6" hidden="1" x14ac:dyDescent="0.25">
      <c r="A975" s="13" t="s">
        <v>659</v>
      </c>
      <c r="B975" s="14">
        <v>43615</v>
      </c>
      <c r="C975" s="13">
        <v>60</v>
      </c>
      <c r="D975" s="13" t="s">
        <v>7961</v>
      </c>
      <c r="E975" s="13" t="s">
        <v>488</v>
      </c>
      <c r="F975" s="37">
        <v>310500</v>
      </c>
      <c r="G975" s="29" t="s">
        <v>7962</v>
      </c>
      <c r="H975" s="14">
        <v>43598</v>
      </c>
      <c r="I975" s="4" t="s">
        <v>7963</v>
      </c>
      <c r="J975" s="22" t="s">
        <v>7964</v>
      </c>
    </row>
    <row r="976" spans="1:19" hidden="1" x14ac:dyDescent="0.25">
      <c r="A976" s="61" t="s">
        <v>460</v>
      </c>
      <c r="B976" s="14">
        <v>43615</v>
      </c>
      <c r="C976" s="13">
        <v>127</v>
      </c>
      <c r="D976" s="14" t="s">
        <v>5817</v>
      </c>
      <c r="E976" s="32" t="s">
        <v>483</v>
      </c>
      <c r="F976" s="4">
        <v>37110</v>
      </c>
      <c r="G976" s="86" t="s">
        <v>5818</v>
      </c>
      <c r="H976" s="211"/>
      <c r="I976" s="326"/>
      <c r="K976" s="62"/>
    </row>
    <row r="977" spans="1:19" hidden="1" x14ac:dyDescent="0.25">
      <c r="A977" s="61" t="s">
        <v>460</v>
      </c>
      <c r="B977" s="14">
        <v>43615</v>
      </c>
      <c r="C977" s="13">
        <v>128</v>
      </c>
      <c r="D977" s="14" t="s">
        <v>5819</v>
      </c>
      <c r="E977" s="32" t="s">
        <v>483</v>
      </c>
      <c r="F977" s="4">
        <v>72072</v>
      </c>
      <c r="G977" s="86" t="s">
        <v>5820</v>
      </c>
      <c r="H977" s="211"/>
      <c r="I977" s="326"/>
      <c r="K977" s="62"/>
    </row>
    <row r="978" spans="1:19" hidden="1" x14ac:dyDescent="0.25">
      <c r="A978" s="61" t="s">
        <v>460</v>
      </c>
      <c r="B978" s="14">
        <v>43615</v>
      </c>
      <c r="C978" s="13">
        <v>129</v>
      </c>
      <c r="D978" s="14" t="s">
        <v>6053</v>
      </c>
      <c r="E978" s="32" t="s">
        <v>483</v>
      </c>
      <c r="F978" s="4">
        <v>37100</v>
      </c>
      <c r="G978" s="86" t="s">
        <v>6054</v>
      </c>
      <c r="H978" s="211"/>
      <c r="I978" s="326"/>
      <c r="K978" s="62"/>
    </row>
    <row r="979" spans="1:19" ht="27.6" hidden="1" x14ac:dyDescent="0.25">
      <c r="A979" s="61" t="s">
        <v>460</v>
      </c>
      <c r="B979" s="14">
        <v>43615</v>
      </c>
      <c r="C979" s="13">
        <v>130</v>
      </c>
      <c r="D979" s="14" t="s">
        <v>6055</v>
      </c>
      <c r="E979" s="32" t="s">
        <v>483</v>
      </c>
      <c r="F979" s="4">
        <v>46980</v>
      </c>
      <c r="G979" s="86" t="s">
        <v>6056</v>
      </c>
      <c r="H979" s="211"/>
      <c r="I979" s="326"/>
      <c r="K979" s="62"/>
    </row>
    <row r="980" spans="1:19" hidden="1" x14ac:dyDescent="0.25">
      <c r="A980" s="61" t="s">
        <v>460</v>
      </c>
      <c r="B980" s="14">
        <v>43615</v>
      </c>
      <c r="C980" s="13">
        <v>131</v>
      </c>
      <c r="D980" s="14" t="s">
        <v>5990</v>
      </c>
      <c r="E980" s="32" t="s">
        <v>483</v>
      </c>
      <c r="F980" s="4">
        <v>60800</v>
      </c>
      <c r="G980" s="86" t="s">
        <v>5991</v>
      </c>
      <c r="H980" s="211"/>
      <c r="I980" s="326"/>
      <c r="K980" s="62"/>
    </row>
    <row r="981" spans="1:19" hidden="1" x14ac:dyDescent="0.25">
      <c r="A981" s="61" t="s">
        <v>460</v>
      </c>
      <c r="B981" s="14">
        <v>43615</v>
      </c>
      <c r="C981" s="13">
        <v>132</v>
      </c>
      <c r="D981" s="14" t="s">
        <v>6043</v>
      </c>
      <c r="E981" s="32" t="s">
        <v>483</v>
      </c>
      <c r="F981" s="4">
        <v>28995</v>
      </c>
      <c r="G981" s="86" t="s">
        <v>6044</v>
      </c>
      <c r="H981" s="211"/>
      <c r="I981" s="326"/>
      <c r="K981" s="62"/>
    </row>
    <row r="982" spans="1:19" hidden="1" x14ac:dyDescent="0.25">
      <c r="A982" s="61" t="s">
        <v>460</v>
      </c>
      <c r="B982" s="14">
        <v>43615</v>
      </c>
      <c r="C982" s="13">
        <v>133</v>
      </c>
      <c r="D982" s="14" t="s">
        <v>6045</v>
      </c>
      <c r="E982" s="32" t="s">
        <v>483</v>
      </c>
      <c r="F982" s="4">
        <v>35716</v>
      </c>
      <c r="G982" s="86" t="s">
        <v>6046</v>
      </c>
      <c r="H982" s="211"/>
      <c r="I982" s="326"/>
      <c r="K982" s="62"/>
    </row>
    <row r="983" spans="1:19" hidden="1" x14ac:dyDescent="0.25">
      <c r="A983" s="61" t="s">
        <v>460</v>
      </c>
      <c r="B983" s="14">
        <v>43615</v>
      </c>
      <c r="C983" s="13">
        <v>134</v>
      </c>
      <c r="D983" s="14" t="s">
        <v>6050</v>
      </c>
      <c r="E983" s="32" t="s">
        <v>483</v>
      </c>
      <c r="F983" s="4">
        <v>37400</v>
      </c>
      <c r="G983" s="86" t="s">
        <v>6051</v>
      </c>
      <c r="H983" s="211"/>
      <c r="I983" s="326"/>
      <c r="K983" s="62"/>
    </row>
    <row r="984" spans="1:19" s="2" customFormat="1" ht="15" hidden="1" customHeight="1" x14ac:dyDescent="0.25">
      <c r="A984" s="13" t="s">
        <v>6</v>
      </c>
      <c r="B984" s="14">
        <v>43615</v>
      </c>
      <c r="C984" s="13">
        <v>258</v>
      </c>
      <c r="D984" s="32" t="s">
        <v>6703</v>
      </c>
      <c r="E984" s="13" t="s">
        <v>183</v>
      </c>
      <c r="F984" s="4">
        <v>122034</v>
      </c>
      <c r="G984" s="29" t="s">
        <v>478</v>
      </c>
      <c r="H984" s="14">
        <v>43585</v>
      </c>
      <c r="I984" s="4" t="s">
        <v>8311</v>
      </c>
      <c r="J984" s="341"/>
      <c r="K984" s="31"/>
      <c r="L984" s="31"/>
      <c r="M984" s="31"/>
      <c r="N984" s="31"/>
      <c r="O984" s="34"/>
      <c r="P984" s="34"/>
      <c r="Q984" s="34"/>
      <c r="R984" s="34"/>
      <c r="S984" s="34"/>
    </row>
    <row r="985" spans="1:19" s="2" customFormat="1" ht="16.8" hidden="1" customHeight="1" x14ac:dyDescent="0.25">
      <c r="A985" s="13" t="s">
        <v>6</v>
      </c>
      <c r="B985" s="14">
        <v>43615</v>
      </c>
      <c r="C985" s="13">
        <v>259</v>
      </c>
      <c r="D985" s="13" t="s">
        <v>3905</v>
      </c>
      <c r="E985" s="13" t="s">
        <v>183</v>
      </c>
      <c r="F985" s="4">
        <v>7100.9</v>
      </c>
      <c r="G985" s="29" t="s">
        <v>8309</v>
      </c>
      <c r="H985" s="14">
        <v>43613</v>
      </c>
      <c r="I985" s="4" t="s">
        <v>8310</v>
      </c>
      <c r="J985" s="341"/>
      <c r="K985" s="31"/>
      <c r="L985" s="31"/>
      <c r="M985" s="31"/>
      <c r="N985" s="31"/>
      <c r="O985" s="34"/>
      <c r="P985" s="34"/>
      <c r="Q985" s="34"/>
      <c r="R985" s="34"/>
      <c r="S985" s="34"/>
    </row>
    <row r="986" spans="1:19" s="2" customFormat="1" hidden="1" x14ac:dyDescent="0.25">
      <c r="A986" s="13" t="s">
        <v>6</v>
      </c>
      <c r="B986" s="14">
        <v>43615</v>
      </c>
      <c r="C986" s="13">
        <v>260</v>
      </c>
      <c r="D986" s="32" t="s">
        <v>530</v>
      </c>
      <c r="E986" s="13" t="s">
        <v>183</v>
      </c>
      <c r="F986" s="4">
        <v>62250</v>
      </c>
      <c r="G986" s="29" t="s">
        <v>8308</v>
      </c>
      <c r="H986" s="14">
        <v>43584</v>
      </c>
      <c r="I986" s="4" t="s">
        <v>208</v>
      </c>
      <c r="J986" s="341"/>
      <c r="K986" s="31"/>
      <c r="L986" s="31"/>
      <c r="M986" s="31"/>
      <c r="N986" s="31"/>
      <c r="O986" s="34"/>
      <c r="P986" s="34"/>
      <c r="Q986" s="34"/>
      <c r="R986" s="34"/>
      <c r="S986" s="34"/>
    </row>
    <row r="987" spans="1:19" s="2" customFormat="1" ht="15" hidden="1" customHeight="1" x14ac:dyDescent="0.25">
      <c r="A987" s="13" t="s">
        <v>6</v>
      </c>
      <c r="B987" s="14">
        <v>43615</v>
      </c>
      <c r="C987" s="13">
        <v>261</v>
      </c>
      <c r="D987" s="13" t="s">
        <v>568</v>
      </c>
      <c r="E987" s="13" t="s">
        <v>183</v>
      </c>
      <c r="F987" s="4">
        <v>42237</v>
      </c>
      <c r="G987" s="29" t="s">
        <v>8306</v>
      </c>
      <c r="H987" s="14">
        <v>43600</v>
      </c>
      <c r="I987" s="4" t="s">
        <v>8307</v>
      </c>
      <c r="J987" s="341"/>
      <c r="K987" s="31"/>
      <c r="L987" s="31"/>
      <c r="M987" s="31"/>
      <c r="N987" s="31"/>
      <c r="O987" s="34"/>
      <c r="P987" s="34"/>
      <c r="Q987" s="34"/>
      <c r="R987" s="34"/>
      <c r="S987" s="34"/>
    </row>
    <row r="988" spans="1:19" s="2" customFormat="1" ht="15" hidden="1" customHeight="1" x14ac:dyDescent="0.25">
      <c r="A988" s="13" t="s">
        <v>6</v>
      </c>
      <c r="B988" s="14">
        <v>43615</v>
      </c>
      <c r="C988" s="13">
        <v>262</v>
      </c>
      <c r="D988" s="13" t="s">
        <v>1394</v>
      </c>
      <c r="E988" s="13" t="s">
        <v>183</v>
      </c>
      <c r="F988" s="4">
        <v>93600</v>
      </c>
      <c r="G988" s="29" t="s">
        <v>1529</v>
      </c>
      <c r="H988" s="14">
        <v>43614</v>
      </c>
      <c r="I988" s="4" t="s">
        <v>4813</v>
      </c>
      <c r="J988" s="341"/>
      <c r="K988" s="31"/>
      <c r="L988" s="31"/>
      <c r="M988" s="31"/>
      <c r="N988" s="31"/>
      <c r="O988" s="34"/>
      <c r="P988" s="34"/>
      <c r="Q988" s="34"/>
      <c r="R988" s="34"/>
      <c r="S988" s="34"/>
    </row>
    <row r="989" spans="1:19" s="2" customFormat="1" hidden="1" x14ac:dyDescent="0.25">
      <c r="A989" s="13" t="s">
        <v>6</v>
      </c>
      <c r="B989" s="14">
        <v>43615</v>
      </c>
      <c r="C989" s="13">
        <v>263</v>
      </c>
      <c r="D989" s="13" t="s">
        <v>7334</v>
      </c>
      <c r="E989" s="13" t="s">
        <v>183</v>
      </c>
      <c r="F989" s="4">
        <v>18000</v>
      </c>
      <c r="G989" s="29" t="s">
        <v>53</v>
      </c>
      <c r="H989" s="14">
        <v>43609</v>
      </c>
      <c r="I989" s="4" t="s">
        <v>105</v>
      </c>
      <c r="J989" s="341"/>
      <c r="K989" s="31"/>
      <c r="L989" s="31"/>
      <c r="M989" s="31"/>
      <c r="N989" s="31"/>
      <c r="O989" s="34"/>
      <c r="P989" s="34"/>
      <c r="Q989" s="34"/>
      <c r="R989" s="34"/>
      <c r="S989" s="34"/>
    </row>
    <row r="990" spans="1:19" hidden="1" x14ac:dyDescent="0.25">
      <c r="A990" s="61" t="s">
        <v>103</v>
      </c>
      <c r="B990" s="14">
        <v>43615</v>
      </c>
      <c r="C990" s="13">
        <v>903</v>
      </c>
      <c r="D990" s="13" t="s">
        <v>6788</v>
      </c>
      <c r="E990" s="13" t="s">
        <v>62</v>
      </c>
      <c r="F990" s="37">
        <v>81250</v>
      </c>
      <c r="G990" s="29" t="s">
        <v>2806</v>
      </c>
      <c r="H990" s="14">
        <v>43545</v>
      </c>
      <c r="I990" s="4" t="s">
        <v>354</v>
      </c>
    </row>
    <row r="991" spans="1:19" x14ac:dyDescent="0.25">
      <c r="A991" s="13" t="s">
        <v>151</v>
      </c>
      <c r="B991" s="14">
        <v>43615</v>
      </c>
      <c r="C991" s="13">
        <v>154</v>
      </c>
      <c r="D991" s="32" t="s">
        <v>4162</v>
      </c>
      <c r="E991" s="32" t="s">
        <v>22</v>
      </c>
      <c r="F991" s="4">
        <v>7430.1</v>
      </c>
      <c r="G991" s="29" t="s">
        <v>8242</v>
      </c>
      <c r="H991" s="14">
        <v>43614</v>
      </c>
      <c r="I991" s="4" t="s">
        <v>8243</v>
      </c>
      <c r="J991" s="21"/>
      <c r="K991" s="228"/>
    </row>
    <row r="992" spans="1:19" hidden="1" x14ac:dyDescent="0.25">
      <c r="A992" s="13" t="s">
        <v>151</v>
      </c>
      <c r="B992" s="14">
        <v>43615</v>
      </c>
      <c r="C992" s="13">
        <v>1147</v>
      </c>
      <c r="D992" s="32" t="s">
        <v>112</v>
      </c>
      <c r="E992" s="32" t="s">
        <v>38</v>
      </c>
      <c r="F992" s="4">
        <v>6000</v>
      </c>
      <c r="G992" s="29" t="s">
        <v>8250</v>
      </c>
      <c r="H992" s="14">
        <v>43612</v>
      </c>
      <c r="I992" s="4" t="s">
        <v>8251</v>
      </c>
      <c r="J992" s="21"/>
      <c r="K992" s="228"/>
    </row>
    <row r="993" spans="1:12" hidden="1" x14ac:dyDescent="0.25">
      <c r="A993" s="61" t="s">
        <v>956</v>
      </c>
      <c r="B993" s="14">
        <v>43615</v>
      </c>
      <c r="C993" s="13">
        <v>336</v>
      </c>
      <c r="D993" s="13" t="s">
        <v>149</v>
      </c>
      <c r="E993" s="13" t="s">
        <v>481</v>
      </c>
      <c r="F993" s="37">
        <v>7400</v>
      </c>
      <c r="G993" s="29" t="s">
        <v>6121</v>
      </c>
      <c r="H993" s="14">
        <v>43514</v>
      </c>
      <c r="I993" s="4" t="s">
        <v>4886</v>
      </c>
    </row>
    <row r="994" spans="1:12" hidden="1" x14ac:dyDescent="0.25">
      <c r="A994" s="61" t="s">
        <v>956</v>
      </c>
      <c r="B994" s="14">
        <v>43615</v>
      </c>
      <c r="C994" s="13">
        <v>337</v>
      </c>
      <c r="D994" s="13" t="s">
        <v>149</v>
      </c>
      <c r="E994" s="13" t="s">
        <v>481</v>
      </c>
      <c r="F994" s="37">
        <v>7000</v>
      </c>
      <c r="G994" s="29" t="s">
        <v>1965</v>
      </c>
      <c r="H994" s="14">
        <v>43524</v>
      </c>
      <c r="I994" s="4" t="s">
        <v>5891</v>
      </c>
    </row>
    <row r="995" spans="1:12" hidden="1" x14ac:dyDescent="0.25">
      <c r="A995" s="13" t="s">
        <v>455</v>
      </c>
      <c r="B995" s="14">
        <v>43615</v>
      </c>
      <c r="C995" s="28" t="s">
        <v>8324</v>
      </c>
      <c r="D995" s="13" t="s">
        <v>6350</v>
      </c>
      <c r="E995" s="13" t="s">
        <v>481</v>
      </c>
      <c r="F995" s="37">
        <v>15127.4</v>
      </c>
      <c r="G995" s="29" t="s">
        <v>6353</v>
      </c>
      <c r="H995" s="14">
        <v>43556</v>
      </c>
      <c r="I995" s="4" t="s">
        <v>6352</v>
      </c>
      <c r="J995" s="128"/>
      <c r="K995" s="71"/>
    </row>
    <row r="996" spans="1:12" hidden="1" x14ac:dyDescent="0.25">
      <c r="A996" s="13" t="s">
        <v>91</v>
      </c>
      <c r="B996" s="14">
        <v>43615</v>
      </c>
      <c r="C996" s="28" t="s">
        <v>8324</v>
      </c>
      <c r="D996" s="13" t="s">
        <v>6350</v>
      </c>
      <c r="E996" s="13" t="s">
        <v>481</v>
      </c>
      <c r="F996" s="37">
        <v>13371.55</v>
      </c>
      <c r="G996" s="29" t="s">
        <v>6358</v>
      </c>
      <c r="H996" s="14">
        <v>43550</v>
      </c>
      <c r="I996" s="4" t="s">
        <v>6352</v>
      </c>
      <c r="J996" s="128"/>
      <c r="K996" s="71"/>
    </row>
    <row r="997" spans="1:12" hidden="1" x14ac:dyDescent="0.25">
      <c r="A997" s="13" t="s">
        <v>92</v>
      </c>
      <c r="B997" s="14">
        <v>43615</v>
      </c>
      <c r="C997" s="28" t="s">
        <v>8324</v>
      </c>
      <c r="D997" s="13" t="s">
        <v>6350</v>
      </c>
      <c r="E997" s="13" t="s">
        <v>481</v>
      </c>
      <c r="F997" s="37">
        <v>17656.8</v>
      </c>
      <c r="G997" s="29" t="s">
        <v>6357</v>
      </c>
      <c r="H997" s="14">
        <v>43550</v>
      </c>
      <c r="I997" s="4" t="s">
        <v>6352</v>
      </c>
      <c r="J997" s="128"/>
      <c r="K997" s="71"/>
    </row>
    <row r="998" spans="1:12" hidden="1" x14ac:dyDescent="0.25">
      <c r="A998" s="13" t="s">
        <v>151</v>
      </c>
      <c r="B998" s="14">
        <v>43615</v>
      </c>
      <c r="C998" s="13">
        <v>339</v>
      </c>
      <c r="D998" s="13" t="s">
        <v>7869</v>
      </c>
      <c r="E998" s="32" t="s">
        <v>481</v>
      </c>
      <c r="F998" s="4">
        <v>5050</v>
      </c>
      <c r="G998" s="28" t="s">
        <v>8165</v>
      </c>
      <c r="H998" s="14">
        <v>43612</v>
      </c>
      <c r="I998" s="4" t="s">
        <v>6282</v>
      </c>
      <c r="J998" s="125"/>
    </row>
    <row r="999" spans="1:12" ht="13.95" hidden="1" customHeight="1" x14ac:dyDescent="0.25">
      <c r="A999" s="68" t="s">
        <v>311</v>
      </c>
      <c r="B999" s="14">
        <v>43615</v>
      </c>
      <c r="C999" s="13">
        <v>534</v>
      </c>
      <c r="D999" s="32" t="s">
        <v>272</v>
      </c>
      <c r="E999" s="32" t="s">
        <v>958</v>
      </c>
      <c r="F999" s="4">
        <v>129963.55</v>
      </c>
      <c r="G999" s="86" t="s">
        <v>8323</v>
      </c>
      <c r="H999" s="211"/>
      <c r="I999" s="84" t="s">
        <v>273</v>
      </c>
      <c r="J999" s="21" t="s">
        <v>6392</v>
      </c>
      <c r="K999" s="228"/>
    </row>
    <row r="1000" spans="1:12" ht="13.95" hidden="1" customHeight="1" x14ac:dyDescent="0.25">
      <c r="A1000" s="68" t="s">
        <v>311</v>
      </c>
      <c r="B1000" s="14">
        <v>43615</v>
      </c>
      <c r="C1000" s="13">
        <v>531</v>
      </c>
      <c r="D1000" s="32" t="s">
        <v>272</v>
      </c>
      <c r="E1000" s="32" t="s">
        <v>958</v>
      </c>
      <c r="F1000" s="4">
        <v>19870036.449999999</v>
      </c>
      <c r="G1000" s="86" t="s">
        <v>8323</v>
      </c>
      <c r="H1000" s="211"/>
      <c r="I1000" s="84" t="s">
        <v>273</v>
      </c>
      <c r="J1000" s="21" t="s">
        <v>6392</v>
      </c>
      <c r="K1000" s="228"/>
    </row>
    <row r="1001" spans="1:12" hidden="1" x14ac:dyDescent="0.25">
      <c r="A1001" s="32" t="s">
        <v>1934</v>
      </c>
      <c r="B1001" s="14">
        <v>43615</v>
      </c>
      <c r="C1001" s="13">
        <v>476</v>
      </c>
      <c r="D1001" s="32" t="s">
        <v>1356</v>
      </c>
      <c r="E1001" s="32" t="s">
        <v>136</v>
      </c>
      <c r="F1001" s="4">
        <v>17500000</v>
      </c>
      <c r="G1001" s="28" t="s">
        <v>7373</v>
      </c>
      <c r="H1001" s="14"/>
      <c r="I1001" s="41" t="s">
        <v>7374</v>
      </c>
      <c r="K1001" s="63"/>
      <c r="L1001" s="62"/>
    </row>
    <row r="1002" spans="1:12" hidden="1" x14ac:dyDescent="0.25">
      <c r="A1002" s="68" t="s">
        <v>151</v>
      </c>
      <c r="B1002" s="14">
        <v>43615</v>
      </c>
      <c r="C1002" s="13">
        <v>1</v>
      </c>
      <c r="D1002" s="32" t="s">
        <v>2899</v>
      </c>
      <c r="E1002" s="32" t="s">
        <v>8325</v>
      </c>
      <c r="F1002" s="209">
        <v>4000</v>
      </c>
      <c r="G1002" s="210" t="s">
        <v>8326</v>
      </c>
      <c r="H1002" s="211">
        <v>43566</v>
      </c>
      <c r="I1002" s="208" t="s">
        <v>4399</v>
      </c>
      <c r="J1002" s="21"/>
      <c r="K1002" s="228"/>
    </row>
    <row r="1003" spans="1:12" ht="27.6" hidden="1" x14ac:dyDescent="0.25">
      <c r="A1003" s="68" t="s">
        <v>151</v>
      </c>
      <c r="B1003" s="14">
        <v>43615</v>
      </c>
      <c r="C1003" s="13">
        <v>1</v>
      </c>
      <c r="D1003" s="32" t="s">
        <v>1169</v>
      </c>
      <c r="E1003" s="32" t="s">
        <v>8327</v>
      </c>
      <c r="F1003" s="4">
        <v>30000</v>
      </c>
      <c r="G1003" s="210" t="s">
        <v>25</v>
      </c>
      <c r="H1003" s="211">
        <v>43522</v>
      </c>
      <c r="I1003" s="208" t="s">
        <v>4625</v>
      </c>
      <c r="J1003" s="21"/>
      <c r="K1003" s="228"/>
    </row>
    <row r="1004" spans="1:12" ht="15" hidden="1" customHeight="1" x14ac:dyDescent="0.25">
      <c r="A1004" s="68" t="s">
        <v>206</v>
      </c>
      <c r="B1004" s="14">
        <v>43616</v>
      </c>
      <c r="C1004" s="67">
        <v>91</v>
      </c>
      <c r="D1004" s="32" t="s">
        <v>156</v>
      </c>
      <c r="E1004" s="32" t="s">
        <v>178</v>
      </c>
      <c r="F1004" s="4">
        <v>508707.41</v>
      </c>
      <c r="G1004" s="28" t="s">
        <v>8245</v>
      </c>
      <c r="H1004" s="14">
        <v>43592</v>
      </c>
      <c r="I1004" s="4" t="s">
        <v>362</v>
      </c>
      <c r="J1004" s="166" t="s">
        <v>771</v>
      </c>
      <c r="K1004" s="167"/>
      <c r="L1004" s="35"/>
    </row>
    <row r="1005" spans="1:12" hidden="1" x14ac:dyDescent="0.25">
      <c r="A1005" s="61" t="s">
        <v>460</v>
      </c>
      <c r="B1005" s="14">
        <v>43616</v>
      </c>
      <c r="C1005" s="13">
        <v>76</v>
      </c>
      <c r="D1005" s="13" t="s">
        <v>8358</v>
      </c>
      <c r="E1005" s="13" t="s">
        <v>742</v>
      </c>
      <c r="F1005" s="4">
        <v>1378440</v>
      </c>
      <c r="G1005" s="69" t="s">
        <v>8359</v>
      </c>
      <c r="H1005" s="14">
        <v>43516</v>
      </c>
      <c r="I1005" s="274"/>
      <c r="J1005" s="169"/>
    </row>
    <row r="1006" spans="1:12" ht="15" hidden="1" customHeight="1" x14ac:dyDescent="0.25">
      <c r="A1006" s="13" t="s">
        <v>184</v>
      </c>
      <c r="B1006" s="14">
        <v>43616</v>
      </c>
      <c r="C1006" s="13">
        <v>688</v>
      </c>
      <c r="D1006" s="13" t="s">
        <v>1215</v>
      </c>
      <c r="E1006" s="32" t="s">
        <v>1121</v>
      </c>
      <c r="F1006" s="4">
        <v>45900</v>
      </c>
      <c r="G1006" s="28" t="s">
        <v>5622</v>
      </c>
      <c r="H1006" s="14">
        <v>43581</v>
      </c>
      <c r="I1006" s="4" t="s">
        <v>3482</v>
      </c>
      <c r="J1006" s="76" t="s">
        <v>1386</v>
      </c>
    </row>
    <row r="1007" spans="1:12" ht="30" hidden="1" customHeight="1" x14ac:dyDescent="0.25">
      <c r="A1007" s="13" t="s">
        <v>184</v>
      </c>
      <c r="B1007" s="14">
        <v>43616</v>
      </c>
      <c r="C1007" s="13">
        <v>689</v>
      </c>
      <c r="D1007" s="13" t="s">
        <v>104</v>
      </c>
      <c r="E1007" s="32" t="s">
        <v>1121</v>
      </c>
      <c r="F1007" s="4">
        <v>150000</v>
      </c>
      <c r="G1007" s="28" t="s">
        <v>161</v>
      </c>
      <c r="H1007" s="14">
        <v>43578</v>
      </c>
      <c r="I1007" s="4" t="s">
        <v>3483</v>
      </c>
      <c r="J1007" s="76" t="s">
        <v>7208</v>
      </c>
    </row>
    <row r="1008" spans="1:12" ht="15.6" hidden="1" customHeight="1" x14ac:dyDescent="0.25">
      <c r="A1008" s="13" t="s">
        <v>184</v>
      </c>
      <c r="B1008" s="14">
        <v>43616</v>
      </c>
      <c r="C1008" s="13">
        <v>690</v>
      </c>
      <c r="D1008" s="13" t="s">
        <v>444</v>
      </c>
      <c r="E1008" s="32" t="s">
        <v>1121</v>
      </c>
      <c r="F1008" s="4">
        <v>100000</v>
      </c>
      <c r="G1008" s="28" t="s">
        <v>878</v>
      </c>
      <c r="H1008" s="14">
        <v>43560</v>
      </c>
      <c r="I1008" s="4" t="s">
        <v>445</v>
      </c>
      <c r="J1008" s="76" t="s">
        <v>4150</v>
      </c>
    </row>
    <row r="1009" spans="1:12" ht="15" hidden="1" customHeight="1" x14ac:dyDescent="0.25">
      <c r="A1009" s="13" t="s">
        <v>184</v>
      </c>
      <c r="B1009" s="14">
        <v>43616</v>
      </c>
      <c r="C1009" s="13">
        <v>691</v>
      </c>
      <c r="D1009" s="13" t="s">
        <v>2340</v>
      </c>
      <c r="E1009" s="32" t="s">
        <v>1121</v>
      </c>
      <c r="F1009" s="4">
        <v>158325.6</v>
      </c>
      <c r="G1009" s="28" t="s">
        <v>7898</v>
      </c>
      <c r="H1009" s="14">
        <v>43585</v>
      </c>
      <c r="I1009" s="4" t="s">
        <v>2341</v>
      </c>
      <c r="J1009" s="76" t="s">
        <v>7899</v>
      </c>
    </row>
    <row r="1010" spans="1:12" ht="15" hidden="1" customHeight="1" x14ac:dyDescent="0.25">
      <c r="A1010" s="13" t="s">
        <v>184</v>
      </c>
      <c r="B1010" s="14">
        <v>43616</v>
      </c>
      <c r="C1010" s="13">
        <v>692</v>
      </c>
      <c r="D1010" s="13" t="s">
        <v>817</v>
      </c>
      <c r="E1010" s="32" t="s">
        <v>1121</v>
      </c>
      <c r="F1010" s="4">
        <v>15248.2</v>
      </c>
      <c r="G1010" s="28" t="s">
        <v>191</v>
      </c>
      <c r="H1010" s="14">
        <v>43585</v>
      </c>
      <c r="I1010" s="4" t="s">
        <v>913</v>
      </c>
      <c r="J1010" s="125" t="s">
        <v>7884</v>
      </c>
    </row>
    <row r="1011" spans="1:12" hidden="1" x14ac:dyDescent="0.25">
      <c r="A1011" s="13" t="s">
        <v>184</v>
      </c>
      <c r="B1011" s="14">
        <v>43616</v>
      </c>
      <c r="C1011" s="13">
        <v>693</v>
      </c>
      <c r="D1011" s="13" t="s">
        <v>662</v>
      </c>
      <c r="E1011" s="32" t="s">
        <v>1121</v>
      </c>
      <c r="F1011" s="4">
        <v>20220</v>
      </c>
      <c r="G1011" s="29" t="s">
        <v>724</v>
      </c>
      <c r="H1011" s="14">
        <v>43606</v>
      </c>
      <c r="I1011" s="4" t="s">
        <v>8220</v>
      </c>
      <c r="J1011" s="125" t="s">
        <v>358</v>
      </c>
    </row>
    <row r="1012" spans="1:12" hidden="1" x14ac:dyDescent="0.25">
      <c r="A1012" s="13" t="s">
        <v>184</v>
      </c>
      <c r="B1012" s="14">
        <v>43616</v>
      </c>
      <c r="C1012" s="13">
        <v>694</v>
      </c>
      <c r="D1012" s="13" t="s">
        <v>1274</v>
      </c>
      <c r="E1012" s="13" t="s">
        <v>1121</v>
      </c>
      <c r="F1012" s="37">
        <v>31990</v>
      </c>
      <c r="G1012" s="29" t="s">
        <v>1551</v>
      </c>
      <c r="H1012" s="14">
        <v>43602</v>
      </c>
      <c r="I1012" s="4" t="s">
        <v>2862</v>
      </c>
      <c r="J1012" s="128"/>
    </row>
    <row r="1013" spans="1:12" ht="15" hidden="1" customHeight="1" x14ac:dyDescent="0.25">
      <c r="A1013" s="13" t="s">
        <v>184</v>
      </c>
      <c r="B1013" s="14">
        <v>43616</v>
      </c>
      <c r="C1013" s="13">
        <v>695</v>
      </c>
      <c r="D1013" s="32" t="s">
        <v>1359</v>
      </c>
      <c r="E1013" s="32" t="s">
        <v>1121</v>
      </c>
      <c r="F1013" s="4">
        <v>70000</v>
      </c>
      <c r="G1013" s="28" t="s">
        <v>7913</v>
      </c>
      <c r="H1013" s="14">
        <v>43598</v>
      </c>
      <c r="I1013" s="4" t="s">
        <v>7914</v>
      </c>
      <c r="J1013" s="76" t="s">
        <v>651</v>
      </c>
    </row>
    <row r="1014" spans="1:12" ht="13.95" hidden="1" customHeight="1" x14ac:dyDescent="0.25">
      <c r="A1014" s="61" t="s">
        <v>184</v>
      </c>
      <c r="B1014" s="14">
        <v>43616</v>
      </c>
      <c r="C1014" s="13">
        <v>696</v>
      </c>
      <c r="D1014" s="32" t="s">
        <v>7011</v>
      </c>
      <c r="E1014" s="32" t="s">
        <v>1121</v>
      </c>
      <c r="F1014" s="4">
        <f>115000-80500</f>
        <v>34500</v>
      </c>
      <c r="G1014" s="29" t="s">
        <v>2933</v>
      </c>
      <c r="H1014" s="14">
        <v>43579</v>
      </c>
      <c r="I1014" s="84" t="s">
        <v>7203</v>
      </c>
      <c r="J1014" s="21"/>
      <c r="K1014" s="228"/>
    </row>
    <row r="1015" spans="1:12" s="192" customFormat="1" hidden="1" x14ac:dyDescent="0.25">
      <c r="A1015" s="147" t="s">
        <v>242</v>
      </c>
      <c r="B1015" s="14">
        <v>43616</v>
      </c>
      <c r="C1015" s="195">
        <v>697</v>
      </c>
      <c r="D1015" s="149" t="s">
        <v>490</v>
      </c>
      <c r="E1015" s="147" t="s">
        <v>1121</v>
      </c>
      <c r="F1015" s="158">
        <v>901646.8</v>
      </c>
      <c r="G1015" s="150" t="s">
        <v>7385</v>
      </c>
      <c r="H1015" s="148">
        <v>43558</v>
      </c>
      <c r="I1015" s="149" t="s">
        <v>143</v>
      </c>
      <c r="J1015" s="193"/>
      <c r="K1015" s="194"/>
      <c r="L1015" s="190"/>
    </row>
    <row r="1016" spans="1:12" s="192" customFormat="1" hidden="1" x14ac:dyDescent="0.25">
      <c r="A1016" s="147" t="s">
        <v>242</v>
      </c>
      <c r="B1016" s="14">
        <v>43616</v>
      </c>
      <c r="C1016" s="195">
        <v>698</v>
      </c>
      <c r="D1016" s="149" t="s">
        <v>784</v>
      </c>
      <c r="E1016" s="147" t="s">
        <v>1121</v>
      </c>
      <c r="F1016" s="158">
        <v>154552</v>
      </c>
      <c r="G1016" s="150" t="s">
        <v>5200</v>
      </c>
      <c r="H1016" s="148">
        <v>43592</v>
      </c>
      <c r="I1016" s="149" t="s">
        <v>143</v>
      </c>
      <c r="J1016" s="193"/>
      <c r="K1016" s="194"/>
      <c r="L1016" s="190"/>
    </row>
    <row r="1017" spans="1:12" s="192" customFormat="1" hidden="1" x14ac:dyDescent="0.25">
      <c r="A1017" s="147" t="s">
        <v>242</v>
      </c>
      <c r="B1017" s="14">
        <v>43616</v>
      </c>
      <c r="C1017" s="187">
        <v>699</v>
      </c>
      <c r="D1017" s="149" t="s">
        <v>388</v>
      </c>
      <c r="E1017" s="147" t="s">
        <v>1121</v>
      </c>
      <c r="F1017" s="158">
        <v>514414.68</v>
      </c>
      <c r="G1017" s="150" t="s">
        <v>167</v>
      </c>
      <c r="H1017" s="148">
        <v>43592</v>
      </c>
      <c r="I1017" s="149" t="s">
        <v>143</v>
      </c>
      <c r="J1017" s="193"/>
      <c r="K1017" s="194"/>
      <c r="L1017" s="190"/>
    </row>
    <row r="1018" spans="1:12" hidden="1" x14ac:dyDescent="0.25">
      <c r="A1018" s="13" t="s">
        <v>184</v>
      </c>
      <c r="B1018" s="14">
        <v>43616</v>
      </c>
      <c r="C1018" s="13">
        <v>448</v>
      </c>
      <c r="D1018" s="13" t="s">
        <v>8363</v>
      </c>
      <c r="E1018" s="13" t="s">
        <v>144</v>
      </c>
      <c r="F1018" s="37">
        <v>35235</v>
      </c>
      <c r="G1018" s="29" t="s">
        <v>8365</v>
      </c>
      <c r="H1018" s="14">
        <v>43581</v>
      </c>
      <c r="I1018" s="4" t="s">
        <v>8364</v>
      </c>
      <c r="J1018" s="22" t="s">
        <v>1386</v>
      </c>
    </row>
    <row r="1019" spans="1:12" s="192" customFormat="1" hidden="1" x14ac:dyDescent="0.25">
      <c r="A1019" s="147" t="s">
        <v>242</v>
      </c>
      <c r="B1019" s="14">
        <v>43616</v>
      </c>
      <c r="C1019" s="195">
        <v>447</v>
      </c>
      <c r="D1019" s="149" t="s">
        <v>784</v>
      </c>
      <c r="E1019" s="147" t="s">
        <v>144</v>
      </c>
      <c r="F1019" s="158">
        <v>61950.1</v>
      </c>
      <c r="G1019" s="150" t="s">
        <v>1347</v>
      </c>
      <c r="H1019" s="148">
        <v>43592</v>
      </c>
      <c r="I1019" s="149" t="s">
        <v>143</v>
      </c>
      <c r="J1019" s="193"/>
      <c r="K1019" s="194"/>
      <c r="L1019" s="190"/>
    </row>
    <row r="1020" spans="1:12" s="192" customFormat="1" hidden="1" x14ac:dyDescent="0.25">
      <c r="A1020" s="147" t="s">
        <v>242</v>
      </c>
      <c r="B1020" s="14">
        <v>43616</v>
      </c>
      <c r="C1020" s="195">
        <v>447</v>
      </c>
      <c r="D1020" s="149" t="s">
        <v>784</v>
      </c>
      <c r="E1020" s="147" t="s">
        <v>144</v>
      </c>
      <c r="F1020" s="158">
        <v>123883</v>
      </c>
      <c r="G1020" s="150" t="s">
        <v>84</v>
      </c>
      <c r="H1020" s="148">
        <v>43592</v>
      </c>
      <c r="I1020" s="149" t="s">
        <v>143</v>
      </c>
      <c r="J1020" s="193"/>
      <c r="K1020" s="194"/>
      <c r="L1020" s="190"/>
    </row>
    <row r="1021" spans="1:12" s="192" customFormat="1" hidden="1" x14ac:dyDescent="0.25">
      <c r="A1021" s="147" t="s">
        <v>242</v>
      </c>
      <c r="B1021" s="14">
        <v>43616</v>
      </c>
      <c r="C1021" s="195">
        <v>447</v>
      </c>
      <c r="D1021" s="149" t="s">
        <v>784</v>
      </c>
      <c r="E1021" s="147" t="s">
        <v>144</v>
      </c>
      <c r="F1021" s="158">
        <v>95662.5</v>
      </c>
      <c r="G1021" s="150" t="s">
        <v>5626</v>
      </c>
      <c r="H1021" s="148">
        <v>43592</v>
      </c>
      <c r="I1021" s="149" t="s">
        <v>143</v>
      </c>
      <c r="J1021" s="193"/>
      <c r="K1021" s="194"/>
      <c r="L1021" s="190"/>
    </row>
    <row r="1022" spans="1:12" ht="27.6" hidden="1" x14ac:dyDescent="0.25">
      <c r="A1022" s="32" t="s">
        <v>2019</v>
      </c>
      <c r="B1022" s="14">
        <v>43616</v>
      </c>
      <c r="C1022" s="13">
        <v>886</v>
      </c>
      <c r="D1022" s="32" t="s">
        <v>392</v>
      </c>
      <c r="E1022" s="32" t="s">
        <v>5586</v>
      </c>
      <c r="F1022" s="4">
        <f>1104913.24</f>
        <v>1104913.24</v>
      </c>
      <c r="G1022" s="28" t="s">
        <v>953</v>
      </c>
      <c r="H1022" s="14">
        <v>43586</v>
      </c>
      <c r="I1022" s="41" t="s">
        <v>621</v>
      </c>
      <c r="J1022" s="35" t="s">
        <v>771</v>
      </c>
      <c r="K1022" s="167"/>
      <c r="L1022" s="35"/>
    </row>
    <row r="1023" spans="1:12" ht="15" hidden="1" customHeight="1" x14ac:dyDescent="0.25">
      <c r="A1023" s="13" t="s">
        <v>310</v>
      </c>
      <c r="B1023" s="14">
        <v>43616</v>
      </c>
      <c r="C1023" s="13">
        <v>159</v>
      </c>
      <c r="D1023" s="13" t="s">
        <v>5272</v>
      </c>
      <c r="E1023" s="13" t="s">
        <v>314</v>
      </c>
      <c r="F1023" s="37">
        <v>205800</v>
      </c>
      <c r="G1023" s="29" t="s">
        <v>8027</v>
      </c>
      <c r="H1023" s="14">
        <v>43599</v>
      </c>
      <c r="I1023" s="4" t="s">
        <v>8028</v>
      </c>
      <c r="J1023" s="76"/>
    </row>
    <row r="1024" spans="1:12" ht="13.95" hidden="1" customHeight="1" x14ac:dyDescent="0.25">
      <c r="A1024" s="13" t="s">
        <v>455</v>
      </c>
      <c r="B1024" s="14">
        <v>43616</v>
      </c>
      <c r="C1024" s="13">
        <v>879</v>
      </c>
      <c r="D1024" s="32" t="s">
        <v>4166</v>
      </c>
      <c r="E1024" s="32" t="s">
        <v>130</v>
      </c>
      <c r="F1024" s="4">
        <v>45000</v>
      </c>
      <c r="G1024" s="210" t="s">
        <v>3870</v>
      </c>
      <c r="H1024" s="211">
        <v>43600</v>
      </c>
      <c r="I1024" s="211" t="s">
        <v>5772</v>
      </c>
      <c r="J1024" s="21"/>
      <c r="K1024" s="389"/>
      <c r="L1024" s="388"/>
    </row>
    <row r="1025" spans="1:19" hidden="1" x14ac:dyDescent="0.25">
      <c r="A1025" s="13" t="s">
        <v>91</v>
      </c>
      <c r="B1025" s="14">
        <v>43616</v>
      </c>
      <c r="C1025" s="13">
        <v>880</v>
      </c>
      <c r="D1025" s="32" t="s">
        <v>1980</v>
      </c>
      <c r="E1025" s="32" t="s">
        <v>130</v>
      </c>
      <c r="F1025" s="4">
        <v>1000000</v>
      </c>
      <c r="G1025" s="69" t="s">
        <v>5423</v>
      </c>
      <c r="H1025" s="14"/>
      <c r="I1025" s="41" t="s">
        <v>5424</v>
      </c>
      <c r="K1025" s="62"/>
    </row>
    <row r="1026" spans="1:19" hidden="1" x14ac:dyDescent="0.25">
      <c r="A1026" s="32" t="s">
        <v>151</v>
      </c>
      <c r="B1026" s="14">
        <v>43616</v>
      </c>
      <c r="C1026" s="13">
        <v>881</v>
      </c>
      <c r="D1026" s="32" t="s">
        <v>437</v>
      </c>
      <c r="E1026" s="32" t="s">
        <v>130</v>
      </c>
      <c r="F1026" s="4">
        <v>6500</v>
      </c>
      <c r="G1026" s="13">
        <v>312</v>
      </c>
      <c r="H1026" s="14">
        <v>43614</v>
      </c>
      <c r="I1026" s="4" t="s">
        <v>8312</v>
      </c>
      <c r="K1026" s="62"/>
      <c r="L1026" s="62"/>
      <c r="M1026" s="62"/>
      <c r="N1026" s="62"/>
      <c r="O1026" s="35"/>
      <c r="P1026" s="35"/>
      <c r="Q1026" s="35"/>
      <c r="R1026" s="35"/>
      <c r="S1026" s="35"/>
    </row>
    <row r="1027" spans="1:19" hidden="1" x14ac:dyDescent="0.25">
      <c r="A1027" s="32" t="s">
        <v>151</v>
      </c>
      <c r="B1027" s="14">
        <v>43616</v>
      </c>
      <c r="C1027" s="13">
        <v>620</v>
      </c>
      <c r="D1027" s="32" t="s">
        <v>437</v>
      </c>
      <c r="E1027" s="32" t="s">
        <v>60</v>
      </c>
      <c r="F1027" s="4">
        <v>6500</v>
      </c>
      <c r="G1027" s="13">
        <v>273</v>
      </c>
      <c r="H1027" s="14">
        <v>43614</v>
      </c>
      <c r="I1027" s="4" t="s">
        <v>8312</v>
      </c>
      <c r="K1027" s="62"/>
      <c r="L1027" s="62"/>
      <c r="M1027" s="62"/>
      <c r="N1027" s="62"/>
      <c r="O1027" s="35"/>
      <c r="P1027" s="35"/>
      <c r="Q1027" s="35"/>
      <c r="R1027" s="35"/>
      <c r="S1027" s="35"/>
    </row>
    <row r="1028" spans="1:19" ht="13.95" hidden="1" customHeight="1" x14ac:dyDescent="0.25">
      <c r="A1028" s="68" t="s">
        <v>358</v>
      </c>
      <c r="B1028" s="14">
        <v>43616</v>
      </c>
      <c r="C1028" s="13">
        <v>1151</v>
      </c>
      <c r="D1028" s="32" t="s">
        <v>1077</v>
      </c>
      <c r="E1028" s="32" t="s">
        <v>38</v>
      </c>
      <c r="F1028" s="4">
        <v>5000000</v>
      </c>
      <c r="G1028" s="86" t="s">
        <v>410</v>
      </c>
      <c r="H1028" s="211"/>
      <c r="I1028" s="208" t="s">
        <v>581</v>
      </c>
      <c r="J1028" s="21"/>
      <c r="K1028" s="228"/>
    </row>
    <row r="1029" spans="1:19" ht="13.95" hidden="1" customHeight="1" x14ac:dyDescent="0.25">
      <c r="A1029" s="68" t="s">
        <v>311</v>
      </c>
      <c r="B1029" s="14">
        <v>43616</v>
      </c>
      <c r="C1029" s="13">
        <v>535</v>
      </c>
      <c r="D1029" s="32" t="s">
        <v>272</v>
      </c>
      <c r="E1029" s="32" t="s">
        <v>958</v>
      </c>
      <c r="F1029" s="4">
        <v>37658488.93</v>
      </c>
      <c r="G1029" s="86" t="s">
        <v>4485</v>
      </c>
      <c r="H1029" s="211"/>
      <c r="I1029" s="84" t="s">
        <v>273</v>
      </c>
      <c r="J1029" s="21" t="s">
        <v>6392</v>
      </c>
      <c r="K1029" s="228"/>
    </row>
    <row r="1030" spans="1:19" ht="13.95" hidden="1" customHeight="1" x14ac:dyDescent="0.25">
      <c r="A1030" s="68" t="s">
        <v>311</v>
      </c>
      <c r="B1030" s="14">
        <v>43616</v>
      </c>
      <c r="C1030" s="13">
        <v>536</v>
      </c>
      <c r="D1030" s="32" t="s">
        <v>272</v>
      </c>
      <c r="E1030" s="32" t="s">
        <v>958</v>
      </c>
      <c r="F1030" s="4">
        <f>40500000+9500000</f>
        <v>50000000</v>
      </c>
      <c r="G1030" s="86" t="s">
        <v>8322</v>
      </c>
      <c r="H1030" s="211"/>
      <c r="I1030" s="84" t="s">
        <v>273</v>
      </c>
      <c r="J1030" s="21" t="s">
        <v>6392</v>
      </c>
      <c r="K1030" s="228"/>
    </row>
    <row r="1031" spans="1:19" ht="13.95" hidden="1" customHeight="1" x14ac:dyDescent="0.25">
      <c r="A1031" s="68" t="s">
        <v>311</v>
      </c>
      <c r="B1031" s="14">
        <v>43616</v>
      </c>
      <c r="C1031" s="13">
        <v>537</v>
      </c>
      <c r="D1031" s="32" t="s">
        <v>1077</v>
      </c>
      <c r="E1031" s="32" t="s">
        <v>958</v>
      </c>
      <c r="F1031" s="4">
        <v>846652</v>
      </c>
      <c r="G1031" s="86" t="s">
        <v>4456</v>
      </c>
      <c r="H1031" s="211"/>
      <c r="I1031" s="208" t="s">
        <v>4455</v>
      </c>
      <c r="J1031" s="21" t="s">
        <v>6392</v>
      </c>
      <c r="K1031" s="228"/>
    </row>
    <row r="1032" spans="1:19" hidden="1" x14ac:dyDescent="0.25">
      <c r="A1032" s="13" t="s">
        <v>311</v>
      </c>
      <c r="B1032" s="14">
        <v>43616</v>
      </c>
      <c r="C1032" s="13">
        <v>538</v>
      </c>
      <c r="D1032" s="32" t="s">
        <v>194</v>
      </c>
      <c r="E1032" s="32" t="s">
        <v>958</v>
      </c>
      <c r="F1032" s="4">
        <v>6720118</v>
      </c>
      <c r="G1032" s="69" t="s">
        <v>4447</v>
      </c>
      <c r="H1032" s="14"/>
      <c r="I1032" s="41" t="s">
        <v>202</v>
      </c>
      <c r="J1032" s="21" t="s">
        <v>6392</v>
      </c>
      <c r="K1032" s="62"/>
      <c r="L1032" s="62"/>
      <c r="M1032" s="35"/>
      <c r="N1032" s="35"/>
      <c r="O1032" s="35"/>
      <c r="P1032" s="35"/>
      <c r="Q1032" s="35"/>
    </row>
    <row r="1033" spans="1:19" ht="13.95" hidden="1" customHeight="1" x14ac:dyDescent="0.25">
      <c r="A1033" s="68" t="s">
        <v>311</v>
      </c>
      <c r="B1033" s="14">
        <v>43616</v>
      </c>
      <c r="C1033" s="13">
        <v>539</v>
      </c>
      <c r="D1033" s="32" t="s">
        <v>1736</v>
      </c>
      <c r="E1033" s="32" t="s">
        <v>958</v>
      </c>
      <c r="F1033" s="4">
        <v>8910983</v>
      </c>
      <c r="G1033" s="86" t="s">
        <v>4439</v>
      </c>
      <c r="H1033" s="211"/>
      <c r="I1033" s="41" t="s">
        <v>24</v>
      </c>
      <c r="J1033" s="21" t="s">
        <v>6392</v>
      </c>
      <c r="K1033" s="228"/>
    </row>
    <row r="1034" spans="1:19" ht="13.95" hidden="1" customHeight="1" x14ac:dyDescent="0.25">
      <c r="A1034" s="13" t="s">
        <v>311</v>
      </c>
      <c r="B1034" s="14">
        <v>43616</v>
      </c>
      <c r="C1034" s="13">
        <v>540</v>
      </c>
      <c r="D1034" s="13" t="s">
        <v>7288</v>
      </c>
      <c r="E1034" s="13" t="s">
        <v>958</v>
      </c>
      <c r="F1034" s="4">
        <v>5177124</v>
      </c>
      <c r="G1034" s="86" t="s">
        <v>4480</v>
      </c>
      <c r="H1034" s="14"/>
      <c r="I1034" s="4" t="s">
        <v>4479</v>
      </c>
      <c r="J1034" s="21" t="s">
        <v>6392</v>
      </c>
      <c r="K1034" s="228"/>
    </row>
    <row r="1035" spans="1:19" ht="13.95" hidden="1" customHeight="1" x14ac:dyDescent="0.25">
      <c r="A1035" s="13" t="s">
        <v>311</v>
      </c>
      <c r="B1035" s="14">
        <v>43616</v>
      </c>
      <c r="C1035" s="13">
        <v>541</v>
      </c>
      <c r="D1035" s="13" t="s">
        <v>456</v>
      </c>
      <c r="E1035" s="13" t="s">
        <v>958</v>
      </c>
      <c r="F1035" s="4">
        <v>6328296</v>
      </c>
      <c r="G1035" s="86" t="s">
        <v>4482</v>
      </c>
      <c r="H1035" s="14"/>
      <c r="I1035" s="4" t="s">
        <v>4481</v>
      </c>
      <c r="J1035" s="21" t="s">
        <v>6392</v>
      </c>
      <c r="K1035" s="228"/>
    </row>
    <row r="1036" spans="1:19" s="115" customFormat="1" ht="15" hidden="1" customHeight="1" x14ac:dyDescent="0.25">
      <c r="A1036" s="13" t="s">
        <v>455</v>
      </c>
      <c r="B1036" s="14">
        <v>43616</v>
      </c>
      <c r="C1036" s="13">
        <v>542</v>
      </c>
      <c r="D1036" s="13" t="s">
        <v>6668</v>
      </c>
      <c r="E1036" s="13" t="s">
        <v>958</v>
      </c>
      <c r="F1036" s="37">
        <v>100000</v>
      </c>
      <c r="G1036" s="29" t="s">
        <v>6669</v>
      </c>
      <c r="H1036" s="14">
        <v>43560</v>
      </c>
      <c r="I1036" s="4" t="s">
        <v>1150</v>
      </c>
      <c r="J1036" s="71"/>
      <c r="K1036" s="116"/>
      <c r="L1036" s="116"/>
      <c r="M1036" s="116"/>
      <c r="N1036" s="116"/>
      <c r="O1036" s="117"/>
      <c r="P1036" s="117"/>
      <c r="Q1036" s="117"/>
      <c r="R1036" s="117"/>
      <c r="S1036" s="117"/>
    </row>
    <row r="1037" spans="1:19" ht="13.95" hidden="1" customHeight="1" x14ac:dyDescent="0.25">
      <c r="A1037" s="61" t="s">
        <v>310</v>
      </c>
      <c r="B1037" s="14">
        <v>43616</v>
      </c>
      <c r="C1037" s="13">
        <v>543</v>
      </c>
      <c r="D1037" s="13" t="s">
        <v>632</v>
      </c>
      <c r="E1037" s="32" t="s">
        <v>958</v>
      </c>
      <c r="F1037" s="4">
        <f>2320830</f>
        <v>2320830</v>
      </c>
      <c r="G1037" s="86" t="s">
        <v>7311</v>
      </c>
      <c r="H1037" s="211"/>
      <c r="I1037" s="4" t="s">
        <v>218</v>
      </c>
      <c r="J1037" s="21"/>
      <c r="K1037" s="228"/>
    </row>
    <row r="1038" spans="1:19" s="97" customFormat="1" hidden="1" x14ac:dyDescent="0.25">
      <c r="A1038" s="68" t="s">
        <v>160</v>
      </c>
      <c r="B1038" s="14">
        <v>43616</v>
      </c>
      <c r="C1038" s="13">
        <v>544</v>
      </c>
      <c r="D1038" s="13" t="s">
        <v>982</v>
      </c>
      <c r="E1038" s="13" t="s">
        <v>958</v>
      </c>
      <c r="F1038" s="4">
        <v>500000</v>
      </c>
      <c r="G1038" s="29" t="s">
        <v>5230</v>
      </c>
      <c r="H1038" s="14">
        <v>42601</v>
      </c>
      <c r="I1038" s="4" t="s">
        <v>1093</v>
      </c>
      <c r="J1038" s="133"/>
      <c r="K1038" s="22"/>
      <c r="L1038" s="134"/>
    </row>
    <row r="1039" spans="1:19" s="97" customFormat="1" hidden="1" x14ac:dyDescent="0.25">
      <c r="A1039" s="13" t="s">
        <v>160</v>
      </c>
      <c r="B1039" s="14">
        <v>43616</v>
      </c>
      <c r="C1039" s="13">
        <v>545</v>
      </c>
      <c r="D1039" s="13" t="s">
        <v>590</v>
      </c>
      <c r="E1039" s="13" t="s">
        <v>958</v>
      </c>
      <c r="F1039" s="4">
        <v>721428</v>
      </c>
      <c r="G1039" s="29" t="s">
        <v>207</v>
      </c>
      <c r="H1039" s="14"/>
      <c r="I1039" s="4" t="s">
        <v>159</v>
      </c>
      <c r="J1039" s="133"/>
      <c r="K1039" s="22"/>
      <c r="L1039" s="134"/>
    </row>
    <row r="1040" spans="1:19" s="97" customFormat="1" hidden="1" x14ac:dyDescent="0.25">
      <c r="A1040" s="32" t="s">
        <v>455</v>
      </c>
      <c r="B1040" s="14">
        <v>43616</v>
      </c>
      <c r="C1040" s="13">
        <v>546</v>
      </c>
      <c r="D1040" s="13" t="s">
        <v>1377</v>
      </c>
      <c r="E1040" s="13" t="s">
        <v>958</v>
      </c>
      <c r="F1040" s="327">
        <f>851400-23250</f>
        <v>828150</v>
      </c>
      <c r="G1040" s="189" t="s">
        <v>459</v>
      </c>
      <c r="H1040" s="14">
        <v>43514</v>
      </c>
      <c r="I1040" s="4" t="s">
        <v>5041</v>
      </c>
      <c r="J1040" s="133"/>
      <c r="K1040" s="22"/>
      <c r="L1040" s="134"/>
    </row>
    <row r="1041" spans="1:12" s="97" customFormat="1" hidden="1" x14ac:dyDescent="0.25">
      <c r="A1041" s="13" t="s">
        <v>455</v>
      </c>
      <c r="B1041" s="14">
        <v>43616</v>
      </c>
      <c r="C1041" s="13">
        <v>547</v>
      </c>
      <c r="D1041" s="13" t="s">
        <v>1082</v>
      </c>
      <c r="E1041" s="13" t="s">
        <v>958</v>
      </c>
      <c r="F1041" s="4">
        <v>849400.08</v>
      </c>
      <c r="G1041" s="29" t="s">
        <v>724</v>
      </c>
      <c r="H1041" s="14">
        <v>43544</v>
      </c>
      <c r="I1041" s="4" t="s">
        <v>421</v>
      </c>
      <c r="J1041" s="133"/>
      <c r="K1041" s="22"/>
      <c r="L1041" s="134"/>
    </row>
    <row r="1042" spans="1:12" s="97" customFormat="1" hidden="1" x14ac:dyDescent="0.25">
      <c r="A1042" s="32" t="s">
        <v>310</v>
      </c>
      <c r="B1042" s="14">
        <v>43616</v>
      </c>
      <c r="C1042" s="13">
        <v>548</v>
      </c>
      <c r="D1042" s="13" t="s">
        <v>868</v>
      </c>
      <c r="E1042" s="13" t="s">
        <v>958</v>
      </c>
      <c r="F1042" s="4">
        <v>58325</v>
      </c>
      <c r="G1042" s="28" t="s">
        <v>6854</v>
      </c>
      <c r="H1042" s="14">
        <v>43572</v>
      </c>
      <c r="I1042" s="4" t="s">
        <v>6528</v>
      </c>
      <c r="J1042" s="133"/>
      <c r="K1042" s="22"/>
      <c r="L1042" s="134"/>
    </row>
    <row r="1043" spans="1:12" s="93" customFormat="1" hidden="1" x14ac:dyDescent="0.25">
      <c r="A1043" s="61" t="s">
        <v>455</v>
      </c>
      <c r="B1043" s="14">
        <v>43616</v>
      </c>
      <c r="C1043" s="13">
        <v>548</v>
      </c>
      <c r="D1043" s="13" t="s">
        <v>868</v>
      </c>
      <c r="E1043" s="13" t="s">
        <v>958</v>
      </c>
      <c r="F1043" s="4">
        <v>61800.77</v>
      </c>
      <c r="G1043" s="29" t="s">
        <v>6855</v>
      </c>
      <c r="H1043" s="14">
        <v>43572</v>
      </c>
      <c r="I1043" s="4" t="s">
        <v>345</v>
      </c>
      <c r="J1043" s="130"/>
      <c r="K1043" s="16"/>
      <c r="L1043" s="92"/>
    </row>
    <row r="1044" spans="1:12" s="97" customFormat="1" hidden="1" x14ac:dyDescent="0.25">
      <c r="A1044" s="61" t="s">
        <v>455</v>
      </c>
      <c r="B1044" s="14">
        <v>43616</v>
      </c>
      <c r="C1044" s="13">
        <v>549</v>
      </c>
      <c r="D1044" s="13" t="s">
        <v>280</v>
      </c>
      <c r="E1044" s="13" t="s">
        <v>958</v>
      </c>
      <c r="F1044" s="4">
        <v>20579</v>
      </c>
      <c r="G1044" s="28" t="s">
        <v>1662</v>
      </c>
      <c r="H1044" s="14">
        <v>43573</v>
      </c>
      <c r="I1044" s="4" t="s">
        <v>7151</v>
      </c>
      <c r="J1044" s="133"/>
      <c r="K1044" s="22"/>
      <c r="L1044" s="134"/>
    </row>
    <row r="1045" spans="1:12" s="97" customFormat="1" hidden="1" x14ac:dyDescent="0.25">
      <c r="A1045" s="61" t="s">
        <v>310</v>
      </c>
      <c r="B1045" s="14">
        <v>43616</v>
      </c>
      <c r="C1045" s="13">
        <v>550</v>
      </c>
      <c r="D1045" s="13" t="s">
        <v>304</v>
      </c>
      <c r="E1045" s="13" t="s">
        <v>958</v>
      </c>
      <c r="F1045" s="4">
        <v>67762</v>
      </c>
      <c r="G1045" s="29" t="s">
        <v>7139</v>
      </c>
      <c r="H1045" s="14">
        <v>43578</v>
      </c>
      <c r="I1045" s="4" t="s">
        <v>7140</v>
      </c>
      <c r="J1045" s="133"/>
      <c r="K1045" s="22"/>
      <c r="L1045" s="134"/>
    </row>
    <row r="1046" spans="1:12" s="97" customFormat="1" hidden="1" x14ac:dyDescent="0.25">
      <c r="A1046" s="61" t="s">
        <v>310</v>
      </c>
      <c r="B1046" s="14">
        <v>43616</v>
      </c>
      <c r="C1046" s="13">
        <v>551</v>
      </c>
      <c r="D1046" s="13" t="s">
        <v>72</v>
      </c>
      <c r="E1046" s="13" t="s">
        <v>958</v>
      </c>
      <c r="F1046" s="4">
        <v>37949.339999999997</v>
      </c>
      <c r="G1046" s="29" t="s">
        <v>6828</v>
      </c>
      <c r="H1046" s="14">
        <v>43565</v>
      </c>
      <c r="I1046" s="4" t="s">
        <v>6829</v>
      </c>
      <c r="J1046" s="133"/>
      <c r="K1046" s="22"/>
      <c r="L1046" s="134"/>
    </row>
    <row r="1047" spans="1:12" s="93" customFormat="1" hidden="1" x14ac:dyDescent="0.25">
      <c r="A1047" s="61" t="s">
        <v>455</v>
      </c>
      <c r="B1047" s="14">
        <v>43616</v>
      </c>
      <c r="C1047" s="13">
        <v>552</v>
      </c>
      <c r="D1047" s="13" t="s">
        <v>1491</v>
      </c>
      <c r="E1047" s="13" t="s">
        <v>958</v>
      </c>
      <c r="F1047" s="4">
        <v>100000</v>
      </c>
      <c r="G1047" s="29" t="s">
        <v>7479</v>
      </c>
      <c r="H1047" s="14">
        <v>43572</v>
      </c>
      <c r="I1047" s="4" t="s">
        <v>7478</v>
      </c>
      <c r="J1047" s="130"/>
      <c r="K1047" s="16"/>
      <c r="L1047" s="92"/>
    </row>
    <row r="1048" spans="1:12" s="93" customFormat="1" ht="15" hidden="1" customHeight="1" x14ac:dyDescent="0.25">
      <c r="A1048" s="61" t="s">
        <v>311</v>
      </c>
      <c r="B1048" s="14">
        <v>43616</v>
      </c>
      <c r="C1048" s="13">
        <v>560</v>
      </c>
      <c r="D1048" s="13" t="s">
        <v>70</v>
      </c>
      <c r="E1048" s="13" t="s">
        <v>958</v>
      </c>
      <c r="F1048" s="4">
        <v>3690</v>
      </c>
      <c r="G1048" s="29" t="s">
        <v>4037</v>
      </c>
      <c r="H1048" s="14">
        <v>43565</v>
      </c>
      <c r="I1048" s="4" t="s">
        <v>4117</v>
      </c>
      <c r="J1048" s="130"/>
      <c r="K1048" s="16"/>
      <c r="L1048" s="92"/>
    </row>
    <row r="1049" spans="1:12" hidden="1" x14ac:dyDescent="0.25">
      <c r="A1049" s="61" t="s">
        <v>455</v>
      </c>
      <c r="B1049" s="14">
        <v>43616</v>
      </c>
      <c r="C1049" s="13">
        <v>553</v>
      </c>
      <c r="D1049" s="13" t="s">
        <v>282</v>
      </c>
      <c r="E1049" s="13" t="s">
        <v>958</v>
      </c>
      <c r="F1049" s="37">
        <v>21450</v>
      </c>
      <c r="G1049" s="29" t="s">
        <v>7024</v>
      </c>
      <c r="H1049" s="14">
        <v>43573</v>
      </c>
      <c r="I1049" s="4" t="s">
        <v>283</v>
      </c>
    </row>
    <row r="1050" spans="1:12" hidden="1" x14ac:dyDescent="0.25">
      <c r="A1050" s="61" t="s">
        <v>455</v>
      </c>
      <c r="B1050" s="14">
        <v>43616</v>
      </c>
      <c r="C1050" s="13">
        <v>553</v>
      </c>
      <c r="D1050" s="13" t="s">
        <v>282</v>
      </c>
      <c r="E1050" s="13" t="s">
        <v>958</v>
      </c>
      <c r="F1050" s="37">
        <v>26455</v>
      </c>
      <c r="G1050" s="29" t="s">
        <v>7419</v>
      </c>
      <c r="H1050" s="14">
        <v>43580</v>
      </c>
      <c r="I1050" s="4" t="s">
        <v>283</v>
      </c>
    </row>
    <row r="1051" spans="1:12" hidden="1" x14ac:dyDescent="0.25">
      <c r="A1051" s="61" t="s">
        <v>455</v>
      </c>
      <c r="B1051" s="14">
        <v>43616</v>
      </c>
      <c r="C1051" s="13">
        <v>554</v>
      </c>
      <c r="D1051" s="13" t="s">
        <v>2047</v>
      </c>
      <c r="E1051" s="13" t="s">
        <v>958</v>
      </c>
      <c r="F1051" s="37">
        <v>17000</v>
      </c>
      <c r="G1051" s="29" t="s">
        <v>158</v>
      </c>
      <c r="H1051" s="14">
        <v>43557</v>
      </c>
      <c r="I1051" s="4" t="s">
        <v>95</v>
      </c>
    </row>
    <row r="1052" spans="1:12" hidden="1" x14ac:dyDescent="0.25">
      <c r="A1052" s="61" t="s">
        <v>455</v>
      </c>
      <c r="B1052" s="14">
        <v>43616</v>
      </c>
      <c r="C1052" s="13">
        <v>554</v>
      </c>
      <c r="D1052" s="13" t="s">
        <v>2047</v>
      </c>
      <c r="E1052" s="13" t="s">
        <v>958</v>
      </c>
      <c r="F1052" s="37">
        <v>51000</v>
      </c>
      <c r="G1052" s="29" t="s">
        <v>4755</v>
      </c>
      <c r="H1052" s="14">
        <v>43571</v>
      </c>
      <c r="I1052" s="4" t="s">
        <v>95</v>
      </c>
    </row>
    <row r="1053" spans="1:12" hidden="1" x14ac:dyDescent="0.25">
      <c r="A1053" s="61" t="s">
        <v>310</v>
      </c>
      <c r="B1053" s="14">
        <v>43616</v>
      </c>
      <c r="C1053" s="13">
        <v>555</v>
      </c>
      <c r="D1053" s="13" t="s">
        <v>431</v>
      </c>
      <c r="E1053" s="13" t="s">
        <v>958</v>
      </c>
      <c r="F1053" s="37">
        <v>13600</v>
      </c>
      <c r="G1053" s="29" t="s">
        <v>306</v>
      </c>
      <c r="H1053" s="14">
        <v>43578</v>
      </c>
      <c r="I1053" s="4" t="s">
        <v>95</v>
      </c>
    </row>
    <row r="1054" spans="1:12" hidden="1" x14ac:dyDescent="0.25">
      <c r="A1054" s="61" t="s">
        <v>455</v>
      </c>
      <c r="B1054" s="14">
        <v>43616</v>
      </c>
      <c r="C1054" s="13">
        <v>556</v>
      </c>
      <c r="D1054" s="13" t="s">
        <v>149</v>
      </c>
      <c r="E1054" s="13" t="s">
        <v>958</v>
      </c>
      <c r="F1054" s="37">
        <v>7000</v>
      </c>
      <c r="G1054" s="29" t="s">
        <v>5894</v>
      </c>
      <c r="H1054" s="14">
        <v>43524</v>
      </c>
      <c r="I1054" s="4" t="s">
        <v>5891</v>
      </c>
    </row>
    <row r="1055" spans="1:12" hidden="1" x14ac:dyDescent="0.25">
      <c r="A1055" s="61" t="s">
        <v>310</v>
      </c>
      <c r="B1055" s="14">
        <v>43616</v>
      </c>
      <c r="C1055" s="13">
        <v>556</v>
      </c>
      <c r="D1055" s="13" t="s">
        <v>149</v>
      </c>
      <c r="E1055" s="13" t="s">
        <v>958</v>
      </c>
      <c r="F1055" s="4">
        <v>7000</v>
      </c>
      <c r="G1055" s="28" t="s">
        <v>5896</v>
      </c>
      <c r="H1055" s="14">
        <v>43524</v>
      </c>
      <c r="I1055" s="4" t="s">
        <v>5891</v>
      </c>
    </row>
    <row r="1056" spans="1:12" hidden="1" x14ac:dyDescent="0.25">
      <c r="A1056" s="61" t="s">
        <v>455</v>
      </c>
      <c r="B1056" s="14">
        <v>43616</v>
      </c>
      <c r="C1056" s="13">
        <v>557</v>
      </c>
      <c r="D1056" s="13" t="s">
        <v>149</v>
      </c>
      <c r="E1056" s="13" t="s">
        <v>958</v>
      </c>
      <c r="F1056" s="37">
        <v>3700</v>
      </c>
      <c r="G1056" s="29" t="s">
        <v>5902</v>
      </c>
      <c r="H1056" s="14">
        <v>43542</v>
      </c>
      <c r="I1056" s="4" t="s">
        <v>5903</v>
      </c>
    </row>
    <row r="1057" spans="1:12" ht="13.95" hidden="1" customHeight="1" x14ac:dyDescent="0.25">
      <c r="A1057" s="32" t="s">
        <v>92</v>
      </c>
      <c r="B1057" s="14">
        <v>43616</v>
      </c>
      <c r="C1057" s="13">
        <v>904</v>
      </c>
      <c r="D1057" s="13" t="s">
        <v>920</v>
      </c>
      <c r="E1057" s="32" t="s">
        <v>62</v>
      </c>
      <c r="F1057" s="4">
        <v>700000</v>
      </c>
      <c r="G1057" s="69" t="s">
        <v>1355</v>
      </c>
      <c r="H1057" s="14"/>
      <c r="I1057" s="4" t="s">
        <v>61</v>
      </c>
      <c r="J1057" s="21"/>
      <c r="K1057" s="228"/>
    </row>
    <row r="1058" spans="1:12" s="97" customFormat="1" hidden="1" x14ac:dyDescent="0.25">
      <c r="A1058" s="61" t="s">
        <v>442</v>
      </c>
      <c r="B1058" s="14">
        <v>43616</v>
      </c>
      <c r="C1058" s="13">
        <v>905</v>
      </c>
      <c r="D1058" s="13" t="s">
        <v>740</v>
      </c>
      <c r="E1058" s="13" t="s">
        <v>62</v>
      </c>
      <c r="F1058" s="4">
        <v>191950</v>
      </c>
      <c r="G1058" s="29" t="s">
        <v>7730</v>
      </c>
      <c r="H1058" s="14">
        <v>43549</v>
      </c>
      <c r="I1058" s="4" t="s">
        <v>4902</v>
      </c>
      <c r="J1058" s="133"/>
      <c r="K1058" s="22"/>
      <c r="L1058" s="134"/>
    </row>
    <row r="1059" spans="1:12" s="97" customFormat="1" hidden="1" x14ac:dyDescent="0.25">
      <c r="A1059" s="61" t="s">
        <v>442</v>
      </c>
      <c r="B1059" s="14">
        <v>43616</v>
      </c>
      <c r="C1059" s="13">
        <v>905</v>
      </c>
      <c r="D1059" s="13" t="s">
        <v>740</v>
      </c>
      <c r="E1059" s="13" t="s">
        <v>62</v>
      </c>
      <c r="F1059" s="4">
        <v>283000</v>
      </c>
      <c r="G1059" s="29" t="s">
        <v>7739</v>
      </c>
      <c r="H1059" s="14">
        <v>43557</v>
      </c>
      <c r="I1059" s="4" t="s">
        <v>693</v>
      </c>
      <c r="J1059" s="133"/>
      <c r="K1059" s="22"/>
      <c r="L1059" s="134"/>
    </row>
    <row r="1060" spans="1:12" s="97" customFormat="1" hidden="1" x14ac:dyDescent="0.25">
      <c r="A1060" s="61" t="s">
        <v>358</v>
      </c>
      <c r="B1060" s="14">
        <v>43616</v>
      </c>
      <c r="C1060" s="13">
        <v>905</v>
      </c>
      <c r="D1060" s="13" t="s">
        <v>740</v>
      </c>
      <c r="E1060" s="13" t="s">
        <v>62</v>
      </c>
      <c r="F1060" s="4">
        <v>75000</v>
      </c>
      <c r="G1060" s="29" t="s">
        <v>7743</v>
      </c>
      <c r="H1060" s="14">
        <v>43563</v>
      </c>
      <c r="I1060" s="4" t="s">
        <v>7744</v>
      </c>
      <c r="J1060" s="133"/>
      <c r="K1060" s="22"/>
      <c r="L1060" s="134"/>
    </row>
    <row r="1061" spans="1:12" hidden="1" x14ac:dyDescent="0.25">
      <c r="A1061" s="32" t="s">
        <v>92</v>
      </c>
      <c r="B1061" s="14">
        <v>43616</v>
      </c>
      <c r="C1061" s="13">
        <v>906</v>
      </c>
      <c r="D1061" s="13" t="s">
        <v>243</v>
      </c>
      <c r="E1061" s="32" t="s">
        <v>62</v>
      </c>
      <c r="F1061" s="4">
        <v>784418.21</v>
      </c>
      <c r="G1061" s="29" t="s">
        <v>3317</v>
      </c>
      <c r="H1061" s="14">
        <v>43165</v>
      </c>
      <c r="I1061" s="4" t="s">
        <v>8318</v>
      </c>
      <c r="J1061" s="21"/>
      <c r="K1061" s="228"/>
    </row>
    <row r="1062" spans="1:12" x14ac:dyDescent="0.25">
      <c r="A1062" s="61" t="s">
        <v>8303</v>
      </c>
      <c r="B1062" s="14">
        <v>43616</v>
      </c>
      <c r="C1062" s="13">
        <v>907</v>
      </c>
      <c r="D1062" s="13" t="s">
        <v>4162</v>
      </c>
      <c r="E1062" s="13" t="s">
        <v>62</v>
      </c>
      <c r="F1062" s="37">
        <v>7120</v>
      </c>
      <c r="G1062" s="29" t="s">
        <v>8304</v>
      </c>
      <c r="H1062" s="14">
        <v>43614</v>
      </c>
      <c r="I1062" s="4" t="s">
        <v>8305</v>
      </c>
    </row>
    <row r="1063" spans="1:12" s="97" customFormat="1" hidden="1" x14ac:dyDescent="0.25">
      <c r="A1063" s="61" t="s">
        <v>91</v>
      </c>
      <c r="B1063" s="14">
        <v>43616</v>
      </c>
      <c r="C1063" s="13">
        <v>908</v>
      </c>
      <c r="D1063" s="13" t="s">
        <v>5807</v>
      </c>
      <c r="E1063" s="13" t="s">
        <v>62</v>
      </c>
      <c r="F1063" s="37">
        <v>41480</v>
      </c>
      <c r="G1063" s="29" t="s">
        <v>8319</v>
      </c>
      <c r="H1063" s="14">
        <v>43615</v>
      </c>
      <c r="I1063" s="4" t="s">
        <v>5808</v>
      </c>
      <c r="J1063" s="133"/>
      <c r="K1063" s="22"/>
      <c r="L1063" s="134"/>
    </row>
    <row r="1064" spans="1:12" s="97" customFormat="1" hidden="1" x14ac:dyDescent="0.25">
      <c r="A1064" s="61" t="s">
        <v>442</v>
      </c>
      <c r="B1064" s="14">
        <v>43616</v>
      </c>
      <c r="C1064" s="13">
        <v>909</v>
      </c>
      <c r="D1064" s="13" t="s">
        <v>868</v>
      </c>
      <c r="E1064" s="13" t="s">
        <v>62</v>
      </c>
      <c r="F1064" s="4">
        <v>15424</v>
      </c>
      <c r="G1064" s="29" t="s">
        <v>6851</v>
      </c>
      <c r="H1064" s="14">
        <v>43567</v>
      </c>
      <c r="I1064" s="4" t="s">
        <v>6852</v>
      </c>
      <c r="J1064" s="133"/>
      <c r="K1064" s="22"/>
      <c r="L1064" s="134"/>
    </row>
    <row r="1065" spans="1:12" s="97" customFormat="1" hidden="1" x14ac:dyDescent="0.25">
      <c r="A1065" s="61" t="s">
        <v>358</v>
      </c>
      <c r="B1065" s="14">
        <v>43616</v>
      </c>
      <c r="C1065" s="13">
        <v>909</v>
      </c>
      <c r="D1065" s="13" t="s">
        <v>868</v>
      </c>
      <c r="E1065" s="13" t="s">
        <v>62</v>
      </c>
      <c r="F1065" s="4">
        <v>33847</v>
      </c>
      <c r="G1065" s="29" t="s">
        <v>6853</v>
      </c>
      <c r="H1065" s="14">
        <v>43571</v>
      </c>
      <c r="I1065" s="4" t="s">
        <v>1352</v>
      </c>
      <c r="J1065" s="133"/>
      <c r="K1065" s="22"/>
      <c r="L1065" s="134"/>
    </row>
    <row r="1066" spans="1:12" s="97" customFormat="1" hidden="1" x14ac:dyDescent="0.25">
      <c r="A1066" s="61" t="s">
        <v>358</v>
      </c>
      <c r="B1066" s="14">
        <v>43616</v>
      </c>
      <c r="C1066" s="13">
        <v>910</v>
      </c>
      <c r="D1066" s="13" t="s">
        <v>280</v>
      </c>
      <c r="E1066" s="13" t="s">
        <v>62</v>
      </c>
      <c r="F1066" s="4">
        <v>16423</v>
      </c>
      <c r="G1066" s="29" t="s">
        <v>1201</v>
      </c>
      <c r="H1066" s="14">
        <v>43571</v>
      </c>
      <c r="I1066" s="4" t="s">
        <v>7148</v>
      </c>
      <c r="J1066" s="133"/>
      <c r="K1066" s="22"/>
      <c r="L1066" s="134"/>
    </row>
    <row r="1067" spans="1:12" s="97" customFormat="1" hidden="1" x14ac:dyDescent="0.25">
      <c r="A1067" s="61" t="s">
        <v>442</v>
      </c>
      <c r="B1067" s="14">
        <v>43616</v>
      </c>
      <c r="C1067" s="13">
        <v>910</v>
      </c>
      <c r="D1067" s="13" t="s">
        <v>280</v>
      </c>
      <c r="E1067" s="13" t="s">
        <v>62</v>
      </c>
      <c r="F1067" s="4">
        <v>111376.12</v>
      </c>
      <c r="G1067" s="28" t="s">
        <v>4015</v>
      </c>
      <c r="H1067" s="14">
        <v>43573</v>
      </c>
      <c r="I1067" s="4" t="s">
        <v>7152</v>
      </c>
      <c r="J1067" s="133"/>
      <c r="K1067" s="22"/>
      <c r="L1067" s="134"/>
    </row>
    <row r="1068" spans="1:12" s="97" customFormat="1" hidden="1" x14ac:dyDescent="0.25">
      <c r="A1068" s="61" t="s">
        <v>92</v>
      </c>
      <c r="B1068" s="14">
        <v>43616</v>
      </c>
      <c r="C1068" s="13">
        <v>911</v>
      </c>
      <c r="D1068" s="13" t="s">
        <v>72</v>
      </c>
      <c r="E1068" s="13" t="s">
        <v>62</v>
      </c>
      <c r="F1068" s="4">
        <v>3146.12</v>
      </c>
      <c r="G1068" s="29" t="s">
        <v>6353</v>
      </c>
      <c r="H1068" s="14">
        <v>43557</v>
      </c>
      <c r="I1068" s="4" t="s">
        <v>6509</v>
      </c>
      <c r="J1068" s="133"/>
      <c r="K1068" s="22"/>
      <c r="L1068" s="134"/>
    </row>
    <row r="1069" spans="1:12" s="97" customFormat="1" hidden="1" x14ac:dyDescent="0.25">
      <c r="A1069" s="61" t="s">
        <v>358</v>
      </c>
      <c r="B1069" s="14">
        <v>43616</v>
      </c>
      <c r="C1069" s="13">
        <v>911</v>
      </c>
      <c r="D1069" s="13" t="s">
        <v>72</v>
      </c>
      <c r="E1069" s="13" t="s">
        <v>62</v>
      </c>
      <c r="F1069" s="4">
        <v>43841.36</v>
      </c>
      <c r="G1069" s="28" t="s">
        <v>6363</v>
      </c>
      <c r="H1069" s="14">
        <v>43559</v>
      </c>
      <c r="I1069" s="4" t="s">
        <v>6512</v>
      </c>
      <c r="J1069" s="133"/>
      <c r="K1069" s="22"/>
      <c r="L1069" s="134"/>
    </row>
    <row r="1070" spans="1:12" s="97" customFormat="1" hidden="1" x14ac:dyDescent="0.25">
      <c r="A1070" s="61" t="s">
        <v>358</v>
      </c>
      <c r="B1070" s="14">
        <v>43616</v>
      </c>
      <c r="C1070" s="13">
        <v>911</v>
      </c>
      <c r="D1070" s="13" t="s">
        <v>72</v>
      </c>
      <c r="E1070" s="13" t="s">
        <v>62</v>
      </c>
      <c r="F1070" s="4">
        <v>16090</v>
      </c>
      <c r="G1070" s="29" t="s">
        <v>6830</v>
      </c>
      <c r="H1070" s="14">
        <v>43565</v>
      </c>
      <c r="I1070" s="4" t="s">
        <v>6831</v>
      </c>
      <c r="J1070" s="133"/>
      <c r="K1070" s="22"/>
      <c r="L1070" s="134"/>
    </row>
    <row r="1071" spans="1:12" s="97" customFormat="1" hidden="1" x14ac:dyDescent="0.25">
      <c r="A1071" s="61" t="s">
        <v>442</v>
      </c>
      <c r="B1071" s="14">
        <v>43616</v>
      </c>
      <c r="C1071" s="13">
        <v>911</v>
      </c>
      <c r="D1071" s="13" t="s">
        <v>72</v>
      </c>
      <c r="E1071" s="13" t="s">
        <v>62</v>
      </c>
      <c r="F1071" s="4">
        <v>31268</v>
      </c>
      <c r="G1071" s="29" t="s">
        <v>6832</v>
      </c>
      <c r="H1071" s="14">
        <v>43567</v>
      </c>
      <c r="I1071" s="4" t="s">
        <v>6833</v>
      </c>
      <c r="J1071" s="133"/>
      <c r="K1071" s="22"/>
      <c r="L1071" s="134"/>
    </row>
    <row r="1072" spans="1:12" s="97" customFormat="1" hidden="1" x14ac:dyDescent="0.25">
      <c r="A1072" s="61" t="s">
        <v>92</v>
      </c>
      <c r="B1072" s="14">
        <v>43616</v>
      </c>
      <c r="C1072" s="13">
        <v>911</v>
      </c>
      <c r="D1072" s="13" t="s">
        <v>72</v>
      </c>
      <c r="E1072" s="13" t="s">
        <v>62</v>
      </c>
      <c r="F1072" s="4">
        <v>27043.919999999998</v>
      </c>
      <c r="G1072" s="29" t="s">
        <v>7135</v>
      </c>
      <c r="H1072" s="14">
        <v>43574</v>
      </c>
      <c r="I1072" s="4" t="s">
        <v>6170</v>
      </c>
      <c r="J1072" s="133"/>
      <c r="K1072" s="22"/>
      <c r="L1072" s="134"/>
    </row>
    <row r="1073" spans="1:12" s="93" customFormat="1" hidden="1" x14ac:dyDescent="0.25">
      <c r="A1073" s="61" t="s">
        <v>442</v>
      </c>
      <c r="B1073" s="14">
        <v>43616</v>
      </c>
      <c r="C1073" s="13">
        <v>912</v>
      </c>
      <c r="D1073" s="13" t="s">
        <v>666</v>
      </c>
      <c r="E1073" s="13" t="s">
        <v>62</v>
      </c>
      <c r="F1073" s="4">
        <v>1300</v>
      </c>
      <c r="G1073" s="29" t="s">
        <v>7119</v>
      </c>
      <c r="H1073" s="14">
        <v>43570</v>
      </c>
      <c r="I1073" s="4" t="s">
        <v>266</v>
      </c>
      <c r="J1073" s="130"/>
      <c r="K1073" s="16"/>
      <c r="L1073" s="92"/>
    </row>
    <row r="1074" spans="1:12" hidden="1" x14ac:dyDescent="0.25">
      <c r="A1074" s="61" t="s">
        <v>442</v>
      </c>
      <c r="B1074" s="14">
        <v>43616</v>
      </c>
      <c r="C1074" s="13">
        <v>913</v>
      </c>
      <c r="D1074" s="13" t="s">
        <v>282</v>
      </c>
      <c r="E1074" s="13" t="s">
        <v>62</v>
      </c>
      <c r="F1074" s="37">
        <v>32175</v>
      </c>
      <c r="G1074" s="29" t="s">
        <v>7020</v>
      </c>
      <c r="H1074" s="14">
        <v>43573</v>
      </c>
      <c r="I1074" s="4" t="s">
        <v>283</v>
      </c>
    </row>
    <row r="1075" spans="1:12" hidden="1" x14ac:dyDescent="0.25">
      <c r="A1075" s="61" t="s">
        <v>92</v>
      </c>
      <c r="B1075" s="14">
        <v>43616</v>
      </c>
      <c r="C1075" s="13">
        <v>913</v>
      </c>
      <c r="D1075" s="13" t="s">
        <v>282</v>
      </c>
      <c r="E1075" s="13" t="s">
        <v>62</v>
      </c>
      <c r="F1075" s="37">
        <v>12155</v>
      </c>
      <c r="G1075" s="29" t="s">
        <v>7021</v>
      </c>
      <c r="H1075" s="14">
        <v>43573</v>
      </c>
      <c r="I1075" s="4" t="s">
        <v>283</v>
      </c>
    </row>
    <row r="1076" spans="1:12" hidden="1" x14ac:dyDescent="0.25">
      <c r="A1076" s="61" t="s">
        <v>358</v>
      </c>
      <c r="B1076" s="14">
        <v>43616</v>
      </c>
      <c r="C1076" s="13">
        <v>913</v>
      </c>
      <c r="D1076" s="13" t="s">
        <v>282</v>
      </c>
      <c r="E1076" s="13" t="s">
        <v>62</v>
      </c>
      <c r="F1076" s="37">
        <v>5720</v>
      </c>
      <c r="G1076" s="29" t="s">
        <v>7022</v>
      </c>
      <c r="H1076" s="14">
        <v>43573</v>
      </c>
      <c r="I1076" s="4" t="s">
        <v>283</v>
      </c>
    </row>
    <row r="1077" spans="1:12" hidden="1" x14ac:dyDescent="0.25">
      <c r="A1077" s="61" t="s">
        <v>91</v>
      </c>
      <c r="B1077" s="14">
        <v>43616</v>
      </c>
      <c r="C1077" s="13">
        <v>913</v>
      </c>
      <c r="D1077" s="13" t="s">
        <v>282</v>
      </c>
      <c r="E1077" s="13" t="s">
        <v>62</v>
      </c>
      <c r="F1077" s="37">
        <v>28600</v>
      </c>
      <c r="G1077" s="29" t="s">
        <v>7023</v>
      </c>
      <c r="H1077" s="14">
        <v>43573</v>
      </c>
      <c r="I1077" s="4" t="s">
        <v>283</v>
      </c>
    </row>
    <row r="1078" spans="1:12" hidden="1" x14ac:dyDescent="0.25">
      <c r="A1078" s="61" t="s">
        <v>103</v>
      </c>
      <c r="B1078" s="14">
        <v>43616</v>
      </c>
      <c r="C1078" s="13">
        <v>914</v>
      </c>
      <c r="D1078" s="13" t="s">
        <v>1512</v>
      </c>
      <c r="E1078" s="13" t="s">
        <v>62</v>
      </c>
      <c r="F1078" s="37">
        <v>9600</v>
      </c>
      <c r="G1078" s="29" t="s">
        <v>730</v>
      </c>
      <c r="H1078" s="14">
        <v>43507</v>
      </c>
      <c r="I1078" s="4" t="s">
        <v>354</v>
      </c>
    </row>
    <row r="1079" spans="1:12" ht="27.6" hidden="1" x14ac:dyDescent="0.25">
      <c r="A1079" s="32" t="s">
        <v>6102</v>
      </c>
      <c r="B1079" s="14">
        <v>43616</v>
      </c>
      <c r="C1079" s="13">
        <v>915</v>
      </c>
      <c r="D1079" s="13" t="s">
        <v>29</v>
      </c>
      <c r="E1079" s="13" t="s">
        <v>62</v>
      </c>
      <c r="F1079" s="37">
        <v>248200</v>
      </c>
      <c r="G1079" s="29" t="s">
        <v>1453</v>
      </c>
      <c r="H1079" s="14">
        <v>43549</v>
      </c>
      <c r="I1079" s="4" t="s">
        <v>95</v>
      </c>
    </row>
    <row r="1080" spans="1:12" ht="27.6" hidden="1" x14ac:dyDescent="0.25">
      <c r="A1080" s="61" t="s">
        <v>6783</v>
      </c>
      <c r="B1080" s="14">
        <v>43616</v>
      </c>
      <c r="C1080" s="13">
        <v>916</v>
      </c>
      <c r="D1080" s="13" t="s">
        <v>2047</v>
      </c>
      <c r="E1080" s="13" t="s">
        <v>62</v>
      </c>
      <c r="F1080" s="4">
        <v>23800</v>
      </c>
      <c r="G1080" s="28" t="s">
        <v>5622</v>
      </c>
      <c r="H1080" s="14">
        <v>43571</v>
      </c>
      <c r="I1080" s="4" t="s">
        <v>95</v>
      </c>
    </row>
    <row r="1081" spans="1:12" hidden="1" x14ac:dyDescent="0.25">
      <c r="A1081" s="61" t="s">
        <v>55</v>
      </c>
      <c r="B1081" s="14">
        <v>43616</v>
      </c>
      <c r="C1081" s="13">
        <v>917</v>
      </c>
      <c r="D1081" s="13" t="s">
        <v>1985</v>
      </c>
      <c r="E1081" s="13" t="s">
        <v>62</v>
      </c>
      <c r="F1081" s="37">
        <v>12400</v>
      </c>
      <c r="G1081" s="29" t="s">
        <v>1568</v>
      </c>
      <c r="H1081" s="14">
        <v>43585</v>
      </c>
      <c r="I1081" s="4" t="s">
        <v>122</v>
      </c>
    </row>
    <row r="1082" spans="1:12" hidden="1" x14ac:dyDescent="0.25">
      <c r="A1082" s="61" t="s">
        <v>91</v>
      </c>
      <c r="B1082" s="14">
        <v>43616</v>
      </c>
      <c r="C1082" s="13">
        <v>917</v>
      </c>
      <c r="D1082" s="13" t="s">
        <v>1985</v>
      </c>
      <c r="E1082" s="13" t="s">
        <v>62</v>
      </c>
      <c r="F1082" s="37">
        <v>19800</v>
      </c>
      <c r="G1082" s="29" t="s">
        <v>558</v>
      </c>
      <c r="H1082" s="14">
        <v>43585</v>
      </c>
      <c r="I1082" s="4" t="s">
        <v>122</v>
      </c>
    </row>
    <row r="1083" spans="1:12" hidden="1" x14ac:dyDescent="0.25">
      <c r="A1083" s="61" t="s">
        <v>103</v>
      </c>
      <c r="B1083" s="14">
        <v>43616</v>
      </c>
      <c r="C1083" s="13">
        <v>918</v>
      </c>
      <c r="D1083" s="13" t="s">
        <v>6788</v>
      </c>
      <c r="E1083" s="13" t="s">
        <v>62</v>
      </c>
      <c r="F1083" s="37">
        <v>7500</v>
      </c>
      <c r="G1083" s="29" t="s">
        <v>3224</v>
      </c>
      <c r="H1083" s="14">
        <v>43554</v>
      </c>
      <c r="I1083" s="4" t="s">
        <v>354</v>
      </c>
    </row>
    <row r="1084" spans="1:12" hidden="1" x14ac:dyDescent="0.25">
      <c r="A1084" s="61" t="s">
        <v>103</v>
      </c>
      <c r="B1084" s="14">
        <v>43616</v>
      </c>
      <c r="C1084" s="13">
        <v>918</v>
      </c>
      <c r="D1084" s="13" t="s">
        <v>6788</v>
      </c>
      <c r="E1084" s="13" t="s">
        <v>62</v>
      </c>
      <c r="F1084" s="37">
        <v>28750</v>
      </c>
      <c r="G1084" s="29" t="s">
        <v>4095</v>
      </c>
      <c r="H1084" s="14">
        <v>43559</v>
      </c>
      <c r="I1084" s="4" t="s">
        <v>354</v>
      </c>
    </row>
    <row r="1085" spans="1:12" hidden="1" x14ac:dyDescent="0.25">
      <c r="A1085" s="61" t="s">
        <v>349</v>
      </c>
      <c r="B1085" s="14">
        <v>43616</v>
      </c>
      <c r="C1085" s="13">
        <v>919</v>
      </c>
      <c r="D1085" s="13" t="s">
        <v>149</v>
      </c>
      <c r="E1085" s="13" t="s">
        <v>62</v>
      </c>
      <c r="F1085" s="37">
        <v>40500</v>
      </c>
      <c r="G1085" s="29" t="s">
        <v>5898</v>
      </c>
      <c r="H1085" s="14">
        <v>43524</v>
      </c>
      <c r="I1085" s="4" t="s">
        <v>5891</v>
      </c>
    </row>
    <row r="1086" spans="1:12" s="97" customFormat="1" hidden="1" x14ac:dyDescent="0.25">
      <c r="A1086" s="61" t="s">
        <v>1316</v>
      </c>
      <c r="B1086" s="14">
        <v>43616</v>
      </c>
      <c r="C1086" s="13">
        <v>955</v>
      </c>
      <c r="D1086" s="13" t="s">
        <v>2697</v>
      </c>
      <c r="E1086" s="13" t="s">
        <v>808</v>
      </c>
      <c r="F1086" s="4">
        <v>778572</v>
      </c>
      <c r="G1086" s="28" t="s">
        <v>7444</v>
      </c>
      <c r="H1086" s="14">
        <v>43564</v>
      </c>
      <c r="I1086" s="4" t="s">
        <v>1244</v>
      </c>
      <c r="J1086" s="133"/>
      <c r="K1086" s="22"/>
      <c r="L1086" s="134"/>
    </row>
    <row r="1087" spans="1:12" s="97" customFormat="1" hidden="1" x14ac:dyDescent="0.25">
      <c r="A1087" s="61" t="s">
        <v>1148</v>
      </c>
      <c r="B1087" s="14">
        <v>43616</v>
      </c>
      <c r="C1087" s="13">
        <v>956</v>
      </c>
      <c r="D1087" s="13" t="s">
        <v>257</v>
      </c>
      <c r="E1087" s="13" t="s">
        <v>808</v>
      </c>
      <c r="F1087" s="4">
        <v>858452</v>
      </c>
      <c r="G1087" s="29" t="s">
        <v>4918</v>
      </c>
      <c r="H1087" s="14">
        <v>43529</v>
      </c>
      <c r="I1087" s="4" t="s">
        <v>1349</v>
      </c>
      <c r="J1087" s="133"/>
      <c r="K1087" s="22"/>
      <c r="L1087" s="134"/>
    </row>
    <row r="1088" spans="1:12" s="97" customFormat="1" hidden="1" x14ac:dyDescent="0.25">
      <c r="A1088" s="61" t="s">
        <v>1148</v>
      </c>
      <c r="B1088" s="14">
        <v>43616</v>
      </c>
      <c r="C1088" s="13">
        <v>957</v>
      </c>
      <c r="D1088" s="13" t="s">
        <v>539</v>
      </c>
      <c r="E1088" s="13" t="s">
        <v>808</v>
      </c>
      <c r="F1088" s="4">
        <v>816156</v>
      </c>
      <c r="G1088" s="29" t="s">
        <v>7084</v>
      </c>
      <c r="H1088" s="14">
        <v>43577</v>
      </c>
      <c r="I1088" s="4" t="s">
        <v>421</v>
      </c>
      <c r="J1088" s="133"/>
      <c r="K1088" s="22"/>
      <c r="L1088" s="134"/>
    </row>
    <row r="1089" spans="1:12" s="97" customFormat="1" hidden="1" x14ac:dyDescent="0.25">
      <c r="A1089" s="61" t="s">
        <v>659</v>
      </c>
      <c r="B1089" s="14">
        <v>43616</v>
      </c>
      <c r="C1089" s="13">
        <v>957</v>
      </c>
      <c r="D1089" s="13" t="s">
        <v>539</v>
      </c>
      <c r="E1089" s="13" t="s">
        <v>808</v>
      </c>
      <c r="F1089" s="4">
        <v>903721</v>
      </c>
      <c r="G1089" s="29" t="s">
        <v>7085</v>
      </c>
      <c r="H1089" s="14">
        <v>43578</v>
      </c>
      <c r="I1089" s="4" t="s">
        <v>443</v>
      </c>
      <c r="J1089" s="133"/>
      <c r="K1089" s="22"/>
      <c r="L1089" s="134"/>
    </row>
    <row r="1090" spans="1:12" s="97" customFormat="1" hidden="1" x14ac:dyDescent="0.25">
      <c r="A1090" s="61" t="s">
        <v>1147</v>
      </c>
      <c r="B1090" s="14">
        <v>43616</v>
      </c>
      <c r="C1090" s="13">
        <v>958</v>
      </c>
      <c r="D1090" s="13" t="s">
        <v>1206</v>
      </c>
      <c r="E1090" s="13" t="s">
        <v>808</v>
      </c>
      <c r="F1090" s="4">
        <v>864000</v>
      </c>
      <c r="G1090" s="28" t="s">
        <v>6136</v>
      </c>
      <c r="H1090" s="14">
        <v>43552</v>
      </c>
      <c r="I1090" s="4" t="s">
        <v>1207</v>
      </c>
      <c r="J1090" s="133"/>
      <c r="K1090" s="22"/>
      <c r="L1090" s="134"/>
    </row>
    <row r="1091" spans="1:12" s="97" customFormat="1" hidden="1" x14ac:dyDescent="0.25">
      <c r="A1091" s="61" t="s">
        <v>1148</v>
      </c>
      <c r="B1091" s="14">
        <v>43616</v>
      </c>
      <c r="C1091" s="13">
        <v>959</v>
      </c>
      <c r="D1091" s="13" t="s">
        <v>276</v>
      </c>
      <c r="E1091" s="13" t="s">
        <v>808</v>
      </c>
      <c r="F1091" s="4">
        <v>874537</v>
      </c>
      <c r="G1091" s="28" t="s">
        <v>6137</v>
      </c>
      <c r="H1091" s="14">
        <v>43550</v>
      </c>
      <c r="I1091" s="4" t="s">
        <v>6138</v>
      </c>
      <c r="J1091" s="133"/>
      <c r="K1091" s="22"/>
      <c r="L1091" s="134"/>
    </row>
    <row r="1092" spans="1:12" s="97" customFormat="1" hidden="1" x14ac:dyDescent="0.25">
      <c r="A1092" s="61" t="s">
        <v>1316</v>
      </c>
      <c r="B1092" s="14">
        <v>43616</v>
      </c>
      <c r="C1092" s="13">
        <v>960</v>
      </c>
      <c r="D1092" s="13" t="s">
        <v>6642</v>
      </c>
      <c r="E1092" s="13" t="s">
        <v>808</v>
      </c>
      <c r="F1092" s="4">
        <v>940685</v>
      </c>
      <c r="G1092" s="29" t="s">
        <v>3234</v>
      </c>
      <c r="H1092" s="14">
        <v>43580</v>
      </c>
      <c r="I1092" s="4" t="s">
        <v>777</v>
      </c>
      <c r="J1092" s="133"/>
      <c r="K1092" s="22"/>
      <c r="L1092" s="134"/>
    </row>
    <row r="1093" spans="1:12" s="97" customFormat="1" hidden="1" x14ac:dyDescent="0.25">
      <c r="A1093" s="61" t="s">
        <v>659</v>
      </c>
      <c r="B1093" s="14">
        <v>43616</v>
      </c>
      <c r="C1093" s="13">
        <v>961</v>
      </c>
      <c r="D1093" s="13" t="s">
        <v>589</v>
      </c>
      <c r="E1093" s="13" t="s">
        <v>808</v>
      </c>
      <c r="F1093" s="4">
        <v>853775</v>
      </c>
      <c r="G1093" s="29" t="s">
        <v>7755</v>
      </c>
      <c r="H1093" s="14">
        <v>43567</v>
      </c>
      <c r="I1093" s="4" t="s">
        <v>7756</v>
      </c>
      <c r="J1093" s="133"/>
      <c r="K1093" s="22"/>
      <c r="L1093" s="134"/>
    </row>
    <row r="1094" spans="1:12" s="97" customFormat="1" hidden="1" x14ac:dyDescent="0.25">
      <c r="A1094" s="14" t="s">
        <v>1147</v>
      </c>
      <c r="B1094" s="14">
        <v>43616</v>
      </c>
      <c r="C1094" s="13">
        <v>962</v>
      </c>
      <c r="D1094" s="13" t="s">
        <v>1827</v>
      </c>
      <c r="E1094" s="13" t="s">
        <v>808</v>
      </c>
      <c r="F1094" s="4">
        <v>878500</v>
      </c>
      <c r="G1094" s="29" t="s">
        <v>3141</v>
      </c>
      <c r="H1094" s="14">
        <v>43543</v>
      </c>
      <c r="I1094" s="4" t="s">
        <v>2722</v>
      </c>
      <c r="J1094" s="133"/>
      <c r="K1094" s="22"/>
      <c r="L1094" s="134"/>
    </row>
    <row r="1095" spans="1:12" s="97" customFormat="1" hidden="1" x14ac:dyDescent="0.25">
      <c r="A1095" s="61" t="s">
        <v>1147</v>
      </c>
      <c r="B1095" s="14">
        <v>43616</v>
      </c>
      <c r="C1095" s="13">
        <v>963</v>
      </c>
      <c r="D1095" s="13" t="s">
        <v>5709</v>
      </c>
      <c r="E1095" s="13" t="s">
        <v>808</v>
      </c>
      <c r="F1095" s="4">
        <v>100000</v>
      </c>
      <c r="G1095" s="29" t="s">
        <v>7166</v>
      </c>
      <c r="H1095" s="14">
        <v>43578</v>
      </c>
      <c r="I1095" s="4" t="s">
        <v>5048</v>
      </c>
      <c r="J1095" s="133"/>
      <c r="K1095" s="22"/>
      <c r="L1095" s="134"/>
    </row>
    <row r="1096" spans="1:12" s="97" customFormat="1" hidden="1" x14ac:dyDescent="0.25">
      <c r="A1096" s="61" t="s">
        <v>659</v>
      </c>
      <c r="B1096" s="14">
        <v>43616</v>
      </c>
      <c r="C1096" s="13">
        <v>964</v>
      </c>
      <c r="D1096" s="13" t="s">
        <v>5047</v>
      </c>
      <c r="E1096" s="13" t="s">
        <v>808</v>
      </c>
      <c r="F1096" s="4">
        <v>100000</v>
      </c>
      <c r="G1096" s="29" t="s">
        <v>2814</v>
      </c>
      <c r="H1096" s="14">
        <v>43578</v>
      </c>
      <c r="I1096" s="4" t="s">
        <v>5048</v>
      </c>
      <c r="J1096" s="133"/>
      <c r="K1096" s="22"/>
      <c r="L1096" s="134"/>
    </row>
    <row r="1097" spans="1:12" s="97" customFormat="1" hidden="1" x14ac:dyDescent="0.25">
      <c r="A1097" s="61" t="s">
        <v>1316</v>
      </c>
      <c r="B1097" s="14">
        <v>43616</v>
      </c>
      <c r="C1097" s="13">
        <v>965</v>
      </c>
      <c r="D1097" s="13" t="s">
        <v>869</v>
      </c>
      <c r="E1097" s="13" t="s">
        <v>808</v>
      </c>
      <c r="F1097" s="4">
        <v>22143.99</v>
      </c>
      <c r="G1097" s="29" t="s">
        <v>7164</v>
      </c>
      <c r="H1097" s="14">
        <v>43577</v>
      </c>
      <c r="I1097" s="4" t="s">
        <v>268</v>
      </c>
      <c r="J1097" s="133"/>
      <c r="K1097" s="22"/>
      <c r="L1097" s="134"/>
    </row>
    <row r="1098" spans="1:12" s="97" customFormat="1" hidden="1" x14ac:dyDescent="0.25">
      <c r="A1098" s="61" t="s">
        <v>1149</v>
      </c>
      <c r="B1098" s="14">
        <v>43616</v>
      </c>
      <c r="C1098" s="13">
        <v>966</v>
      </c>
      <c r="D1098" s="13" t="s">
        <v>1065</v>
      </c>
      <c r="E1098" s="13" t="s">
        <v>808</v>
      </c>
      <c r="F1098" s="4">
        <v>7181.88</v>
      </c>
      <c r="G1098" s="29" t="s">
        <v>3394</v>
      </c>
      <c r="H1098" s="14">
        <v>43566</v>
      </c>
      <c r="I1098" s="4" t="s">
        <v>6859</v>
      </c>
      <c r="J1098" s="133"/>
      <c r="K1098" s="22"/>
      <c r="L1098" s="134"/>
    </row>
    <row r="1099" spans="1:12" s="97" customFormat="1" hidden="1" x14ac:dyDescent="0.25">
      <c r="A1099" s="61" t="s">
        <v>1148</v>
      </c>
      <c r="B1099" s="14">
        <v>43616</v>
      </c>
      <c r="C1099" s="13">
        <v>966</v>
      </c>
      <c r="D1099" s="13" t="s">
        <v>1065</v>
      </c>
      <c r="E1099" s="13" t="s">
        <v>808</v>
      </c>
      <c r="F1099" s="4">
        <v>36329.06</v>
      </c>
      <c r="G1099" s="29" t="s">
        <v>1452</v>
      </c>
      <c r="H1099" s="14">
        <v>43567</v>
      </c>
      <c r="I1099" s="4" t="s">
        <v>6860</v>
      </c>
      <c r="J1099" s="133"/>
      <c r="K1099" s="22"/>
      <c r="L1099" s="134"/>
    </row>
    <row r="1100" spans="1:12" s="97" customFormat="1" hidden="1" x14ac:dyDescent="0.25">
      <c r="A1100" s="61" t="s">
        <v>1316</v>
      </c>
      <c r="B1100" s="14">
        <v>43616</v>
      </c>
      <c r="C1100" s="13">
        <v>967</v>
      </c>
      <c r="D1100" s="13" t="s">
        <v>280</v>
      </c>
      <c r="E1100" s="13" t="s">
        <v>808</v>
      </c>
      <c r="F1100" s="4">
        <v>9600</v>
      </c>
      <c r="G1100" s="29" t="s">
        <v>17</v>
      </c>
      <c r="H1100" s="14">
        <v>43573</v>
      </c>
      <c r="I1100" s="4" t="s">
        <v>7149</v>
      </c>
      <c r="J1100" s="133"/>
      <c r="K1100" s="22"/>
      <c r="L1100" s="134"/>
    </row>
    <row r="1101" spans="1:12" s="97" customFormat="1" hidden="1" x14ac:dyDescent="0.25">
      <c r="A1101" s="13" t="s">
        <v>1148</v>
      </c>
      <c r="B1101" s="14">
        <v>43616</v>
      </c>
      <c r="C1101" s="13">
        <v>967</v>
      </c>
      <c r="D1101" s="13" t="s">
        <v>280</v>
      </c>
      <c r="E1101" s="13" t="s">
        <v>808</v>
      </c>
      <c r="F1101" s="4">
        <v>20900</v>
      </c>
      <c r="G1101" s="28" t="s">
        <v>5764</v>
      </c>
      <c r="H1101" s="14">
        <v>43574</v>
      </c>
      <c r="I1101" s="4" t="s">
        <v>1810</v>
      </c>
      <c r="J1101" s="133"/>
      <c r="K1101" s="22"/>
      <c r="L1101" s="134"/>
    </row>
    <row r="1102" spans="1:12" s="97" customFormat="1" hidden="1" x14ac:dyDescent="0.25">
      <c r="A1102" s="61" t="s">
        <v>1316</v>
      </c>
      <c r="B1102" s="14">
        <v>43616</v>
      </c>
      <c r="C1102" s="13">
        <v>968</v>
      </c>
      <c r="D1102" s="13" t="s">
        <v>814</v>
      </c>
      <c r="E1102" s="13" t="s">
        <v>808</v>
      </c>
      <c r="F1102" s="4">
        <v>117600</v>
      </c>
      <c r="G1102" s="29" t="s">
        <v>6844</v>
      </c>
      <c r="H1102" s="14">
        <v>43571</v>
      </c>
      <c r="I1102" s="4" t="s">
        <v>142</v>
      </c>
      <c r="J1102" s="133"/>
      <c r="K1102" s="22"/>
      <c r="L1102" s="134"/>
    </row>
    <row r="1103" spans="1:12" s="97" customFormat="1" hidden="1" x14ac:dyDescent="0.25">
      <c r="A1103" s="32" t="s">
        <v>659</v>
      </c>
      <c r="B1103" s="14">
        <v>43616</v>
      </c>
      <c r="C1103" s="13">
        <v>969</v>
      </c>
      <c r="D1103" s="13" t="s">
        <v>4936</v>
      </c>
      <c r="E1103" s="13" t="s">
        <v>808</v>
      </c>
      <c r="F1103" s="4">
        <v>52511.96</v>
      </c>
      <c r="G1103" s="28" t="s">
        <v>7136</v>
      </c>
      <c r="H1103" s="14">
        <v>43577</v>
      </c>
      <c r="I1103" s="4" t="s">
        <v>268</v>
      </c>
      <c r="J1103" s="133"/>
      <c r="K1103" s="22"/>
      <c r="L1103" s="134"/>
    </row>
    <row r="1104" spans="1:12" s="97" customFormat="1" hidden="1" x14ac:dyDescent="0.25">
      <c r="A1104" s="32" t="s">
        <v>659</v>
      </c>
      <c r="B1104" s="14">
        <v>43616</v>
      </c>
      <c r="C1104" s="13">
        <v>970</v>
      </c>
      <c r="D1104" s="13" t="s">
        <v>72</v>
      </c>
      <c r="E1104" s="13" t="s">
        <v>808</v>
      </c>
      <c r="F1104" s="4">
        <v>28948</v>
      </c>
      <c r="G1104" s="29" t="s">
        <v>6834</v>
      </c>
      <c r="H1104" s="14">
        <v>43571</v>
      </c>
      <c r="I1104" s="4" t="s">
        <v>5048</v>
      </c>
      <c r="J1104" s="133"/>
      <c r="K1104" s="22"/>
      <c r="L1104" s="134"/>
    </row>
    <row r="1105" spans="1:12" s="97" customFormat="1" hidden="1" x14ac:dyDescent="0.25">
      <c r="A1105" s="61" t="s">
        <v>1316</v>
      </c>
      <c r="B1105" s="14">
        <v>43616</v>
      </c>
      <c r="C1105" s="13">
        <v>970</v>
      </c>
      <c r="D1105" s="13" t="s">
        <v>72</v>
      </c>
      <c r="E1105" s="13" t="s">
        <v>808</v>
      </c>
      <c r="F1105" s="4">
        <v>18275</v>
      </c>
      <c r="G1105" s="29" t="s">
        <v>6835</v>
      </c>
      <c r="H1105" s="14">
        <v>43571</v>
      </c>
      <c r="I1105" s="4" t="s">
        <v>5103</v>
      </c>
      <c r="J1105" s="133"/>
      <c r="K1105" s="22"/>
      <c r="L1105" s="134"/>
    </row>
    <row r="1106" spans="1:12" s="93" customFormat="1" hidden="1" x14ac:dyDescent="0.25">
      <c r="A1106" s="61" t="s">
        <v>659</v>
      </c>
      <c r="B1106" s="14">
        <v>43616</v>
      </c>
      <c r="C1106" s="13">
        <v>971</v>
      </c>
      <c r="D1106" s="13" t="s">
        <v>666</v>
      </c>
      <c r="E1106" s="13" t="s">
        <v>808</v>
      </c>
      <c r="F1106" s="4">
        <v>19674.8</v>
      </c>
      <c r="G1106" s="29" t="s">
        <v>1754</v>
      </c>
      <c r="H1106" s="14">
        <v>43570</v>
      </c>
      <c r="I1106" s="4" t="s">
        <v>266</v>
      </c>
      <c r="J1106" s="130"/>
      <c r="K1106" s="16"/>
      <c r="L1106" s="92"/>
    </row>
    <row r="1107" spans="1:12" s="93" customFormat="1" hidden="1" x14ac:dyDescent="0.25">
      <c r="A1107" s="61" t="s">
        <v>1316</v>
      </c>
      <c r="B1107" s="14">
        <v>43616</v>
      </c>
      <c r="C1107" s="13">
        <v>971</v>
      </c>
      <c r="D1107" s="13" t="s">
        <v>666</v>
      </c>
      <c r="E1107" s="13" t="s">
        <v>808</v>
      </c>
      <c r="F1107" s="4">
        <v>19000</v>
      </c>
      <c r="G1107" s="29" t="s">
        <v>7120</v>
      </c>
      <c r="H1107" s="14">
        <v>43571</v>
      </c>
      <c r="I1107" s="4" t="s">
        <v>266</v>
      </c>
      <c r="J1107" s="130"/>
      <c r="K1107" s="16"/>
      <c r="L1107" s="92"/>
    </row>
    <row r="1108" spans="1:12" s="93" customFormat="1" hidden="1" x14ac:dyDescent="0.25">
      <c r="A1108" s="61" t="s">
        <v>1316</v>
      </c>
      <c r="B1108" s="14">
        <v>43616</v>
      </c>
      <c r="C1108" s="13">
        <v>972</v>
      </c>
      <c r="D1108" s="13" t="s">
        <v>516</v>
      </c>
      <c r="E1108" s="13" t="s">
        <v>808</v>
      </c>
      <c r="F1108" s="4">
        <v>105409</v>
      </c>
      <c r="G1108" s="28" t="s">
        <v>3419</v>
      </c>
      <c r="H1108" s="14">
        <v>43566</v>
      </c>
      <c r="I1108" s="4" t="s">
        <v>6809</v>
      </c>
      <c r="J1108" s="130"/>
      <c r="K1108" s="16"/>
      <c r="L1108" s="92"/>
    </row>
    <row r="1109" spans="1:12" s="97" customFormat="1" hidden="1" x14ac:dyDescent="0.25">
      <c r="A1109" s="61" t="s">
        <v>659</v>
      </c>
      <c r="B1109" s="14">
        <v>43616</v>
      </c>
      <c r="C1109" s="13">
        <v>973</v>
      </c>
      <c r="D1109" s="13" t="s">
        <v>448</v>
      </c>
      <c r="E1109" s="13" t="s">
        <v>808</v>
      </c>
      <c r="F1109" s="4">
        <v>60000</v>
      </c>
      <c r="G1109" s="29" t="s">
        <v>4931</v>
      </c>
      <c r="H1109" s="14">
        <v>43522</v>
      </c>
      <c r="I1109" s="4" t="s">
        <v>63</v>
      </c>
      <c r="J1109" s="133"/>
      <c r="K1109" s="22"/>
      <c r="L1109" s="134"/>
    </row>
    <row r="1110" spans="1:12" hidden="1" x14ac:dyDescent="0.25">
      <c r="A1110" s="61" t="s">
        <v>1147</v>
      </c>
      <c r="B1110" s="14">
        <v>43616</v>
      </c>
      <c r="C1110" s="13">
        <v>974</v>
      </c>
      <c r="D1110" s="13" t="s">
        <v>1690</v>
      </c>
      <c r="E1110" s="13" t="s">
        <v>808</v>
      </c>
      <c r="F1110" s="37">
        <v>12800</v>
      </c>
      <c r="G1110" s="29" t="s">
        <v>7019</v>
      </c>
      <c r="H1110" s="14">
        <v>43571</v>
      </c>
      <c r="I1110" s="4" t="s">
        <v>1301</v>
      </c>
    </row>
    <row r="1111" spans="1:12" ht="27.6" hidden="1" x14ac:dyDescent="0.25">
      <c r="A1111" s="61" t="s">
        <v>1894</v>
      </c>
      <c r="B1111" s="14">
        <v>43616</v>
      </c>
      <c r="C1111" s="13">
        <v>975</v>
      </c>
      <c r="D1111" s="13" t="s">
        <v>80</v>
      </c>
      <c r="E1111" s="13" t="s">
        <v>808</v>
      </c>
      <c r="F1111" s="37">
        <f>343620-203620-90000</f>
        <v>50000</v>
      </c>
      <c r="G1111" s="29" t="s">
        <v>6780</v>
      </c>
      <c r="H1111" s="14">
        <v>43570</v>
      </c>
      <c r="I1111" s="4" t="s">
        <v>2157</v>
      </c>
    </row>
    <row r="1112" spans="1:12" hidden="1" x14ac:dyDescent="0.25">
      <c r="A1112" s="61" t="s">
        <v>1148</v>
      </c>
      <c r="B1112" s="14">
        <v>43616</v>
      </c>
      <c r="C1112" s="13">
        <v>976</v>
      </c>
      <c r="D1112" s="13" t="s">
        <v>1512</v>
      </c>
      <c r="E1112" s="13" t="s">
        <v>808</v>
      </c>
      <c r="F1112" s="37">
        <v>12750</v>
      </c>
      <c r="G1112" s="29" t="s">
        <v>320</v>
      </c>
      <c r="H1112" s="14">
        <v>43497</v>
      </c>
      <c r="I1112" s="4" t="s">
        <v>95</v>
      </c>
    </row>
    <row r="1113" spans="1:12" hidden="1" x14ac:dyDescent="0.25">
      <c r="A1113" s="61" t="s">
        <v>659</v>
      </c>
      <c r="B1113" s="14">
        <v>43616</v>
      </c>
      <c r="C1113" s="13">
        <v>977</v>
      </c>
      <c r="D1113" s="13" t="s">
        <v>250</v>
      </c>
      <c r="E1113" s="13" t="s">
        <v>808</v>
      </c>
      <c r="F1113" s="4">
        <v>500000</v>
      </c>
      <c r="G1113" s="28" t="s">
        <v>6097</v>
      </c>
      <c r="H1113" s="14">
        <v>43555</v>
      </c>
      <c r="I1113" s="4" t="s">
        <v>402</v>
      </c>
    </row>
    <row r="1114" spans="1:12" hidden="1" x14ac:dyDescent="0.25">
      <c r="A1114" s="32" t="s">
        <v>1147</v>
      </c>
      <c r="B1114" s="14">
        <v>43616</v>
      </c>
      <c r="C1114" s="13">
        <v>978</v>
      </c>
      <c r="D1114" s="13" t="s">
        <v>29</v>
      </c>
      <c r="E1114" s="13" t="s">
        <v>808</v>
      </c>
      <c r="F1114" s="4">
        <v>235125</v>
      </c>
      <c r="G1114" s="28" t="s">
        <v>5744</v>
      </c>
      <c r="H1114" s="14">
        <v>43549</v>
      </c>
      <c r="I1114" s="4" t="s">
        <v>1061</v>
      </c>
    </row>
    <row r="1115" spans="1:12" hidden="1" x14ac:dyDescent="0.25">
      <c r="A1115" s="61" t="s">
        <v>659</v>
      </c>
      <c r="B1115" s="14">
        <v>43616</v>
      </c>
      <c r="C1115" s="13">
        <v>978</v>
      </c>
      <c r="D1115" s="13" t="s">
        <v>29</v>
      </c>
      <c r="E1115" s="13" t="s">
        <v>808</v>
      </c>
      <c r="F1115" s="37">
        <v>18000</v>
      </c>
      <c r="G1115" s="29" t="s">
        <v>7034</v>
      </c>
      <c r="H1115" s="14">
        <v>43554</v>
      </c>
      <c r="I1115" s="4" t="s">
        <v>419</v>
      </c>
    </row>
    <row r="1116" spans="1:12" hidden="1" x14ac:dyDescent="0.25">
      <c r="A1116" s="61" t="s">
        <v>659</v>
      </c>
      <c r="B1116" s="14">
        <v>43616</v>
      </c>
      <c r="C1116" s="13">
        <v>979</v>
      </c>
      <c r="D1116" s="13" t="s">
        <v>2047</v>
      </c>
      <c r="E1116" s="13" t="s">
        <v>808</v>
      </c>
      <c r="F1116" s="37">
        <v>44200</v>
      </c>
      <c r="G1116" s="29" t="s">
        <v>6782</v>
      </c>
      <c r="H1116" s="14">
        <v>43571</v>
      </c>
      <c r="I1116" s="4" t="s">
        <v>95</v>
      </c>
    </row>
    <row r="1117" spans="1:12" hidden="1" x14ac:dyDescent="0.25">
      <c r="A1117" s="61" t="s">
        <v>659</v>
      </c>
      <c r="B1117" s="14">
        <v>43616</v>
      </c>
      <c r="C1117" s="13">
        <v>979</v>
      </c>
      <c r="D1117" s="13" t="s">
        <v>2047</v>
      </c>
      <c r="E1117" s="13" t="s">
        <v>808</v>
      </c>
      <c r="F1117" s="37">
        <v>51000</v>
      </c>
      <c r="G1117" s="29" t="s">
        <v>318</v>
      </c>
      <c r="H1117" s="14">
        <v>43571</v>
      </c>
      <c r="I1117" s="4" t="s">
        <v>95</v>
      </c>
    </row>
    <row r="1118" spans="1:12" hidden="1" x14ac:dyDescent="0.25">
      <c r="A1118" s="61" t="s">
        <v>659</v>
      </c>
      <c r="B1118" s="14">
        <v>43616</v>
      </c>
      <c r="C1118" s="13">
        <v>979</v>
      </c>
      <c r="D1118" s="13" t="s">
        <v>2047</v>
      </c>
      <c r="E1118" s="13" t="s">
        <v>808</v>
      </c>
      <c r="F1118" s="37">
        <v>13600</v>
      </c>
      <c r="G1118" s="29" t="s">
        <v>1226</v>
      </c>
      <c r="H1118" s="14">
        <v>43571</v>
      </c>
      <c r="I1118" s="4" t="s">
        <v>95</v>
      </c>
    </row>
    <row r="1119" spans="1:12" hidden="1" x14ac:dyDescent="0.25">
      <c r="A1119" s="61" t="s">
        <v>1316</v>
      </c>
      <c r="B1119" s="14">
        <v>43616</v>
      </c>
      <c r="C1119" s="13">
        <v>979</v>
      </c>
      <c r="D1119" s="13" t="s">
        <v>2047</v>
      </c>
      <c r="E1119" s="13" t="s">
        <v>808</v>
      </c>
      <c r="F1119" s="37">
        <v>32300</v>
      </c>
      <c r="G1119" s="29" t="s">
        <v>3335</v>
      </c>
      <c r="H1119" s="14">
        <v>43584</v>
      </c>
      <c r="I1119" s="4" t="s">
        <v>95</v>
      </c>
    </row>
    <row r="1120" spans="1:12" hidden="1" x14ac:dyDescent="0.25">
      <c r="A1120" s="61" t="s">
        <v>659</v>
      </c>
      <c r="B1120" s="14">
        <v>43616</v>
      </c>
      <c r="C1120" s="13">
        <v>979</v>
      </c>
      <c r="D1120" s="13" t="s">
        <v>2047</v>
      </c>
      <c r="E1120" s="13" t="s">
        <v>808</v>
      </c>
      <c r="F1120" s="37">
        <v>51000</v>
      </c>
      <c r="G1120" s="29" t="s">
        <v>3575</v>
      </c>
      <c r="H1120" s="14">
        <v>43584</v>
      </c>
      <c r="I1120" s="4" t="s">
        <v>95</v>
      </c>
    </row>
    <row r="1121" spans="1:12" hidden="1" x14ac:dyDescent="0.25">
      <c r="A1121" s="61" t="s">
        <v>1147</v>
      </c>
      <c r="B1121" s="14">
        <v>43616</v>
      </c>
      <c r="C1121" s="13">
        <v>979</v>
      </c>
      <c r="D1121" s="13" t="s">
        <v>2047</v>
      </c>
      <c r="E1121" s="13" t="s">
        <v>808</v>
      </c>
      <c r="F1121" s="37">
        <v>18700</v>
      </c>
      <c r="G1121" s="29" t="s">
        <v>3376</v>
      </c>
      <c r="H1121" s="14">
        <v>43584</v>
      </c>
      <c r="I1121" s="4" t="s">
        <v>95</v>
      </c>
    </row>
    <row r="1122" spans="1:12" ht="27.6" hidden="1" x14ac:dyDescent="0.25">
      <c r="A1122" s="61" t="s">
        <v>6453</v>
      </c>
      <c r="B1122" s="14">
        <v>43616</v>
      </c>
      <c r="C1122" s="13">
        <v>980</v>
      </c>
      <c r="D1122" s="13" t="s">
        <v>1985</v>
      </c>
      <c r="E1122" s="13" t="s">
        <v>808</v>
      </c>
      <c r="F1122" s="4">
        <f>163400</f>
        <v>163400</v>
      </c>
      <c r="G1122" s="28" t="s">
        <v>150</v>
      </c>
      <c r="H1122" s="14">
        <v>43549</v>
      </c>
      <c r="I1122" s="4" t="s">
        <v>4317</v>
      </c>
    </row>
    <row r="1123" spans="1:12" hidden="1" x14ac:dyDescent="0.25">
      <c r="A1123" s="61" t="s">
        <v>1316</v>
      </c>
      <c r="B1123" s="14">
        <v>43616</v>
      </c>
      <c r="C1123" s="13">
        <v>980</v>
      </c>
      <c r="D1123" s="13" t="s">
        <v>1985</v>
      </c>
      <c r="E1123" s="13" t="s">
        <v>808</v>
      </c>
      <c r="F1123" s="37">
        <v>21850</v>
      </c>
      <c r="G1123" s="29" t="s">
        <v>1746</v>
      </c>
      <c r="H1123" s="14">
        <v>43554</v>
      </c>
      <c r="I1123" s="4" t="s">
        <v>122</v>
      </c>
    </row>
    <row r="1124" spans="1:12" hidden="1" x14ac:dyDescent="0.25">
      <c r="A1124" s="61" t="s">
        <v>1149</v>
      </c>
      <c r="B1124" s="14">
        <v>43616</v>
      </c>
      <c r="C1124" s="13">
        <v>980</v>
      </c>
      <c r="D1124" s="13" t="s">
        <v>1985</v>
      </c>
      <c r="E1124" s="13" t="s">
        <v>808</v>
      </c>
      <c r="F1124" s="37">
        <v>14800</v>
      </c>
      <c r="G1124" s="29" t="s">
        <v>1320</v>
      </c>
      <c r="H1124" s="14">
        <v>43553</v>
      </c>
      <c r="I1124" s="4" t="s">
        <v>122</v>
      </c>
    </row>
    <row r="1125" spans="1:12" hidden="1" x14ac:dyDescent="0.25">
      <c r="A1125" s="61" t="s">
        <v>659</v>
      </c>
      <c r="B1125" s="14">
        <v>43616</v>
      </c>
      <c r="C1125" s="13">
        <v>980</v>
      </c>
      <c r="D1125" s="13" t="s">
        <v>1985</v>
      </c>
      <c r="E1125" s="13" t="s">
        <v>808</v>
      </c>
      <c r="F1125" s="37">
        <v>13950</v>
      </c>
      <c r="G1125" s="29" t="s">
        <v>339</v>
      </c>
      <c r="H1125" s="14">
        <v>43553</v>
      </c>
      <c r="I1125" s="4" t="s">
        <v>122</v>
      </c>
    </row>
    <row r="1126" spans="1:12" hidden="1" x14ac:dyDescent="0.25">
      <c r="A1126" s="61" t="s">
        <v>1147</v>
      </c>
      <c r="B1126" s="14">
        <v>43616</v>
      </c>
      <c r="C1126" s="13">
        <v>981</v>
      </c>
      <c r="D1126" s="13" t="s">
        <v>692</v>
      </c>
      <c r="E1126" s="13" t="s">
        <v>808</v>
      </c>
      <c r="F1126" s="37">
        <v>204187.5</v>
      </c>
      <c r="G1126" s="29" t="s">
        <v>1243</v>
      </c>
      <c r="H1126" s="14">
        <v>43569</v>
      </c>
      <c r="I1126" s="4" t="s">
        <v>6785</v>
      </c>
    </row>
    <row r="1127" spans="1:12" hidden="1" x14ac:dyDescent="0.25">
      <c r="A1127" s="61" t="s">
        <v>1149</v>
      </c>
      <c r="B1127" s="14">
        <v>43616</v>
      </c>
      <c r="C1127" s="13">
        <v>981</v>
      </c>
      <c r="D1127" s="13" t="s">
        <v>692</v>
      </c>
      <c r="E1127" s="13" t="s">
        <v>808</v>
      </c>
      <c r="F1127" s="37">
        <v>56375</v>
      </c>
      <c r="G1127" s="29" t="s">
        <v>5369</v>
      </c>
      <c r="H1127" s="14">
        <v>43569</v>
      </c>
      <c r="I1127" s="4" t="s">
        <v>419</v>
      </c>
    </row>
    <row r="1128" spans="1:12" hidden="1" x14ac:dyDescent="0.25">
      <c r="A1128" s="61" t="s">
        <v>659</v>
      </c>
      <c r="B1128" s="14">
        <v>43616</v>
      </c>
      <c r="C1128" s="13">
        <v>981</v>
      </c>
      <c r="D1128" s="13" t="s">
        <v>692</v>
      </c>
      <c r="E1128" s="13" t="s">
        <v>808</v>
      </c>
      <c r="F1128" s="37">
        <v>42625</v>
      </c>
      <c r="G1128" s="29" t="s">
        <v>154</v>
      </c>
      <c r="H1128" s="14">
        <v>43583</v>
      </c>
      <c r="I1128" s="4" t="s">
        <v>419</v>
      </c>
    </row>
    <row r="1129" spans="1:12" hidden="1" x14ac:dyDescent="0.25">
      <c r="A1129" s="61" t="s">
        <v>1148</v>
      </c>
      <c r="B1129" s="14">
        <v>43616</v>
      </c>
      <c r="C1129" s="13">
        <v>982</v>
      </c>
      <c r="D1129" s="13" t="s">
        <v>6788</v>
      </c>
      <c r="E1129" s="13" t="s">
        <v>808</v>
      </c>
      <c r="F1129" s="37">
        <v>16250</v>
      </c>
      <c r="G1129" s="29" t="s">
        <v>1188</v>
      </c>
      <c r="H1129" s="14">
        <v>43558</v>
      </c>
      <c r="I1129" s="4" t="s">
        <v>354</v>
      </c>
    </row>
    <row r="1130" spans="1:12" hidden="1" x14ac:dyDescent="0.25">
      <c r="A1130" s="61" t="s">
        <v>5258</v>
      </c>
      <c r="B1130" s="14">
        <v>43616</v>
      </c>
      <c r="C1130" s="13">
        <v>983</v>
      </c>
      <c r="D1130" s="13" t="s">
        <v>149</v>
      </c>
      <c r="E1130" s="13" t="s">
        <v>808</v>
      </c>
      <c r="F1130" s="37">
        <v>14000</v>
      </c>
      <c r="G1130" s="29" t="s">
        <v>5893</v>
      </c>
      <c r="H1130" s="14">
        <v>43524</v>
      </c>
      <c r="I1130" s="4" t="s">
        <v>5891</v>
      </c>
    </row>
    <row r="1131" spans="1:12" hidden="1" x14ac:dyDescent="0.25">
      <c r="A1131" s="32" t="s">
        <v>261</v>
      </c>
      <c r="B1131" s="14">
        <v>43616</v>
      </c>
      <c r="C1131" s="13">
        <v>983</v>
      </c>
      <c r="D1131" s="13" t="s">
        <v>149</v>
      </c>
      <c r="E1131" s="13" t="s">
        <v>808</v>
      </c>
      <c r="F1131" s="4">
        <v>7000</v>
      </c>
      <c r="G1131" s="28" t="s">
        <v>6117</v>
      </c>
      <c r="H1131" s="14">
        <v>43524</v>
      </c>
      <c r="I1131" s="4" t="s">
        <v>5891</v>
      </c>
    </row>
    <row r="1132" spans="1:12" hidden="1" x14ac:dyDescent="0.25">
      <c r="A1132" s="13" t="s">
        <v>659</v>
      </c>
      <c r="B1132" s="14">
        <v>43616</v>
      </c>
      <c r="C1132" s="13">
        <v>984</v>
      </c>
      <c r="D1132" s="13" t="s">
        <v>149</v>
      </c>
      <c r="E1132" s="13" t="s">
        <v>808</v>
      </c>
      <c r="F1132" s="4">
        <v>10500</v>
      </c>
      <c r="G1132" s="28" t="s">
        <v>6116</v>
      </c>
      <c r="H1132" s="14">
        <v>43524</v>
      </c>
      <c r="I1132" s="4" t="s">
        <v>5891</v>
      </c>
    </row>
    <row r="1133" spans="1:12" s="97" customFormat="1" hidden="1" x14ac:dyDescent="0.25">
      <c r="A1133" s="61" t="s">
        <v>1350</v>
      </c>
      <c r="B1133" s="14">
        <v>43616</v>
      </c>
      <c r="C1133" s="13">
        <v>401</v>
      </c>
      <c r="D1133" s="13" t="s">
        <v>868</v>
      </c>
      <c r="E1133" s="13" t="s">
        <v>691</v>
      </c>
      <c r="F1133" s="4">
        <v>10291.799999999999</v>
      </c>
      <c r="G1133" s="29" t="s">
        <v>6856</v>
      </c>
      <c r="H1133" s="14">
        <v>43572</v>
      </c>
      <c r="I1133" s="4" t="s">
        <v>345</v>
      </c>
      <c r="J1133" s="133"/>
      <c r="K1133" s="22"/>
      <c r="L1133" s="134"/>
    </row>
    <row r="1134" spans="1:12" s="97" customFormat="1" hidden="1" x14ac:dyDescent="0.25">
      <c r="A1134" s="61" t="s">
        <v>1350</v>
      </c>
      <c r="B1134" s="14">
        <v>43616</v>
      </c>
      <c r="C1134" s="13">
        <v>402</v>
      </c>
      <c r="D1134" s="13" t="s">
        <v>280</v>
      </c>
      <c r="E1134" s="13" t="s">
        <v>691</v>
      </c>
      <c r="F1134" s="4">
        <v>65875</v>
      </c>
      <c r="G1134" s="29" t="s">
        <v>714</v>
      </c>
      <c r="H1134" s="14">
        <v>43573</v>
      </c>
      <c r="I1134" s="4" t="s">
        <v>7150</v>
      </c>
      <c r="J1134" s="133"/>
      <c r="K1134" s="22"/>
      <c r="L1134" s="134"/>
    </row>
    <row r="1135" spans="1:12" s="97" customFormat="1" hidden="1" x14ac:dyDescent="0.25">
      <c r="A1135" s="61" t="s">
        <v>637</v>
      </c>
      <c r="B1135" s="14">
        <v>43616</v>
      </c>
      <c r="C1135" s="13">
        <v>403</v>
      </c>
      <c r="D1135" s="13" t="s">
        <v>72</v>
      </c>
      <c r="E1135" s="13" t="s">
        <v>691</v>
      </c>
      <c r="F1135" s="4">
        <v>25705</v>
      </c>
      <c r="G1135" s="29" t="s">
        <v>7134</v>
      </c>
      <c r="H1135" s="14">
        <v>43572</v>
      </c>
      <c r="I1135" s="4" t="s">
        <v>1190</v>
      </c>
      <c r="J1135" s="133"/>
      <c r="K1135" s="22"/>
      <c r="L1135" s="134"/>
    </row>
    <row r="1136" spans="1:12" s="97" customFormat="1" hidden="1" x14ac:dyDescent="0.25">
      <c r="A1136" s="13" t="s">
        <v>1350</v>
      </c>
      <c r="B1136" s="14">
        <v>43616</v>
      </c>
      <c r="C1136" s="13">
        <v>403</v>
      </c>
      <c r="D1136" s="13" t="s">
        <v>72</v>
      </c>
      <c r="E1136" s="13" t="s">
        <v>691</v>
      </c>
      <c r="F1136" s="4">
        <v>34867</v>
      </c>
      <c r="G1136" s="29" t="s">
        <v>6510</v>
      </c>
      <c r="H1136" s="14">
        <v>43559</v>
      </c>
      <c r="I1136" s="4" t="s">
        <v>6511</v>
      </c>
      <c r="J1136" s="133"/>
      <c r="K1136" s="22"/>
      <c r="L1136" s="134"/>
    </row>
    <row r="1137" spans="1:19" s="97" customFormat="1" hidden="1" x14ac:dyDescent="0.25">
      <c r="A1137" s="61" t="s">
        <v>637</v>
      </c>
      <c r="B1137" s="14">
        <v>43616</v>
      </c>
      <c r="C1137" s="13">
        <v>404</v>
      </c>
      <c r="D1137" s="13" t="s">
        <v>203</v>
      </c>
      <c r="E1137" s="13" t="s">
        <v>691</v>
      </c>
      <c r="F1137" s="4">
        <v>15880</v>
      </c>
      <c r="G1137" s="29" t="s">
        <v>6826</v>
      </c>
      <c r="H1137" s="14">
        <v>43570</v>
      </c>
      <c r="I1137" s="4" t="s">
        <v>6827</v>
      </c>
      <c r="J1137" s="133"/>
      <c r="K1137" s="22"/>
      <c r="L1137" s="134"/>
    </row>
    <row r="1138" spans="1:19" hidden="1" x14ac:dyDescent="0.25">
      <c r="A1138" s="61" t="s">
        <v>1350</v>
      </c>
      <c r="B1138" s="14">
        <v>43616</v>
      </c>
      <c r="C1138" s="13">
        <v>405</v>
      </c>
      <c r="D1138" s="13" t="s">
        <v>944</v>
      </c>
      <c r="E1138" s="13" t="s">
        <v>691</v>
      </c>
      <c r="F1138" s="37">
        <v>150000</v>
      </c>
      <c r="G1138" s="29" t="s">
        <v>176</v>
      </c>
      <c r="H1138" s="14">
        <v>43555</v>
      </c>
      <c r="I1138" s="4" t="s">
        <v>402</v>
      </c>
    </row>
    <row r="1139" spans="1:19" hidden="1" x14ac:dyDescent="0.25">
      <c r="A1139" s="61" t="s">
        <v>637</v>
      </c>
      <c r="B1139" s="14">
        <v>43616</v>
      </c>
      <c r="C1139" s="13">
        <v>406</v>
      </c>
      <c r="D1139" s="13" t="s">
        <v>282</v>
      </c>
      <c r="E1139" s="13" t="s">
        <v>691</v>
      </c>
      <c r="F1139" s="37">
        <v>22880</v>
      </c>
      <c r="G1139" s="29" t="s">
        <v>7025</v>
      </c>
      <c r="H1139" s="14">
        <v>43573</v>
      </c>
      <c r="I1139" s="4" t="s">
        <v>283</v>
      </c>
    </row>
    <row r="1140" spans="1:19" hidden="1" x14ac:dyDescent="0.25">
      <c r="A1140" s="32" t="s">
        <v>1455</v>
      </c>
      <c r="B1140" s="14">
        <v>43616</v>
      </c>
      <c r="C1140" s="13">
        <v>410</v>
      </c>
      <c r="D1140" s="13" t="s">
        <v>1985</v>
      </c>
      <c r="E1140" s="13" t="s">
        <v>691</v>
      </c>
      <c r="F1140" s="4">
        <v>44400</v>
      </c>
      <c r="G1140" s="28" t="s">
        <v>1164</v>
      </c>
      <c r="H1140" s="14">
        <v>43553</v>
      </c>
      <c r="I1140" s="4" t="s">
        <v>122</v>
      </c>
    </row>
    <row r="1141" spans="1:19" hidden="1" x14ac:dyDescent="0.25">
      <c r="A1141" s="61" t="s">
        <v>637</v>
      </c>
      <c r="B1141" s="14">
        <v>43616</v>
      </c>
      <c r="C1141" s="13">
        <v>410</v>
      </c>
      <c r="D1141" s="13" t="s">
        <v>1985</v>
      </c>
      <c r="E1141" s="13" t="s">
        <v>691</v>
      </c>
      <c r="F1141" s="37">
        <v>12400</v>
      </c>
      <c r="G1141" s="29" t="s">
        <v>341</v>
      </c>
      <c r="H1141" s="14">
        <v>43553</v>
      </c>
      <c r="I1141" s="4" t="s">
        <v>122</v>
      </c>
    </row>
    <row r="1142" spans="1:19" hidden="1" x14ac:dyDescent="0.25">
      <c r="A1142" s="61" t="s">
        <v>637</v>
      </c>
      <c r="B1142" s="14">
        <v>43616</v>
      </c>
      <c r="C1142" s="13">
        <v>407</v>
      </c>
      <c r="D1142" s="13" t="s">
        <v>6788</v>
      </c>
      <c r="E1142" s="13" t="s">
        <v>691</v>
      </c>
      <c r="F1142" s="37">
        <v>9000</v>
      </c>
      <c r="G1142" s="29" t="s">
        <v>4700</v>
      </c>
      <c r="H1142" s="14">
        <v>43585</v>
      </c>
      <c r="I1142" s="4" t="s">
        <v>354</v>
      </c>
    </row>
    <row r="1143" spans="1:19" hidden="1" x14ac:dyDescent="0.25">
      <c r="A1143" s="61" t="s">
        <v>1350</v>
      </c>
      <c r="B1143" s="14">
        <v>43616</v>
      </c>
      <c r="C1143" s="13">
        <v>408</v>
      </c>
      <c r="D1143" s="13" t="s">
        <v>4870</v>
      </c>
      <c r="E1143" s="13" t="s">
        <v>691</v>
      </c>
      <c r="F1143" s="37">
        <v>70000</v>
      </c>
      <c r="G1143" s="29" t="s">
        <v>7432</v>
      </c>
      <c r="H1143" s="14">
        <v>43561</v>
      </c>
      <c r="I1143" s="4" t="s">
        <v>6781</v>
      </c>
    </row>
    <row r="1144" spans="1:19" hidden="1" x14ac:dyDescent="0.25">
      <c r="A1144" s="61" t="s">
        <v>1455</v>
      </c>
      <c r="B1144" s="14">
        <v>43616</v>
      </c>
      <c r="C1144" s="13">
        <v>409</v>
      </c>
      <c r="D1144" s="13" t="s">
        <v>149</v>
      </c>
      <c r="E1144" s="13" t="s">
        <v>691</v>
      </c>
      <c r="F1144" s="37">
        <v>28000</v>
      </c>
      <c r="G1144" s="29" t="s">
        <v>5897</v>
      </c>
      <c r="H1144" s="14">
        <v>43524</v>
      </c>
      <c r="I1144" s="4" t="s">
        <v>5891</v>
      </c>
    </row>
    <row r="1145" spans="1:19" hidden="1" x14ac:dyDescent="0.25">
      <c r="A1145" s="32" t="s">
        <v>151</v>
      </c>
      <c r="B1145" s="14">
        <v>43616</v>
      </c>
      <c r="C1145" s="13"/>
      <c r="D1145" s="32" t="s">
        <v>5627</v>
      </c>
      <c r="E1145" s="32" t="s">
        <v>958</v>
      </c>
      <c r="F1145" s="4">
        <v>160000</v>
      </c>
      <c r="G1145" s="29"/>
      <c r="H1145" s="14"/>
      <c r="I1145" s="4" t="s">
        <v>5628</v>
      </c>
      <c r="J1145" s="21"/>
      <c r="K1145" s="228"/>
    </row>
    <row r="1146" spans="1:19" s="22" customFormat="1" ht="13.8" hidden="1" customHeight="1" x14ac:dyDescent="0.25">
      <c r="A1146" s="160"/>
      <c r="B1146" s="39"/>
      <c r="C1146" s="13"/>
      <c r="D1146" s="161"/>
      <c r="E1146" s="161"/>
      <c r="F1146" s="4"/>
      <c r="G1146" s="119"/>
      <c r="H1146" s="161"/>
      <c r="I1146" s="161"/>
      <c r="K1146" s="21"/>
      <c r="L1146" s="228"/>
      <c r="M1146" s="228"/>
      <c r="N1146" s="228"/>
      <c r="O1146" s="228"/>
      <c r="P1146" s="228"/>
      <c r="Q1146" s="228"/>
      <c r="R1146" s="228"/>
      <c r="S1146" s="228"/>
    </row>
    <row r="1147" spans="1:19" hidden="1" x14ac:dyDescent="0.25">
      <c r="C1147" s="273"/>
    </row>
    <row r="1152" spans="1:19" s="22" customFormat="1" x14ac:dyDescent="0.25">
      <c r="A1152" s="228" t="s">
        <v>46</v>
      </c>
      <c r="B1152" s="57"/>
      <c r="C1152" s="124"/>
      <c r="D1152" s="228"/>
      <c r="E1152" s="228"/>
      <c r="F1152" s="62"/>
      <c r="G1152" s="50"/>
      <c r="H1152" s="228"/>
      <c r="I1152" s="228"/>
      <c r="K1152" s="21"/>
      <c r="L1152" s="228"/>
      <c r="M1152" s="228"/>
      <c r="N1152" s="228"/>
      <c r="O1152" s="228"/>
      <c r="P1152" s="228"/>
      <c r="Q1152" s="228"/>
      <c r="R1152" s="228"/>
      <c r="S1152" s="228"/>
    </row>
  </sheetData>
  <autoFilter ref="A2:J1147">
    <filterColumn colId="3">
      <filters>
        <filter val="комус"/>
        <filter val="комус-петербург"/>
      </filters>
    </filterColumn>
  </autoFilter>
  <pageMargins left="0.59055118110236227" right="0.39370078740157483" top="0.78740157480314965" bottom="0.19685039370078741" header="0.51181102362204722" footer="0.51181102362204722"/>
  <pageSetup paperSize="9" scale="71" fitToHeight="0" orientation="landscape" r:id="rId1"/>
  <headerFooter alignWithMargins="0"/>
  <colBreaks count="2" manualBreakCount="2">
    <brk id="10" max="1048575" man="1"/>
    <brk id="102" max="28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1FFFF"/>
    <pageSetUpPr fitToPage="1"/>
  </sheetPr>
  <dimension ref="A1:M58"/>
  <sheetViews>
    <sheetView zoomScale="94" zoomScaleNormal="94" workbookViewId="0">
      <pane ySplit="2" topLeftCell="A12" activePane="bottomLeft" state="frozen"/>
      <selection pane="bottomLeft" activeCell="J23" sqref="J23"/>
    </sheetView>
  </sheetViews>
  <sheetFormatPr defaultColWidth="9.44140625" defaultRowHeight="13.8" x14ac:dyDescent="0.25"/>
  <cols>
    <col min="1" max="1" width="18.109375" style="2" customWidth="1"/>
    <col min="2" max="2" width="11.109375" style="279" customWidth="1"/>
    <col min="3" max="3" width="16.88671875" style="2" customWidth="1"/>
    <col min="4" max="4" width="6.109375" style="88" customWidth="1"/>
    <col min="5" max="5" width="9.44140625" style="88" customWidth="1"/>
    <col min="6" max="6" width="17.33203125" style="2" customWidth="1"/>
    <col min="7" max="7" width="18.109375" style="2" customWidth="1"/>
    <col min="8" max="8" width="11.109375" style="279" customWidth="1"/>
    <col min="9" max="9" width="16.88671875" style="2" customWidth="1"/>
    <col min="10" max="10" width="6.109375" style="88" customWidth="1"/>
    <col min="11" max="11" width="8.6640625" style="88" customWidth="1"/>
    <col min="12" max="12" width="12.33203125" style="2" customWidth="1"/>
    <col min="13" max="13" width="16.77734375" style="31" customWidth="1"/>
    <col min="14" max="16384" width="9.44140625" style="2"/>
  </cols>
  <sheetData>
    <row r="1" spans="1:13" s="1" customFormat="1" ht="22.2" customHeight="1" thickBot="1" x14ac:dyDescent="0.4">
      <c r="A1" s="439" t="s">
        <v>9006</v>
      </c>
      <c r="B1" s="353"/>
      <c r="C1" s="426"/>
      <c r="D1" s="88"/>
      <c r="E1" s="88"/>
      <c r="G1" s="439" t="s">
        <v>9304</v>
      </c>
      <c r="H1" s="277"/>
      <c r="I1" s="346"/>
      <c r="J1" s="88"/>
      <c r="K1" s="88"/>
      <c r="M1" s="31"/>
    </row>
    <row r="2" spans="1:13" s="8" customFormat="1" ht="36" customHeight="1" thickTop="1" thickBot="1" x14ac:dyDescent="0.3">
      <c r="A2" s="438" t="s">
        <v>3527</v>
      </c>
      <c r="B2" s="47">
        <f>SUM(B3:B63)</f>
        <v>130.10000000000002</v>
      </c>
      <c r="C2" s="457"/>
      <c r="D2" s="280"/>
      <c r="E2" s="280"/>
      <c r="G2" s="463" t="s">
        <v>3527</v>
      </c>
      <c r="H2" s="278">
        <f>SUM(H3:H42)</f>
        <v>144.45000000000002</v>
      </c>
      <c r="I2" s="344"/>
      <c r="J2" s="280"/>
      <c r="K2" s="280"/>
      <c r="M2" s="47">
        <f>SUM(M3:M42)</f>
        <v>0</v>
      </c>
    </row>
    <row r="3" spans="1:13" ht="16.2" thickTop="1" x14ac:dyDescent="0.25">
      <c r="A3" s="291" t="s">
        <v>1280</v>
      </c>
      <c r="B3" s="292">
        <v>5</v>
      </c>
      <c r="C3" s="478"/>
      <c r="D3" s="479"/>
      <c r="E3" s="479"/>
      <c r="F3" s="93"/>
      <c r="G3" s="291" t="s">
        <v>1280</v>
      </c>
      <c r="H3" s="292">
        <v>5</v>
      </c>
      <c r="I3" s="478"/>
      <c r="J3" s="479"/>
      <c r="K3" s="479"/>
      <c r="L3" s="93"/>
    </row>
    <row r="4" spans="1:13" ht="18" customHeight="1" x14ac:dyDescent="0.25">
      <c r="A4" s="281" t="s">
        <v>1281</v>
      </c>
      <c r="B4" s="292">
        <v>5</v>
      </c>
      <c r="C4" s="478"/>
      <c r="D4" s="479"/>
      <c r="E4" s="479"/>
      <c r="F4" s="93"/>
      <c r="G4" s="281" t="s">
        <v>1281</v>
      </c>
      <c r="H4" s="282">
        <v>5</v>
      </c>
      <c r="I4" s="478"/>
      <c r="J4" s="479"/>
      <c r="K4" s="479"/>
      <c r="L4" s="93"/>
    </row>
    <row r="5" spans="1:13" ht="18" customHeight="1" x14ac:dyDescent="0.25">
      <c r="A5" s="295" t="s">
        <v>1170</v>
      </c>
      <c r="B5" s="292">
        <v>3.1</v>
      </c>
      <c r="C5" s="478"/>
      <c r="D5" s="479"/>
      <c r="E5" s="479"/>
      <c r="F5" s="93"/>
      <c r="G5" s="295" t="s">
        <v>1170</v>
      </c>
      <c r="H5" s="296">
        <v>3</v>
      </c>
      <c r="I5" s="478"/>
      <c r="J5" s="479"/>
      <c r="K5" s="479"/>
      <c r="L5" s="93"/>
    </row>
    <row r="6" spans="1:13" ht="18" customHeight="1" x14ac:dyDescent="0.25">
      <c r="A6" s="295" t="s">
        <v>1183</v>
      </c>
      <c r="B6" s="492">
        <v>3</v>
      </c>
      <c r="C6" s="478"/>
      <c r="D6" s="479"/>
      <c r="E6" s="479"/>
      <c r="F6" s="93"/>
      <c r="G6" s="295" t="s">
        <v>1183</v>
      </c>
      <c r="H6" s="296">
        <v>1.2</v>
      </c>
      <c r="I6" s="478"/>
      <c r="J6" s="479"/>
      <c r="K6" s="479"/>
      <c r="L6" s="93"/>
    </row>
    <row r="7" spans="1:13" ht="10.199999999999999" customHeight="1" x14ac:dyDescent="0.25">
      <c r="A7" s="281"/>
      <c r="B7" s="282"/>
      <c r="C7" s="478"/>
      <c r="D7" s="479"/>
      <c r="E7" s="479"/>
      <c r="F7" s="93"/>
      <c r="G7" s="281"/>
      <c r="H7" s="282"/>
      <c r="I7" s="478"/>
      <c r="J7" s="479"/>
      <c r="K7" s="479"/>
      <c r="L7" s="93"/>
    </row>
    <row r="8" spans="1:13" ht="18" customHeight="1" x14ac:dyDescent="0.25">
      <c r="A8" s="281" t="s">
        <v>1171</v>
      </c>
      <c r="B8" s="292">
        <v>3</v>
      </c>
      <c r="C8" s="478"/>
      <c r="D8" s="479"/>
      <c r="E8" s="479"/>
      <c r="F8" s="93"/>
      <c r="G8" s="281" t="s">
        <v>1171</v>
      </c>
      <c r="H8" s="282"/>
      <c r="I8" s="478"/>
      <c r="J8" s="479"/>
      <c r="K8" s="479"/>
      <c r="L8" s="93"/>
    </row>
    <row r="9" spans="1:13" ht="18" customHeight="1" x14ac:dyDescent="0.25">
      <c r="A9" s="281" t="s">
        <v>4005</v>
      </c>
      <c r="B9" s="292"/>
      <c r="C9" s="478"/>
      <c r="D9" s="479"/>
      <c r="E9" s="479"/>
      <c r="F9" s="93"/>
      <c r="G9" s="281" t="s">
        <v>4005</v>
      </c>
      <c r="H9" s="282">
        <v>2</v>
      </c>
      <c r="I9" s="478"/>
      <c r="J9" s="479"/>
      <c r="K9" s="479"/>
      <c r="L9" s="93"/>
    </row>
    <row r="10" spans="1:13" ht="18" customHeight="1" x14ac:dyDescent="0.25">
      <c r="A10" s="281" t="s">
        <v>1172</v>
      </c>
      <c r="B10" s="292">
        <v>2.1</v>
      </c>
      <c r="C10" s="478"/>
      <c r="D10" s="479"/>
      <c r="E10" s="479"/>
      <c r="F10" s="93"/>
      <c r="G10" s="281" t="s">
        <v>1172</v>
      </c>
      <c r="H10" s="282">
        <v>0.8</v>
      </c>
      <c r="I10" s="478"/>
      <c r="J10" s="479"/>
      <c r="K10" s="479"/>
      <c r="L10" s="93"/>
    </row>
    <row r="11" spans="1:13" ht="10.199999999999999" customHeight="1" x14ac:dyDescent="0.25">
      <c r="A11" s="281"/>
      <c r="B11" s="282"/>
      <c r="C11" s="478"/>
      <c r="D11" s="479"/>
      <c r="E11" s="479"/>
      <c r="F11" s="93"/>
      <c r="G11" s="281"/>
      <c r="H11" s="282"/>
      <c r="I11" s="478"/>
      <c r="J11" s="479"/>
      <c r="K11" s="479"/>
      <c r="L11" s="93"/>
    </row>
    <row r="12" spans="1:13" ht="15.6" x14ac:dyDescent="0.25">
      <c r="A12" s="281" t="s">
        <v>1173</v>
      </c>
      <c r="B12" s="282">
        <v>0.6</v>
      </c>
      <c r="C12" s="478"/>
      <c r="D12" s="479"/>
      <c r="E12" s="479"/>
      <c r="F12" s="93"/>
      <c r="G12" s="281" t="s">
        <v>1173</v>
      </c>
      <c r="H12" s="282">
        <v>3.8</v>
      </c>
      <c r="I12" s="478"/>
      <c r="J12" s="479"/>
      <c r="K12" s="479"/>
      <c r="L12" s="93"/>
    </row>
    <row r="13" spans="1:13" ht="18" customHeight="1" x14ac:dyDescent="0.25">
      <c r="A13" s="281" t="s">
        <v>1174</v>
      </c>
      <c r="B13" s="347">
        <v>1.7</v>
      </c>
      <c r="C13" s="478"/>
      <c r="D13" s="479"/>
      <c r="E13" s="479"/>
      <c r="F13" s="93"/>
      <c r="G13" s="281" t="s">
        <v>1174</v>
      </c>
      <c r="H13" s="347">
        <v>4.9000000000000004</v>
      </c>
      <c r="I13" s="478"/>
      <c r="J13" s="479"/>
      <c r="K13" s="479"/>
      <c r="L13" s="93"/>
    </row>
    <row r="14" spans="1:13" ht="18" customHeight="1" x14ac:dyDescent="0.25">
      <c r="A14" s="281" t="s">
        <v>1175</v>
      </c>
      <c r="B14" s="282">
        <v>1.5</v>
      </c>
      <c r="C14" s="478"/>
      <c r="D14" s="479"/>
      <c r="E14" s="479"/>
      <c r="F14" s="93"/>
      <c r="G14" s="281" t="s">
        <v>1175</v>
      </c>
      <c r="H14" s="282">
        <v>6</v>
      </c>
      <c r="I14" s="478"/>
      <c r="J14" s="479"/>
      <c r="K14" s="479"/>
      <c r="L14" s="93"/>
    </row>
    <row r="15" spans="1:13" ht="22.8" customHeight="1" x14ac:dyDescent="0.25">
      <c r="A15" s="281" t="s">
        <v>1176</v>
      </c>
      <c r="B15" s="282">
        <v>1</v>
      </c>
      <c r="C15" s="478"/>
      <c r="D15" s="479"/>
      <c r="E15" s="479"/>
      <c r="F15" s="93"/>
      <c r="G15" s="281" t="s">
        <v>1176</v>
      </c>
      <c r="H15" s="282">
        <v>0.4</v>
      </c>
      <c r="I15" s="478"/>
      <c r="J15" s="479"/>
      <c r="K15" s="479"/>
      <c r="L15" s="93"/>
    </row>
    <row r="16" spans="1:13" s="228" customFormat="1" ht="18" customHeight="1" x14ac:dyDescent="0.25">
      <c r="A16" s="285" t="s">
        <v>1177</v>
      </c>
      <c r="B16" s="286">
        <v>2.2999999999999998</v>
      </c>
      <c r="C16" s="480"/>
      <c r="D16" s="481"/>
      <c r="E16" s="481"/>
      <c r="F16" s="97"/>
      <c r="G16" s="285" t="s">
        <v>1177</v>
      </c>
      <c r="H16" s="286">
        <v>3.8</v>
      </c>
      <c r="I16" s="480"/>
      <c r="J16" s="481"/>
      <c r="K16" s="481"/>
      <c r="L16" s="97"/>
      <c r="M16" s="62"/>
    </row>
    <row r="17" spans="1:12" ht="18" customHeight="1" x14ac:dyDescent="0.25">
      <c r="A17" s="281" t="s">
        <v>702</v>
      </c>
      <c r="B17" s="347">
        <v>0.4</v>
      </c>
      <c r="C17" s="478"/>
      <c r="D17" s="479"/>
      <c r="E17" s="479"/>
      <c r="F17" s="93"/>
      <c r="G17" s="281" t="s">
        <v>702</v>
      </c>
      <c r="H17" s="347">
        <v>0.4</v>
      </c>
      <c r="I17" s="478"/>
      <c r="J17" s="479"/>
      <c r="K17" s="479"/>
      <c r="L17" s="93"/>
    </row>
    <row r="18" spans="1:12" ht="10.199999999999999" customHeight="1" x14ac:dyDescent="0.25">
      <c r="A18" s="291"/>
      <c r="B18" s="292"/>
      <c r="C18" s="482"/>
      <c r="D18" s="483"/>
      <c r="E18" s="483"/>
      <c r="F18" s="93"/>
      <c r="G18" s="291"/>
      <c r="H18" s="292"/>
      <c r="I18" s="293"/>
      <c r="J18" s="294"/>
      <c r="K18" s="294"/>
    </row>
    <row r="19" spans="1:12" ht="18" customHeight="1" x14ac:dyDescent="0.25">
      <c r="A19" s="295" t="s">
        <v>829</v>
      </c>
      <c r="B19" s="296">
        <f>SUM(D19:D24)</f>
        <v>28.200000000000003</v>
      </c>
      <c r="C19" s="297" t="s">
        <v>6381</v>
      </c>
      <c r="D19" s="298">
        <v>3.5</v>
      </c>
      <c r="E19" s="335"/>
      <c r="G19" s="295" t="s">
        <v>829</v>
      </c>
      <c r="H19" s="296">
        <f>SUM(J19:J24)</f>
        <v>33.35</v>
      </c>
      <c r="I19" s="297" t="s">
        <v>6381</v>
      </c>
      <c r="J19" s="298">
        <v>2</v>
      </c>
      <c r="K19" s="336"/>
    </row>
    <row r="20" spans="1:12" ht="18" customHeight="1" x14ac:dyDescent="0.25">
      <c r="A20" s="281"/>
      <c r="B20" s="282"/>
      <c r="C20" s="283" t="s">
        <v>6020</v>
      </c>
      <c r="D20" s="298">
        <v>13</v>
      </c>
      <c r="E20" s="335"/>
      <c r="G20" s="281"/>
      <c r="H20" s="282"/>
      <c r="I20" s="283" t="s">
        <v>6020</v>
      </c>
      <c r="J20" s="284">
        <v>22</v>
      </c>
      <c r="K20" s="336"/>
    </row>
    <row r="21" spans="1:12" ht="15.6" x14ac:dyDescent="0.25">
      <c r="A21" s="281"/>
      <c r="B21" s="282"/>
      <c r="C21" s="283" t="s">
        <v>824</v>
      </c>
      <c r="D21" s="298">
        <v>4.5999999999999996</v>
      </c>
      <c r="E21" s="335"/>
      <c r="G21" s="281"/>
      <c r="H21" s="282"/>
      <c r="I21" s="283" t="s">
        <v>824</v>
      </c>
      <c r="J21" s="284">
        <v>3.5</v>
      </c>
      <c r="K21" s="335"/>
    </row>
    <row r="22" spans="1:12" ht="13.8" customHeight="1" x14ac:dyDescent="0.25">
      <c r="A22" s="281"/>
      <c r="B22" s="282"/>
      <c r="C22" s="283" t="s">
        <v>1968</v>
      </c>
      <c r="D22" s="298">
        <v>5.6</v>
      </c>
      <c r="E22" s="335"/>
      <c r="G22" s="281"/>
      <c r="H22" s="282"/>
      <c r="I22" s="283" t="s">
        <v>1968</v>
      </c>
      <c r="J22" s="284">
        <v>4.75</v>
      </c>
      <c r="K22" s="335"/>
    </row>
    <row r="23" spans="1:12" ht="13.8" customHeight="1" x14ac:dyDescent="0.25">
      <c r="A23" s="281"/>
      <c r="B23" s="282"/>
      <c r="C23" s="283" t="s">
        <v>1182</v>
      </c>
      <c r="D23" s="298">
        <v>1.4</v>
      </c>
      <c r="E23" s="335"/>
      <c r="G23" s="281"/>
      <c r="H23" s="282"/>
      <c r="I23" s="283" t="s">
        <v>1182</v>
      </c>
      <c r="J23" s="284"/>
      <c r="K23" s="335"/>
    </row>
    <row r="24" spans="1:12" ht="18" customHeight="1" x14ac:dyDescent="0.25">
      <c r="A24" s="291"/>
      <c r="B24" s="292"/>
      <c r="C24" s="293" t="s">
        <v>2609</v>
      </c>
      <c r="D24" s="298">
        <v>0.1</v>
      </c>
      <c r="E24" s="334"/>
      <c r="G24" s="291"/>
      <c r="H24" s="292"/>
      <c r="I24" s="293" t="s">
        <v>2609</v>
      </c>
      <c r="J24" s="294">
        <v>1.1000000000000001</v>
      </c>
      <c r="K24" s="334"/>
    </row>
    <row r="25" spans="1:12" ht="15.6" x14ac:dyDescent="0.25">
      <c r="A25" s="295" t="s">
        <v>1178</v>
      </c>
      <c r="B25" s="296">
        <f>SUM(D25:D117)</f>
        <v>73.2</v>
      </c>
      <c r="C25" s="287" t="s">
        <v>1552</v>
      </c>
      <c r="D25" s="288">
        <v>3.4</v>
      </c>
      <c r="E25" s="336" t="s">
        <v>4630</v>
      </c>
      <c r="F25" s="228" t="s">
        <v>1244</v>
      </c>
      <c r="G25" s="295" t="s">
        <v>1178</v>
      </c>
      <c r="H25" s="296">
        <f>SUM(J25:J59)</f>
        <v>74.800000000000011</v>
      </c>
      <c r="I25" s="287" t="s">
        <v>9305</v>
      </c>
      <c r="J25" s="288">
        <v>3</v>
      </c>
      <c r="K25" s="336" t="s">
        <v>3263</v>
      </c>
      <c r="L25" s="228" t="s">
        <v>449</v>
      </c>
    </row>
    <row r="26" spans="1:12" x14ac:dyDescent="0.25">
      <c r="A26" s="281"/>
      <c r="B26" s="289"/>
      <c r="C26" s="287" t="s">
        <v>418</v>
      </c>
      <c r="D26" s="288">
        <v>1.1000000000000001</v>
      </c>
      <c r="E26" s="336" t="s">
        <v>3263</v>
      </c>
      <c r="F26" s="228" t="s">
        <v>8135</v>
      </c>
      <c r="G26" s="281"/>
      <c r="H26" s="289"/>
      <c r="I26" s="287" t="s">
        <v>285</v>
      </c>
      <c r="J26" s="288">
        <v>10</v>
      </c>
      <c r="K26" s="336" t="s">
        <v>6018</v>
      </c>
      <c r="L26" s="92" t="s">
        <v>7233</v>
      </c>
    </row>
    <row r="27" spans="1:12" x14ac:dyDescent="0.25">
      <c r="A27" s="281"/>
      <c r="B27" s="289"/>
      <c r="C27" s="2" t="s">
        <v>219</v>
      </c>
      <c r="D27" s="325">
        <v>0.5</v>
      </c>
      <c r="E27" s="88" t="s">
        <v>4630</v>
      </c>
      <c r="F27" s="2" t="s">
        <v>3267</v>
      </c>
      <c r="G27" s="281"/>
      <c r="H27" s="289"/>
      <c r="I27" s="2" t="s">
        <v>470</v>
      </c>
      <c r="J27" s="88">
        <v>2</v>
      </c>
      <c r="K27" s="336" t="s">
        <v>6018</v>
      </c>
      <c r="L27" s="2" t="s">
        <v>9319</v>
      </c>
    </row>
    <row r="28" spans="1:12" x14ac:dyDescent="0.25">
      <c r="A28" s="281"/>
      <c r="B28" s="289"/>
      <c r="C28" s="287" t="s">
        <v>562</v>
      </c>
      <c r="D28" s="288">
        <v>3</v>
      </c>
      <c r="E28" s="336" t="s">
        <v>3263</v>
      </c>
      <c r="F28" s="228" t="s">
        <v>449</v>
      </c>
      <c r="G28" s="281"/>
      <c r="H28" s="289"/>
      <c r="I28" s="287" t="s">
        <v>8653</v>
      </c>
      <c r="J28" s="288">
        <f>5+5</f>
        <v>10</v>
      </c>
      <c r="K28" s="336"/>
      <c r="L28" s="228" t="s">
        <v>8654</v>
      </c>
    </row>
    <row r="29" spans="1:12" x14ac:dyDescent="0.25">
      <c r="A29" s="281"/>
      <c r="B29" s="289"/>
      <c r="C29" s="283" t="s">
        <v>1947</v>
      </c>
      <c r="D29" s="288">
        <v>5</v>
      </c>
      <c r="E29" s="336" t="s">
        <v>3263</v>
      </c>
      <c r="F29" s="92" t="s">
        <v>449</v>
      </c>
      <c r="G29" s="281"/>
      <c r="H29" s="289"/>
      <c r="I29" s="287" t="s">
        <v>4438</v>
      </c>
      <c r="J29" s="288">
        <v>2.5</v>
      </c>
      <c r="K29" s="336" t="s">
        <v>4630</v>
      </c>
      <c r="L29" s="92" t="s">
        <v>449</v>
      </c>
    </row>
    <row r="30" spans="1:12" ht="13.8" customHeight="1" x14ac:dyDescent="0.25">
      <c r="A30" s="281"/>
      <c r="B30" s="289"/>
      <c r="C30" s="2" t="s">
        <v>1179</v>
      </c>
      <c r="D30" s="481">
        <v>3</v>
      </c>
      <c r="E30" s="336" t="s">
        <v>3263</v>
      </c>
      <c r="F30" s="92" t="s">
        <v>449</v>
      </c>
      <c r="G30" s="281"/>
      <c r="H30" s="289"/>
      <c r="I30" s="287" t="s">
        <v>8158</v>
      </c>
      <c r="J30" s="288">
        <v>3</v>
      </c>
      <c r="K30" s="336" t="s">
        <v>3963</v>
      </c>
      <c r="L30" s="228" t="s">
        <v>2319</v>
      </c>
    </row>
    <row r="31" spans="1:12" ht="16.2" customHeight="1" x14ac:dyDescent="0.25">
      <c r="A31" s="281"/>
      <c r="B31" s="289"/>
      <c r="C31" s="287" t="s">
        <v>1539</v>
      </c>
      <c r="D31" s="288">
        <v>3</v>
      </c>
      <c r="E31" s="336" t="s">
        <v>3263</v>
      </c>
      <c r="F31" s="92" t="s">
        <v>449</v>
      </c>
      <c r="G31" s="281"/>
      <c r="H31" s="289"/>
      <c r="I31" s="287" t="s">
        <v>7979</v>
      </c>
      <c r="J31" s="88">
        <v>3</v>
      </c>
      <c r="L31" s="2" t="s">
        <v>7980</v>
      </c>
    </row>
    <row r="32" spans="1:12" ht="14.4" customHeight="1" x14ac:dyDescent="0.25">
      <c r="A32" s="281"/>
      <c r="B32" s="289"/>
      <c r="C32" s="287" t="s">
        <v>2592</v>
      </c>
      <c r="D32" s="288">
        <v>2</v>
      </c>
      <c r="E32" s="336" t="s">
        <v>3263</v>
      </c>
      <c r="F32" s="92" t="s">
        <v>7980</v>
      </c>
      <c r="G32" s="281"/>
      <c r="H32" s="289"/>
      <c r="I32" s="287" t="s">
        <v>432</v>
      </c>
      <c r="J32" s="288">
        <v>2</v>
      </c>
      <c r="K32" s="336" t="s">
        <v>62</v>
      </c>
      <c r="L32" s="228" t="s">
        <v>449</v>
      </c>
    </row>
    <row r="33" spans="1:12" ht="15.6" customHeight="1" x14ac:dyDescent="0.25">
      <c r="A33" s="281"/>
      <c r="B33" s="289"/>
      <c r="C33" s="2" t="s">
        <v>9018</v>
      </c>
      <c r="D33" s="481">
        <v>2</v>
      </c>
      <c r="E33" s="336" t="s">
        <v>3263</v>
      </c>
      <c r="F33" s="2" t="s">
        <v>7980</v>
      </c>
      <c r="G33" s="281"/>
      <c r="H33" s="289"/>
      <c r="I33" s="287" t="s">
        <v>8656</v>
      </c>
      <c r="J33" s="288">
        <v>0.5</v>
      </c>
      <c r="K33" s="336" t="s">
        <v>3963</v>
      </c>
      <c r="L33" s="228" t="s">
        <v>8657</v>
      </c>
    </row>
    <row r="34" spans="1:12" x14ac:dyDescent="0.25">
      <c r="A34" s="281"/>
      <c r="B34" s="289"/>
      <c r="C34" s="287" t="s">
        <v>1935</v>
      </c>
      <c r="D34" s="288">
        <v>2</v>
      </c>
      <c r="E34" s="336" t="s">
        <v>3263</v>
      </c>
      <c r="F34" s="228" t="s">
        <v>2318</v>
      </c>
      <c r="G34" s="290"/>
      <c r="H34" s="289"/>
      <c r="I34" s="2" t="s">
        <v>292</v>
      </c>
      <c r="J34" s="288">
        <v>1.1000000000000001</v>
      </c>
      <c r="K34" s="336" t="s">
        <v>4630</v>
      </c>
      <c r="L34" s="228" t="s">
        <v>9324</v>
      </c>
    </row>
    <row r="35" spans="1:12" x14ac:dyDescent="0.25">
      <c r="A35" s="281"/>
      <c r="B35" s="289"/>
      <c r="C35" s="283" t="s">
        <v>438</v>
      </c>
      <c r="D35" s="288">
        <v>1.5</v>
      </c>
      <c r="E35" s="336" t="s">
        <v>3263</v>
      </c>
      <c r="F35" s="228" t="s">
        <v>1244</v>
      </c>
      <c r="G35" s="290"/>
      <c r="H35" s="289"/>
      <c r="I35" s="287" t="s">
        <v>9347</v>
      </c>
      <c r="J35" s="288">
        <v>1</v>
      </c>
      <c r="K35" s="336"/>
      <c r="L35" s="228" t="s">
        <v>315</v>
      </c>
    </row>
    <row r="36" spans="1:12" x14ac:dyDescent="0.25">
      <c r="A36" s="281"/>
      <c r="B36" s="289"/>
      <c r="C36" s="287" t="s">
        <v>1143</v>
      </c>
      <c r="D36" s="288">
        <v>4</v>
      </c>
      <c r="E36" s="336" t="s">
        <v>6018</v>
      </c>
      <c r="F36" s="281" t="s">
        <v>6019</v>
      </c>
      <c r="G36" s="290"/>
      <c r="H36" s="289"/>
      <c r="I36" s="287" t="s">
        <v>438</v>
      </c>
      <c r="J36" s="288">
        <v>0.7</v>
      </c>
      <c r="K36" s="336" t="s">
        <v>60</v>
      </c>
      <c r="L36" s="228" t="s">
        <v>315</v>
      </c>
    </row>
    <row r="37" spans="1:12" x14ac:dyDescent="0.25">
      <c r="A37" s="281"/>
      <c r="B37" s="289"/>
      <c r="C37" s="2" t="s">
        <v>8984</v>
      </c>
      <c r="D37" s="325">
        <v>5</v>
      </c>
      <c r="E37" s="88" t="s">
        <v>4630</v>
      </c>
      <c r="F37" s="2" t="s">
        <v>9205</v>
      </c>
      <c r="G37" s="290"/>
      <c r="H37" s="289"/>
      <c r="I37" s="287" t="s">
        <v>9320</v>
      </c>
      <c r="J37" s="288">
        <v>0.2</v>
      </c>
      <c r="K37" s="336" t="s">
        <v>3263</v>
      </c>
      <c r="L37" s="228" t="s">
        <v>9321</v>
      </c>
    </row>
    <row r="38" spans="1:12" x14ac:dyDescent="0.25">
      <c r="A38" s="281"/>
      <c r="B38" s="289"/>
      <c r="C38" s="2" t="s">
        <v>8159</v>
      </c>
      <c r="D38" s="288">
        <v>3</v>
      </c>
      <c r="E38" s="336" t="s">
        <v>62</v>
      </c>
      <c r="F38" s="2" t="s">
        <v>3267</v>
      </c>
      <c r="G38" s="290"/>
      <c r="H38" s="289"/>
      <c r="I38" s="287" t="s">
        <v>9323</v>
      </c>
      <c r="J38" s="288">
        <v>1</v>
      </c>
      <c r="K38" s="336" t="s">
        <v>6018</v>
      </c>
      <c r="L38" s="228" t="s">
        <v>6019</v>
      </c>
    </row>
    <row r="39" spans="1:12" ht="13.8" customHeight="1" x14ac:dyDescent="0.25">
      <c r="A39" s="290"/>
      <c r="B39" s="289"/>
      <c r="C39" s="287" t="s">
        <v>8655</v>
      </c>
      <c r="D39" s="288">
        <f>5+16.4</f>
        <v>21.4</v>
      </c>
      <c r="E39" s="336" t="s">
        <v>4630</v>
      </c>
      <c r="F39" s="228" t="s">
        <v>3262</v>
      </c>
      <c r="G39" s="290"/>
      <c r="H39" s="289"/>
      <c r="I39" s="2" t="s">
        <v>8970</v>
      </c>
      <c r="J39" s="88">
        <v>2</v>
      </c>
      <c r="K39" s="88" t="s">
        <v>62</v>
      </c>
      <c r="L39" s="2" t="s">
        <v>8971</v>
      </c>
    </row>
    <row r="40" spans="1:12" x14ac:dyDescent="0.25">
      <c r="A40" s="281"/>
      <c r="B40" s="289"/>
      <c r="C40" s="287" t="s">
        <v>541</v>
      </c>
      <c r="D40" s="288">
        <v>1</v>
      </c>
      <c r="E40" s="336" t="s">
        <v>9206</v>
      </c>
      <c r="F40" s="92" t="s">
        <v>9207</v>
      </c>
      <c r="G40" s="290"/>
      <c r="H40" s="289"/>
      <c r="I40" s="2" t="s">
        <v>9346</v>
      </c>
      <c r="J40" s="88">
        <v>2.6</v>
      </c>
      <c r="L40" s="2" t="s">
        <v>8135</v>
      </c>
    </row>
    <row r="41" spans="1:12" x14ac:dyDescent="0.25">
      <c r="C41" s="287" t="s">
        <v>8687</v>
      </c>
      <c r="D41" s="288">
        <v>1</v>
      </c>
      <c r="E41" s="336" t="s">
        <v>4630</v>
      </c>
      <c r="F41" s="281" t="s">
        <v>8160</v>
      </c>
      <c r="I41" s="283" t="s">
        <v>9322</v>
      </c>
      <c r="J41" s="288">
        <v>0.7</v>
      </c>
      <c r="K41" s="336" t="s">
        <v>62</v>
      </c>
      <c r="L41" s="92" t="s">
        <v>1676</v>
      </c>
    </row>
    <row r="42" spans="1:12" x14ac:dyDescent="0.25">
      <c r="C42" s="287" t="s">
        <v>241</v>
      </c>
      <c r="D42" s="288">
        <v>0.1</v>
      </c>
      <c r="E42" s="336" t="s">
        <v>4630</v>
      </c>
      <c r="F42" s="281" t="s">
        <v>9208</v>
      </c>
      <c r="G42" s="290"/>
      <c r="H42" s="289"/>
      <c r="I42" s="2" t="s">
        <v>844</v>
      </c>
      <c r="J42" s="88">
        <v>1.7</v>
      </c>
      <c r="K42" s="88" t="s">
        <v>62</v>
      </c>
      <c r="L42" s="2" t="s">
        <v>449</v>
      </c>
    </row>
    <row r="43" spans="1:12" ht="15" customHeight="1" x14ac:dyDescent="0.25">
      <c r="C43" s="287" t="s">
        <v>1655</v>
      </c>
      <c r="D43" s="288">
        <v>3</v>
      </c>
      <c r="E43" s="336" t="s">
        <v>62</v>
      </c>
      <c r="F43" s="228" t="s">
        <v>2319</v>
      </c>
      <c r="I43" s="2" t="s">
        <v>9331</v>
      </c>
      <c r="J43" s="88">
        <v>4.5999999999999996</v>
      </c>
      <c r="K43" s="88" t="s">
        <v>3263</v>
      </c>
      <c r="L43" s="2" t="s">
        <v>9332</v>
      </c>
    </row>
    <row r="44" spans="1:12" ht="14.4" customHeight="1" x14ac:dyDescent="0.25">
      <c r="C44" s="287" t="s">
        <v>1907</v>
      </c>
      <c r="D44" s="288">
        <v>3</v>
      </c>
      <c r="E44" s="336" t="s">
        <v>6018</v>
      </c>
      <c r="F44" s="2" t="s">
        <v>6019</v>
      </c>
      <c r="I44" s="2" t="s">
        <v>8474</v>
      </c>
      <c r="J44" s="88">
        <v>2</v>
      </c>
      <c r="K44" s="88" t="s">
        <v>6018</v>
      </c>
      <c r="L44" s="2" t="s">
        <v>581</v>
      </c>
    </row>
    <row r="45" spans="1:12" x14ac:dyDescent="0.25">
      <c r="C45" s="2" t="s">
        <v>1765</v>
      </c>
      <c r="D45" s="481">
        <v>0.5</v>
      </c>
      <c r="E45" s="479" t="s">
        <v>3263</v>
      </c>
      <c r="F45" s="2" t="s">
        <v>3262</v>
      </c>
      <c r="I45" s="2" t="s">
        <v>1765</v>
      </c>
      <c r="J45" s="481">
        <v>0.4</v>
      </c>
      <c r="K45" s="479" t="s">
        <v>3263</v>
      </c>
      <c r="L45" s="2" t="s">
        <v>3262</v>
      </c>
    </row>
    <row r="46" spans="1:12" x14ac:dyDescent="0.25">
      <c r="C46" s="287" t="s">
        <v>6016</v>
      </c>
      <c r="D46" s="288">
        <v>4.5</v>
      </c>
      <c r="E46" s="336" t="s">
        <v>60</v>
      </c>
      <c r="F46" s="228" t="s">
        <v>6017</v>
      </c>
      <c r="I46" s="2" t="s">
        <v>1736</v>
      </c>
      <c r="J46" s="88">
        <v>5</v>
      </c>
      <c r="K46" s="88" t="s">
        <v>3263</v>
      </c>
      <c r="L46" s="2" t="s">
        <v>449</v>
      </c>
    </row>
    <row r="47" spans="1:12" x14ac:dyDescent="0.25">
      <c r="C47" s="283" t="s">
        <v>432</v>
      </c>
      <c r="D47" s="288">
        <v>0.2</v>
      </c>
      <c r="E47" s="336" t="s">
        <v>3963</v>
      </c>
      <c r="F47" s="228" t="s">
        <v>8022</v>
      </c>
      <c r="I47" s="2" t="s">
        <v>825</v>
      </c>
      <c r="J47" s="88">
        <v>2</v>
      </c>
      <c r="K47" s="88" t="s">
        <v>4630</v>
      </c>
      <c r="L47" s="2" t="s">
        <v>8232</v>
      </c>
    </row>
    <row r="48" spans="1:12" x14ac:dyDescent="0.25">
      <c r="C48" s="287" t="s">
        <v>1077</v>
      </c>
      <c r="D48" s="288"/>
      <c r="E48" s="336" t="s">
        <v>38</v>
      </c>
      <c r="F48" s="92" t="s">
        <v>7579</v>
      </c>
      <c r="I48" s="287" t="s">
        <v>8231</v>
      </c>
      <c r="J48" s="288">
        <v>5</v>
      </c>
      <c r="K48" s="336" t="s">
        <v>62</v>
      </c>
      <c r="L48" s="228" t="s">
        <v>3262</v>
      </c>
    </row>
    <row r="49" spans="3:12" x14ac:dyDescent="0.25">
      <c r="C49" s="287" t="s">
        <v>4438</v>
      </c>
      <c r="D49" s="288"/>
      <c r="E49" s="336" t="s">
        <v>4630</v>
      </c>
      <c r="F49" s="92" t="s">
        <v>8023</v>
      </c>
      <c r="I49" s="287" t="s">
        <v>1077</v>
      </c>
      <c r="J49" s="288">
        <v>5</v>
      </c>
      <c r="K49" s="336" t="s">
        <v>38</v>
      </c>
      <c r="L49" s="92" t="s">
        <v>7579</v>
      </c>
    </row>
    <row r="50" spans="3:12" x14ac:dyDescent="0.25">
      <c r="C50" s="287" t="s">
        <v>1552</v>
      </c>
      <c r="D50" s="288"/>
      <c r="E50" s="336" t="s">
        <v>62</v>
      </c>
      <c r="F50" s="92" t="s">
        <v>1244</v>
      </c>
      <c r="I50" s="287" t="s">
        <v>6016</v>
      </c>
      <c r="J50" s="288">
        <v>3.8</v>
      </c>
      <c r="K50" s="336" t="s">
        <v>60</v>
      </c>
      <c r="L50" s="228" t="s">
        <v>6017</v>
      </c>
    </row>
    <row r="51" spans="3:12" x14ac:dyDescent="0.25">
      <c r="C51" s="2" t="s">
        <v>474</v>
      </c>
      <c r="D51" s="288"/>
      <c r="E51" s="336" t="s">
        <v>4630</v>
      </c>
      <c r="F51" s="228" t="s">
        <v>8135</v>
      </c>
      <c r="I51" s="287" t="s">
        <v>1947</v>
      </c>
      <c r="J51" s="288"/>
      <c r="K51" s="336" t="s">
        <v>3263</v>
      </c>
      <c r="L51" s="228" t="s">
        <v>449</v>
      </c>
    </row>
    <row r="52" spans="3:12" ht="14.4" customHeight="1" x14ac:dyDescent="0.25">
      <c r="C52" s="287" t="s">
        <v>2592</v>
      </c>
      <c r="D52" s="288"/>
      <c r="E52" s="336" t="s">
        <v>3263</v>
      </c>
      <c r="F52" s="228" t="s">
        <v>7980</v>
      </c>
      <c r="I52" s="287" t="s">
        <v>8910</v>
      </c>
      <c r="J52" s="288"/>
      <c r="K52" s="336" t="s">
        <v>62</v>
      </c>
      <c r="L52" s="228" t="s">
        <v>2319</v>
      </c>
    </row>
    <row r="53" spans="3:12" x14ac:dyDescent="0.25">
      <c r="C53" s="287" t="s">
        <v>432</v>
      </c>
      <c r="D53" s="288"/>
      <c r="E53" s="336" t="s">
        <v>3963</v>
      </c>
      <c r="F53" s="228" t="s">
        <v>8022</v>
      </c>
      <c r="I53" s="2" t="s">
        <v>562</v>
      </c>
      <c r="K53" s="88" t="s">
        <v>3263</v>
      </c>
      <c r="L53" s="2" t="s">
        <v>449</v>
      </c>
    </row>
    <row r="54" spans="3:12" x14ac:dyDescent="0.25">
      <c r="C54" s="2" t="s">
        <v>8157</v>
      </c>
      <c r="D54" s="481"/>
      <c r="E54" s="479" t="s">
        <v>62</v>
      </c>
      <c r="F54" s="2" t="s">
        <v>2319</v>
      </c>
      <c r="I54" s="2" t="s">
        <v>352</v>
      </c>
      <c r="K54" s="88" t="s">
        <v>62</v>
      </c>
      <c r="L54" s="2" t="s">
        <v>8135</v>
      </c>
    </row>
    <row r="55" spans="3:12" x14ac:dyDescent="0.25">
      <c r="C55" s="2" t="s">
        <v>8158</v>
      </c>
      <c r="D55" s="481"/>
      <c r="E55" s="479" t="s">
        <v>62</v>
      </c>
      <c r="F55" s="2" t="s">
        <v>2319</v>
      </c>
      <c r="I55" s="2" t="s">
        <v>8357</v>
      </c>
      <c r="K55" s="88" t="s">
        <v>3263</v>
      </c>
      <c r="L55" s="2" t="s">
        <v>8232</v>
      </c>
    </row>
    <row r="56" spans="3:12" x14ac:dyDescent="0.25">
      <c r="C56" s="2" t="s">
        <v>39</v>
      </c>
      <c r="D56" s="481"/>
      <c r="E56" s="479"/>
      <c r="F56" s="2" t="s">
        <v>3262</v>
      </c>
      <c r="I56" s="2" t="s">
        <v>1035</v>
      </c>
      <c r="K56" s="88" t="s">
        <v>3263</v>
      </c>
      <c r="L56" s="2" t="s">
        <v>8135</v>
      </c>
    </row>
    <row r="57" spans="3:12" x14ac:dyDescent="0.25">
      <c r="C57" s="2" t="s">
        <v>204</v>
      </c>
      <c r="D57" s="481"/>
      <c r="E57" s="479" t="s">
        <v>62</v>
      </c>
      <c r="F57" s="2" t="s">
        <v>8160</v>
      </c>
    </row>
    <row r="58" spans="3:12" x14ac:dyDescent="0.25">
      <c r="C58" s="2" t="s">
        <v>506</v>
      </c>
      <c r="D58" s="481"/>
      <c r="E58" s="479" t="s">
        <v>60</v>
      </c>
      <c r="F58" s="2" t="s">
        <v>6020</v>
      </c>
    </row>
  </sheetData>
  <pageMargins left="0.59055118110236227" right="0.39370078740157483" top="0.19685039370078741" bottom="0.19685039370078741" header="0.51181102362204722" footer="0.51181102362204722"/>
  <pageSetup paperSize="9" scale="96" fitToWidth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IV1468"/>
  <sheetViews>
    <sheetView zoomScaleNormal="100" workbookViewId="0">
      <pane ySplit="2" topLeftCell="A3" activePane="bottomLeft" state="frozen"/>
      <selection activeCell="D147" sqref="D147"/>
      <selection pane="bottomLeft" activeCell="A438" sqref="A438:XFD438"/>
    </sheetView>
  </sheetViews>
  <sheetFormatPr defaultColWidth="9.44140625" defaultRowHeight="13.8" x14ac:dyDescent="0.25"/>
  <cols>
    <col min="1" max="1" width="14.44140625" style="228" customWidth="1"/>
    <col min="2" max="2" width="10.5546875" style="57" customWidth="1"/>
    <col min="3" max="3" width="9.21875" style="124" customWidth="1"/>
    <col min="4" max="4" width="27" style="228" customWidth="1"/>
    <col min="5" max="5" width="11" style="228" customWidth="1"/>
    <col min="6" max="6" width="16.44140625" style="62" customWidth="1"/>
    <col min="7" max="7" width="26.109375" style="50" customWidth="1"/>
    <col min="8" max="8" width="11.44140625" style="228" customWidth="1"/>
    <col min="9" max="9" width="37.88671875" style="228" customWidth="1"/>
    <col min="10" max="10" width="17.5546875" style="22" customWidth="1"/>
    <col min="11" max="11" width="14.44140625" style="21" customWidth="1"/>
    <col min="12" max="16384" width="9.44140625" style="228"/>
  </cols>
  <sheetData>
    <row r="1" spans="1:256" ht="19.5" customHeight="1" x14ac:dyDescent="0.25">
      <c r="F1" s="72">
        <f>SUM(F3:F1464)</f>
        <v>818738717.37262726</v>
      </c>
      <c r="G1" s="62"/>
    </row>
    <row r="2" spans="1:256" s="50" customFormat="1" ht="24.6" customHeight="1" x14ac:dyDescent="0.25">
      <c r="A2" s="79" t="s">
        <v>192</v>
      </c>
      <c r="B2" s="80" t="s">
        <v>123</v>
      </c>
      <c r="C2" s="78" t="s">
        <v>51</v>
      </c>
      <c r="D2" s="79" t="s">
        <v>109</v>
      </c>
      <c r="E2" s="79" t="s">
        <v>9</v>
      </c>
      <c r="F2" s="423" t="s">
        <v>56</v>
      </c>
      <c r="G2" s="79" t="s">
        <v>58</v>
      </c>
      <c r="H2" s="79" t="s">
        <v>57</v>
      </c>
      <c r="I2" s="81" t="s">
        <v>10</v>
      </c>
      <c r="J2" s="22"/>
      <c r="K2" s="21"/>
    </row>
    <row r="3" spans="1:256" hidden="1" x14ac:dyDescent="0.25">
      <c r="A3" s="13" t="s">
        <v>460</v>
      </c>
      <c r="B3" s="14">
        <v>43556</v>
      </c>
      <c r="C3" s="13">
        <v>26</v>
      </c>
      <c r="D3" s="14" t="s">
        <v>5320</v>
      </c>
      <c r="E3" s="32" t="s">
        <v>482</v>
      </c>
      <c r="F3" s="4">
        <v>79569</v>
      </c>
      <c r="G3" s="69" t="s">
        <v>5321</v>
      </c>
      <c r="H3" s="14"/>
      <c r="I3" s="326"/>
      <c r="K3" s="62"/>
    </row>
    <row r="4" spans="1:256" hidden="1" x14ac:dyDescent="0.25">
      <c r="A4" s="13" t="s">
        <v>460</v>
      </c>
      <c r="B4" s="14">
        <v>43556</v>
      </c>
      <c r="C4" s="13">
        <v>27</v>
      </c>
      <c r="D4" s="14" t="s">
        <v>5545</v>
      </c>
      <c r="E4" s="32" t="s">
        <v>482</v>
      </c>
      <c r="F4" s="4">
        <v>83720</v>
      </c>
      <c r="G4" s="69" t="s">
        <v>5546</v>
      </c>
      <c r="H4" s="14"/>
      <c r="I4" s="326"/>
      <c r="K4" s="62"/>
    </row>
    <row r="5" spans="1:256" hidden="1" x14ac:dyDescent="0.25">
      <c r="A5" s="61" t="s">
        <v>460</v>
      </c>
      <c r="B5" s="14">
        <v>43556</v>
      </c>
      <c r="C5" s="13">
        <v>246</v>
      </c>
      <c r="D5" s="32" t="s">
        <v>4506</v>
      </c>
      <c r="E5" s="32" t="s">
        <v>144</v>
      </c>
      <c r="F5" s="4">
        <f>1416762</f>
        <v>1416762</v>
      </c>
      <c r="G5" s="69" t="s">
        <v>4507</v>
      </c>
      <c r="H5" s="14">
        <v>43517</v>
      </c>
      <c r="I5" s="326"/>
      <c r="K5" s="62"/>
    </row>
    <row r="6" spans="1:256" ht="15" hidden="1" customHeight="1" x14ac:dyDescent="0.25">
      <c r="A6" s="13" t="s">
        <v>184</v>
      </c>
      <c r="B6" s="14">
        <v>43556</v>
      </c>
      <c r="C6" s="13">
        <v>247</v>
      </c>
      <c r="D6" s="32" t="s">
        <v>1359</v>
      </c>
      <c r="E6" s="32" t="s">
        <v>144</v>
      </c>
      <c r="F6" s="4">
        <v>200838</v>
      </c>
      <c r="G6" s="25" t="s">
        <v>5794</v>
      </c>
      <c r="H6" s="14">
        <v>43525</v>
      </c>
      <c r="I6" s="4" t="s">
        <v>294</v>
      </c>
      <c r="J6" s="76" t="s">
        <v>366</v>
      </c>
    </row>
    <row r="7" spans="1:256" s="192" customFormat="1" hidden="1" x14ac:dyDescent="0.25">
      <c r="A7" s="147" t="s">
        <v>242</v>
      </c>
      <c r="B7" s="14">
        <v>43556</v>
      </c>
      <c r="C7" s="195">
        <v>248</v>
      </c>
      <c r="D7" s="149" t="s">
        <v>784</v>
      </c>
      <c r="E7" s="147" t="s">
        <v>144</v>
      </c>
      <c r="F7" s="158">
        <v>399276.45</v>
      </c>
      <c r="G7" s="150" t="s">
        <v>306</v>
      </c>
      <c r="H7" s="148">
        <v>43537</v>
      </c>
      <c r="I7" s="149" t="s">
        <v>143</v>
      </c>
      <c r="J7" s="193"/>
      <c r="K7" s="194"/>
      <c r="L7" s="190"/>
    </row>
    <row r="8" spans="1:256" s="192" customFormat="1" hidden="1" x14ac:dyDescent="0.25">
      <c r="A8" s="147" t="s">
        <v>242</v>
      </c>
      <c r="B8" s="14">
        <v>43556</v>
      </c>
      <c r="C8" s="187">
        <v>249</v>
      </c>
      <c r="D8" s="149" t="s">
        <v>2426</v>
      </c>
      <c r="E8" s="147" t="s">
        <v>144</v>
      </c>
      <c r="F8" s="158">
        <v>252455.6</v>
      </c>
      <c r="G8" s="150" t="s">
        <v>317</v>
      </c>
      <c r="H8" s="148">
        <v>43537</v>
      </c>
      <c r="I8" s="149" t="s">
        <v>143</v>
      </c>
      <c r="J8" s="193"/>
      <c r="K8" s="194"/>
      <c r="L8" s="190"/>
    </row>
    <row r="9" spans="1:256" s="192" customFormat="1" hidden="1" x14ac:dyDescent="0.25">
      <c r="A9" s="147" t="s">
        <v>242</v>
      </c>
      <c r="B9" s="14">
        <v>43556</v>
      </c>
      <c r="C9" s="195">
        <v>250</v>
      </c>
      <c r="D9" s="149" t="s">
        <v>324</v>
      </c>
      <c r="E9" s="147" t="s">
        <v>144</v>
      </c>
      <c r="F9" s="158">
        <f>120563.96+0.6</f>
        <v>120564.56000000001</v>
      </c>
      <c r="G9" s="150" t="s">
        <v>5339</v>
      </c>
      <c r="H9" s="148">
        <v>43537</v>
      </c>
      <c r="I9" s="149" t="s">
        <v>143</v>
      </c>
      <c r="J9" s="193"/>
      <c r="K9" s="194"/>
      <c r="L9" s="190"/>
    </row>
    <row r="10" spans="1:256" s="192" customFormat="1" hidden="1" x14ac:dyDescent="0.25">
      <c r="A10" s="147" t="s">
        <v>242</v>
      </c>
      <c r="B10" s="14">
        <v>43556</v>
      </c>
      <c r="C10" s="195">
        <v>251</v>
      </c>
      <c r="D10" s="149" t="s">
        <v>388</v>
      </c>
      <c r="E10" s="147" t="s">
        <v>144</v>
      </c>
      <c r="F10" s="158">
        <v>81666.600000000006</v>
      </c>
      <c r="G10" s="150" t="s">
        <v>7</v>
      </c>
      <c r="H10" s="148">
        <v>43537</v>
      </c>
      <c r="I10" s="149" t="s">
        <v>143</v>
      </c>
      <c r="J10" s="193"/>
      <c r="K10" s="194"/>
      <c r="L10" s="190"/>
    </row>
    <row r="11" spans="1:256" hidden="1" x14ac:dyDescent="0.25">
      <c r="A11" s="13" t="s">
        <v>184</v>
      </c>
      <c r="B11" s="14">
        <v>43556</v>
      </c>
      <c r="C11" s="13">
        <v>391</v>
      </c>
      <c r="D11" s="13" t="s">
        <v>761</v>
      </c>
      <c r="E11" s="32" t="s">
        <v>1121</v>
      </c>
      <c r="F11" s="4">
        <v>65136</v>
      </c>
      <c r="G11" s="28" t="s">
        <v>5358</v>
      </c>
      <c r="H11" s="14">
        <v>43479</v>
      </c>
      <c r="I11" s="4" t="s">
        <v>860</v>
      </c>
      <c r="J11" s="76" t="s">
        <v>239</v>
      </c>
    </row>
    <row r="12" spans="1:256" hidden="1" x14ac:dyDescent="0.25">
      <c r="A12" s="13" t="s">
        <v>184</v>
      </c>
      <c r="B12" s="14">
        <v>43556</v>
      </c>
      <c r="C12" s="13">
        <v>391</v>
      </c>
      <c r="D12" s="13" t="s">
        <v>761</v>
      </c>
      <c r="E12" s="32" t="s">
        <v>1121</v>
      </c>
      <c r="F12" s="4">
        <v>30240</v>
      </c>
      <c r="G12" s="28" t="s">
        <v>4705</v>
      </c>
      <c r="H12" s="14">
        <v>43479</v>
      </c>
      <c r="I12" s="4" t="s">
        <v>809</v>
      </c>
      <c r="J12" s="76" t="s">
        <v>239</v>
      </c>
    </row>
    <row r="13" spans="1:256" hidden="1" x14ac:dyDescent="0.25">
      <c r="A13" s="13" t="s">
        <v>184</v>
      </c>
      <c r="B13" s="14">
        <v>43556</v>
      </c>
      <c r="C13" s="13">
        <v>391</v>
      </c>
      <c r="D13" s="13" t="s">
        <v>761</v>
      </c>
      <c r="E13" s="32" t="s">
        <v>1121</v>
      </c>
      <c r="F13" s="4">
        <v>204624</v>
      </c>
      <c r="G13" s="28" t="s">
        <v>5783</v>
      </c>
      <c r="H13" s="14">
        <v>43479</v>
      </c>
      <c r="I13" s="4" t="s">
        <v>657</v>
      </c>
      <c r="J13" s="76" t="s">
        <v>239</v>
      </c>
    </row>
    <row r="14" spans="1:256" ht="16.5" hidden="1" customHeight="1" x14ac:dyDescent="0.25">
      <c r="A14" s="13" t="s">
        <v>184</v>
      </c>
      <c r="B14" s="14">
        <v>43556</v>
      </c>
      <c r="C14" s="67">
        <v>382</v>
      </c>
      <c r="D14" s="32" t="s">
        <v>1359</v>
      </c>
      <c r="E14" s="32" t="s">
        <v>1121</v>
      </c>
      <c r="F14" s="208">
        <v>700000</v>
      </c>
      <c r="G14" s="25" t="s">
        <v>5793</v>
      </c>
      <c r="H14" s="212">
        <v>43525</v>
      </c>
      <c r="I14" s="208" t="s">
        <v>294</v>
      </c>
      <c r="J14" s="76" t="s">
        <v>366</v>
      </c>
      <c r="K14" s="260"/>
      <c r="L14" s="62"/>
    </row>
    <row r="15" spans="1:256" s="21" customFormat="1" ht="15" hidden="1" customHeight="1" x14ac:dyDescent="0.25">
      <c r="A15" s="13" t="s">
        <v>184</v>
      </c>
      <c r="B15" s="14">
        <v>43556</v>
      </c>
      <c r="C15" s="13">
        <v>402</v>
      </c>
      <c r="D15" s="13" t="s">
        <v>171</v>
      </c>
      <c r="E15" s="32" t="s">
        <v>1121</v>
      </c>
      <c r="F15" s="4">
        <f>1146571.2-600000</f>
        <v>546571.19999999995</v>
      </c>
      <c r="G15" s="28" t="s">
        <v>5244</v>
      </c>
      <c r="H15" s="14">
        <v>43525</v>
      </c>
      <c r="I15" s="4" t="s">
        <v>384</v>
      </c>
      <c r="J15" s="125" t="s">
        <v>5245</v>
      </c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8"/>
      <c r="BE15" s="228"/>
      <c r="BF15" s="228"/>
      <c r="BG15" s="228"/>
      <c r="BH15" s="228"/>
      <c r="BI15" s="228"/>
      <c r="BJ15" s="228"/>
      <c r="BK15" s="228"/>
      <c r="BL15" s="228"/>
      <c r="BM15" s="228"/>
      <c r="BN15" s="228"/>
      <c r="BO15" s="228"/>
      <c r="BP15" s="228"/>
      <c r="BQ15" s="228"/>
      <c r="BR15" s="228"/>
      <c r="BS15" s="228"/>
      <c r="BT15" s="228"/>
      <c r="BU15" s="228"/>
      <c r="BV15" s="228"/>
      <c r="BW15" s="228"/>
      <c r="BX15" s="228"/>
      <c r="BY15" s="228"/>
      <c r="BZ15" s="228"/>
      <c r="CA15" s="228"/>
      <c r="CB15" s="228"/>
      <c r="CC15" s="228"/>
      <c r="CD15" s="228"/>
      <c r="CE15" s="228"/>
      <c r="CF15" s="228"/>
      <c r="CG15" s="228"/>
      <c r="CH15" s="228"/>
      <c r="CI15" s="228"/>
      <c r="CJ15" s="228"/>
      <c r="CK15" s="228"/>
      <c r="CL15" s="228"/>
      <c r="CM15" s="228"/>
      <c r="CN15" s="228"/>
      <c r="CO15" s="228"/>
      <c r="CP15" s="228"/>
      <c r="CQ15" s="228"/>
      <c r="CR15" s="228"/>
      <c r="CS15" s="228"/>
      <c r="CT15" s="228"/>
      <c r="CU15" s="228"/>
      <c r="CV15" s="228"/>
      <c r="CW15" s="228"/>
      <c r="CX15" s="228"/>
      <c r="CY15" s="228"/>
      <c r="CZ15" s="228"/>
      <c r="DA15" s="228"/>
      <c r="DB15" s="228"/>
      <c r="DC15" s="228"/>
      <c r="DD15" s="228"/>
      <c r="DE15" s="228"/>
      <c r="DF15" s="228"/>
      <c r="DG15" s="228"/>
      <c r="DH15" s="228"/>
      <c r="DI15" s="228"/>
      <c r="DJ15" s="228"/>
      <c r="DK15" s="228"/>
      <c r="DL15" s="228"/>
      <c r="DM15" s="228"/>
      <c r="DN15" s="228"/>
      <c r="DO15" s="228"/>
      <c r="DP15" s="228"/>
      <c r="DQ15" s="228"/>
      <c r="DR15" s="228"/>
      <c r="DS15" s="228"/>
      <c r="DT15" s="228"/>
      <c r="DU15" s="228"/>
      <c r="DV15" s="228"/>
      <c r="DW15" s="228"/>
      <c r="DX15" s="228"/>
      <c r="DY15" s="228"/>
      <c r="DZ15" s="228"/>
      <c r="EA15" s="228"/>
      <c r="EB15" s="228"/>
      <c r="EC15" s="228"/>
      <c r="ED15" s="228"/>
      <c r="EE15" s="228"/>
      <c r="EF15" s="228"/>
      <c r="EG15" s="228"/>
      <c r="EH15" s="228"/>
      <c r="EI15" s="228"/>
      <c r="EJ15" s="228"/>
      <c r="EK15" s="228"/>
      <c r="EL15" s="228"/>
      <c r="EM15" s="228"/>
      <c r="EN15" s="228"/>
      <c r="EO15" s="228"/>
      <c r="EP15" s="228"/>
      <c r="EQ15" s="228"/>
      <c r="ER15" s="228"/>
      <c r="ES15" s="228"/>
      <c r="ET15" s="228"/>
      <c r="EU15" s="228"/>
      <c r="EV15" s="228"/>
      <c r="EW15" s="228"/>
      <c r="EX15" s="228"/>
      <c r="EY15" s="228"/>
      <c r="EZ15" s="228"/>
      <c r="FA15" s="228"/>
      <c r="FB15" s="228"/>
      <c r="FC15" s="228"/>
      <c r="FD15" s="228"/>
      <c r="FE15" s="228"/>
      <c r="FF15" s="228"/>
      <c r="FG15" s="228"/>
      <c r="FH15" s="228"/>
      <c r="FI15" s="228"/>
      <c r="FJ15" s="228"/>
      <c r="FK15" s="228"/>
      <c r="FL15" s="228"/>
      <c r="FM15" s="228"/>
      <c r="FN15" s="228"/>
      <c r="FO15" s="228"/>
      <c r="FP15" s="228"/>
      <c r="FQ15" s="228"/>
      <c r="FR15" s="228"/>
      <c r="FS15" s="228"/>
      <c r="FT15" s="228"/>
      <c r="FU15" s="228"/>
      <c r="FV15" s="228"/>
      <c r="FW15" s="228"/>
      <c r="FX15" s="228"/>
      <c r="FY15" s="228"/>
      <c r="FZ15" s="228"/>
      <c r="GA15" s="228"/>
      <c r="GB15" s="228"/>
      <c r="GC15" s="228"/>
      <c r="GD15" s="228"/>
      <c r="GE15" s="228"/>
      <c r="GF15" s="228"/>
      <c r="GG15" s="228"/>
      <c r="GH15" s="228"/>
      <c r="GI15" s="228"/>
      <c r="GJ15" s="228"/>
      <c r="GK15" s="228"/>
      <c r="GL15" s="228"/>
      <c r="GM15" s="228"/>
      <c r="GN15" s="228"/>
      <c r="GO15" s="228"/>
      <c r="GP15" s="228"/>
      <c r="GQ15" s="228"/>
      <c r="GR15" s="228"/>
      <c r="GS15" s="228"/>
      <c r="GT15" s="228"/>
      <c r="GU15" s="228"/>
      <c r="GV15" s="228"/>
      <c r="GW15" s="228"/>
      <c r="GX15" s="228"/>
      <c r="GY15" s="228"/>
      <c r="GZ15" s="228"/>
      <c r="HA15" s="228"/>
      <c r="HB15" s="228"/>
      <c r="HC15" s="228"/>
      <c r="HD15" s="228"/>
      <c r="HE15" s="228"/>
      <c r="HF15" s="228"/>
      <c r="HG15" s="228"/>
      <c r="HH15" s="228"/>
      <c r="HI15" s="228"/>
      <c r="HJ15" s="228"/>
      <c r="HK15" s="228"/>
      <c r="HL15" s="228"/>
      <c r="HM15" s="228"/>
      <c r="HN15" s="228"/>
      <c r="HO15" s="228"/>
      <c r="HP15" s="228"/>
      <c r="HQ15" s="228"/>
      <c r="HR15" s="228"/>
      <c r="HS15" s="228"/>
      <c r="HT15" s="228"/>
      <c r="HU15" s="228"/>
      <c r="HV15" s="228"/>
      <c r="HW15" s="228"/>
      <c r="HX15" s="228"/>
      <c r="HY15" s="228"/>
      <c r="HZ15" s="228"/>
      <c r="IA15" s="228"/>
      <c r="IB15" s="228"/>
      <c r="IC15" s="228"/>
      <c r="ID15" s="228"/>
      <c r="IE15" s="228"/>
      <c r="IF15" s="228"/>
      <c r="IG15" s="228"/>
      <c r="IH15" s="228"/>
      <c r="II15" s="228"/>
      <c r="IJ15" s="228"/>
      <c r="IK15" s="228"/>
      <c r="IL15" s="228"/>
      <c r="IM15" s="228"/>
      <c r="IN15" s="228"/>
      <c r="IO15" s="228"/>
      <c r="IP15" s="228"/>
      <c r="IQ15" s="228"/>
      <c r="IR15" s="228"/>
      <c r="IS15" s="228"/>
      <c r="IT15" s="228"/>
      <c r="IU15" s="228"/>
      <c r="IV15" s="228"/>
    </row>
    <row r="16" spans="1:256" s="21" customFormat="1" ht="15" hidden="1" customHeight="1" x14ac:dyDescent="0.25">
      <c r="A16" s="13" t="s">
        <v>184</v>
      </c>
      <c r="B16" s="14">
        <v>43556</v>
      </c>
      <c r="C16" s="13">
        <v>392</v>
      </c>
      <c r="D16" s="13" t="s">
        <v>1215</v>
      </c>
      <c r="E16" s="32" t="s">
        <v>1121</v>
      </c>
      <c r="F16" s="4">
        <v>451251</v>
      </c>
      <c r="G16" s="28" t="s">
        <v>5251</v>
      </c>
      <c r="H16" s="14">
        <v>43524</v>
      </c>
      <c r="I16" s="4" t="s">
        <v>293</v>
      </c>
      <c r="J16" s="76" t="s">
        <v>366</v>
      </c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228"/>
      <c r="BE16" s="228"/>
      <c r="BF16" s="228"/>
      <c r="BG16" s="228"/>
      <c r="BH16" s="228"/>
      <c r="BI16" s="228"/>
      <c r="BJ16" s="228"/>
      <c r="BK16" s="228"/>
      <c r="BL16" s="228"/>
      <c r="BM16" s="228"/>
      <c r="BN16" s="228"/>
      <c r="BO16" s="228"/>
      <c r="BP16" s="228"/>
      <c r="BQ16" s="228"/>
      <c r="BR16" s="228"/>
      <c r="BS16" s="228"/>
      <c r="BT16" s="228"/>
      <c r="BU16" s="228"/>
      <c r="BV16" s="228"/>
      <c r="BW16" s="228"/>
      <c r="BX16" s="228"/>
      <c r="BY16" s="228"/>
      <c r="BZ16" s="228"/>
      <c r="CA16" s="228"/>
      <c r="CB16" s="228"/>
      <c r="CC16" s="228"/>
      <c r="CD16" s="228"/>
      <c r="CE16" s="228"/>
      <c r="CF16" s="228"/>
      <c r="CG16" s="228"/>
      <c r="CH16" s="228"/>
      <c r="CI16" s="228"/>
      <c r="CJ16" s="228"/>
      <c r="CK16" s="228"/>
      <c r="CL16" s="228"/>
      <c r="CM16" s="228"/>
      <c r="CN16" s="228"/>
      <c r="CO16" s="228"/>
      <c r="CP16" s="228"/>
      <c r="CQ16" s="228"/>
      <c r="CR16" s="228"/>
      <c r="CS16" s="228"/>
      <c r="CT16" s="228"/>
      <c r="CU16" s="228"/>
      <c r="CV16" s="228"/>
      <c r="CW16" s="228"/>
      <c r="CX16" s="228"/>
      <c r="CY16" s="228"/>
      <c r="CZ16" s="228"/>
      <c r="DA16" s="228"/>
      <c r="DB16" s="228"/>
      <c r="DC16" s="228"/>
      <c r="DD16" s="228"/>
      <c r="DE16" s="228"/>
      <c r="DF16" s="228"/>
      <c r="DG16" s="228"/>
      <c r="DH16" s="228"/>
      <c r="DI16" s="228"/>
      <c r="DJ16" s="228"/>
      <c r="DK16" s="228"/>
      <c r="DL16" s="228"/>
      <c r="DM16" s="228"/>
      <c r="DN16" s="228"/>
      <c r="DO16" s="228"/>
      <c r="DP16" s="228"/>
      <c r="DQ16" s="228"/>
      <c r="DR16" s="228"/>
      <c r="DS16" s="228"/>
      <c r="DT16" s="228"/>
      <c r="DU16" s="228"/>
      <c r="DV16" s="228"/>
      <c r="DW16" s="228"/>
      <c r="DX16" s="228"/>
      <c r="DY16" s="228"/>
      <c r="DZ16" s="228"/>
      <c r="EA16" s="228"/>
      <c r="EB16" s="228"/>
      <c r="EC16" s="228"/>
      <c r="ED16" s="228"/>
      <c r="EE16" s="228"/>
      <c r="EF16" s="228"/>
      <c r="EG16" s="228"/>
      <c r="EH16" s="228"/>
      <c r="EI16" s="228"/>
      <c r="EJ16" s="228"/>
      <c r="EK16" s="228"/>
      <c r="EL16" s="228"/>
      <c r="EM16" s="228"/>
      <c r="EN16" s="228"/>
      <c r="EO16" s="228"/>
      <c r="EP16" s="228"/>
      <c r="EQ16" s="228"/>
      <c r="ER16" s="228"/>
      <c r="ES16" s="228"/>
      <c r="ET16" s="228"/>
      <c r="EU16" s="228"/>
      <c r="EV16" s="228"/>
      <c r="EW16" s="228"/>
      <c r="EX16" s="228"/>
      <c r="EY16" s="228"/>
      <c r="EZ16" s="228"/>
      <c r="FA16" s="228"/>
      <c r="FB16" s="228"/>
      <c r="FC16" s="228"/>
      <c r="FD16" s="228"/>
      <c r="FE16" s="228"/>
      <c r="FF16" s="228"/>
      <c r="FG16" s="228"/>
      <c r="FH16" s="228"/>
      <c r="FI16" s="228"/>
      <c r="FJ16" s="228"/>
      <c r="FK16" s="228"/>
      <c r="FL16" s="228"/>
      <c r="FM16" s="228"/>
      <c r="FN16" s="228"/>
      <c r="FO16" s="228"/>
      <c r="FP16" s="228"/>
      <c r="FQ16" s="228"/>
      <c r="FR16" s="228"/>
      <c r="FS16" s="228"/>
      <c r="FT16" s="228"/>
      <c r="FU16" s="228"/>
      <c r="FV16" s="228"/>
      <c r="FW16" s="228"/>
      <c r="FX16" s="228"/>
      <c r="FY16" s="228"/>
      <c r="FZ16" s="228"/>
      <c r="GA16" s="228"/>
      <c r="GB16" s="228"/>
      <c r="GC16" s="228"/>
      <c r="GD16" s="228"/>
      <c r="GE16" s="228"/>
      <c r="GF16" s="228"/>
      <c r="GG16" s="228"/>
      <c r="GH16" s="228"/>
      <c r="GI16" s="228"/>
      <c r="GJ16" s="228"/>
      <c r="GK16" s="228"/>
      <c r="GL16" s="228"/>
      <c r="GM16" s="228"/>
      <c r="GN16" s="228"/>
      <c r="GO16" s="228"/>
      <c r="GP16" s="228"/>
      <c r="GQ16" s="228"/>
      <c r="GR16" s="228"/>
      <c r="GS16" s="228"/>
      <c r="GT16" s="228"/>
      <c r="GU16" s="228"/>
      <c r="GV16" s="228"/>
      <c r="GW16" s="228"/>
      <c r="GX16" s="228"/>
      <c r="GY16" s="228"/>
      <c r="GZ16" s="228"/>
      <c r="HA16" s="228"/>
      <c r="HB16" s="228"/>
      <c r="HC16" s="228"/>
      <c r="HD16" s="228"/>
      <c r="HE16" s="228"/>
      <c r="HF16" s="228"/>
      <c r="HG16" s="228"/>
      <c r="HH16" s="228"/>
      <c r="HI16" s="228"/>
      <c r="HJ16" s="228"/>
      <c r="HK16" s="228"/>
      <c r="HL16" s="228"/>
      <c r="HM16" s="228"/>
      <c r="HN16" s="228"/>
      <c r="HO16" s="228"/>
      <c r="HP16" s="228"/>
      <c r="HQ16" s="228"/>
      <c r="HR16" s="228"/>
      <c r="HS16" s="228"/>
      <c r="HT16" s="228"/>
      <c r="HU16" s="228"/>
      <c r="HV16" s="228"/>
      <c r="HW16" s="228"/>
      <c r="HX16" s="228"/>
      <c r="HY16" s="228"/>
      <c r="HZ16" s="228"/>
      <c r="IA16" s="228"/>
      <c r="IB16" s="228"/>
      <c r="IC16" s="228"/>
      <c r="ID16" s="228"/>
      <c r="IE16" s="228"/>
      <c r="IF16" s="228"/>
      <c r="IG16" s="228"/>
      <c r="IH16" s="228"/>
      <c r="II16" s="228"/>
      <c r="IJ16" s="228"/>
      <c r="IK16" s="228"/>
      <c r="IL16" s="228"/>
      <c r="IM16" s="228"/>
      <c r="IN16" s="228"/>
      <c r="IO16" s="228"/>
      <c r="IP16" s="228"/>
      <c r="IQ16" s="228"/>
      <c r="IR16" s="228"/>
      <c r="IS16" s="228"/>
      <c r="IT16" s="228"/>
      <c r="IU16" s="228"/>
      <c r="IV16" s="228"/>
    </row>
    <row r="17" spans="1:256" s="21" customFormat="1" ht="15" hidden="1" customHeight="1" x14ac:dyDescent="0.25">
      <c r="A17" s="13" t="s">
        <v>184</v>
      </c>
      <c r="B17" s="14">
        <v>43556</v>
      </c>
      <c r="C17" s="13">
        <v>392</v>
      </c>
      <c r="D17" s="13" t="s">
        <v>1215</v>
      </c>
      <c r="E17" s="32" t="s">
        <v>1121</v>
      </c>
      <c r="F17" s="4">
        <v>45900</v>
      </c>
      <c r="G17" s="28" t="s">
        <v>3209</v>
      </c>
      <c r="H17" s="14">
        <v>43524</v>
      </c>
      <c r="I17" s="4" t="s">
        <v>3482</v>
      </c>
      <c r="J17" s="76" t="s">
        <v>366</v>
      </c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  <c r="AC17" s="228"/>
      <c r="AD17" s="2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28"/>
      <c r="BS17" s="228"/>
      <c r="BT17" s="228"/>
      <c r="BU17" s="228"/>
      <c r="BV17" s="228"/>
      <c r="BW17" s="228"/>
      <c r="BX17" s="228"/>
      <c r="BY17" s="228"/>
      <c r="BZ17" s="228"/>
      <c r="CA17" s="228"/>
      <c r="CB17" s="228"/>
      <c r="CC17" s="228"/>
      <c r="CD17" s="228"/>
      <c r="CE17" s="228"/>
      <c r="CF17" s="228"/>
      <c r="CG17" s="228"/>
      <c r="CH17" s="228"/>
      <c r="CI17" s="228"/>
      <c r="CJ17" s="228"/>
      <c r="CK17" s="228"/>
      <c r="CL17" s="228"/>
      <c r="CM17" s="228"/>
      <c r="CN17" s="228"/>
      <c r="CO17" s="228"/>
      <c r="CP17" s="228"/>
      <c r="CQ17" s="228"/>
      <c r="CR17" s="228"/>
      <c r="CS17" s="228"/>
      <c r="CT17" s="228"/>
      <c r="CU17" s="228"/>
      <c r="CV17" s="228"/>
      <c r="CW17" s="228"/>
      <c r="CX17" s="228"/>
      <c r="CY17" s="228"/>
      <c r="CZ17" s="228"/>
      <c r="DA17" s="228"/>
      <c r="DB17" s="228"/>
      <c r="DC17" s="228"/>
      <c r="DD17" s="228"/>
      <c r="DE17" s="228"/>
      <c r="DF17" s="228"/>
      <c r="DG17" s="228"/>
      <c r="DH17" s="228"/>
      <c r="DI17" s="228"/>
      <c r="DJ17" s="228"/>
      <c r="DK17" s="228"/>
      <c r="DL17" s="228"/>
      <c r="DM17" s="228"/>
      <c r="DN17" s="228"/>
      <c r="DO17" s="228"/>
      <c r="DP17" s="228"/>
      <c r="DQ17" s="228"/>
      <c r="DR17" s="228"/>
      <c r="DS17" s="228"/>
      <c r="DT17" s="228"/>
      <c r="DU17" s="228"/>
      <c r="DV17" s="228"/>
      <c r="DW17" s="228"/>
      <c r="DX17" s="228"/>
      <c r="DY17" s="228"/>
      <c r="DZ17" s="228"/>
      <c r="EA17" s="228"/>
      <c r="EB17" s="228"/>
      <c r="EC17" s="228"/>
      <c r="ED17" s="228"/>
      <c r="EE17" s="228"/>
      <c r="EF17" s="228"/>
      <c r="EG17" s="228"/>
      <c r="EH17" s="228"/>
      <c r="EI17" s="228"/>
      <c r="EJ17" s="228"/>
      <c r="EK17" s="228"/>
      <c r="EL17" s="228"/>
      <c r="EM17" s="228"/>
      <c r="EN17" s="228"/>
      <c r="EO17" s="228"/>
      <c r="EP17" s="228"/>
      <c r="EQ17" s="228"/>
      <c r="ER17" s="228"/>
      <c r="ES17" s="228"/>
      <c r="ET17" s="228"/>
      <c r="EU17" s="228"/>
      <c r="EV17" s="228"/>
      <c r="EW17" s="228"/>
      <c r="EX17" s="228"/>
      <c r="EY17" s="228"/>
      <c r="EZ17" s="228"/>
      <c r="FA17" s="228"/>
      <c r="FB17" s="228"/>
      <c r="FC17" s="228"/>
      <c r="FD17" s="228"/>
      <c r="FE17" s="228"/>
      <c r="FF17" s="228"/>
      <c r="FG17" s="228"/>
      <c r="FH17" s="228"/>
      <c r="FI17" s="228"/>
      <c r="FJ17" s="228"/>
      <c r="FK17" s="228"/>
      <c r="FL17" s="228"/>
      <c r="FM17" s="228"/>
      <c r="FN17" s="228"/>
      <c r="FO17" s="228"/>
      <c r="FP17" s="228"/>
      <c r="FQ17" s="228"/>
      <c r="FR17" s="228"/>
      <c r="FS17" s="228"/>
      <c r="FT17" s="228"/>
      <c r="FU17" s="228"/>
      <c r="FV17" s="228"/>
      <c r="FW17" s="228"/>
      <c r="FX17" s="228"/>
      <c r="FY17" s="228"/>
      <c r="FZ17" s="228"/>
      <c r="GA17" s="228"/>
      <c r="GB17" s="228"/>
      <c r="GC17" s="228"/>
      <c r="GD17" s="228"/>
      <c r="GE17" s="228"/>
      <c r="GF17" s="228"/>
      <c r="GG17" s="228"/>
      <c r="GH17" s="228"/>
      <c r="GI17" s="228"/>
      <c r="GJ17" s="228"/>
      <c r="GK17" s="228"/>
      <c r="GL17" s="228"/>
      <c r="GM17" s="228"/>
      <c r="GN17" s="228"/>
      <c r="GO17" s="228"/>
      <c r="GP17" s="228"/>
      <c r="GQ17" s="228"/>
      <c r="GR17" s="228"/>
      <c r="GS17" s="228"/>
      <c r="GT17" s="228"/>
      <c r="GU17" s="228"/>
      <c r="GV17" s="228"/>
      <c r="GW17" s="228"/>
      <c r="GX17" s="228"/>
      <c r="GY17" s="228"/>
      <c r="GZ17" s="228"/>
      <c r="HA17" s="228"/>
      <c r="HB17" s="228"/>
      <c r="HC17" s="228"/>
      <c r="HD17" s="228"/>
      <c r="HE17" s="228"/>
      <c r="HF17" s="228"/>
      <c r="HG17" s="228"/>
      <c r="HH17" s="228"/>
      <c r="HI17" s="228"/>
      <c r="HJ17" s="228"/>
      <c r="HK17" s="228"/>
      <c r="HL17" s="228"/>
      <c r="HM17" s="228"/>
      <c r="HN17" s="228"/>
      <c r="HO17" s="228"/>
      <c r="HP17" s="228"/>
      <c r="HQ17" s="228"/>
      <c r="HR17" s="228"/>
      <c r="HS17" s="228"/>
      <c r="HT17" s="228"/>
      <c r="HU17" s="228"/>
      <c r="HV17" s="228"/>
      <c r="HW17" s="228"/>
      <c r="HX17" s="228"/>
      <c r="HY17" s="228"/>
      <c r="HZ17" s="228"/>
      <c r="IA17" s="228"/>
      <c r="IB17" s="228"/>
      <c r="IC17" s="228"/>
      <c r="ID17" s="228"/>
      <c r="IE17" s="228"/>
      <c r="IF17" s="228"/>
      <c r="IG17" s="228"/>
      <c r="IH17" s="228"/>
      <c r="II17" s="228"/>
      <c r="IJ17" s="228"/>
      <c r="IK17" s="228"/>
      <c r="IL17" s="228"/>
      <c r="IM17" s="228"/>
      <c r="IN17" s="228"/>
      <c r="IO17" s="228"/>
      <c r="IP17" s="228"/>
      <c r="IQ17" s="228"/>
      <c r="IR17" s="228"/>
      <c r="IS17" s="228"/>
      <c r="IT17" s="228"/>
      <c r="IU17" s="228"/>
      <c r="IV17" s="228"/>
    </row>
    <row r="18" spans="1:256" s="21" customFormat="1" ht="15" hidden="1" customHeight="1" x14ac:dyDescent="0.25">
      <c r="A18" s="13" t="s">
        <v>184</v>
      </c>
      <c r="B18" s="14">
        <v>43556</v>
      </c>
      <c r="C18" s="13">
        <v>393</v>
      </c>
      <c r="D18" s="13" t="s">
        <v>2340</v>
      </c>
      <c r="E18" s="32" t="s">
        <v>1121</v>
      </c>
      <c r="F18" s="4">
        <v>153600</v>
      </c>
      <c r="G18" s="28" t="s">
        <v>5251</v>
      </c>
      <c r="H18" s="14">
        <v>43525</v>
      </c>
      <c r="I18" s="4" t="s">
        <v>2341</v>
      </c>
      <c r="J18" s="76" t="s">
        <v>5800</v>
      </c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  <c r="AZ18" s="228"/>
      <c r="BA18" s="228"/>
      <c r="BB18" s="228"/>
      <c r="BC18" s="228"/>
      <c r="BD18" s="228"/>
      <c r="BE18" s="228"/>
      <c r="BF18" s="228"/>
      <c r="BG18" s="228"/>
      <c r="BH18" s="228"/>
      <c r="BI18" s="228"/>
      <c r="BJ18" s="228"/>
      <c r="BK18" s="228"/>
      <c r="BL18" s="228"/>
      <c r="BM18" s="228"/>
      <c r="BN18" s="228"/>
      <c r="BO18" s="228"/>
      <c r="BP18" s="228"/>
      <c r="BQ18" s="228"/>
      <c r="BR18" s="228"/>
      <c r="BS18" s="228"/>
      <c r="BT18" s="228"/>
      <c r="BU18" s="228"/>
      <c r="BV18" s="228"/>
      <c r="BW18" s="228"/>
      <c r="BX18" s="228"/>
      <c r="BY18" s="228"/>
      <c r="BZ18" s="228"/>
      <c r="CA18" s="228"/>
      <c r="CB18" s="228"/>
      <c r="CC18" s="228"/>
      <c r="CD18" s="228"/>
      <c r="CE18" s="228"/>
      <c r="CF18" s="228"/>
      <c r="CG18" s="228"/>
      <c r="CH18" s="228"/>
      <c r="CI18" s="228"/>
      <c r="CJ18" s="228"/>
      <c r="CK18" s="228"/>
      <c r="CL18" s="228"/>
      <c r="CM18" s="228"/>
      <c r="CN18" s="228"/>
      <c r="CO18" s="228"/>
      <c r="CP18" s="228"/>
      <c r="CQ18" s="228"/>
      <c r="CR18" s="228"/>
      <c r="CS18" s="228"/>
      <c r="CT18" s="228"/>
      <c r="CU18" s="228"/>
      <c r="CV18" s="228"/>
      <c r="CW18" s="228"/>
      <c r="CX18" s="228"/>
      <c r="CY18" s="228"/>
      <c r="CZ18" s="228"/>
      <c r="DA18" s="228"/>
      <c r="DB18" s="228"/>
      <c r="DC18" s="228"/>
      <c r="DD18" s="228"/>
      <c r="DE18" s="228"/>
      <c r="DF18" s="228"/>
      <c r="DG18" s="228"/>
      <c r="DH18" s="228"/>
      <c r="DI18" s="228"/>
      <c r="DJ18" s="228"/>
      <c r="DK18" s="228"/>
      <c r="DL18" s="228"/>
      <c r="DM18" s="228"/>
      <c r="DN18" s="228"/>
      <c r="DO18" s="228"/>
      <c r="DP18" s="228"/>
      <c r="DQ18" s="228"/>
      <c r="DR18" s="228"/>
      <c r="DS18" s="228"/>
      <c r="DT18" s="228"/>
      <c r="DU18" s="228"/>
      <c r="DV18" s="228"/>
      <c r="DW18" s="228"/>
      <c r="DX18" s="228"/>
      <c r="DY18" s="228"/>
      <c r="DZ18" s="228"/>
      <c r="EA18" s="228"/>
      <c r="EB18" s="228"/>
      <c r="EC18" s="228"/>
      <c r="ED18" s="228"/>
      <c r="EE18" s="228"/>
      <c r="EF18" s="228"/>
      <c r="EG18" s="228"/>
      <c r="EH18" s="228"/>
      <c r="EI18" s="228"/>
      <c r="EJ18" s="228"/>
      <c r="EK18" s="228"/>
      <c r="EL18" s="228"/>
      <c r="EM18" s="228"/>
      <c r="EN18" s="228"/>
      <c r="EO18" s="228"/>
      <c r="EP18" s="228"/>
      <c r="EQ18" s="228"/>
      <c r="ER18" s="228"/>
      <c r="ES18" s="228"/>
      <c r="ET18" s="228"/>
      <c r="EU18" s="228"/>
      <c r="EV18" s="228"/>
      <c r="EW18" s="228"/>
      <c r="EX18" s="228"/>
      <c r="EY18" s="228"/>
      <c r="EZ18" s="228"/>
      <c r="FA18" s="228"/>
      <c r="FB18" s="228"/>
      <c r="FC18" s="228"/>
      <c r="FD18" s="228"/>
      <c r="FE18" s="228"/>
      <c r="FF18" s="228"/>
      <c r="FG18" s="228"/>
      <c r="FH18" s="228"/>
      <c r="FI18" s="228"/>
      <c r="FJ18" s="228"/>
      <c r="FK18" s="228"/>
      <c r="FL18" s="228"/>
      <c r="FM18" s="228"/>
      <c r="FN18" s="228"/>
      <c r="FO18" s="228"/>
      <c r="FP18" s="228"/>
      <c r="FQ18" s="228"/>
      <c r="FR18" s="228"/>
      <c r="FS18" s="228"/>
      <c r="FT18" s="228"/>
      <c r="FU18" s="228"/>
      <c r="FV18" s="228"/>
      <c r="FW18" s="228"/>
      <c r="FX18" s="228"/>
      <c r="FY18" s="228"/>
      <c r="FZ18" s="228"/>
      <c r="GA18" s="228"/>
      <c r="GB18" s="228"/>
      <c r="GC18" s="228"/>
      <c r="GD18" s="228"/>
      <c r="GE18" s="228"/>
      <c r="GF18" s="228"/>
      <c r="GG18" s="228"/>
      <c r="GH18" s="228"/>
      <c r="GI18" s="228"/>
      <c r="GJ18" s="228"/>
      <c r="GK18" s="228"/>
      <c r="GL18" s="228"/>
      <c r="GM18" s="228"/>
      <c r="GN18" s="228"/>
      <c r="GO18" s="228"/>
      <c r="GP18" s="228"/>
      <c r="GQ18" s="228"/>
      <c r="GR18" s="228"/>
      <c r="GS18" s="228"/>
      <c r="GT18" s="228"/>
      <c r="GU18" s="228"/>
      <c r="GV18" s="228"/>
      <c r="GW18" s="228"/>
      <c r="GX18" s="228"/>
      <c r="GY18" s="228"/>
      <c r="GZ18" s="228"/>
      <c r="HA18" s="228"/>
      <c r="HB18" s="228"/>
      <c r="HC18" s="228"/>
      <c r="HD18" s="228"/>
      <c r="HE18" s="228"/>
      <c r="HF18" s="228"/>
      <c r="HG18" s="228"/>
      <c r="HH18" s="228"/>
      <c r="HI18" s="228"/>
      <c r="HJ18" s="228"/>
      <c r="HK18" s="228"/>
      <c r="HL18" s="228"/>
      <c r="HM18" s="228"/>
      <c r="HN18" s="228"/>
      <c r="HO18" s="228"/>
      <c r="HP18" s="228"/>
      <c r="HQ18" s="228"/>
      <c r="HR18" s="228"/>
      <c r="HS18" s="228"/>
      <c r="HT18" s="228"/>
      <c r="HU18" s="228"/>
      <c r="HV18" s="228"/>
      <c r="HW18" s="228"/>
      <c r="HX18" s="228"/>
      <c r="HY18" s="228"/>
      <c r="HZ18" s="228"/>
      <c r="IA18" s="228"/>
      <c r="IB18" s="228"/>
      <c r="IC18" s="228"/>
      <c r="ID18" s="228"/>
      <c r="IE18" s="228"/>
      <c r="IF18" s="228"/>
      <c r="IG18" s="228"/>
      <c r="IH18" s="228"/>
      <c r="II18" s="228"/>
      <c r="IJ18" s="228"/>
      <c r="IK18" s="228"/>
      <c r="IL18" s="228"/>
      <c r="IM18" s="228"/>
      <c r="IN18" s="228"/>
      <c r="IO18" s="228"/>
      <c r="IP18" s="228"/>
      <c r="IQ18" s="228"/>
      <c r="IR18" s="228"/>
      <c r="IS18" s="228"/>
      <c r="IT18" s="228"/>
      <c r="IU18" s="228"/>
      <c r="IV18" s="228"/>
    </row>
    <row r="19" spans="1:256" s="21" customFormat="1" hidden="1" x14ac:dyDescent="0.25">
      <c r="A19" s="13" t="s">
        <v>184</v>
      </c>
      <c r="B19" s="14">
        <v>43556</v>
      </c>
      <c r="C19" s="13">
        <v>393</v>
      </c>
      <c r="D19" s="13" t="s">
        <v>2340</v>
      </c>
      <c r="E19" s="32" t="s">
        <v>1121</v>
      </c>
      <c r="F19" s="4">
        <v>153600</v>
      </c>
      <c r="G19" s="28" t="s">
        <v>1493</v>
      </c>
      <c r="H19" s="14">
        <v>43525</v>
      </c>
      <c r="I19" s="4" t="s">
        <v>2342</v>
      </c>
      <c r="J19" s="76" t="s">
        <v>5800</v>
      </c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8"/>
      <c r="BN19" s="228"/>
      <c r="BO19" s="228"/>
      <c r="BP19" s="228"/>
      <c r="BQ19" s="228"/>
      <c r="BR19" s="228"/>
      <c r="BS19" s="228"/>
      <c r="BT19" s="228"/>
      <c r="BU19" s="228"/>
      <c r="BV19" s="228"/>
      <c r="BW19" s="228"/>
      <c r="BX19" s="228"/>
      <c r="BY19" s="228"/>
      <c r="BZ19" s="228"/>
      <c r="CA19" s="228"/>
      <c r="CB19" s="228"/>
      <c r="CC19" s="228"/>
      <c r="CD19" s="228"/>
      <c r="CE19" s="228"/>
      <c r="CF19" s="228"/>
      <c r="CG19" s="228"/>
      <c r="CH19" s="228"/>
      <c r="CI19" s="228"/>
      <c r="CJ19" s="228"/>
      <c r="CK19" s="228"/>
      <c r="CL19" s="228"/>
      <c r="CM19" s="228"/>
      <c r="CN19" s="228"/>
      <c r="CO19" s="228"/>
      <c r="CP19" s="228"/>
      <c r="CQ19" s="228"/>
      <c r="CR19" s="228"/>
      <c r="CS19" s="228"/>
      <c r="CT19" s="228"/>
      <c r="CU19" s="228"/>
      <c r="CV19" s="228"/>
      <c r="CW19" s="228"/>
      <c r="CX19" s="228"/>
      <c r="CY19" s="228"/>
      <c r="CZ19" s="228"/>
      <c r="DA19" s="228"/>
      <c r="DB19" s="228"/>
      <c r="DC19" s="228"/>
      <c r="DD19" s="228"/>
      <c r="DE19" s="228"/>
      <c r="DF19" s="228"/>
      <c r="DG19" s="228"/>
      <c r="DH19" s="228"/>
      <c r="DI19" s="228"/>
      <c r="DJ19" s="228"/>
      <c r="DK19" s="228"/>
      <c r="DL19" s="228"/>
      <c r="DM19" s="228"/>
      <c r="DN19" s="228"/>
      <c r="DO19" s="228"/>
      <c r="DP19" s="228"/>
      <c r="DQ19" s="228"/>
      <c r="DR19" s="228"/>
      <c r="DS19" s="228"/>
      <c r="DT19" s="228"/>
      <c r="DU19" s="228"/>
      <c r="DV19" s="228"/>
      <c r="DW19" s="228"/>
      <c r="DX19" s="228"/>
      <c r="DY19" s="228"/>
      <c r="DZ19" s="228"/>
      <c r="EA19" s="228"/>
      <c r="EB19" s="228"/>
      <c r="EC19" s="228"/>
      <c r="ED19" s="228"/>
      <c r="EE19" s="228"/>
      <c r="EF19" s="228"/>
      <c r="EG19" s="228"/>
      <c r="EH19" s="228"/>
      <c r="EI19" s="228"/>
      <c r="EJ19" s="228"/>
      <c r="EK19" s="228"/>
      <c r="EL19" s="228"/>
      <c r="EM19" s="228"/>
      <c r="EN19" s="228"/>
      <c r="EO19" s="228"/>
      <c r="EP19" s="228"/>
      <c r="EQ19" s="228"/>
      <c r="ER19" s="228"/>
      <c r="ES19" s="228"/>
      <c r="ET19" s="228"/>
      <c r="EU19" s="228"/>
      <c r="EV19" s="228"/>
      <c r="EW19" s="228"/>
      <c r="EX19" s="228"/>
      <c r="EY19" s="228"/>
      <c r="EZ19" s="228"/>
      <c r="FA19" s="228"/>
      <c r="FB19" s="228"/>
      <c r="FC19" s="228"/>
      <c r="FD19" s="228"/>
      <c r="FE19" s="228"/>
      <c r="FF19" s="228"/>
      <c r="FG19" s="228"/>
      <c r="FH19" s="228"/>
      <c r="FI19" s="228"/>
      <c r="FJ19" s="228"/>
      <c r="FK19" s="228"/>
      <c r="FL19" s="228"/>
      <c r="FM19" s="228"/>
      <c r="FN19" s="228"/>
      <c r="FO19" s="228"/>
      <c r="FP19" s="228"/>
      <c r="FQ19" s="228"/>
      <c r="FR19" s="228"/>
      <c r="FS19" s="228"/>
      <c r="FT19" s="228"/>
      <c r="FU19" s="228"/>
      <c r="FV19" s="228"/>
      <c r="FW19" s="228"/>
      <c r="FX19" s="228"/>
      <c r="FY19" s="228"/>
      <c r="FZ19" s="228"/>
      <c r="GA19" s="228"/>
      <c r="GB19" s="228"/>
      <c r="GC19" s="228"/>
      <c r="GD19" s="228"/>
      <c r="GE19" s="228"/>
      <c r="GF19" s="228"/>
      <c r="GG19" s="228"/>
      <c r="GH19" s="228"/>
      <c r="GI19" s="228"/>
      <c r="GJ19" s="228"/>
      <c r="GK19" s="228"/>
      <c r="GL19" s="228"/>
      <c r="GM19" s="228"/>
      <c r="GN19" s="228"/>
      <c r="GO19" s="228"/>
      <c r="GP19" s="228"/>
      <c r="GQ19" s="228"/>
      <c r="GR19" s="228"/>
      <c r="GS19" s="228"/>
      <c r="GT19" s="228"/>
      <c r="GU19" s="228"/>
      <c r="GV19" s="228"/>
      <c r="GW19" s="228"/>
      <c r="GX19" s="228"/>
      <c r="GY19" s="228"/>
      <c r="GZ19" s="228"/>
      <c r="HA19" s="228"/>
      <c r="HB19" s="228"/>
      <c r="HC19" s="228"/>
      <c r="HD19" s="228"/>
      <c r="HE19" s="228"/>
      <c r="HF19" s="228"/>
      <c r="HG19" s="228"/>
      <c r="HH19" s="228"/>
      <c r="HI19" s="228"/>
      <c r="HJ19" s="228"/>
      <c r="HK19" s="228"/>
      <c r="HL19" s="228"/>
      <c r="HM19" s="228"/>
      <c r="HN19" s="228"/>
      <c r="HO19" s="228"/>
      <c r="HP19" s="228"/>
      <c r="HQ19" s="228"/>
      <c r="HR19" s="228"/>
      <c r="HS19" s="228"/>
      <c r="HT19" s="228"/>
      <c r="HU19" s="228"/>
      <c r="HV19" s="228"/>
      <c r="HW19" s="228"/>
      <c r="HX19" s="228"/>
      <c r="HY19" s="228"/>
      <c r="HZ19" s="228"/>
      <c r="IA19" s="228"/>
      <c r="IB19" s="228"/>
      <c r="IC19" s="228"/>
      <c r="ID19" s="228"/>
      <c r="IE19" s="228"/>
      <c r="IF19" s="228"/>
      <c r="IG19" s="228"/>
      <c r="IH19" s="228"/>
      <c r="II19" s="228"/>
      <c r="IJ19" s="228"/>
      <c r="IK19" s="228"/>
      <c r="IL19" s="228"/>
      <c r="IM19" s="228"/>
      <c r="IN19" s="228"/>
      <c r="IO19" s="228"/>
      <c r="IP19" s="228"/>
      <c r="IQ19" s="228"/>
      <c r="IR19" s="228"/>
      <c r="IS19" s="228"/>
      <c r="IT19" s="228"/>
      <c r="IU19" s="228"/>
      <c r="IV19" s="228"/>
    </row>
    <row r="20" spans="1:256" s="21" customFormat="1" ht="27.6" hidden="1" x14ac:dyDescent="0.25">
      <c r="A20" s="13" t="s">
        <v>184</v>
      </c>
      <c r="B20" s="14">
        <v>43556</v>
      </c>
      <c r="C20" s="13">
        <v>383</v>
      </c>
      <c r="D20" s="13" t="s">
        <v>5844</v>
      </c>
      <c r="E20" s="32" t="s">
        <v>1121</v>
      </c>
      <c r="F20" s="4">
        <v>112500</v>
      </c>
      <c r="G20" s="28" t="s">
        <v>173</v>
      </c>
      <c r="H20" s="14">
        <v>43542</v>
      </c>
      <c r="I20" s="4" t="s">
        <v>795</v>
      </c>
      <c r="J20" s="125" t="s">
        <v>771</v>
      </c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  <c r="AZ20" s="228"/>
      <c r="BA20" s="228"/>
      <c r="BB20" s="228"/>
      <c r="BC20" s="228"/>
      <c r="BD20" s="228"/>
      <c r="BE20" s="228"/>
      <c r="BF20" s="228"/>
      <c r="BG20" s="228"/>
      <c r="BH20" s="228"/>
      <c r="BI20" s="228"/>
      <c r="BJ20" s="228"/>
      <c r="BK20" s="228"/>
      <c r="BL20" s="228"/>
      <c r="BM20" s="228"/>
      <c r="BN20" s="228"/>
      <c r="BO20" s="228"/>
      <c r="BP20" s="228"/>
      <c r="BQ20" s="228"/>
      <c r="BR20" s="228"/>
      <c r="BS20" s="228"/>
      <c r="BT20" s="228"/>
      <c r="BU20" s="228"/>
      <c r="BV20" s="228"/>
      <c r="BW20" s="228"/>
      <c r="BX20" s="228"/>
      <c r="BY20" s="228"/>
      <c r="BZ20" s="228"/>
      <c r="CA20" s="228"/>
      <c r="CB20" s="228"/>
      <c r="CC20" s="228"/>
      <c r="CD20" s="228"/>
      <c r="CE20" s="228"/>
      <c r="CF20" s="228"/>
      <c r="CG20" s="228"/>
      <c r="CH20" s="228"/>
      <c r="CI20" s="228"/>
      <c r="CJ20" s="228"/>
      <c r="CK20" s="228"/>
      <c r="CL20" s="228"/>
      <c r="CM20" s="228"/>
      <c r="CN20" s="228"/>
      <c r="CO20" s="228"/>
      <c r="CP20" s="228"/>
      <c r="CQ20" s="228"/>
      <c r="CR20" s="228"/>
      <c r="CS20" s="228"/>
      <c r="CT20" s="228"/>
      <c r="CU20" s="228"/>
      <c r="CV20" s="228"/>
      <c r="CW20" s="228"/>
      <c r="CX20" s="228"/>
      <c r="CY20" s="228"/>
      <c r="CZ20" s="228"/>
      <c r="DA20" s="228"/>
      <c r="DB20" s="228"/>
      <c r="DC20" s="228"/>
      <c r="DD20" s="228"/>
      <c r="DE20" s="228"/>
      <c r="DF20" s="228"/>
      <c r="DG20" s="228"/>
      <c r="DH20" s="228"/>
      <c r="DI20" s="228"/>
      <c r="DJ20" s="228"/>
      <c r="DK20" s="228"/>
      <c r="DL20" s="228"/>
      <c r="DM20" s="228"/>
      <c r="DN20" s="228"/>
      <c r="DO20" s="228"/>
      <c r="DP20" s="228"/>
      <c r="DQ20" s="228"/>
      <c r="DR20" s="228"/>
      <c r="DS20" s="228"/>
      <c r="DT20" s="228"/>
      <c r="DU20" s="228"/>
      <c r="DV20" s="228"/>
      <c r="DW20" s="228"/>
      <c r="DX20" s="228"/>
      <c r="DY20" s="228"/>
      <c r="DZ20" s="228"/>
      <c r="EA20" s="228"/>
      <c r="EB20" s="228"/>
      <c r="EC20" s="228"/>
      <c r="ED20" s="228"/>
      <c r="EE20" s="228"/>
      <c r="EF20" s="228"/>
      <c r="EG20" s="228"/>
      <c r="EH20" s="228"/>
      <c r="EI20" s="228"/>
      <c r="EJ20" s="228"/>
      <c r="EK20" s="228"/>
      <c r="EL20" s="228"/>
      <c r="EM20" s="228"/>
      <c r="EN20" s="228"/>
      <c r="EO20" s="228"/>
      <c r="EP20" s="228"/>
      <c r="EQ20" s="228"/>
      <c r="ER20" s="228"/>
      <c r="ES20" s="228"/>
      <c r="ET20" s="228"/>
      <c r="EU20" s="228"/>
      <c r="EV20" s="228"/>
      <c r="EW20" s="228"/>
      <c r="EX20" s="228"/>
      <c r="EY20" s="228"/>
      <c r="EZ20" s="228"/>
      <c r="FA20" s="228"/>
      <c r="FB20" s="228"/>
      <c r="FC20" s="228"/>
      <c r="FD20" s="228"/>
      <c r="FE20" s="228"/>
      <c r="FF20" s="228"/>
      <c r="FG20" s="228"/>
      <c r="FH20" s="228"/>
      <c r="FI20" s="228"/>
      <c r="FJ20" s="228"/>
      <c r="FK20" s="228"/>
      <c r="FL20" s="228"/>
      <c r="FM20" s="228"/>
      <c r="FN20" s="228"/>
      <c r="FO20" s="228"/>
      <c r="FP20" s="228"/>
      <c r="FQ20" s="228"/>
      <c r="FR20" s="228"/>
      <c r="FS20" s="228"/>
      <c r="FT20" s="228"/>
      <c r="FU20" s="228"/>
      <c r="FV20" s="228"/>
      <c r="FW20" s="228"/>
      <c r="FX20" s="228"/>
      <c r="FY20" s="228"/>
      <c r="FZ20" s="228"/>
      <c r="GA20" s="228"/>
      <c r="GB20" s="228"/>
      <c r="GC20" s="228"/>
      <c r="GD20" s="228"/>
      <c r="GE20" s="228"/>
      <c r="GF20" s="228"/>
      <c r="GG20" s="228"/>
      <c r="GH20" s="228"/>
      <c r="GI20" s="228"/>
      <c r="GJ20" s="228"/>
      <c r="GK20" s="228"/>
      <c r="GL20" s="228"/>
      <c r="GM20" s="228"/>
      <c r="GN20" s="228"/>
      <c r="GO20" s="228"/>
      <c r="GP20" s="228"/>
      <c r="GQ20" s="228"/>
      <c r="GR20" s="228"/>
      <c r="GS20" s="228"/>
      <c r="GT20" s="228"/>
      <c r="GU20" s="228"/>
      <c r="GV20" s="228"/>
      <c r="GW20" s="228"/>
      <c r="GX20" s="228"/>
      <c r="GY20" s="228"/>
      <c r="GZ20" s="228"/>
      <c r="HA20" s="228"/>
      <c r="HB20" s="228"/>
      <c r="HC20" s="228"/>
      <c r="HD20" s="228"/>
      <c r="HE20" s="228"/>
      <c r="HF20" s="228"/>
      <c r="HG20" s="228"/>
      <c r="HH20" s="228"/>
      <c r="HI20" s="228"/>
      <c r="HJ20" s="228"/>
      <c r="HK20" s="228"/>
      <c r="HL20" s="228"/>
      <c r="HM20" s="228"/>
      <c r="HN20" s="228"/>
      <c r="HO20" s="228"/>
      <c r="HP20" s="228"/>
      <c r="HQ20" s="228"/>
      <c r="HR20" s="228"/>
      <c r="HS20" s="228"/>
      <c r="HT20" s="228"/>
      <c r="HU20" s="228"/>
      <c r="HV20" s="228"/>
      <c r="HW20" s="228"/>
      <c r="HX20" s="228"/>
      <c r="HY20" s="228"/>
      <c r="HZ20" s="228"/>
      <c r="IA20" s="228"/>
      <c r="IB20" s="228"/>
      <c r="IC20" s="228"/>
      <c r="ID20" s="228"/>
      <c r="IE20" s="228"/>
      <c r="IF20" s="228"/>
      <c r="IG20" s="228"/>
      <c r="IH20" s="228"/>
      <c r="II20" s="228"/>
      <c r="IJ20" s="228"/>
      <c r="IK20" s="228"/>
      <c r="IL20" s="228"/>
      <c r="IM20" s="228"/>
      <c r="IN20" s="228"/>
      <c r="IO20" s="228"/>
      <c r="IP20" s="228"/>
      <c r="IQ20" s="228"/>
      <c r="IR20" s="228"/>
      <c r="IS20" s="228"/>
      <c r="IT20" s="228"/>
      <c r="IU20" s="228"/>
      <c r="IV20" s="228"/>
    </row>
    <row r="21" spans="1:256" s="21" customFormat="1" hidden="1" x14ac:dyDescent="0.25">
      <c r="A21" s="13" t="s">
        <v>184</v>
      </c>
      <c r="B21" s="14">
        <v>43556</v>
      </c>
      <c r="C21" s="13">
        <v>384</v>
      </c>
      <c r="D21" s="13" t="s">
        <v>491</v>
      </c>
      <c r="E21" s="32" t="s">
        <v>1121</v>
      </c>
      <c r="F21" s="4">
        <v>70000</v>
      </c>
      <c r="G21" s="28" t="s">
        <v>5784</v>
      </c>
      <c r="H21" s="14">
        <v>43536</v>
      </c>
      <c r="I21" s="4" t="s">
        <v>571</v>
      </c>
      <c r="J21" s="125">
        <v>43544</v>
      </c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8"/>
      <c r="BB21" s="228"/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BM21" s="228"/>
      <c r="BN21" s="228"/>
      <c r="BO21" s="228"/>
      <c r="BP21" s="228"/>
      <c r="BQ21" s="228"/>
      <c r="BR21" s="228"/>
      <c r="BS21" s="228"/>
      <c r="BT21" s="228"/>
      <c r="BU21" s="228"/>
      <c r="BV21" s="228"/>
      <c r="BW21" s="228"/>
      <c r="BX21" s="228"/>
      <c r="BY21" s="228"/>
      <c r="BZ21" s="228"/>
      <c r="CA21" s="228"/>
      <c r="CB21" s="228"/>
      <c r="CC21" s="228"/>
      <c r="CD21" s="228"/>
      <c r="CE21" s="228"/>
      <c r="CF21" s="228"/>
      <c r="CG21" s="228"/>
      <c r="CH21" s="228"/>
      <c r="CI21" s="228"/>
      <c r="CJ21" s="228"/>
      <c r="CK21" s="228"/>
      <c r="CL21" s="228"/>
      <c r="CM21" s="228"/>
      <c r="CN21" s="228"/>
      <c r="CO21" s="228"/>
      <c r="CP21" s="228"/>
      <c r="CQ21" s="228"/>
      <c r="CR21" s="228"/>
      <c r="CS21" s="228"/>
      <c r="CT21" s="228"/>
      <c r="CU21" s="228"/>
      <c r="CV21" s="228"/>
      <c r="CW21" s="228"/>
      <c r="CX21" s="228"/>
      <c r="CY21" s="228"/>
      <c r="CZ21" s="228"/>
      <c r="DA21" s="228"/>
      <c r="DB21" s="228"/>
      <c r="DC21" s="228"/>
      <c r="DD21" s="228"/>
      <c r="DE21" s="228"/>
      <c r="DF21" s="228"/>
      <c r="DG21" s="228"/>
      <c r="DH21" s="228"/>
      <c r="DI21" s="228"/>
      <c r="DJ21" s="228"/>
      <c r="DK21" s="228"/>
      <c r="DL21" s="228"/>
      <c r="DM21" s="228"/>
      <c r="DN21" s="228"/>
      <c r="DO21" s="228"/>
      <c r="DP21" s="228"/>
      <c r="DQ21" s="228"/>
      <c r="DR21" s="228"/>
      <c r="DS21" s="228"/>
      <c r="DT21" s="228"/>
      <c r="DU21" s="228"/>
      <c r="DV21" s="228"/>
      <c r="DW21" s="228"/>
      <c r="DX21" s="228"/>
      <c r="DY21" s="228"/>
      <c r="DZ21" s="228"/>
      <c r="EA21" s="228"/>
      <c r="EB21" s="228"/>
      <c r="EC21" s="228"/>
      <c r="ED21" s="228"/>
      <c r="EE21" s="228"/>
      <c r="EF21" s="228"/>
      <c r="EG21" s="228"/>
      <c r="EH21" s="228"/>
      <c r="EI21" s="228"/>
      <c r="EJ21" s="228"/>
      <c r="EK21" s="228"/>
      <c r="EL21" s="228"/>
      <c r="EM21" s="228"/>
      <c r="EN21" s="228"/>
      <c r="EO21" s="228"/>
      <c r="EP21" s="228"/>
      <c r="EQ21" s="228"/>
      <c r="ER21" s="228"/>
      <c r="ES21" s="228"/>
      <c r="ET21" s="228"/>
      <c r="EU21" s="228"/>
      <c r="EV21" s="228"/>
      <c r="EW21" s="228"/>
      <c r="EX21" s="228"/>
      <c r="EY21" s="228"/>
      <c r="EZ21" s="228"/>
      <c r="FA21" s="228"/>
      <c r="FB21" s="228"/>
      <c r="FC21" s="228"/>
      <c r="FD21" s="228"/>
      <c r="FE21" s="228"/>
      <c r="FF21" s="228"/>
      <c r="FG21" s="228"/>
      <c r="FH21" s="228"/>
      <c r="FI21" s="228"/>
      <c r="FJ21" s="228"/>
      <c r="FK21" s="228"/>
      <c r="FL21" s="228"/>
      <c r="FM21" s="228"/>
      <c r="FN21" s="228"/>
      <c r="FO21" s="228"/>
      <c r="FP21" s="228"/>
      <c r="FQ21" s="228"/>
      <c r="FR21" s="228"/>
      <c r="FS21" s="228"/>
      <c r="FT21" s="228"/>
      <c r="FU21" s="228"/>
      <c r="FV21" s="228"/>
      <c r="FW21" s="228"/>
      <c r="FX21" s="228"/>
      <c r="FY21" s="228"/>
      <c r="FZ21" s="228"/>
      <c r="GA21" s="228"/>
      <c r="GB21" s="228"/>
      <c r="GC21" s="228"/>
      <c r="GD21" s="228"/>
      <c r="GE21" s="228"/>
      <c r="GF21" s="228"/>
      <c r="GG21" s="228"/>
      <c r="GH21" s="228"/>
      <c r="GI21" s="228"/>
      <c r="GJ21" s="228"/>
      <c r="GK21" s="228"/>
      <c r="GL21" s="228"/>
      <c r="GM21" s="228"/>
      <c r="GN21" s="228"/>
      <c r="GO21" s="228"/>
      <c r="GP21" s="228"/>
      <c r="GQ21" s="228"/>
      <c r="GR21" s="228"/>
      <c r="GS21" s="228"/>
      <c r="GT21" s="228"/>
      <c r="GU21" s="228"/>
      <c r="GV21" s="228"/>
      <c r="GW21" s="228"/>
      <c r="GX21" s="228"/>
      <c r="GY21" s="228"/>
      <c r="GZ21" s="228"/>
      <c r="HA21" s="228"/>
      <c r="HB21" s="228"/>
      <c r="HC21" s="228"/>
      <c r="HD21" s="228"/>
      <c r="HE21" s="228"/>
      <c r="HF21" s="228"/>
      <c r="HG21" s="228"/>
      <c r="HH21" s="228"/>
      <c r="HI21" s="228"/>
      <c r="HJ21" s="228"/>
      <c r="HK21" s="228"/>
      <c r="HL21" s="228"/>
      <c r="HM21" s="228"/>
      <c r="HN21" s="228"/>
      <c r="HO21" s="228"/>
      <c r="HP21" s="228"/>
      <c r="HQ21" s="228"/>
      <c r="HR21" s="228"/>
      <c r="HS21" s="228"/>
      <c r="HT21" s="228"/>
      <c r="HU21" s="228"/>
      <c r="HV21" s="228"/>
      <c r="HW21" s="228"/>
      <c r="HX21" s="228"/>
      <c r="HY21" s="228"/>
      <c r="HZ21" s="228"/>
      <c r="IA21" s="228"/>
      <c r="IB21" s="228"/>
      <c r="IC21" s="228"/>
      <c r="ID21" s="228"/>
      <c r="IE21" s="228"/>
      <c r="IF21" s="228"/>
      <c r="IG21" s="228"/>
      <c r="IH21" s="228"/>
      <c r="II21" s="228"/>
      <c r="IJ21" s="228"/>
      <c r="IK21" s="228"/>
      <c r="IL21" s="228"/>
      <c r="IM21" s="228"/>
      <c r="IN21" s="228"/>
      <c r="IO21" s="228"/>
      <c r="IP21" s="228"/>
      <c r="IQ21" s="228"/>
      <c r="IR21" s="228"/>
      <c r="IS21" s="228"/>
      <c r="IT21" s="228"/>
      <c r="IU21" s="228"/>
      <c r="IV21" s="228"/>
    </row>
    <row r="22" spans="1:256" s="21" customFormat="1" ht="15" hidden="1" customHeight="1" x14ac:dyDescent="0.25">
      <c r="A22" s="13" t="s">
        <v>184</v>
      </c>
      <c r="B22" s="14">
        <v>43556</v>
      </c>
      <c r="C22" s="13">
        <v>385</v>
      </c>
      <c r="D22" s="13" t="s">
        <v>5803</v>
      </c>
      <c r="E22" s="32" t="s">
        <v>1121</v>
      </c>
      <c r="F22" s="4">
        <v>35366</v>
      </c>
      <c r="G22" s="28" t="s">
        <v>5804</v>
      </c>
      <c r="H22" s="14">
        <v>43546</v>
      </c>
      <c r="I22" s="4" t="s">
        <v>1890</v>
      </c>
      <c r="J22" s="125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8"/>
      <c r="AX22" s="228"/>
      <c r="AY22" s="228"/>
      <c r="AZ22" s="228"/>
      <c r="BA22" s="228"/>
      <c r="BB22" s="228"/>
      <c r="BC22" s="228"/>
      <c r="BD22" s="228"/>
      <c r="BE22" s="228"/>
      <c r="BF22" s="228"/>
      <c r="BG22" s="228"/>
      <c r="BH22" s="228"/>
      <c r="BI22" s="228"/>
      <c r="BJ22" s="228"/>
      <c r="BK22" s="228"/>
      <c r="BL22" s="228"/>
      <c r="BM22" s="228"/>
      <c r="BN22" s="228"/>
      <c r="BO22" s="228"/>
      <c r="BP22" s="228"/>
      <c r="BQ22" s="228"/>
      <c r="BR22" s="228"/>
      <c r="BS22" s="228"/>
      <c r="BT22" s="228"/>
      <c r="BU22" s="228"/>
      <c r="BV22" s="228"/>
      <c r="BW22" s="228"/>
      <c r="BX22" s="228"/>
      <c r="BY22" s="228"/>
      <c r="BZ22" s="228"/>
      <c r="CA22" s="228"/>
      <c r="CB22" s="228"/>
      <c r="CC22" s="228"/>
      <c r="CD22" s="228"/>
      <c r="CE22" s="228"/>
      <c r="CF22" s="228"/>
      <c r="CG22" s="228"/>
      <c r="CH22" s="228"/>
      <c r="CI22" s="228"/>
      <c r="CJ22" s="228"/>
      <c r="CK22" s="228"/>
      <c r="CL22" s="228"/>
      <c r="CM22" s="228"/>
      <c r="CN22" s="228"/>
      <c r="CO22" s="228"/>
      <c r="CP22" s="228"/>
      <c r="CQ22" s="228"/>
      <c r="CR22" s="228"/>
      <c r="CS22" s="228"/>
      <c r="CT22" s="228"/>
      <c r="CU22" s="228"/>
      <c r="CV22" s="228"/>
      <c r="CW22" s="228"/>
      <c r="CX22" s="228"/>
      <c r="CY22" s="228"/>
      <c r="CZ22" s="228"/>
      <c r="DA22" s="228"/>
      <c r="DB22" s="228"/>
      <c r="DC22" s="228"/>
      <c r="DD22" s="228"/>
      <c r="DE22" s="228"/>
      <c r="DF22" s="228"/>
      <c r="DG22" s="228"/>
      <c r="DH22" s="228"/>
      <c r="DI22" s="228"/>
      <c r="DJ22" s="228"/>
      <c r="DK22" s="228"/>
      <c r="DL22" s="228"/>
      <c r="DM22" s="228"/>
      <c r="DN22" s="228"/>
      <c r="DO22" s="228"/>
      <c r="DP22" s="228"/>
      <c r="DQ22" s="228"/>
      <c r="DR22" s="228"/>
      <c r="DS22" s="228"/>
      <c r="DT22" s="228"/>
      <c r="DU22" s="228"/>
      <c r="DV22" s="228"/>
      <c r="DW22" s="228"/>
      <c r="DX22" s="228"/>
      <c r="DY22" s="228"/>
      <c r="DZ22" s="228"/>
      <c r="EA22" s="228"/>
      <c r="EB22" s="228"/>
      <c r="EC22" s="228"/>
      <c r="ED22" s="228"/>
      <c r="EE22" s="228"/>
      <c r="EF22" s="228"/>
      <c r="EG22" s="228"/>
      <c r="EH22" s="228"/>
      <c r="EI22" s="228"/>
      <c r="EJ22" s="228"/>
      <c r="EK22" s="228"/>
      <c r="EL22" s="228"/>
      <c r="EM22" s="228"/>
      <c r="EN22" s="228"/>
      <c r="EO22" s="228"/>
      <c r="EP22" s="228"/>
      <c r="EQ22" s="228"/>
      <c r="ER22" s="228"/>
      <c r="ES22" s="228"/>
      <c r="ET22" s="228"/>
      <c r="EU22" s="228"/>
      <c r="EV22" s="228"/>
      <c r="EW22" s="228"/>
      <c r="EX22" s="228"/>
      <c r="EY22" s="228"/>
      <c r="EZ22" s="228"/>
      <c r="FA22" s="228"/>
      <c r="FB22" s="228"/>
      <c r="FC22" s="228"/>
      <c r="FD22" s="228"/>
      <c r="FE22" s="228"/>
      <c r="FF22" s="228"/>
      <c r="FG22" s="228"/>
      <c r="FH22" s="228"/>
      <c r="FI22" s="228"/>
      <c r="FJ22" s="228"/>
      <c r="FK22" s="228"/>
      <c r="FL22" s="228"/>
      <c r="FM22" s="228"/>
      <c r="FN22" s="228"/>
      <c r="FO22" s="228"/>
      <c r="FP22" s="228"/>
      <c r="FQ22" s="228"/>
      <c r="FR22" s="228"/>
      <c r="FS22" s="228"/>
      <c r="FT22" s="228"/>
      <c r="FU22" s="228"/>
      <c r="FV22" s="228"/>
      <c r="FW22" s="228"/>
      <c r="FX22" s="228"/>
      <c r="FY22" s="228"/>
      <c r="FZ22" s="228"/>
      <c r="GA22" s="228"/>
      <c r="GB22" s="228"/>
      <c r="GC22" s="228"/>
      <c r="GD22" s="228"/>
      <c r="GE22" s="228"/>
      <c r="GF22" s="228"/>
      <c r="GG22" s="228"/>
      <c r="GH22" s="228"/>
      <c r="GI22" s="228"/>
      <c r="GJ22" s="228"/>
      <c r="GK22" s="228"/>
      <c r="GL22" s="228"/>
      <c r="GM22" s="228"/>
      <c r="GN22" s="228"/>
      <c r="GO22" s="228"/>
      <c r="GP22" s="228"/>
      <c r="GQ22" s="228"/>
      <c r="GR22" s="228"/>
      <c r="GS22" s="228"/>
      <c r="GT22" s="228"/>
      <c r="GU22" s="228"/>
      <c r="GV22" s="228"/>
      <c r="GW22" s="228"/>
      <c r="GX22" s="228"/>
      <c r="GY22" s="228"/>
      <c r="GZ22" s="228"/>
      <c r="HA22" s="228"/>
      <c r="HB22" s="228"/>
      <c r="HC22" s="228"/>
      <c r="HD22" s="228"/>
      <c r="HE22" s="228"/>
      <c r="HF22" s="228"/>
      <c r="HG22" s="228"/>
      <c r="HH22" s="228"/>
      <c r="HI22" s="228"/>
      <c r="HJ22" s="228"/>
      <c r="HK22" s="228"/>
      <c r="HL22" s="228"/>
      <c r="HM22" s="228"/>
      <c r="HN22" s="228"/>
      <c r="HO22" s="228"/>
      <c r="HP22" s="228"/>
      <c r="HQ22" s="228"/>
      <c r="HR22" s="228"/>
      <c r="HS22" s="228"/>
      <c r="HT22" s="228"/>
      <c r="HU22" s="228"/>
      <c r="HV22" s="228"/>
      <c r="HW22" s="228"/>
      <c r="HX22" s="228"/>
      <c r="HY22" s="228"/>
      <c r="HZ22" s="228"/>
      <c r="IA22" s="228"/>
      <c r="IB22" s="228"/>
      <c r="IC22" s="228"/>
      <c r="ID22" s="228"/>
      <c r="IE22" s="228"/>
      <c r="IF22" s="228"/>
      <c r="IG22" s="228"/>
      <c r="IH22" s="228"/>
      <c r="II22" s="228"/>
      <c r="IJ22" s="228"/>
      <c r="IK22" s="228"/>
      <c r="IL22" s="228"/>
      <c r="IM22" s="228"/>
      <c r="IN22" s="228"/>
      <c r="IO22" s="228"/>
      <c r="IP22" s="228"/>
      <c r="IQ22" s="228"/>
      <c r="IR22" s="228"/>
      <c r="IS22" s="228"/>
      <c r="IT22" s="228"/>
      <c r="IU22" s="228"/>
      <c r="IV22" s="228"/>
    </row>
    <row r="23" spans="1:256" s="21" customFormat="1" ht="14.4" hidden="1" customHeight="1" x14ac:dyDescent="0.25">
      <c r="A23" s="13" t="s">
        <v>184</v>
      </c>
      <c r="B23" s="14">
        <v>43556</v>
      </c>
      <c r="C23" s="13">
        <v>390</v>
      </c>
      <c r="D23" s="13" t="s">
        <v>645</v>
      </c>
      <c r="E23" s="32" t="s">
        <v>1121</v>
      </c>
      <c r="F23" s="4">
        <v>104832</v>
      </c>
      <c r="G23" s="28" t="s">
        <v>5788</v>
      </c>
      <c r="H23" s="14">
        <v>43538</v>
      </c>
      <c r="I23" s="4" t="s">
        <v>646</v>
      </c>
      <c r="J23" s="125" t="s">
        <v>5789</v>
      </c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  <c r="BC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228"/>
      <c r="BO23" s="228"/>
      <c r="BP23" s="228"/>
      <c r="BQ23" s="228"/>
      <c r="BR23" s="228"/>
      <c r="BS23" s="228"/>
      <c r="BT23" s="228"/>
      <c r="BU23" s="228"/>
      <c r="BV23" s="228"/>
      <c r="BW23" s="228"/>
      <c r="BX23" s="228"/>
      <c r="BY23" s="228"/>
      <c r="BZ23" s="228"/>
      <c r="CA23" s="228"/>
      <c r="CB23" s="228"/>
      <c r="CC23" s="228"/>
      <c r="CD23" s="228"/>
      <c r="CE23" s="228"/>
      <c r="CF23" s="228"/>
      <c r="CG23" s="228"/>
      <c r="CH23" s="228"/>
      <c r="CI23" s="228"/>
      <c r="CJ23" s="228"/>
      <c r="CK23" s="228"/>
      <c r="CL23" s="228"/>
      <c r="CM23" s="228"/>
      <c r="CN23" s="228"/>
      <c r="CO23" s="228"/>
      <c r="CP23" s="228"/>
      <c r="CQ23" s="228"/>
      <c r="CR23" s="228"/>
      <c r="CS23" s="228"/>
      <c r="CT23" s="228"/>
      <c r="CU23" s="228"/>
      <c r="CV23" s="228"/>
      <c r="CW23" s="228"/>
      <c r="CX23" s="228"/>
      <c r="CY23" s="228"/>
      <c r="CZ23" s="228"/>
      <c r="DA23" s="228"/>
      <c r="DB23" s="228"/>
      <c r="DC23" s="228"/>
      <c r="DD23" s="228"/>
      <c r="DE23" s="228"/>
      <c r="DF23" s="228"/>
      <c r="DG23" s="228"/>
      <c r="DH23" s="228"/>
      <c r="DI23" s="228"/>
      <c r="DJ23" s="228"/>
      <c r="DK23" s="228"/>
      <c r="DL23" s="228"/>
      <c r="DM23" s="228"/>
      <c r="DN23" s="228"/>
      <c r="DO23" s="228"/>
      <c r="DP23" s="228"/>
      <c r="DQ23" s="228"/>
      <c r="DR23" s="228"/>
      <c r="DS23" s="228"/>
      <c r="DT23" s="228"/>
      <c r="DU23" s="228"/>
      <c r="DV23" s="228"/>
      <c r="DW23" s="228"/>
      <c r="DX23" s="228"/>
      <c r="DY23" s="228"/>
      <c r="DZ23" s="228"/>
      <c r="EA23" s="228"/>
      <c r="EB23" s="228"/>
      <c r="EC23" s="228"/>
      <c r="ED23" s="228"/>
      <c r="EE23" s="228"/>
      <c r="EF23" s="228"/>
      <c r="EG23" s="228"/>
      <c r="EH23" s="228"/>
      <c r="EI23" s="228"/>
      <c r="EJ23" s="228"/>
      <c r="EK23" s="228"/>
      <c r="EL23" s="228"/>
      <c r="EM23" s="228"/>
      <c r="EN23" s="228"/>
      <c r="EO23" s="228"/>
      <c r="EP23" s="228"/>
      <c r="EQ23" s="228"/>
      <c r="ER23" s="228"/>
      <c r="ES23" s="228"/>
      <c r="ET23" s="228"/>
      <c r="EU23" s="228"/>
      <c r="EV23" s="228"/>
      <c r="EW23" s="228"/>
      <c r="EX23" s="228"/>
      <c r="EY23" s="228"/>
      <c r="EZ23" s="228"/>
      <c r="FA23" s="228"/>
      <c r="FB23" s="228"/>
      <c r="FC23" s="228"/>
      <c r="FD23" s="228"/>
      <c r="FE23" s="228"/>
      <c r="FF23" s="228"/>
      <c r="FG23" s="228"/>
      <c r="FH23" s="228"/>
      <c r="FI23" s="228"/>
      <c r="FJ23" s="228"/>
      <c r="FK23" s="228"/>
      <c r="FL23" s="228"/>
      <c r="FM23" s="228"/>
      <c r="FN23" s="228"/>
      <c r="FO23" s="228"/>
      <c r="FP23" s="228"/>
      <c r="FQ23" s="228"/>
      <c r="FR23" s="228"/>
      <c r="FS23" s="228"/>
      <c r="FT23" s="228"/>
      <c r="FU23" s="228"/>
      <c r="FV23" s="228"/>
      <c r="FW23" s="228"/>
      <c r="FX23" s="228"/>
      <c r="FY23" s="228"/>
      <c r="FZ23" s="228"/>
      <c r="GA23" s="228"/>
      <c r="GB23" s="228"/>
      <c r="GC23" s="228"/>
      <c r="GD23" s="228"/>
      <c r="GE23" s="228"/>
      <c r="GF23" s="228"/>
      <c r="GG23" s="228"/>
      <c r="GH23" s="228"/>
      <c r="GI23" s="228"/>
      <c r="GJ23" s="228"/>
      <c r="GK23" s="228"/>
      <c r="GL23" s="228"/>
      <c r="GM23" s="228"/>
      <c r="GN23" s="228"/>
      <c r="GO23" s="228"/>
      <c r="GP23" s="228"/>
      <c r="GQ23" s="228"/>
      <c r="GR23" s="228"/>
      <c r="GS23" s="228"/>
      <c r="GT23" s="228"/>
      <c r="GU23" s="228"/>
      <c r="GV23" s="228"/>
      <c r="GW23" s="228"/>
      <c r="GX23" s="228"/>
      <c r="GY23" s="228"/>
      <c r="GZ23" s="228"/>
      <c r="HA23" s="228"/>
      <c r="HB23" s="228"/>
      <c r="HC23" s="228"/>
      <c r="HD23" s="228"/>
      <c r="HE23" s="228"/>
      <c r="HF23" s="228"/>
      <c r="HG23" s="228"/>
      <c r="HH23" s="228"/>
      <c r="HI23" s="228"/>
      <c r="HJ23" s="228"/>
      <c r="HK23" s="228"/>
      <c r="HL23" s="228"/>
      <c r="HM23" s="228"/>
      <c r="HN23" s="228"/>
      <c r="HO23" s="228"/>
      <c r="HP23" s="228"/>
      <c r="HQ23" s="228"/>
      <c r="HR23" s="228"/>
      <c r="HS23" s="228"/>
      <c r="HT23" s="228"/>
      <c r="HU23" s="228"/>
      <c r="HV23" s="228"/>
      <c r="HW23" s="228"/>
      <c r="HX23" s="228"/>
      <c r="HY23" s="228"/>
      <c r="HZ23" s="228"/>
      <c r="IA23" s="228"/>
      <c r="IB23" s="228"/>
      <c r="IC23" s="228"/>
      <c r="ID23" s="228"/>
      <c r="IE23" s="228"/>
      <c r="IF23" s="228"/>
      <c r="IG23" s="228"/>
      <c r="IH23" s="228"/>
      <c r="II23" s="228"/>
      <c r="IJ23" s="228"/>
      <c r="IK23" s="228"/>
      <c r="IL23" s="228"/>
      <c r="IM23" s="228"/>
      <c r="IN23" s="228"/>
      <c r="IO23" s="228"/>
      <c r="IP23" s="228"/>
      <c r="IQ23" s="228"/>
      <c r="IR23" s="228"/>
      <c r="IS23" s="228"/>
      <c r="IT23" s="228"/>
      <c r="IU23" s="228"/>
      <c r="IV23" s="228"/>
    </row>
    <row r="24" spans="1:256" s="21" customFormat="1" ht="15" hidden="1" customHeight="1" x14ac:dyDescent="0.25">
      <c r="A24" s="13" t="s">
        <v>184</v>
      </c>
      <c r="B24" s="14">
        <v>43556</v>
      </c>
      <c r="C24" s="13">
        <v>390</v>
      </c>
      <c r="D24" s="13" t="s">
        <v>645</v>
      </c>
      <c r="E24" s="32" t="s">
        <v>1121</v>
      </c>
      <c r="F24" s="4">
        <v>127944</v>
      </c>
      <c r="G24" s="28" t="s">
        <v>5790</v>
      </c>
      <c r="H24" s="14">
        <v>43538</v>
      </c>
      <c r="I24" s="4" t="s">
        <v>648</v>
      </c>
      <c r="J24" s="125" t="s">
        <v>5789</v>
      </c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  <c r="AA24" s="228"/>
      <c r="AB24" s="228"/>
      <c r="AC24" s="228"/>
      <c r="AD24" s="228"/>
      <c r="AE24" s="228"/>
      <c r="AF24" s="228"/>
      <c r="AG24" s="228"/>
      <c r="AH24" s="228"/>
      <c r="AI24" s="228"/>
      <c r="AJ24" s="228"/>
      <c r="AK24" s="228"/>
      <c r="AL24" s="228"/>
      <c r="AM24" s="228"/>
      <c r="AN24" s="228"/>
      <c r="AO24" s="228"/>
      <c r="AP24" s="228"/>
      <c r="AQ24" s="228"/>
      <c r="AR24" s="228"/>
      <c r="AS24" s="228"/>
      <c r="AT24" s="228"/>
      <c r="AU24" s="228"/>
      <c r="AV24" s="228"/>
      <c r="AW24" s="228"/>
      <c r="AX24" s="228"/>
      <c r="AY24" s="228"/>
      <c r="AZ24" s="228"/>
      <c r="BA24" s="228"/>
      <c r="BB24" s="228"/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228"/>
      <c r="BP24" s="228"/>
      <c r="BQ24" s="228"/>
      <c r="BR24" s="228"/>
      <c r="BS24" s="228"/>
      <c r="BT24" s="228"/>
      <c r="BU24" s="228"/>
      <c r="BV24" s="228"/>
      <c r="BW24" s="228"/>
      <c r="BX24" s="228"/>
      <c r="BY24" s="228"/>
      <c r="BZ24" s="228"/>
      <c r="CA24" s="228"/>
      <c r="CB24" s="228"/>
      <c r="CC24" s="228"/>
      <c r="CD24" s="228"/>
      <c r="CE24" s="228"/>
      <c r="CF24" s="228"/>
      <c r="CG24" s="228"/>
      <c r="CH24" s="228"/>
      <c r="CI24" s="228"/>
      <c r="CJ24" s="228"/>
      <c r="CK24" s="228"/>
      <c r="CL24" s="228"/>
      <c r="CM24" s="228"/>
      <c r="CN24" s="228"/>
      <c r="CO24" s="228"/>
      <c r="CP24" s="228"/>
      <c r="CQ24" s="228"/>
      <c r="CR24" s="228"/>
      <c r="CS24" s="228"/>
      <c r="CT24" s="228"/>
      <c r="CU24" s="228"/>
      <c r="CV24" s="228"/>
      <c r="CW24" s="228"/>
      <c r="CX24" s="228"/>
      <c r="CY24" s="228"/>
      <c r="CZ24" s="228"/>
      <c r="DA24" s="228"/>
      <c r="DB24" s="228"/>
      <c r="DC24" s="228"/>
      <c r="DD24" s="228"/>
      <c r="DE24" s="228"/>
      <c r="DF24" s="228"/>
      <c r="DG24" s="228"/>
      <c r="DH24" s="228"/>
      <c r="DI24" s="228"/>
      <c r="DJ24" s="228"/>
      <c r="DK24" s="228"/>
      <c r="DL24" s="228"/>
      <c r="DM24" s="228"/>
      <c r="DN24" s="228"/>
      <c r="DO24" s="228"/>
      <c r="DP24" s="228"/>
      <c r="DQ24" s="228"/>
      <c r="DR24" s="228"/>
      <c r="DS24" s="228"/>
      <c r="DT24" s="228"/>
      <c r="DU24" s="228"/>
      <c r="DV24" s="228"/>
      <c r="DW24" s="228"/>
      <c r="DX24" s="228"/>
      <c r="DY24" s="228"/>
      <c r="DZ24" s="228"/>
      <c r="EA24" s="228"/>
      <c r="EB24" s="228"/>
      <c r="EC24" s="228"/>
      <c r="ED24" s="228"/>
      <c r="EE24" s="228"/>
      <c r="EF24" s="228"/>
      <c r="EG24" s="228"/>
      <c r="EH24" s="228"/>
      <c r="EI24" s="228"/>
      <c r="EJ24" s="228"/>
      <c r="EK24" s="228"/>
      <c r="EL24" s="228"/>
      <c r="EM24" s="228"/>
      <c r="EN24" s="228"/>
      <c r="EO24" s="228"/>
      <c r="EP24" s="228"/>
      <c r="EQ24" s="228"/>
      <c r="ER24" s="228"/>
      <c r="ES24" s="228"/>
      <c r="ET24" s="228"/>
      <c r="EU24" s="228"/>
      <c r="EV24" s="228"/>
      <c r="EW24" s="228"/>
      <c r="EX24" s="228"/>
      <c r="EY24" s="228"/>
      <c r="EZ24" s="228"/>
      <c r="FA24" s="228"/>
      <c r="FB24" s="228"/>
      <c r="FC24" s="228"/>
      <c r="FD24" s="228"/>
      <c r="FE24" s="228"/>
      <c r="FF24" s="228"/>
      <c r="FG24" s="228"/>
      <c r="FH24" s="228"/>
      <c r="FI24" s="228"/>
      <c r="FJ24" s="228"/>
      <c r="FK24" s="228"/>
      <c r="FL24" s="228"/>
      <c r="FM24" s="228"/>
      <c r="FN24" s="228"/>
      <c r="FO24" s="228"/>
      <c r="FP24" s="228"/>
      <c r="FQ24" s="228"/>
      <c r="FR24" s="228"/>
      <c r="FS24" s="228"/>
      <c r="FT24" s="228"/>
      <c r="FU24" s="228"/>
      <c r="FV24" s="228"/>
      <c r="FW24" s="228"/>
      <c r="FX24" s="228"/>
      <c r="FY24" s="228"/>
      <c r="FZ24" s="228"/>
      <c r="GA24" s="228"/>
      <c r="GB24" s="228"/>
      <c r="GC24" s="228"/>
      <c r="GD24" s="228"/>
      <c r="GE24" s="228"/>
      <c r="GF24" s="228"/>
      <c r="GG24" s="228"/>
      <c r="GH24" s="228"/>
      <c r="GI24" s="228"/>
      <c r="GJ24" s="228"/>
      <c r="GK24" s="228"/>
      <c r="GL24" s="228"/>
      <c r="GM24" s="228"/>
      <c r="GN24" s="228"/>
      <c r="GO24" s="228"/>
      <c r="GP24" s="228"/>
      <c r="GQ24" s="228"/>
      <c r="GR24" s="228"/>
      <c r="GS24" s="228"/>
      <c r="GT24" s="228"/>
      <c r="GU24" s="228"/>
      <c r="GV24" s="228"/>
      <c r="GW24" s="228"/>
      <c r="GX24" s="228"/>
      <c r="GY24" s="228"/>
      <c r="GZ24" s="228"/>
      <c r="HA24" s="228"/>
      <c r="HB24" s="228"/>
      <c r="HC24" s="228"/>
      <c r="HD24" s="228"/>
      <c r="HE24" s="228"/>
      <c r="HF24" s="228"/>
      <c r="HG24" s="228"/>
      <c r="HH24" s="228"/>
      <c r="HI24" s="228"/>
      <c r="HJ24" s="228"/>
      <c r="HK24" s="228"/>
      <c r="HL24" s="228"/>
      <c r="HM24" s="228"/>
      <c r="HN24" s="228"/>
      <c r="HO24" s="228"/>
      <c r="HP24" s="228"/>
      <c r="HQ24" s="228"/>
      <c r="HR24" s="228"/>
      <c r="HS24" s="228"/>
      <c r="HT24" s="228"/>
      <c r="HU24" s="228"/>
      <c r="HV24" s="228"/>
      <c r="HW24" s="228"/>
      <c r="HX24" s="228"/>
      <c r="HY24" s="228"/>
      <c r="HZ24" s="228"/>
      <c r="IA24" s="228"/>
      <c r="IB24" s="228"/>
      <c r="IC24" s="228"/>
      <c r="ID24" s="228"/>
      <c r="IE24" s="228"/>
      <c r="IF24" s="228"/>
      <c r="IG24" s="228"/>
      <c r="IH24" s="228"/>
      <c r="II24" s="228"/>
      <c r="IJ24" s="228"/>
      <c r="IK24" s="228"/>
      <c r="IL24" s="228"/>
      <c r="IM24" s="228"/>
      <c r="IN24" s="228"/>
      <c r="IO24" s="228"/>
      <c r="IP24" s="228"/>
      <c r="IQ24" s="228"/>
      <c r="IR24" s="228"/>
      <c r="IS24" s="228"/>
      <c r="IT24" s="228"/>
      <c r="IU24" s="228"/>
      <c r="IV24" s="228"/>
    </row>
    <row r="25" spans="1:256" s="21" customFormat="1" ht="15" hidden="1" customHeight="1" x14ac:dyDescent="0.25">
      <c r="A25" s="13" t="s">
        <v>184</v>
      </c>
      <c r="B25" s="14">
        <v>43556</v>
      </c>
      <c r="C25" s="13">
        <v>390</v>
      </c>
      <c r="D25" s="13" t="s">
        <v>645</v>
      </c>
      <c r="E25" s="32" t="s">
        <v>1121</v>
      </c>
      <c r="F25" s="4">
        <v>161532</v>
      </c>
      <c r="G25" s="28" t="s">
        <v>5791</v>
      </c>
      <c r="H25" s="14">
        <v>43538</v>
      </c>
      <c r="I25" s="4" t="s">
        <v>649</v>
      </c>
      <c r="J25" s="125" t="s">
        <v>5789</v>
      </c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  <c r="AC25" s="228"/>
      <c r="AD25" s="228"/>
      <c r="AE25" s="228"/>
      <c r="AF25" s="228"/>
      <c r="AG25" s="228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8"/>
      <c r="AU25" s="228"/>
      <c r="AV25" s="228"/>
      <c r="AW25" s="228"/>
      <c r="AX25" s="228"/>
      <c r="AY25" s="228"/>
      <c r="AZ25" s="228"/>
      <c r="BA25" s="228"/>
      <c r="BB25" s="228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28"/>
      <c r="BS25" s="228"/>
      <c r="BT25" s="228"/>
      <c r="BU25" s="228"/>
      <c r="BV25" s="228"/>
      <c r="BW25" s="228"/>
      <c r="BX25" s="228"/>
      <c r="BY25" s="228"/>
      <c r="BZ25" s="228"/>
      <c r="CA25" s="228"/>
      <c r="CB25" s="228"/>
      <c r="CC25" s="228"/>
      <c r="CD25" s="228"/>
      <c r="CE25" s="228"/>
      <c r="CF25" s="228"/>
      <c r="CG25" s="228"/>
      <c r="CH25" s="228"/>
      <c r="CI25" s="228"/>
      <c r="CJ25" s="228"/>
      <c r="CK25" s="228"/>
      <c r="CL25" s="228"/>
      <c r="CM25" s="228"/>
      <c r="CN25" s="228"/>
      <c r="CO25" s="228"/>
      <c r="CP25" s="228"/>
      <c r="CQ25" s="228"/>
      <c r="CR25" s="228"/>
      <c r="CS25" s="228"/>
      <c r="CT25" s="228"/>
      <c r="CU25" s="228"/>
      <c r="CV25" s="228"/>
      <c r="CW25" s="228"/>
      <c r="CX25" s="228"/>
      <c r="CY25" s="228"/>
      <c r="CZ25" s="228"/>
      <c r="DA25" s="228"/>
      <c r="DB25" s="228"/>
      <c r="DC25" s="228"/>
      <c r="DD25" s="228"/>
      <c r="DE25" s="228"/>
      <c r="DF25" s="228"/>
      <c r="DG25" s="228"/>
      <c r="DH25" s="228"/>
      <c r="DI25" s="228"/>
      <c r="DJ25" s="228"/>
      <c r="DK25" s="228"/>
      <c r="DL25" s="228"/>
      <c r="DM25" s="228"/>
      <c r="DN25" s="228"/>
      <c r="DO25" s="228"/>
      <c r="DP25" s="228"/>
      <c r="DQ25" s="228"/>
      <c r="DR25" s="228"/>
      <c r="DS25" s="228"/>
      <c r="DT25" s="228"/>
      <c r="DU25" s="228"/>
      <c r="DV25" s="228"/>
      <c r="DW25" s="228"/>
      <c r="DX25" s="228"/>
      <c r="DY25" s="228"/>
      <c r="DZ25" s="228"/>
      <c r="EA25" s="228"/>
      <c r="EB25" s="228"/>
      <c r="EC25" s="228"/>
      <c r="ED25" s="228"/>
      <c r="EE25" s="228"/>
      <c r="EF25" s="228"/>
      <c r="EG25" s="228"/>
      <c r="EH25" s="228"/>
      <c r="EI25" s="228"/>
      <c r="EJ25" s="228"/>
      <c r="EK25" s="228"/>
      <c r="EL25" s="228"/>
      <c r="EM25" s="228"/>
      <c r="EN25" s="228"/>
      <c r="EO25" s="228"/>
      <c r="EP25" s="228"/>
      <c r="EQ25" s="228"/>
      <c r="ER25" s="228"/>
      <c r="ES25" s="228"/>
      <c r="ET25" s="228"/>
      <c r="EU25" s="228"/>
      <c r="EV25" s="228"/>
      <c r="EW25" s="228"/>
      <c r="EX25" s="228"/>
      <c r="EY25" s="228"/>
      <c r="EZ25" s="228"/>
      <c r="FA25" s="228"/>
      <c r="FB25" s="228"/>
      <c r="FC25" s="228"/>
      <c r="FD25" s="228"/>
      <c r="FE25" s="228"/>
      <c r="FF25" s="228"/>
      <c r="FG25" s="228"/>
      <c r="FH25" s="228"/>
      <c r="FI25" s="228"/>
      <c r="FJ25" s="228"/>
      <c r="FK25" s="228"/>
      <c r="FL25" s="228"/>
      <c r="FM25" s="228"/>
      <c r="FN25" s="228"/>
      <c r="FO25" s="228"/>
      <c r="FP25" s="228"/>
      <c r="FQ25" s="228"/>
      <c r="FR25" s="228"/>
      <c r="FS25" s="228"/>
      <c r="FT25" s="228"/>
      <c r="FU25" s="228"/>
      <c r="FV25" s="228"/>
      <c r="FW25" s="228"/>
      <c r="FX25" s="228"/>
      <c r="FY25" s="228"/>
      <c r="FZ25" s="228"/>
      <c r="GA25" s="228"/>
      <c r="GB25" s="228"/>
      <c r="GC25" s="228"/>
      <c r="GD25" s="228"/>
      <c r="GE25" s="228"/>
      <c r="GF25" s="228"/>
      <c r="GG25" s="228"/>
      <c r="GH25" s="228"/>
      <c r="GI25" s="228"/>
      <c r="GJ25" s="228"/>
      <c r="GK25" s="228"/>
      <c r="GL25" s="228"/>
      <c r="GM25" s="228"/>
      <c r="GN25" s="228"/>
      <c r="GO25" s="228"/>
      <c r="GP25" s="228"/>
      <c r="GQ25" s="228"/>
      <c r="GR25" s="228"/>
      <c r="GS25" s="228"/>
      <c r="GT25" s="228"/>
      <c r="GU25" s="228"/>
      <c r="GV25" s="228"/>
      <c r="GW25" s="228"/>
      <c r="GX25" s="228"/>
      <c r="GY25" s="228"/>
      <c r="GZ25" s="228"/>
      <c r="HA25" s="228"/>
      <c r="HB25" s="228"/>
      <c r="HC25" s="228"/>
      <c r="HD25" s="228"/>
      <c r="HE25" s="228"/>
      <c r="HF25" s="228"/>
      <c r="HG25" s="228"/>
      <c r="HH25" s="228"/>
      <c r="HI25" s="228"/>
      <c r="HJ25" s="228"/>
      <c r="HK25" s="228"/>
      <c r="HL25" s="228"/>
      <c r="HM25" s="228"/>
      <c r="HN25" s="228"/>
      <c r="HO25" s="228"/>
      <c r="HP25" s="228"/>
      <c r="HQ25" s="228"/>
      <c r="HR25" s="228"/>
      <c r="HS25" s="228"/>
      <c r="HT25" s="228"/>
      <c r="HU25" s="228"/>
      <c r="HV25" s="228"/>
      <c r="HW25" s="228"/>
      <c r="HX25" s="228"/>
      <c r="HY25" s="228"/>
      <c r="HZ25" s="228"/>
      <c r="IA25" s="228"/>
      <c r="IB25" s="228"/>
      <c r="IC25" s="228"/>
      <c r="ID25" s="228"/>
      <c r="IE25" s="228"/>
      <c r="IF25" s="228"/>
      <c r="IG25" s="228"/>
      <c r="IH25" s="228"/>
      <c r="II25" s="228"/>
      <c r="IJ25" s="228"/>
      <c r="IK25" s="228"/>
      <c r="IL25" s="228"/>
      <c r="IM25" s="228"/>
      <c r="IN25" s="228"/>
      <c r="IO25" s="228"/>
      <c r="IP25" s="228"/>
      <c r="IQ25" s="228"/>
      <c r="IR25" s="228"/>
      <c r="IS25" s="228"/>
      <c r="IT25" s="228"/>
      <c r="IU25" s="228"/>
      <c r="IV25" s="228"/>
    </row>
    <row r="26" spans="1:256" s="21" customFormat="1" ht="15" hidden="1" customHeight="1" x14ac:dyDescent="0.25">
      <c r="A26" s="13" t="s">
        <v>184</v>
      </c>
      <c r="B26" s="14">
        <v>43556</v>
      </c>
      <c r="C26" s="13">
        <v>390</v>
      </c>
      <c r="D26" s="13" t="s">
        <v>645</v>
      </c>
      <c r="E26" s="32" t="s">
        <v>1121</v>
      </c>
      <c r="F26" s="4">
        <v>61470</v>
      </c>
      <c r="G26" s="28" t="s">
        <v>5792</v>
      </c>
      <c r="H26" s="14">
        <v>43538</v>
      </c>
      <c r="I26" s="4" t="s">
        <v>647</v>
      </c>
      <c r="J26" s="125" t="s">
        <v>5789</v>
      </c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  <c r="AC26" s="228"/>
      <c r="AD26" s="228"/>
      <c r="AE26" s="228"/>
      <c r="AF26" s="228"/>
      <c r="AG26" s="228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  <c r="AR26" s="228"/>
      <c r="AS26" s="228"/>
      <c r="AT26" s="228"/>
      <c r="AU26" s="228"/>
      <c r="AV26" s="228"/>
      <c r="AW26" s="228"/>
      <c r="AX26" s="228"/>
      <c r="AY26" s="228"/>
      <c r="AZ26" s="228"/>
      <c r="BA26" s="228"/>
      <c r="BB26" s="228"/>
      <c r="BC26" s="228"/>
      <c r="BD26" s="228"/>
      <c r="BE26" s="228"/>
      <c r="BF26" s="228"/>
      <c r="BG26" s="228"/>
      <c r="BH26" s="228"/>
      <c r="BI26" s="228"/>
      <c r="BJ26" s="228"/>
      <c r="BK26" s="228"/>
      <c r="BL26" s="228"/>
      <c r="BM26" s="228"/>
      <c r="BN26" s="228"/>
      <c r="BO26" s="228"/>
      <c r="BP26" s="228"/>
      <c r="BQ26" s="228"/>
      <c r="BR26" s="228"/>
      <c r="BS26" s="228"/>
      <c r="BT26" s="228"/>
      <c r="BU26" s="228"/>
      <c r="BV26" s="228"/>
      <c r="BW26" s="228"/>
      <c r="BX26" s="228"/>
      <c r="BY26" s="228"/>
      <c r="BZ26" s="228"/>
      <c r="CA26" s="228"/>
      <c r="CB26" s="228"/>
      <c r="CC26" s="228"/>
      <c r="CD26" s="228"/>
      <c r="CE26" s="228"/>
      <c r="CF26" s="228"/>
      <c r="CG26" s="228"/>
      <c r="CH26" s="228"/>
      <c r="CI26" s="228"/>
      <c r="CJ26" s="228"/>
      <c r="CK26" s="228"/>
      <c r="CL26" s="228"/>
      <c r="CM26" s="228"/>
      <c r="CN26" s="228"/>
      <c r="CO26" s="228"/>
      <c r="CP26" s="228"/>
      <c r="CQ26" s="228"/>
      <c r="CR26" s="228"/>
      <c r="CS26" s="228"/>
      <c r="CT26" s="228"/>
      <c r="CU26" s="228"/>
      <c r="CV26" s="228"/>
      <c r="CW26" s="228"/>
      <c r="CX26" s="228"/>
      <c r="CY26" s="228"/>
      <c r="CZ26" s="228"/>
      <c r="DA26" s="228"/>
      <c r="DB26" s="228"/>
      <c r="DC26" s="228"/>
      <c r="DD26" s="228"/>
      <c r="DE26" s="228"/>
      <c r="DF26" s="228"/>
      <c r="DG26" s="228"/>
      <c r="DH26" s="228"/>
      <c r="DI26" s="228"/>
      <c r="DJ26" s="228"/>
      <c r="DK26" s="228"/>
      <c r="DL26" s="228"/>
      <c r="DM26" s="228"/>
      <c r="DN26" s="228"/>
      <c r="DO26" s="228"/>
      <c r="DP26" s="228"/>
      <c r="DQ26" s="228"/>
      <c r="DR26" s="228"/>
      <c r="DS26" s="228"/>
      <c r="DT26" s="228"/>
      <c r="DU26" s="228"/>
      <c r="DV26" s="228"/>
      <c r="DW26" s="228"/>
      <c r="DX26" s="228"/>
      <c r="DY26" s="228"/>
      <c r="DZ26" s="228"/>
      <c r="EA26" s="228"/>
      <c r="EB26" s="228"/>
      <c r="EC26" s="228"/>
      <c r="ED26" s="228"/>
      <c r="EE26" s="228"/>
      <c r="EF26" s="228"/>
      <c r="EG26" s="228"/>
      <c r="EH26" s="228"/>
      <c r="EI26" s="228"/>
      <c r="EJ26" s="228"/>
      <c r="EK26" s="228"/>
      <c r="EL26" s="228"/>
      <c r="EM26" s="228"/>
      <c r="EN26" s="228"/>
      <c r="EO26" s="228"/>
      <c r="EP26" s="228"/>
      <c r="EQ26" s="228"/>
      <c r="ER26" s="228"/>
      <c r="ES26" s="228"/>
      <c r="ET26" s="228"/>
      <c r="EU26" s="228"/>
      <c r="EV26" s="228"/>
      <c r="EW26" s="228"/>
      <c r="EX26" s="228"/>
      <c r="EY26" s="228"/>
      <c r="EZ26" s="228"/>
      <c r="FA26" s="228"/>
      <c r="FB26" s="228"/>
      <c r="FC26" s="228"/>
      <c r="FD26" s="228"/>
      <c r="FE26" s="228"/>
      <c r="FF26" s="228"/>
      <c r="FG26" s="228"/>
      <c r="FH26" s="228"/>
      <c r="FI26" s="228"/>
      <c r="FJ26" s="228"/>
      <c r="FK26" s="228"/>
      <c r="FL26" s="228"/>
      <c r="FM26" s="228"/>
      <c r="FN26" s="228"/>
      <c r="FO26" s="228"/>
      <c r="FP26" s="228"/>
      <c r="FQ26" s="228"/>
      <c r="FR26" s="228"/>
      <c r="FS26" s="228"/>
      <c r="FT26" s="228"/>
      <c r="FU26" s="228"/>
      <c r="FV26" s="228"/>
      <c r="FW26" s="228"/>
      <c r="FX26" s="228"/>
      <c r="FY26" s="228"/>
      <c r="FZ26" s="228"/>
      <c r="GA26" s="228"/>
      <c r="GB26" s="228"/>
      <c r="GC26" s="228"/>
      <c r="GD26" s="228"/>
      <c r="GE26" s="228"/>
      <c r="GF26" s="228"/>
      <c r="GG26" s="228"/>
      <c r="GH26" s="228"/>
      <c r="GI26" s="228"/>
      <c r="GJ26" s="228"/>
      <c r="GK26" s="228"/>
      <c r="GL26" s="228"/>
      <c r="GM26" s="228"/>
      <c r="GN26" s="228"/>
      <c r="GO26" s="228"/>
      <c r="GP26" s="228"/>
      <c r="GQ26" s="228"/>
      <c r="GR26" s="228"/>
      <c r="GS26" s="228"/>
      <c r="GT26" s="228"/>
      <c r="GU26" s="228"/>
      <c r="GV26" s="228"/>
      <c r="GW26" s="228"/>
      <c r="GX26" s="228"/>
      <c r="GY26" s="228"/>
      <c r="GZ26" s="228"/>
      <c r="HA26" s="228"/>
      <c r="HB26" s="228"/>
      <c r="HC26" s="228"/>
      <c r="HD26" s="228"/>
      <c r="HE26" s="228"/>
      <c r="HF26" s="228"/>
      <c r="HG26" s="228"/>
      <c r="HH26" s="228"/>
      <c r="HI26" s="228"/>
      <c r="HJ26" s="228"/>
      <c r="HK26" s="228"/>
      <c r="HL26" s="228"/>
      <c r="HM26" s="228"/>
      <c r="HN26" s="228"/>
      <c r="HO26" s="228"/>
      <c r="HP26" s="228"/>
      <c r="HQ26" s="228"/>
      <c r="HR26" s="228"/>
      <c r="HS26" s="228"/>
      <c r="HT26" s="228"/>
      <c r="HU26" s="228"/>
      <c r="HV26" s="228"/>
      <c r="HW26" s="228"/>
      <c r="HX26" s="228"/>
      <c r="HY26" s="228"/>
      <c r="HZ26" s="228"/>
      <c r="IA26" s="228"/>
      <c r="IB26" s="228"/>
      <c r="IC26" s="228"/>
      <c r="ID26" s="228"/>
      <c r="IE26" s="228"/>
      <c r="IF26" s="228"/>
      <c r="IG26" s="228"/>
      <c r="IH26" s="228"/>
      <c r="II26" s="228"/>
      <c r="IJ26" s="228"/>
      <c r="IK26" s="228"/>
      <c r="IL26" s="228"/>
      <c r="IM26" s="228"/>
      <c r="IN26" s="228"/>
      <c r="IO26" s="228"/>
      <c r="IP26" s="228"/>
      <c r="IQ26" s="228"/>
      <c r="IR26" s="228"/>
      <c r="IS26" s="228"/>
      <c r="IT26" s="228"/>
      <c r="IU26" s="228"/>
      <c r="IV26" s="228"/>
    </row>
    <row r="27" spans="1:256" s="21" customFormat="1" ht="15" hidden="1" customHeight="1" x14ac:dyDescent="0.25">
      <c r="A27" s="13" t="s">
        <v>184</v>
      </c>
      <c r="B27" s="14">
        <v>43556</v>
      </c>
      <c r="C27" s="13">
        <v>395</v>
      </c>
      <c r="D27" s="13" t="s">
        <v>47</v>
      </c>
      <c r="E27" s="32" t="s">
        <v>1121</v>
      </c>
      <c r="F27" s="4">
        <v>4390</v>
      </c>
      <c r="G27" s="28" t="s">
        <v>5786</v>
      </c>
      <c r="H27" s="14">
        <v>43539</v>
      </c>
      <c r="I27" s="4" t="s">
        <v>5785</v>
      </c>
      <c r="J27" s="22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8"/>
      <c r="AE27" s="228"/>
      <c r="AF27" s="228"/>
      <c r="AG27" s="228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8"/>
      <c r="BN27" s="228"/>
      <c r="BO27" s="228"/>
      <c r="BP27" s="228"/>
      <c r="BQ27" s="228"/>
      <c r="BR27" s="228"/>
      <c r="BS27" s="228"/>
      <c r="BT27" s="228"/>
      <c r="BU27" s="228"/>
      <c r="BV27" s="228"/>
      <c r="BW27" s="228"/>
      <c r="BX27" s="228"/>
      <c r="BY27" s="228"/>
      <c r="BZ27" s="228"/>
      <c r="CA27" s="228"/>
      <c r="CB27" s="228"/>
      <c r="CC27" s="228"/>
      <c r="CD27" s="228"/>
      <c r="CE27" s="228"/>
      <c r="CF27" s="228"/>
      <c r="CG27" s="228"/>
      <c r="CH27" s="228"/>
      <c r="CI27" s="228"/>
      <c r="CJ27" s="228"/>
      <c r="CK27" s="228"/>
      <c r="CL27" s="228"/>
      <c r="CM27" s="228"/>
      <c r="CN27" s="228"/>
      <c r="CO27" s="228"/>
      <c r="CP27" s="228"/>
      <c r="CQ27" s="228"/>
      <c r="CR27" s="228"/>
      <c r="CS27" s="228"/>
      <c r="CT27" s="228"/>
      <c r="CU27" s="228"/>
      <c r="CV27" s="228"/>
      <c r="CW27" s="228"/>
      <c r="CX27" s="228"/>
      <c r="CY27" s="228"/>
      <c r="CZ27" s="228"/>
      <c r="DA27" s="228"/>
      <c r="DB27" s="228"/>
      <c r="DC27" s="228"/>
      <c r="DD27" s="228"/>
      <c r="DE27" s="228"/>
      <c r="DF27" s="228"/>
      <c r="DG27" s="228"/>
      <c r="DH27" s="228"/>
      <c r="DI27" s="228"/>
      <c r="DJ27" s="228"/>
      <c r="DK27" s="228"/>
      <c r="DL27" s="228"/>
      <c r="DM27" s="228"/>
      <c r="DN27" s="228"/>
      <c r="DO27" s="228"/>
      <c r="DP27" s="228"/>
      <c r="DQ27" s="228"/>
      <c r="DR27" s="228"/>
      <c r="DS27" s="228"/>
      <c r="DT27" s="228"/>
      <c r="DU27" s="228"/>
      <c r="DV27" s="228"/>
      <c r="DW27" s="228"/>
      <c r="DX27" s="228"/>
      <c r="DY27" s="228"/>
      <c r="DZ27" s="228"/>
      <c r="EA27" s="228"/>
      <c r="EB27" s="228"/>
      <c r="EC27" s="228"/>
      <c r="ED27" s="228"/>
      <c r="EE27" s="228"/>
      <c r="EF27" s="228"/>
      <c r="EG27" s="228"/>
      <c r="EH27" s="228"/>
      <c r="EI27" s="228"/>
      <c r="EJ27" s="228"/>
      <c r="EK27" s="228"/>
      <c r="EL27" s="228"/>
      <c r="EM27" s="228"/>
      <c r="EN27" s="228"/>
      <c r="EO27" s="228"/>
      <c r="EP27" s="228"/>
      <c r="EQ27" s="228"/>
      <c r="ER27" s="228"/>
      <c r="ES27" s="228"/>
      <c r="ET27" s="228"/>
      <c r="EU27" s="228"/>
      <c r="EV27" s="228"/>
      <c r="EW27" s="228"/>
      <c r="EX27" s="228"/>
      <c r="EY27" s="228"/>
      <c r="EZ27" s="228"/>
      <c r="FA27" s="228"/>
      <c r="FB27" s="228"/>
      <c r="FC27" s="228"/>
      <c r="FD27" s="228"/>
      <c r="FE27" s="228"/>
      <c r="FF27" s="228"/>
      <c r="FG27" s="228"/>
      <c r="FH27" s="228"/>
      <c r="FI27" s="228"/>
      <c r="FJ27" s="228"/>
      <c r="FK27" s="228"/>
      <c r="FL27" s="228"/>
      <c r="FM27" s="228"/>
      <c r="FN27" s="228"/>
      <c r="FO27" s="228"/>
      <c r="FP27" s="228"/>
      <c r="FQ27" s="228"/>
      <c r="FR27" s="228"/>
      <c r="FS27" s="228"/>
      <c r="FT27" s="228"/>
      <c r="FU27" s="228"/>
      <c r="FV27" s="228"/>
      <c r="FW27" s="228"/>
      <c r="FX27" s="228"/>
      <c r="FY27" s="228"/>
      <c r="FZ27" s="228"/>
      <c r="GA27" s="228"/>
      <c r="GB27" s="228"/>
      <c r="GC27" s="228"/>
      <c r="GD27" s="228"/>
      <c r="GE27" s="228"/>
      <c r="GF27" s="228"/>
      <c r="GG27" s="228"/>
      <c r="GH27" s="228"/>
      <c r="GI27" s="228"/>
      <c r="GJ27" s="228"/>
      <c r="GK27" s="228"/>
      <c r="GL27" s="228"/>
      <c r="GM27" s="228"/>
      <c r="GN27" s="228"/>
      <c r="GO27" s="228"/>
      <c r="GP27" s="228"/>
      <c r="GQ27" s="228"/>
      <c r="GR27" s="228"/>
      <c r="GS27" s="228"/>
      <c r="GT27" s="228"/>
      <c r="GU27" s="228"/>
      <c r="GV27" s="228"/>
      <c r="GW27" s="228"/>
      <c r="GX27" s="228"/>
      <c r="GY27" s="228"/>
      <c r="GZ27" s="228"/>
      <c r="HA27" s="228"/>
      <c r="HB27" s="228"/>
      <c r="HC27" s="228"/>
      <c r="HD27" s="228"/>
      <c r="HE27" s="228"/>
      <c r="HF27" s="228"/>
      <c r="HG27" s="228"/>
      <c r="HH27" s="228"/>
      <c r="HI27" s="228"/>
      <c r="HJ27" s="228"/>
      <c r="HK27" s="228"/>
      <c r="HL27" s="228"/>
      <c r="HM27" s="228"/>
      <c r="HN27" s="228"/>
      <c r="HO27" s="228"/>
      <c r="HP27" s="228"/>
      <c r="HQ27" s="228"/>
      <c r="HR27" s="228"/>
      <c r="HS27" s="228"/>
      <c r="HT27" s="228"/>
      <c r="HU27" s="228"/>
      <c r="HV27" s="228"/>
      <c r="HW27" s="228"/>
      <c r="HX27" s="228"/>
      <c r="HY27" s="228"/>
      <c r="HZ27" s="228"/>
      <c r="IA27" s="228"/>
      <c r="IB27" s="228"/>
      <c r="IC27" s="228"/>
      <c r="ID27" s="228"/>
      <c r="IE27" s="228"/>
      <c r="IF27" s="228"/>
      <c r="IG27" s="228"/>
      <c r="IH27" s="228"/>
      <c r="II27" s="228"/>
      <c r="IJ27" s="228"/>
      <c r="IK27" s="228"/>
      <c r="IL27" s="228"/>
      <c r="IM27" s="228"/>
      <c r="IN27" s="228"/>
      <c r="IO27" s="228"/>
      <c r="IP27" s="228"/>
      <c r="IQ27" s="228"/>
      <c r="IR27" s="228"/>
      <c r="IS27" s="228"/>
      <c r="IT27" s="228"/>
      <c r="IU27" s="228"/>
      <c r="IV27" s="228"/>
    </row>
    <row r="28" spans="1:256" s="21" customFormat="1" ht="15" hidden="1" customHeight="1" x14ac:dyDescent="0.25">
      <c r="A28" s="13" t="s">
        <v>184</v>
      </c>
      <c r="B28" s="14">
        <v>43556</v>
      </c>
      <c r="C28" s="13">
        <v>395</v>
      </c>
      <c r="D28" s="13" t="s">
        <v>47</v>
      </c>
      <c r="E28" s="32" t="s">
        <v>1121</v>
      </c>
      <c r="F28" s="4">
        <v>500</v>
      </c>
      <c r="G28" s="28" t="s">
        <v>5787</v>
      </c>
      <c r="H28" s="14">
        <v>43539</v>
      </c>
      <c r="I28" s="4" t="s">
        <v>746</v>
      </c>
      <c r="J28" s="22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28"/>
      <c r="BS28" s="228"/>
      <c r="BT28" s="228"/>
      <c r="BU28" s="228"/>
      <c r="BV28" s="228"/>
      <c r="BW28" s="228"/>
      <c r="BX28" s="228"/>
      <c r="BY28" s="228"/>
      <c r="BZ28" s="228"/>
      <c r="CA28" s="228"/>
      <c r="CB28" s="228"/>
      <c r="CC28" s="228"/>
      <c r="CD28" s="228"/>
      <c r="CE28" s="228"/>
      <c r="CF28" s="228"/>
      <c r="CG28" s="228"/>
      <c r="CH28" s="228"/>
      <c r="CI28" s="228"/>
      <c r="CJ28" s="228"/>
      <c r="CK28" s="228"/>
      <c r="CL28" s="228"/>
      <c r="CM28" s="228"/>
      <c r="CN28" s="228"/>
      <c r="CO28" s="228"/>
      <c r="CP28" s="228"/>
      <c r="CQ28" s="228"/>
      <c r="CR28" s="228"/>
      <c r="CS28" s="228"/>
      <c r="CT28" s="228"/>
      <c r="CU28" s="228"/>
      <c r="CV28" s="228"/>
      <c r="CW28" s="228"/>
      <c r="CX28" s="228"/>
      <c r="CY28" s="228"/>
      <c r="CZ28" s="228"/>
      <c r="DA28" s="228"/>
      <c r="DB28" s="228"/>
      <c r="DC28" s="228"/>
      <c r="DD28" s="228"/>
      <c r="DE28" s="228"/>
      <c r="DF28" s="228"/>
      <c r="DG28" s="228"/>
      <c r="DH28" s="228"/>
      <c r="DI28" s="228"/>
      <c r="DJ28" s="228"/>
      <c r="DK28" s="228"/>
      <c r="DL28" s="228"/>
      <c r="DM28" s="228"/>
      <c r="DN28" s="228"/>
      <c r="DO28" s="228"/>
      <c r="DP28" s="228"/>
      <c r="DQ28" s="228"/>
      <c r="DR28" s="228"/>
      <c r="DS28" s="228"/>
      <c r="DT28" s="228"/>
      <c r="DU28" s="228"/>
      <c r="DV28" s="228"/>
      <c r="DW28" s="228"/>
      <c r="DX28" s="228"/>
      <c r="DY28" s="228"/>
      <c r="DZ28" s="228"/>
      <c r="EA28" s="228"/>
      <c r="EB28" s="228"/>
      <c r="EC28" s="228"/>
      <c r="ED28" s="228"/>
      <c r="EE28" s="228"/>
      <c r="EF28" s="228"/>
      <c r="EG28" s="228"/>
      <c r="EH28" s="228"/>
      <c r="EI28" s="228"/>
      <c r="EJ28" s="228"/>
      <c r="EK28" s="228"/>
      <c r="EL28" s="228"/>
      <c r="EM28" s="228"/>
      <c r="EN28" s="228"/>
      <c r="EO28" s="228"/>
      <c r="EP28" s="228"/>
      <c r="EQ28" s="228"/>
      <c r="ER28" s="228"/>
      <c r="ES28" s="228"/>
      <c r="ET28" s="228"/>
      <c r="EU28" s="228"/>
      <c r="EV28" s="228"/>
      <c r="EW28" s="228"/>
      <c r="EX28" s="228"/>
      <c r="EY28" s="228"/>
      <c r="EZ28" s="228"/>
      <c r="FA28" s="228"/>
      <c r="FB28" s="228"/>
      <c r="FC28" s="228"/>
      <c r="FD28" s="228"/>
      <c r="FE28" s="228"/>
      <c r="FF28" s="228"/>
      <c r="FG28" s="228"/>
      <c r="FH28" s="228"/>
      <c r="FI28" s="228"/>
      <c r="FJ28" s="228"/>
      <c r="FK28" s="228"/>
      <c r="FL28" s="228"/>
      <c r="FM28" s="228"/>
      <c r="FN28" s="228"/>
      <c r="FO28" s="228"/>
      <c r="FP28" s="228"/>
      <c r="FQ28" s="228"/>
      <c r="FR28" s="228"/>
      <c r="FS28" s="228"/>
      <c r="FT28" s="228"/>
      <c r="FU28" s="228"/>
      <c r="FV28" s="228"/>
      <c r="FW28" s="228"/>
      <c r="FX28" s="228"/>
      <c r="FY28" s="228"/>
      <c r="FZ28" s="228"/>
      <c r="GA28" s="228"/>
      <c r="GB28" s="228"/>
      <c r="GC28" s="228"/>
      <c r="GD28" s="228"/>
      <c r="GE28" s="228"/>
      <c r="GF28" s="228"/>
      <c r="GG28" s="228"/>
      <c r="GH28" s="228"/>
      <c r="GI28" s="228"/>
      <c r="GJ28" s="228"/>
      <c r="GK28" s="228"/>
      <c r="GL28" s="228"/>
      <c r="GM28" s="228"/>
      <c r="GN28" s="228"/>
      <c r="GO28" s="228"/>
      <c r="GP28" s="228"/>
      <c r="GQ28" s="228"/>
      <c r="GR28" s="228"/>
      <c r="GS28" s="228"/>
      <c r="GT28" s="228"/>
      <c r="GU28" s="228"/>
      <c r="GV28" s="228"/>
      <c r="GW28" s="228"/>
      <c r="GX28" s="228"/>
      <c r="GY28" s="228"/>
      <c r="GZ28" s="228"/>
      <c r="HA28" s="228"/>
      <c r="HB28" s="228"/>
      <c r="HC28" s="228"/>
      <c r="HD28" s="228"/>
      <c r="HE28" s="228"/>
      <c r="HF28" s="228"/>
      <c r="HG28" s="228"/>
      <c r="HH28" s="228"/>
      <c r="HI28" s="228"/>
      <c r="HJ28" s="228"/>
      <c r="HK28" s="228"/>
      <c r="HL28" s="228"/>
      <c r="HM28" s="228"/>
      <c r="HN28" s="228"/>
      <c r="HO28" s="228"/>
      <c r="HP28" s="228"/>
      <c r="HQ28" s="228"/>
      <c r="HR28" s="228"/>
      <c r="HS28" s="228"/>
      <c r="HT28" s="228"/>
      <c r="HU28" s="228"/>
      <c r="HV28" s="228"/>
      <c r="HW28" s="228"/>
      <c r="HX28" s="228"/>
      <c r="HY28" s="228"/>
      <c r="HZ28" s="228"/>
      <c r="IA28" s="228"/>
      <c r="IB28" s="228"/>
      <c r="IC28" s="228"/>
      <c r="ID28" s="228"/>
      <c r="IE28" s="228"/>
      <c r="IF28" s="228"/>
      <c r="IG28" s="228"/>
      <c r="IH28" s="228"/>
      <c r="II28" s="228"/>
      <c r="IJ28" s="228"/>
      <c r="IK28" s="228"/>
      <c r="IL28" s="228"/>
      <c r="IM28" s="228"/>
      <c r="IN28" s="228"/>
      <c r="IO28" s="228"/>
      <c r="IP28" s="228"/>
      <c r="IQ28" s="228"/>
      <c r="IR28" s="228"/>
      <c r="IS28" s="228"/>
      <c r="IT28" s="228"/>
      <c r="IU28" s="228"/>
      <c r="IV28" s="228"/>
    </row>
    <row r="29" spans="1:256" s="21" customFormat="1" ht="15" hidden="1" customHeight="1" x14ac:dyDescent="0.25">
      <c r="A29" s="13" t="s">
        <v>184</v>
      </c>
      <c r="B29" s="14">
        <v>43556</v>
      </c>
      <c r="C29" s="13">
        <v>386</v>
      </c>
      <c r="D29" s="13" t="s">
        <v>348</v>
      </c>
      <c r="E29" s="32" t="s">
        <v>1121</v>
      </c>
      <c r="F29" s="4">
        <v>85820</v>
      </c>
      <c r="G29" s="28" t="s">
        <v>5797</v>
      </c>
      <c r="H29" s="14">
        <v>43542</v>
      </c>
      <c r="I29" s="4" t="s">
        <v>5798</v>
      </c>
      <c r="J29" s="76" t="s">
        <v>5799</v>
      </c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28"/>
      <c r="BS29" s="228"/>
      <c r="BT29" s="228"/>
      <c r="BU29" s="228"/>
      <c r="BV29" s="228"/>
      <c r="BW29" s="228"/>
      <c r="BX29" s="228"/>
      <c r="BY29" s="228"/>
      <c r="BZ29" s="228"/>
      <c r="CA29" s="228"/>
      <c r="CB29" s="228"/>
      <c r="CC29" s="228"/>
      <c r="CD29" s="228"/>
      <c r="CE29" s="228"/>
      <c r="CF29" s="228"/>
      <c r="CG29" s="228"/>
      <c r="CH29" s="228"/>
      <c r="CI29" s="228"/>
      <c r="CJ29" s="228"/>
      <c r="CK29" s="228"/>
      <c r="CL29" s="228"/>
      <c r="CM29" s="228"/>
      <c r="CN29" s="228"/>
      <c r="CO29" s="228"/>
      <c r="CP29" s="228"/>
      <c r="CQ29" s="228"/>
      <c r="CR29" s="228"/>
      <c r="CS29" s="228"/>
      <c r="CT29" s="228"/>
      <c r="CU29" s="228"/>
      <c r="CV29" s="228"/>
      <c r="CW29" s="228"/>
      <c r="CX29" s="228"/>
      <c r="CY29" s="228"/>
      <c r="CZ29" s="228"/>
      <c r="DA29" s="228"/>
      <c r="DB29" s="228"/>
      <c r="DC29" s="228"/>
      <c r="DD29" s="228"/>
      <c r="DE29" s="228"/>
      <c r="DF29" s="228"/>
      <c r="DG29" s="228"/>
      <c r="DH29" s="228"/>
      <c r="DI29" s="228"/>
      <c r="DJ29" s="228"/>
      <c r="DK29" s="228"/>
      <c r="DL29" s="228"/>
      <c r="DM29" s="228"/>
      <c r="DN29" s="228"/>
      <c r="DO29" s="228"/>
      <c r="DP29" s="228"/>
      <c r="DQ29" s="228"/>
      <c r="DR29" s="228"/>
      <c r="DS29" s="228"/>
      <c r="DT29" s="228"/>
      <c r="DU29" s="228"/>
      <c r="DV29" s="228"/>
      <c r="DW29" s="228"/>
      <c r="DX29" s="228"/>
      <c r="DY29" s="228"/>
      <c r="DZ29" s="228"/>
      <c r="EA29" s="228"/>
      <c r="EB29" s="228"/>
      <c r="EC29" s="228"/>
      <c r="ED29" s="228"/>
      <c r="EE29" s="228"/>
      <c r="EF29" s="228"/>
      <c r="EG29" s="228"/>
      <c r="EH29" s="228"/>
      <c r="EI29" s="228"/>
      <c r="EJ29" s="228"/>
      <c r="EK29" s="228"/>
      <c r="EL29" s="228"/>
      <c r="EM29" s="228"/>
      <c r="EN29" s="228"/>
      <c r="EO29" s="228"/>
      <c r="EP29" s="228"/>
      <c r="EQ29" s="228"/>
      <c r="ER29" s="228"/>
      <c r="ES29" s="228"/>
      <c r="ET29" s="228"/>
      <c r="EU29" s="228"/>
      <c r="EV29" s="228"/>
      <c r="EW29" s="228"/>
      <c r="EX29" s="228"/>
      <c r="EY29" s="228"/>
      <c r="EZ29" s="228"/>
      <c r="FA29" s="228"/>
      <c r="FB29" s="228"/>
      <c r="FC29" s="228"/>
      <c r="FD29" s="228"/>
      <c r="FE29" s="228"/>
      <c r="FF29" s="228"/>
      <c r="FG29" s="228"/>
      <c r="FH29" s="228"/>
      <c r="FI29" s="228"/>
      <c r="FJ29" s="228"/>
      <c r="FK29" s="228"/>
      <c r="FL29" s="228"/>
      <c r="FM29" s="228"/>
      <c r="FN29" s="228"/>
      <c r="FO29" s="228"/>
      <c r="FP29" s="228"/>
      <c r="FQ29" s="228"/>
      <c r="FR29" s="228"/>
      <c r="FS29" s="228"/>
      <c r="FT29" s="228"/>
      <c r="FU29" s="228"/>
      <c r="FV29" s="228"/>
      <c r="FW29" s="228"/>
      <c r="FX29" s="228"/>
      <c r="FY29" s="228"/>
      <c r="FZ29" s="228"/>
      <c r="GA29" s="228"/>
      <c r="GB29" s="228"/>
      <c r="GC29" s="228"/>
      <c r="GD29" s="228"/>
      <c r="GE29" s="228"/>
      <c r="GF29" s="228"/>
      <c r="GG29" s="228"/>
      <c r="GH29" s="228"/>
      <c r="GI29" s="228"/>
      <c r="GJ29" s="228"/>
      <c r="GK29" s="228"/>
      <c r="GL29" s="228"/>
      <c r="GM29" s="228"/>
      <c r="GN29" s="228"/>
      <c r="GO29" s="228"/>
      <c r="GP29" s="228"/>
      <c r="GQ29" s="228"/>
      <c r="GR29" s="228"/>
      <c r="GS29" s="228"/>
      <c r="GT29" s="228"/>
      <c r="GU29" s="228"/>
      <c r="GV29" s="228"/>
      <c r="GW29" s="228"/>
      <c r="GX29" s="228"/>
      <c r="GY29" s="228"/>
      <c r="GZ29" s="228"/>
      <c r="HA29" s="228"/>
      <c r="HB29" s="228"/>
      <c r="HC29" s="228"/>
      <c r="HD29" s="228"/>
      <c r="HE29" s="228"/>
      <c r="HF29" s="228"/>
      <c r="HG29" s="228"/>
      <c r="HH29" s="228"/>
      <c r="HI29" s="228"/>
      <c r="HJ29" s="228"/>
      <c r="HK29" s="228"/>
      <c r="HL29" s="228"/>
      <c r="HM29" s="228"/>
      <c r="HN29" s="228"/>
      <c r="HO29" s="228"/>
      <c r="HP29" s="228"/>
      <c r="HQ29" s="228"/>
      <c r="HR29" s="228"/>
      <c r="HS29" s="228"/>
      <c r="HT29" s="228"/>
      <c r="HU29" s="228"/>
      <c r="HV29" s="228"/>
      <c r="HW29" s="228"/>
      <c r="HX29" s="228"/>
      <c r="HY29" s="228"/>
      <c r="HZ29" s="228"/>
      <c r="IA29" s="228"/>
      <c r="IB29" s="228"/>
      <c r="IC29" s="228"/>
      <c r="ID29" s="228"/>
      <c r="IE29" s="228"/>
      <c r="IF29" s="228"/>
      <c r="IG29" s="228"/>
      <c r="IH29" s="228"/>
      <c r="II29" s="228"/>
      <c r="IJ29" s="228"/>
      <c r="IK29" s="228"/>
      <c r="IL29" s="228"/>
      <c r="IM29" s="228"/>
      <c r="IN29" s="228"/>
      <c r="IO29" s="228"/>
      <c r="IP29" s="228"/>
      <c r="IQ29" s="228"/>
      <c r="IR29" s="228"/>
      <c r="IS29" s="228"/>
      <c r="IT29" s="228"/>
      <c r="IU29" s="228"/>
      <c r="IV29" s="228"/>
    </row>
    <row r="30" spans="1:256" s="21" customFormat="1" ht="15" hidden="1" customHeight="1" x14ac:dyDescent="0.25">
      <c r="A30" s="13" t="s">
        <v>184</v>
      </c>
      <c r="B30" s="14">
        <v>43556</v>
      </c>
      <c r="C30" s="13">
        <v>401</v>
      </c>
      <c r="D30" s="13" t="s">
        <v>348</v>
      </c>
      <c r="E30" s="32" t="s">
        <v>1121</v>
      </c>
      <c r="F30" s="4">
        <v>1500000</v>
      </c>
      <c r="G30" s="28" t="s">
        <v>1485</v>
      </c>
      <c r="H30" s="14">
        <v>43525</v>
      </c>
      <c r="I30" s="4" t="s">
        <v>309</v>
      </c>
      <c r="J30" s="76" t="s">
        <v>366</v>
      </c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  <c r="Z30" s="228"/>
      <c r="AA30" s="228"/>
      <c r="AB30" s="228"/>
      <c r="AC30" s="228"/>
      <c r="AD30" s="228"/>
      <c r="AE30" s="228"/>
      <c r="AF30" s="228"/>
      <c r="AG30" s="228"/>
      <c r="AH30" s="228"/>
      <c r="AI30" s="228"/>
      <c r="AJ30" s="228"/>
      <c r="AK30" s="228"/>
      <c r="AL30" s="228"/>
      <c r="AM30" s="228"/>
      <c r="AN30" s="228"/>
      <c r="AO30" s="228"/>
      <c r="AP30" s="228"/>
      <c r="AQ30" s="228"/>
      <c r="AR30" s="228"/>
      <c r="AS30" s="228"/>
      <c r="AT30" s="228"/>
      <c r="AU30" s="228"/>
      <c r="AV30" s="228"/>
      <c r="AW30" s="228"/>
      <c r="AX30" s="228"/>
      <c r="AY30" s="228"/>
      <c r="AZ30" s="228"/>
      <c r="BA30" s="228"/>
      <c r="BB30" s="228"/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28"/>
      <c r="BS30" s="228"/>
      <c r="BT30" s="228"/>
      <c r="BU30" s="228"/>
      <c r="BV30" s="228"/>
      <c r="BW30" s="228"/>
      <c r="BX30" s="228"/>
      <c r="BY30" s="228"/>
      <c r="BZ30" s="228"/>
      <c r="CA30" s="228"/>
      <c r="CB30" s="228"/>
      <c r="CC30" s="228"/>
      <c r="CD30" s="228"/>
      <c r="CE30" s="228"/>
      <c r="CF30" s="228"/>
      <c r="CG30" s="228"/>
      <c r="CH30" s="228"/>
      <c r="CI30" s="228"/>
      <c r="CJ30" s="228"/>
      <c r="CK30" s="228"/>
      <c r="CL30" s="228"/>
      <c r="CM30" s="228"/>
      <c r="CN30" s="228"/>
      <c r="CO30" s="228"/>
      <c r="CP30" s="228"/>
      <c r="CQ30" s="228"/>
      <c r="CR30" s="228"/>
      <c r="CS30" s="228"/>
      <c r="CT30" s="228"/>
      <c r="CU30" s="228"/>
      <c r="CV30" s="228"/>
      <c r="CW30" s="228"/>
      <c r="CX30" s="228"/>
      <c r="CY30" s="228"/>
      <c r="CZ30" s="228"/>
      <c r="DA30" s="228"/>
      <c r="DB30" s="228"/>
      <c r="DC30" s="228"/>
      <c r="DD30" s="228"/>
      <c r="DE30" s="228"/>
      <c r="DF30" s="228"/>
      <c r="DG30" s="228"/>
      <c r="DH30" s="228"/>
      <c r="DI30" s="228"/>
      <c r="DJ30" s="228"/>
      <c r="DK30" s="228"/>
      <c r="DL30" s="228"/>
      <c r="DM30" s="228"/>
      <c r="DN30" s="228"/>
      <c r="DO30" s="228"/>
      <c r="DP30" s="228"/>
      <c r="DQ30" s="228"/>
      <c r="DR30" s="228"/>
      <c r="DS30" s="228"/>
      <c r="DT30" s="228"/>
      <c r="DU30" s="228"/>
      <c r="DV30" s="228"/>
      <c r="DW30" s="228"/>
      <c r="DX30" s="228"/>
      <c r="DY30" s="228"/>
      <c r="DZ30" s="228"/>
      <c r="EA30" s="228"/>
      <c r="EB30" s="228"/>
      <c r="EC30" s="228"/>
      <c r="ED30" s="228"/>
      <c r="EE30" s="228"/>
      <c r="EF30" s="228"/>
      <c r="EG30" s="228"/>
      <c r="EH30" s="228"/>
      <c r="EI30" s="228"/>
      <c r="EJ30" s="228"/>
      <c r="EK30" s="228"/>
      <c r="EL30" s="228"/>
      <c r="EM30" s="228"/>
      <c r="EN30" s="228"/>
      <c r="EO30" s="228"/>
      <c r="EP30" s="228"/>
      <c r="EQ30" s="228"/>
      <c r="ER30" s="228"/>
      <c r="ES30" s="228"/>
      <c r="ET30" s="228"/>
      <c r="EU30" s="228"/>
      <c r="EV30" s="228"/>
      <c r="EW30" s="228"/>
      <c r="EX30" s="228"/>
      <c r="EY30" s="228"/>
      <c r="EZ30" s="228"/>
      <c r="FA30" s="228"/>
      <c r="FB30" s="228"/>
      <c r="FC30" s="228"/>
      <c r="FD30" s="228"/>
      <c r="FE30" s="228"/>
      <c r="FF30" s="228"/>
      <c r="FG30" s="228"/>
      <c r="FH30" s="228"/>
      <c r="FI30" s="228"/>
      <c r="FJ30" s="228"/>
      <c r="FK30" s="228"/>
      <c r="FL30" s="228"/>
      <c r="FM30" s="228"/>
      <c r="FN30" s="228"/>
      <c r="FO30" s="228"/>
      <c r="FP30" s="228"/>
      <c r="FQ30" s="228"/>
      <c r="FR30" s="228"/>
      <c r="FS30" s="228"/>
      <c r="FT30" s="228"/>
      <c r="FU30" s="228"/>
      <c r="FV30" s="228"/>
      <c r="FW30" s="228"/>
      <c r="FX30" s="228"/>
      <c r="FY30" s="228"/>
      <c r="FZ30" s="228"/>
      <c r="GA30" s="228"/>
      <c r="GB30" s="228"/>
      <c r="GC30" s="228"/>
      <c r="GD30" s="228"/>
      <c r="GE30" s="228"/>
      <c r="GF30" s="228"/>
      <c r="GG30" s="228"/>
      <c r="GH30" s="228"/>
      <c r="GI30" s="228"/>
      <c r="GJ30" s="228"/>
      <c r="GK30" s="228"/>
      <c r="GL30" s="228"/>
      <c r="GM30" s="228"/>
      <c r="GN30" s="228"/>
      <c r="GO30" s="228"/>
      <c r="GP30" s="228"/>
      <c r="GQ30" s="228"/>
      <c r="GR30" s="228"/>
      <c r="GS30" s="228"/>
      <c r="GT30" s="228"/>
      <c r="GU30" s="228"/>
      <c r="GV30" s="228"/>
      <c r="GW30" s="228"/>
      <c r="GX30" s="228"/>
      <c r="GY30" s="228"/>
      <c r="GZ30" s="228"/>
      <c r="HA30" s="228"/>
      <c r="HB30" s="228"/>
      <c r="HC30" s="228"/>
      <c r="HD30" s="228"/>
      <c r="HE30" s="228"/>
      <c r="HF30" s="228"/>
      <c r="HG30" s="228"/>
      <c r="HH30" s="228"/>
      <c r="HI30" s="228"/>
      <c r="HJ30" s="228"/>
      <c r="HK30" s="228"/>
      <c r="HL30" s="228"/>
      <c r="HM30" s="228"/>
      <c r="HN30" s="228"/>
      <c r="HO30" s="228"/>
      <c r="HP30" s="228"/>
      <c r="HQ30" s="228"/>
      <c r="HR30" s="228"/>
      <c r="HS30" s="228"/>
      <c r="HT30" s="228"/>
      <c r="HU30" s="228"/>
      <c r="HV30" s="228"/>
      <c r="HW30" s="228"/>
      <c r="HX30" s="228"/>
      <c r="HY30" s="228"/>
      <c r="HZ30" s="228"/>
      <c r="IA30" s="228"/>
      <c r="IB30" s="228"/>
      <c r="IC30" s="228"/>
      <c r="ID30" s="228"/>
      <c r="IE30" s="228"/>
      <c r="IF30" s="228"/>
      <c r="IG30" s="228"/>
      <c r="IH30" s="228"/>
      <c r="II30" s="228"/>
      <c r="IJ30" s="228"/>
      <c r="IK30" s="228"/>
      <c r="IL30" s="228"/>
      <c r="IM30" s="228"/>
      <c r="IN30" s="228"/>
      <c r="IO30" s="228"/>
      <c r="IP30" s="228"/>
      <c r="IQ30" s="228"/>
      <c r="IR30" s="228"/>
      <c r="IS30" s="228"/>
      <c r="IT30" s="228"/>
      <c r="IU30" s="228"/>
      <c r="IV30" s="228"/>
    </row>
    <row r="31" spans="1:256" hidden="1" x14ac:dyDescent="0.25">
      <c r="A31" s="13" t="s">
        <v>184</v>
      </c>
      <c r="B31" s="14">
        <v>43556</v>
      </c>
      <c r="C31" s="13">
        <v>387</v>
      </c>
      <c r="D31" s="13" t="s">
        <v>163</v>
      </c>
      <c r="E31" s="32" t="s">
        <v>1121</v>
      </c>
      <c r="F31" s="4">
        <v>33800</v>
      </c>
      <c r="G31" s="28" t="s">
        <v>1529</v>
      </c>
      <c r="H31" s="14">
        <v>43546</v>
      </c>
      <c r="I31" s="4" t="s">
        <v>5802</v>
      </c>
      <c r="J31" s="76"/>
    </row>
    <row r="32" spans="1:256" hidden="1" x14ac:dyDescent="0.25">
      <c r="A32" s="13" t="s">
        <v>184</v>
      </c>
      <c r="B32" s="14">
        <v>43556</v>
      </c>
      <c r="C32" s="13">
        <v>400</v>
      </c>
      <c r="D32" s="32" t="s">
        <v>4645</v>
      </c>
      <c r="E32" s="32" t="s">
        <v>1121</v>
      </c>
      <c r="F32" s="4">
        <v>375000</v>
      </c>
      <c r="G32" s="28" t="s">
        <v>207</v>
      </c>
      <c r="H32" s="14">
        <v>43517</v>
      </c>
      <c r="I32" s="4" t="s">
        <v>4646</v>
      </c>
      <c r="J32" s="76"/>
    </row>
    <row r="33" spans="1:12" s="192" customFormat="1" hidden="1" x14ac:dyDescent="0.25">
      <c r="A33" s="147" t="s">
        <v>242</v>
      </c>
      <c r="B33" s="14">
        <v>43556</v>
      </c>
      <c r="C33" s="195">
        <v>394</v>
      </c>
      <c r="D33" s="149" t="s">
        <v>490</v>
      </c>
      <c r="E33" s="147" t="s">
        <v>1121</v>
      </c>
      <c r="F33" s="158">
        <v>288052</v>
      </c>
      <c r="G33" s="150" t="s">
        <v>5342</v>
      </c>
      <c r="H33" s="148">
        <v>43514</v>
      </c>
      <c r="I33" s="149" t="s">
        <v>143</v>
      </c>
      <c r="J33" s="193"/>
      <c r="K33" s="194"/>
      <c r="L33" s="190"/>
    </row>
    <row r="34" spans="1:12" s="192" customFormat="1" hidden="1" x14ac:dyDescent="0.25">
      <c r="A34" s="147" t="s">
        <v>242</v>
      </c>
      <c r="B34" s="14">
        <v>43556</v>
      </c>
      <c r="C34" s="195">
        <v>394</v>
      </c>
      <c r="D34" s="149" t="s">
        <v>490</v>
      </c>
      <c r="E34" s="147" t="s">
        <v>1121</v>
      </c>
      <c r="F34" s="158">
        <v>1091290.44</v>
      </c>
      <c r="G34" s="150" t="s">
        <v>5860</v>
      </c>
      <c r="H34" s="148">
        <v>43537</v>
      </c>
      <c r="I34" s="149" t="s">
        <v>143</v>
      </c>
      <c r="J34" s="193"/>
      <c r="K34" s="194"/>
      <c r="L34" s="190"/>
    </row>
    <row r="35" spans="1:12" s="192" customFormat="1" ht="14.85" hidden="1" customHeight="1" x14ac:dyDescent="0.25">
      <c r="A35" s="147" t="s">
        <v>242</v>
      </c>
      <c r="B35" s="14">
        <v>43556</v>
      </c>
      <c r="C35" s="195">
        <v>399</v>
      </c>
      <c r="D35" s="149" t="s">
        <v>1816</v>
      </c>
      <c r="E35" s="147" t="s">
        <v>1121</v>
      </c>
      <c r="F35" s="158">
        <v>195241.41</v>
      </c>
      <c r="G35" s="150" t="s">
        <v>4091</v>
      </c>
      <c r="H35" s="148">
        <v>43537</v>
      </c>
      <c r="I35" s="149" t="s">
        <v>143</v>
      </c>
      <c r="J35" s="193"/>
      <c r="K35" s="194"/>
      <c r="L35" s="190"/>
    </row>
    <row r="36" spans="1:12" s="192" customFormat="1" hidden="1" x14ac:dyDescent="0.25">
      <c r="A36" s="147" t="s">
        <v>242</v>
      </c>
      <c r="B36" s="14">
        <v>43556</v>
      </c>
      <c r="C36" s="195">
        <v>396</v>
      </c>
      <c r="D36" s="149" t="s">
        <v>784</v>
      </c>
      <c r="E36" s="147" t="s">
        <v>1121</v>
      </c>
      <c r="F36" s="158">
        <v>904878.07999999996</v>
      </c>
      <c r="G36" s="150" t="s">
        <v>177</v>
      </c>
      <c r="H36" s="148">
        <v>43537</v>
      </c>
      <c r="I36" s="149" t="s">
        <v>143</v>
      </c>
      <c r="J36" s="193"/>
      <c r="K36" s="194"/>
      <c r="L36" s="190"/>
    </row>
    <row r="37" spans="1:12" s="192" customFormat="1" hidden="1" x14ac:dyDescent="0.25">
      <c r="A37" s="147" t="s">
        <v>242</v>
      </c>
      <c r="B37" s="14">
        <v>43556</v>
      </c>
      <c r="C37" s="195">
        <v>396</v>
      </c>
      <c r="D37" s="149" t="s">
        <v>784</v>
      </c>
      <c r="E37" s="147" t="s">
        <v>1121</v>
      </c>
      <c r="F37" s="158">
        <v>439675.84</v>
      </c>
      <c r="G37" s="150" t="s">
        <v>1295</v>
      </c>
      <c r="H37" s="148">
        <v>43551</v>
      </c>
      <c r="I37" s="149" t="s">
        <v>143</v>
      </c>
      <c r="J37" s="193"/>
      <c r="K37" s="194"/>
      <c r="L37" s="190"/>
    </row>
    <row r="38" spans="1:12" s="192" customFormat="1" hidden="1" x14ac:dyDescent="0.25">
      <c r="A38" s="147" t="s">
        <v>242</v>
      </c>
      <c r="B38" s="14">
        <v>43556</v>
      </c>
      <c r="C38" s="195">
        <v>396</v>
      </c>
      <c r="D38" s="149" t="s">
        <v>784</v>
      </c>
      <c r="E38" s="147" t="s">
        <v>1121</v>
      </c>
      <c r="F38" s="158">
        <v>309149.2</v>
      </c>
      <c r="G38" s="150" t="s">
        <v>5374</v>
      </c>
      <c r="H38" s="148">
        <v>43551</v>
      </c>
      <c r="I38" s="149" t="s">
        <v>143</v>
      </c>
      <c r="J38" s="193"/>
      <c r="K38" s="194"/>
      <c r="L38" s="190"/>
    </row>
    <row r="39" spans="1:12" s="192" customFormat="1" hidden="1" x14ac:dyDescent="0.25">
      <c r="A39" s="147" t="s">
        <v>242</v>
      </c>
      <c r="B39" s="14">
        <v>43556</v>
      </c>
      <c r="C39" s="195">
        <v>396</v>
      </c>
      <c r="D39" s="149" t="s">
        <v>784</v>
      </c>
      <c r="E39" s="147" t="s">
        <v>1121</v>
      </c>
      <c r="F39" s="158">
        <v>139232</v>
      </c>
      <c r="G39" s="150" t="s">
        <v>1265</v>
      </c>
      <c r="H39" s="148">
        <v>43551</v>
      </c>
      <c r="I39" s="149" t="s">
        <v>143</v>
      </c>
      <c r="J39" s="193"/>
      <c r="K39" s="194"/>
      <c r="L39" s="190"/>
    </row>
    <row r="40" spans="1:12" s="192" customFormat="1" hidden="1" x14ac:dyDescent="0.25">
      <c r="A40" s="147" t="s">
        <v>242</v>
      </c>
      <c r="B40" s="14">
        <v>43556</v>
      </c>
      <c r="C40" s="195">
        <v>396</v>
      </c>
      <c r="D40" s="149" t="s">
        <v>784</v>
      </c>
      <c r="E40" s="147" t="s">
        <v>1121</v>
      </c>
      <c r="F40" s="158">
        <v>211608.28</v>
      </c>
      <c r="G40" s="150" t="s">
        <v>477</v>
      </c>
      <c r="H40" s="148">
        <v>43551</v>
      </c>
      <c r="I40" s="149" t="s">
        <v>143</v>
      </c>
      <c r="J40" s="193"/>
      <c r="K40" s="194"/>
      <c r="L40" s="190"/>
    </row>
    <row r="41" spans="1:12" s="192" customFormat="1" hidden="1" x14ac:dyDescent="0.25">
      <c r="A41" s="147" t="s">
        <v>242</v>
      </c>
      <c r="B41" s="14">
        <v>43556</v>
      </c>
      <c r="C41" s="187">
        <v>398</v>
      </c>
      <c r="D41" s="149" t="s">
        <v>291</v>
      </c>
      <c r="E41" s="147" t="s">
        <v>1121</v>
      </c>
      <c r="F41" s="158">
        <v>51156</v>
      </c>
      <c r="G41" s="150" t="s">
        <v>25</v>
      </c>
      <c r="H41" s="148">
        <v>43537</v>
      </c>
      <c r="I41" s="149" t="s">
        <v>143</v>
      </c>
      <c r="J41" s="193"/>
      <c r="K41" s="194"/>
      <c r="L41" s="190"/>
    </row>
    <row r="42" spans="1:12" s="192" customFormat="1" hidden="1" x14ac:dyDescent="0.25">
      <c r="A42" s="147" t="s">
        <v>242</v>
      </c>
      <c r="B42" s="14">
        <v>43556</v>
      </c>
      <c r="C42" s="187">
        <v>397</v>
      </c>
      <c r="D42" s="149" t="s">
        <v>388</v>
      </c>
      <c r="E42" s="147" t="s">
        <v>1121</v>
      </c>
      <c r="F42" s="158">
        <v>650548.64</v>
      </c>
      <c r="G42" s="150" t="s">
        <v>2910</v>
      </c>
      <c r="H42" s="148">
        <v>43537</v>
      </c>
      <c r="I42" s="149" t="s">
        <v>143</v>
      </c>
      <c r="J42" s="193"/>
      <c r="K42" s="194"/>
      <c r="L42" s="190"/>
    </row>
    <row r="43" spans="1:12" s="192" customFormat="1" hidden="1" x14ac:dyDescent="0.25">
      <c r="A43" s="147" t="s">
        <v>242</v>
      </c>
      <c r="B43" s="14">
        <v>43556</v>
      </c>
      <c r="C43" s="187">
        <v>397</v>
      </c>
      <c r="D43" s="149" t="s">
        <v>388</v>
      </c>
      <c r="E43" s="147" t="s">
        <v>1121</v>
      </c>
      <c r="F43" s="158">
        <v>495962.6</v>
      </c>
      <c r="G43" s="150" t="s">
        <v>141</v>
      </c>
      <c r="H43" s="148">
        <v>43537</v>
      </c>
      <c r="I43" s="149" t="s">
        <v>143</v>
      </c>
      <c r="J43" s="193"/>
      <c r="K43" s="194"/>
      <c r="L43" s="190"/>
    </row>
    <row r="44" spans="1:12" s="192" customFormat="1" hidden="1" x14ac:dyDescent="0.25">
      <c r="A44" s="147" t="s">
        <v>242</v>
      </c>
      <c r="B44" s="14">
        <v>43556</v>
      </c>
      <c r="C44" s="187">
        <v>397</v>
      </c>
      <c r="D44" s="149" t="s">
        <v>388</v>
      </c>
      <c r="E44" s="147" t="s">
        <v>1121</v>
      </c>
      <c r="F44" s="158">
        <v>283586.15999999997</v>
      </c>
      <c r="G44" s="150" t="s">
        <v>2933</v>
      </c>
      <c r="H44" s="148">
        <v>43551</v>
      </c>
      <c r="I44" s="149" t="s">
        <v>143</v>
      </c>
      <c r="J44" s="193"/>
      <c r="K44" s="194"/>
      <c r="L44" s="190"/>
    </row>
    <row r="45" spans="1:12" s="129" customFormat="1" hidden="1" x14ac:dyDescent="0.25">
      <c r="A45" s="13" t="s">
        <v>151</v>
      </c>
      <c r="B45" s="14">
        <v>43556</v>
      </c>
      <c r="C45" s="28" t="s">
        <v>876</v>
      </c>
      <c r="D45" s="13" t="s">
        <v>1846</v>
      </c>
      <c r="E45" s="32" t="s">
        <v>1121</v>
      </c>
      <c r="F45" s="4">
        <v>9904</v>
      </c>
      <c r="G45" s="28" t="s">
        <v>5868</v>
      </c>
      <c r="H45" s="14">
        <v>43550</v>
      </c>
      <c r="I45" s="4" t="s">
        <v>5869</v>
      </c>
      <c r="J45" s="22"/>
      <c r="K45" s="136"/>
    </row>
    <row r="46" spans="1:12" ht="27.6" hidden="1" x14ac:dyDescent="0.25">
      <c r="A46" s="32" t="s">
        <v>151</v>
      </c>
      <c r="B46" s="14">
        <v>43556</v>
      </c>
      <c r="C46" s="67">
        <v>389</v>
      </c>
      <c r="D46" s="32" t="s">
        <v>412</v>
      </c>
      <c r="E46" s="13" t="s">
        <v>1121</v>
      </c>
      <c r="F46" s="4">
        <v>90000</v>
      </c>
      <c r="G46" s="13">
        <v>20</v>
      </c>
      <c r="H46" s="14">
        <v>43525</v>
      </c>
      <c r="I46" s="4" t="s">
        <v>2079</v>
      </c>
      <c r="J46" s="22" t="s">
        <v>366</v>
      </c>
      <c r="K46" s="245"/>
    </row>
    <row r="47" spans="1:12" s="192" customFormat="1" ht="14.85" hidden="1" customHeight="1" x14ac:dyDescent="0.25">
      <c r="A47" s="147" t="s">
        <v>242</v>
      </c>
      <c r="B47" s="164">
        <v>43556</v>
      </c>
      <c r="C47" s="195">
        <v>666</v>
      </c>
      <c r="D47" s="149" t="s">
        <v>490</v>
      </c>
      <c r="E47" s="147" t="s">
        <v>140</v>
      </c>
      <c r="F47" s="158">
        <v>1489952.35</v>
      </c>
      <c r="G47" s="150" t="s">
        <v>5852</v>
      </c>
      <c r="H47" s="148">
        <v>43537</v>
      </c>
      <c r="I47" s="149" t="s">
        <v>143</v>
      </c>
      <c r="J47" s="193"/>
      <c r="K47" s="194"/>
      <c r="L47" s="190"/>
    </row>
    <row r="48" spans="1:12" s="192" customFormat="1" hidden="1" x14ac:dyDescent="0.25">
      <c r="A48" s="147" t="s">
        <v>242</v>
      </c>
      <c r="B48" s="164">
        <v>43556</v>
      </c>
      <c r="C48" s="195">
        <v>667</v>
      </c>
      <c r="D48" s="233" t="s">
        <v>784</v>
      </c>
      <c r="E48" s="147" t="s">
        <v>140</v>
      </c>
      <c r="F48" s="158">
        <v>1607349.5</v>
      </c>
      <c r="G48" s="150" t="s">
        <v>33</v>
      </c>
      <c r="H48" s="148">
        <v>43537</v>
      </c>
      <c r="I48" s="233" t="s">
        <v>143</v>
      </c>
      <c r="J48" s="193"/>
      <c r="K48" s="194"/>
      <c r="L48" s="190"/>
    </row>
    <row r="49" spans="1:19" ht="27.6" hidden="1" x14ac:dyDescent="0.25">
      <c r="A49" s="32" t="s">
        <v>91</v>
      </c>
      <c r="B49" s="14">
        <v>43556</v>
      </c>
      <c r="C49" s="67">
        <v>252</v>
      </c>
      <c r="D49" s="32" t="s">
        <v>1392</v>
      </c>
      <c r="E49" s="32" t="s">
        <v>2021</v>
      </c>
      <c r="F49" s="4">
        <v>9975</v>
      </c>
      <c r="G49" s="67" t="s">
        <v>5840</v>
      </c>
      <c r="H49" s="14">
        <v>43160</v>
      </c>
      <c r="I49" s="4" t="s">
        <v>5841</v>
      </c>
      <c r="J49" s="21" t="s">
        <v>5842</v>
      </c>
      <c r="K49" s="228"/>
    </row>
    <row r="50" spans="1:19" ht="27.6" hidden="1" x14ac:dyDescent="0.25">
      <c r="A50" s="32" t="s">
        <v>550</v>
      </c>
      <c r="B50" s="14">
        <v>43556</v>
      </c>
      <c r="C50" s="67">
        <v>253</v>
      </c>
      <c r="D50" s="32" t="s">
        <v>373</v>
      </c>
      <c r="E50" s="32" t="s">
        <v>2021</v>
      </c>
      <c r="F50" s="4">
        <v>1084961.21</v>
      </c>
      <c r="G50" s="28" t="s">
        <v>5573</v>
      </c>
      <c r="H50" s="14">
        <v>43459</v>
      </c>
      <c r="I50" s="4" t="s">
        <v>362</v>
      </c>
      <c r="J50" s="166" t="s">
        <v>721</v>
      </c>
      <c r="K50" s="167"/>
      <c r="L50" s="35"/>
    </row>
    <row r="51" spans="1:19" ht="27.6" hidden="1" x14ac:dyDescent="0.25">
      <c r="A51" s="32" t="s">
        <v>534</v>
      </c>
      <c r="B51" s="14">
        <v>43556</v>
      </c>
      <c r="C51" s="67">
        <v>254</v>
      </c>
      <c r="D51" s="32" t="s">
        <v>373</v>
      </c>
      <c r="E51" s="32" t="s">
        <v>2021</v>
      </c>
      <c r="F51" s="4">
        <v>990289.61</v>
      </c>
      <c r="G51" s="28" t="s">
        <v>5574</v>
      </c>
      <c r="H51" s="14">
        <v>43459</v>
      </c>
      <c r="I51" s="4" t="s">
        <v>362</v>
      </c>
      <c r="J51" s="166" t="s">
        <v>721</v>
      </c>
      <c r="K51" s="167"/>
      <c r="L51" s="35"/>
    </row>
    <row r="52" spans="1:19" ht="27.6" hidden="1" x14ac:dyDescent="0.25">
      <c r="A52" s="68" t="s">
        <v>261</v>
      </c>
      <c r="B52" s="14">
        <v>43556</v>
      </c>
      <c r="C52" s="13">
        <v>668</v>
      </c>
      <c r="D52" s="32" t="s">
        <v>1135</v>
      </c>
      <c r="E52" s="32" t="s">
        <v>6006</v>
      </c>
      <c r="F52" s="4">
        <v>45428.4</v>
      </c>
      <c r="G52" s="210" t="s">
        <v>5809</v>
      </c>
      <c r="H52" s="211">
        <v>43535</v>
      </c>
      <c r="I52" s="208" t="s">
        <v>5514</v>
      </c>
      <c r="J52" s="21"/>
      <c r="K52" s="228"/>
    </row>
    <row r="53" spans="1:19" ht="27.6" hidden="1" x14ac:dyDescent="0.25">
      <c r="A53" s="68" t="s">
        <v>261</v>
      </c>
      <c r="B53" s="14">
        <v>43556</v>
      </c>
      <c r="C53" s="13">
        <v>669</v>
      </c>
      <c r="D53" s="32" t="s">
        <v>3005</v>
      </c>
      <c r="E53" s="32" t="s">
        <v>6006</v>
      </c>
      <c r="F53" s="4">
        <v>122229.91</v>
      </c>
      <c r="G53" s="210" t="s">
        <v>5957</v>
      </c>
      <c r="H53" s="211">
        <v>43551</v>
      </c>
      <c r="I53" s="208" t="s">
        <v>5958</v>
      </c>
      <c r="J53" s="21"/>
      <c r="K53" s="228"/>
    </row>
    <row r="54" spans="1:19" ht="27.6" hidden="1" x14ac:dyDescent="0.25">
      <c r="A54" s="32" t="s">
        <v>2020</v>
      </c>
      <c r="B54" s="14">
        <v>43556</v>
      </c>
      <c r="C54" s="13">
        <v>670</v>
      </c>
      <c r="D54" s="32" t="s">
        <v>392</v>
      </c>
      <c r="E54" s="32" t="s">
        <v>6006</v>
      </c>
      <c r="F54" s="4">
        <v>793833.25</v>
      </c>
      <c r="G54" s="28" t="s">
        <v>1401</v>
      </c>
      <c r="H54" s="14">
        <v>43525</v>
      </c>
      <c r="I54" s="41" t="s">
        <v>620</v>
      </c>
      <c r="J54" s="35" t="s">
        <v>721</v>
      </c>
      <c r="K54" s="167"/>
      <c r="L54" s="35"/>
    </row>
    <row r="55" spans="1:19" hidden="1" x14ac:dyDescent="0.25">
      <c r="A55" s="68" t="s">
        <v>125</v>
      </c>
      <c r="B55" s="14">
        <v>43556</v>
      </c>
      <c r="C55" s="13">
        <v>353</v>
      </c>
      <c r="D55" s="32" t="s">
        <v>1874</v>
      </c>
      <c r="E55" s="32" t="s">
        <v>547</v>
      </c>
      <c r="F55" s="4">
        <v>85000</v>
      </c>
      <c r="G55" s="210" t="s">
        <v>5829</v>
      </c>
      <c r="H55" s="211">
        <v>43550</v>
      </c>
      <c r="I55" s="4" t="s">
        <v>4178</v>
      </c>
      <c r="J55" s="21"/>
      <c r="K55" s="228"/>
    </row>
    <row r="56" spans="1:19" s="115" customFormat="1" ht="15.6" hidden="1" x14ac:dyDescent="0.25">
      <c r="A56" s="13" t="s">
        <v>639</v>
      </c>
      <c r="B56" s="14">
        <v>43556</v>
      </c>
      <c r="C56" s="13">
        <v>354</v>
      </c>
      <c r="D56" s="13" t="s">
        <v>873</v>
      </c>
      <c r="E56" s="13" t="s">
        <v>547</v>
      </c>
      <c r="F56" s="37">
        <v>229353.54</v>
      </c>
      <c r="G56" s="13" t="s">
        <v>874</v>
      </c>
      <c r="H56" s="126">
        <v>43546</v>
      </c>
      <c r="I56" s="29" t="s">
        <v>875</v>
      </c>
      <c r="K56" s="116"/>
      <c r="L56" s="116"/>
      <c r="M56" s="116"/>
      <c r="N56" s="116"/>
      <c r="O56" s="117"/>
      <c r="P56" s="117"/>
      <c r="Q56" s="117"/>
      <c r="R56" s="117"/>
      <c r="S56" s="117"/>
    </row>
    <row r="57" spans="1:19" s="115" customFormat="1" ht="15.6" hidden="1" customHeight="1" x14ac:dyDescent="0.25">
      <c r="A57" s="61" t="s">
        <v>455</v>
      </c>
      <c r="B57" s="14">
        <v>43556</v>
      </c>
      <c r="C57" s="13">
        <v>236</v>
      </c>
      <c r="D57" s="13" t="s">
        <v>873</v>
      </c>
      <c r="E57" s="13" t="s">
        <v>440</v>
      </c>
      <c r="F57" s="4">
        <v>285634.94</v>
      </c>
      <c r="G57" s="13" t="s">
        <v>874</v>
      </c>
      <c r="H57" s="126">
        <v>43546</v>
      </c>
      <c r="I57" s="29" t="s">
        <v>875</v>
      </c>
      <c r="J57" s="258"/>
      <c r="K57" s="116"/>
      <c r="L57" s="116"/>
      <c r="M57" s="116"/>
      <c r="N57" s="116"/>
      <c r="O57" s="117"/>
      <c r="P57" s="117"/>
      <c r="Q57" s="117"/>
      <c r="R57" s="117"/>
      <c r="S57" s="117"/>
    </row>
    <row r="58" spans="1:19" ht="15" hidden="1" customHeight="1" x14ac:dyDescent="0.25">
      <c r="A58" s="68" t="s">
        <v>166</v>
      </c>
      <c r="B58" s="14">
        <v>43556</v>
      </c>
      <c r="C58" s="67">
        <v>37</v>
      </c>
      <c r="D58" s="32" t="s">
        <v>156</v>
      </c>
      <c r="E58" s="32" t="s">
        <v>76</v>
      </c>
      <c r="F58" s="4">
        <v>52597.37</v>
      </c>
      <c r="G58" s="28" t="s">
        <v>5490</v>
      </c>
      <c r="H58" s="14">
        <v>43529</v>
      </c>
      <c r="I58" s="4" t="s">
        <v>752</v>
      </c>
      <c r="J58" s="166" t="s">
        <v>721</v>
      </c>
      <c r="K58" s="167"/>
      <c r="L58" s="35"/>
    </row>
    <row r="59" spans="1:19" ht="15" hidden="1" customHeight="1" x14ac:dyDescent="0.25">
      <c r="A59" s="68" t="s">
        <v>174</v>
      </c>
      <c r="B59" s="14">
        <v>43556</v>
      </c>
      <c r="C59" s="67">
        <v>57</v>
      </c>
      <c r="D59" s="32" t="s">
        <v>156</v>
      </c>
      <c r="E59" s="32" t="s">
        <v>178</v>
      </c>
      <c r="F59" s="4">
        <v>201845.48</v>
      </c>
      <c r="G59" s="28" t="s">
        <v>5813</v>
      </c>
      <c r="H59" s="14">
        <v>43529</v>
      </c>
      <c r="I59" s="4" t="s">
        <v>752</v>
      </c>
      <c r="J59" s="166" t="s">
        <v>721</v>
      </c>
      <c r="K59" s="167"/>
      <c r="L59" s="35"/>
    </row>
    <row r="60" spans="1:19" ht="15" hidden="1" customHeight="1" x14ac:dyDescent="0.25">
      <c r="A60" s="32" t="s">
        <v>188</v>
      </c>
      <c r="B60" s="14">
        <v>43556</v>
      </c>
      <c r="C60" s="67">
        <v>78</v>
      </c>
      <c r="D60" s="32" t="s">
        <v>156</v>
      </c>
      <c r="E60" s="32" t="s">
        <v>483</v>
      </c>
      <c r="F60" s="4">
        <v>600000</v>
      </c>
      <c r="G60" s="28" t="s">
        <v>5491</v>
      </c>
      <c r="H60" s="14">
        <v>43529</v>
      </c>
      <c r="I60" s="4" t="s">
        <v>362</v>
      </c>
      <c r="J60" s="166" t="s">
        <v>721</v>
      </c>
      <c r="K60" s="167"/>
      <c r="L60" s="35"/>
    </row>
    <row r="61" spans="1:19" hidden="1" x14ac:dyDescent="0.25">
      <c r="A61" s="32" t="s">
        <v>660</v>
      </c>
      <c r="B61" s="14">
        <v>43556</v>
      </c>
      <c r="C61" s="67">
        <v>33</v>
      </c>
      <c r="D61" s="32" t="s">
        <v>595</v>
      </c>
      <c r="E61" s="32" t="s">
        <v>488</v>
      </c>
      <c r="F61" s="4">
        <v>201696.71</v>
      </c>
      <c r="G61" s="29" t="s">
        <v>3118</v>
      </c>
      <c r="H61" s="14">
        <v>43524</v>
      </c>
      <c r="I61" s="41" t="s">
        <v>949</v>
      </c>
      <c r="J61" s="35" t="s">
        <v>721</v>
      </c>
      <c r="K61" s="167"/>
      <c r="L61" s="35"/>
    </row>
    <row r="62" spans="1:19" hidden="1" x14ac:dyDescent="0.25">
      <c r="A62" s="32" t="s">
        <v>659</v>
      </c>
      <c r="B62" s="14">
        <v>43556</v>
      </c>
      <c r="C62" s="67">
        <v>34</v>
      </c>
      <c r="D62" s="32" t="s">
        <v>595</v>
      </c>
      <c r="E62" s="32" t="s">
        <v>488</v>
      </c>
      <c r="F62" s="4">
        <v>228895.48</v>
      </c>
      <c r="G62" s="29" t="s">
        <v>5744</v>
      </c>
      <c r="H62" s="14">
        <v>43524</v>
      </c>
      <c r="I62" s="41" t="s">
        <v>949</v>
      </c>
      <c r="J62" s="35" t="s">
        <v>721</v>
      </c>
      <c r="K62" s="167"/>
      <c r="L62" s="35"/>
    </row>
    <row r="63" spans="1:19" hidden="1" x14ac:dyDescent="0.25">
      <c r="A63" s="32" t="s">
        <v>1147</v>
      </c>
      <c r="B63" s="14">
        <v>43556</v>
      </c>
      <c r="C63" s="13">
        <v>315</v>
      </c>
      <c r="D63" s="32" t="s">
        <v>4006</v>
      </c>
      <c r="E63" s="32" t="s">
        <v>136</v>
      </c>
      <c r="F63" s="4">
        <v>2000000</v>
      </c>
      <c r="G63" s="174" t="s">
        <v>4007</v>
      </c>
      <c r="H63" s="14">
        <v>43486</v>
      </c>
      <c r="I63" s="41" t="s">
        <v>490</v>
      </c>
      <c r="K63" s="63"/>
      <c r="L63" s="62"/>
    </row>
    <row r="64" spans="1:19" hidden="1" x14ac:dyDescent="0.25">
      <c r="A64" s="32" t="s">
        <v>1148</v>
      </c>
      <c r="B64" s="14">
        <v>43556</v>
      </c>
      <c r="C64" s="13">
        <v>316</v>
      </c>
      <c r="D64" s="32" t="s">
        <v>4006</v>
      </c>
      <c r="E64" s="32" t="s">
        <v>136</v>
      </c>
      <c r="F64" s="4">
        <v>1000000</v>
      </c>
      <c r="G64" s="174" t="s">
        <v>5821</v>
      </c>
      <c r="H64" s="14">
        <v>43486</v>
      </c>
      <c r="I64" s="41" t="s">
        <v>490</v>
      </c>
      <c r="K64" s="63"/>
      <c r="L64" s="62"/>
    </row>
    <row r="65" spans="1:19" hidden="1" x14ac:dyDescent="0.25">
      <c r="A65" s="32" t="s">
        <v>741</v>
      </c>
      <c r="B65" s="14">
        <v>43556</v>
      </c>
      <c r="C65" s="13" t="s">
        <v>6007</v>
      </c>
      <c r="D65" s="13" t="s">
        <v>5976</v>
      </c>
      <c r="E65" s="13" t="s">
        <v>434</v>
      </c>
      <c r="F65" s="4">
        <f>1375.47+1618.2+1375.47</f>
        <v>4369.1400000000003</v>
      </c>
      <c r="G65" s="28" t="s">
        <v>5977</v>
      </c>
      <c r="H65" s="14">
        <v>43553</v>
      </c>
      <c r="I65" s="4" t="s">
        <v>1582</v>
      </c>
      <c r="J65" s="128"/>
    </row>
    <row r="66" spans="1:19" hidden="1" x14ac:dyDescent="0.25">
      <c r="A66" s="61" t="s">
        <v>103</v>
      </c>
      <c r="B66" s="14">
        <v>43556</v>
      </c>
      <c r="C66" s="13">
        <v>551</v>
      </c>
      <c r="D66" s="13" t="s">
        <v>5976</v>
      </c>
      <c r="E66" s="13" t="s">
        <v>62</v>
      </c>
      <c r="F66" s="37">
        <v>1456.38</v>
      </c>
      <c r="G66" s="29" t="s">
        <v>5978</v>
      </c>
      <c r="H66" s="14">
        <v>43553</v>
      </c>
      <c r="I66" s="4" t="s">
        <v>1582</v>
      </c>
      <c r="J66" s="128"/>
    </row>
    <row r="67" spans="1:19" hidden="1" x14ac:dyDescent="0.25">
      <c r="A67" s="68" t="s">
        <v>188</v>
      </c>
      <c r="B67" s="14">
        <v>43556</v>
      </c>
      <c r="C67" s="13">
        <v>77</v>
      </c>
      <c r="D67" s="32" t="s">
        <v>1135</v>
      </c>
      <c r="E67" s="32" t="s">
        <v>483</v>
      </c>
      <c r="F67" s="4">
        <v>60571.199999999997</v>
      </c>
      <c r="G67" s="210" t="s">
        <v>5973</v>
      </c>
      <c r="H67" s="211">
        <v>43521</v>
      </c>
      <c r="I67" s="208" t="s">
        <v>5514</v>
      </c>
      <c r="J67" s="21"/>
      <c r="K67" s="228"/>
    </row>
    <row r="68" spans="1:19" s="115" customFormat="1" ht="15.6" hidden="1" x14ac:dyDescent="0.25">
      <c r="A68" s="61" t="s">
        <v>651</v>
      </c>
      <c r="B68" s="14">
        <v>43556</v>
      </c>
      <c r="C68" s="13">
        <v>356</v>
      </c>
      <c r="D68" s="13" t="s">
        <v>813</v>
      </c>
      <c r="E68" s="13" t="s">
        <v>547</v>
      </c>
      <c r="F68" s="37">
        <v>7500000</v>
      </c>
      <c r="G68" s="29" t="s">
        <v>810</v>
      </c>
      <c r="H68" s="14">
        <v>42340</v>
      </c>
      <c r="I68" s="41" t="s">
        <v>1560</v>
      </c>
      <c r="J68" s="258"/>
      <c r="K68" s="116"/>
      <c r="L68" s="116"/>
      <c r="M68" s="116"/>
      <c r="N68" s="116"/>
      <c r="O68" s="117"/>
      <c r="P68" s="117"/>
      <c r="Q68" s="117"/>
      <c r="R68" s="117"/>
      <c r="S68" s="117"/>
    </row>
    <row r="69" spans="1:19" hidden="1" x14ac:dyDescent="0.25">
      <c r="A69" s="68" t="s">
        <v>151</v>
      </c>
      <c r="B69" s="14">
        <v>43556</v>
      </c>
      <c r="C69" s="13">
        <v>403</v>
      </c>
      <c r="D69" s="32" t="s">
        <v>2905</v>
      </c>
      <c r="E69" s="32" t="s">
        <v>1121</v>
      </c>
      <c r="F69" s="4">
        <f>115035+100000</f>
        <v>215035</v>
      </c>
      <c r="G69" s="210" t="s">
        <v>6008</v>
      </c>
      <c r="H69" s="211" t="s">
        <v>6009</v>
      </c>
      <c r="I69" s="208" t="s">
        <v>1525</v>
      </c>
      <c r="J69" s="21"/>
      <c r="K69" s="228"/>
    </row>
    <row r="70" spans="1:19" ht="13.95" hidden="1" customHeight="1" x14ac:dyDescent="0.25">
      <c r="A70" s="68" t="s">
        <v>638</v>
      </c>
      <c r="B70" s="14">
        <v>43557</v>
      </c>
      <c r="C70" s="67">
        <v>358</v>
      </c>
      <c r="D70" s="32" t="s">
        <v>595</v>
      </c>
      <c r="E70" s="32" t="s">
        <v>547</v>
      </c>
      <c r="F70" s="4">
        <v>500000</v>
      </c>
      <c r="G70" s="28" t="s">
        <v>5596</v>
      </c>
      <c r="H70" s="14">
        <v>43524</v>
      </c>
      <c r="I70" s="41" t="s">
        <v>949</v>
      </c>
      <c r="J70" s="166" t="s">
        <v>721</v>
      </c>
      <c r="K70" s="167"/>
      <c r="L70" s="35"/>
    </row>
    <row r="71" spans="1:19" s="129" customFormat="1" hidden="1" x14ac:dyDescent="0.25">
      <c r="A71" s="13" t="s">
        <v>151</v>
      </c>
      <c r="B71" s="14">
        <v>43557</v>
      </c>
      <c r="C71" s="28" t="s">
        <v>1265</v>
      </c>
      <c r="D71" s="13" t="s">
        <v>5865</v>
      </c>
      <c r="E71" s="13" t="s">
        <v>22</v>
      </c>
      <c r="F71" s="4">
        <v>41895</v>
      </c>
      <c r="G71" s="28" t="s">
        <v>5866</v>
      </c>
      <c r="H71" s="14">
        <v>43551</v>
      </c>
      <c r="I71" s="4" t="s">
        <v>5867</v>
      </c>
      <c r="J71" s="133"/>
      <c r="K71" s="275"/>
    </row>
    <row r="72" spans="1:19" s="129" customFormat="1" hidden="1" x14ac:dyDescent="0.25">
      <c r="A72" s="13" t="s">
        <v>151</v>
      </c>
      <c r="B72" s="14">
        <v>43557</v>
      </c>
      <c r="C72" s="28" t="s">
        <v>477</v>
      </c>
      <c r="D72" s="13" t="s">
        <v>5954</v>
      </c>
      <c r="E72" s="13" t="s">
        <v>22</v>
      </c>
      <c r="F72" s="4">
        <v>3260</v>
      </c>
      <c r="G72" s="28" t="s">
        <v>2219</v>
      </c>
      <c r="H72" s="14">
        <v>43551</v>
      </c>
      <c r="I72" s="4" t="s">
        <v>5955</v>
      </c>
      <c r="J72" s="133"/>
      <c r="K72" s="275"/>
    </row>
    <row r="73" spans="1:19" s="129" customFormat="1" hidden="1" x14ac:dyDescent="0.25">
      <c r="A73" s="13" t="s">
        <v>151</v>
      </c>
      <c r="B73" s="14">
        <v>43557</v>
      </c>
      <c r="C73" s="28" t="s">
        <v>1347</v>
      </c>
      <c r="D73" s="13" t="s">
        <v>1589</v>
      </c>
      <c r="E73" s="13" t="s">
        <v>22</v>
      </c>
      <c r="F73" s="4">
        <v>2500</v>
      </c>
      <c r="G73" s="28" t="s">
        <v>167</v>
      </c>
      <c r="H73" s="14">
        <v>43543</v>
      </c>
      <c r="I73" s="4" t="s">
        <v>5806</v>
      </c>
      <c r="J73" s="133"/>
      <c r="K73" s="275"/>
    </row>
    <row r="74" spans="1:19" hidden="1" x14ac:dyDescent="0.25">
      <c r="A74" s="13" t="s">
        <v>151</v>
      </c>
      <c r="B74" s="14">
        <v>43557</v>
      </c>
      <c r="C74" s="13">
        <v>79</v>
      </c>
      <c r="D74" s="13" t="s">
        <v>596</v>
      </c>
      <c r="E74" s="32" t="s">
        <v>22</v>
      </c>
      <c r="F74" s="4">
        <v>5840</v>
      </c>
      <c r="G74" s="28" t="s">
        <v>5849</v>
      </c>
      <c r="H74" s="14">
        <v>43551</v>
      </c>
      <c r="I74" s="4" t="s">
        <v>5850</v>
      </c>
      <c r="J74" s="125"/>
    </row>
    <row r="75" spans="1:19" hidden="1" x14ac:dyDescent="0.25">
      <c r="A75" s="32" t="s">
        <v>151</v>
      </c>
      <c r="B75" s="14">
        <v>43557</v>
      </c>
      <c r="C75" s="13">
        <v>80</v>
      </c>
      <c r="D75" s="13" t="s">
        <v>223</v>
      </c>
      <c r="E75" s="32" t="s">
        <v>22</v>
      </c>
      <c r="F75" s="4">
        <v>35040</v>
      </c>
      <c r="G75" s="28" t="s">
        <v>317</v>
      </c>
      <c r="H75" s="14">
        <v>43510</v>
      </c>
      <c r="I75" s="4" t="s">
        <v>3072</v>
      </c>
      <c r="J75" s="76"/>
      <c r="K75" s="246"/>
    </row>
    <row r="76" spans="1:19" hidden="1" x14ac:dyDescent="0.25">
      <c r="A76" s="32" t="s">
        <v>151</v>
      </c>
      <c r="B76" s="14">
        <v>43557</v>
      </c>
      <c r="C76" s="13">
        <v>80</v>
      </c>
      <c r="D76" s="13" t="s">
        <v>223</v>
      </c>
      <c r="E76" s="32" t="s">
        <v>22</v>
      </c>
      <c r="F76" s="4">
        <v>36800</v>
      </c>
      <c r="G76" s="28" t="s">
        <v>7</v>
      </c>
      <c r="H76" s="14">
        <v>43508</v>
      </c>
      <c r="I76" s="4" t="s">
        <v>3072</v>
      </c>
      <c r="J76" s="76"/>
      <c r="K76" s="246"/>
    </row>
    <row r="77" spans="1:19" s="129" customFormat="1" ht="13.95" hidden="1" customHeight="1" x14ac:dyDescent="0.25">
      <c r="A77" s="13" t="s">
        <v>151</v>
      </c>
      <c r="B77" s="14">
        <v>43557</v>
      </c>
      <c r="C77" s="28" t="s">
        <v>5626</v>
      </c>
      <c r="D77" s="13" t="s">
        <v>1078</v>
      </c>
      <c r="E77" s="13" t="s">
        <v>22</v>
      </c>
      <c r="F77" s="4">
        <v>49545.39</v>
      </c>
      <c r="G77" s="28" t="s">
        <v>251</v>
      </c>
      <c r="H77" s="14">
        <v>43504</v>
      </c>
      <c r="I77" s="4" t="s">
        <v>4069</v>
      </c>
      <c r="J77" s="22"/>
      <c r="K77" s="136"/>
    </row>
    <row r="78" spans="1:19" s="129" customFormat="1" ht="13.95" hidden="1" customHeight="1" x14ac:dyDescent="0.25">
      <c r="A78" s="13" t="s">
        <v>151</v>
      </c>
      <c r="B78" s="14">
        <v>43557</v>
      </c>
      <c r="C78" s="28" t="s">
        <v>5626</v>
      </c>
      <c r="D78" s="13" t="s">
        <v>1078</v>
      </c>
      <c r="E78" s="13" t="s">
        <v>22</v>
      </c>
      <c r="F78" s="4">
        <v>4760</v>
      </c>
      <c r="G78" s="28" t="s">
        <v>3122</v>
      </c>
      <c r="H78" s="14">
        <v>43524</v>
      </c>
      <c r="I78" s="4" t="s">
        <v>5315</v>
      </c>
      <c r="J78" s="22"/>
      <c r="K78" s="136"/>
    </row>
    <row r="79" spans="1:19" s="129" customFormat="1" ht="13.95" hidden="1" customHeight="1" x14ac:dyDescent="0.25">
      <c r="A79" s="13" t="s">
        <v>151</v>
      </c>
      <c r="B79" s="14">
        <v>43557</v>
      </c>
      <c r="C79" s="28" t="s">
        <v>1367</v>
      </c>
      <c r="D79" s="13" t="s">
        <v>5959</v>
      </c>
      <c r="E79" s="13" t="s">
        <v>22</v>
      </c>
      <c r="F79" s="4">
        <v>37650</v>
      </c>
      <c r="G79" s="28" t="s">
        <v>1514</v>
      </c>
      <c r="H79" s="14">
        <v>43545</v>
      </c>
      <c r="I79" s="4" t="s">
        <v>5960</v>
      </c>
      <c r="J79" s="22"/>
      <c r="K79" s="136"/>
    </row>
    <row r="80" spans="1:19" hidden="1" x14ac:dyDescent="0.25">
      <c r="A80" s="61" t="s">
        <v>460</v>
      </c>
      <c r="B80" s="14">
        <v>43557</v>
      </c>
      <c r="C80" s="13">
        <v>79</v>
      </c>
      <c r="D80" s="14" t="s">
        <v>5999</v>
      </c>
      <c r="E80" s="32" t="s">
        <v>483</v>
      </c>
      <c r="F80" s="4">
        <v>42700</v>
      </c>
      <c r="G80" s="86" t="s">
        <v>6000</v>
      </c>
      <c r="H80" s="211"/>
      <c r="I80" s="326"/>
      <c r="K80" s="62"/>
    </row>
    <row r="81" spans="1:19" s="129" customFormat="1" ht="27.6" hidden="1" x14ac:dyDescent="0.25">
      <c r="A81" s="13" t="s">
        <v>151</v>
      </c>
      <c r="B81" s="14">
        <v>43557</v>
      </c>
      <c r="C81" s="28" t="s">
        <v>6035</v>
      </c>
      <c r="D81" s="13" t="s">
        <v>711</v>
      </c>
      <c r="E81" s="32" t="s">
        <v>1121</v>
      </c>
      <c r="F81" s="37">
        <f>5650+9650+1800+4050+2000+4700+950+3200</f>
        <v>32000</v>
      </c>
      <c r="G81" s="28" t="s">
        <v>5984</v>
      </c>
      <c r="H81" s="28" t="s">
        <v>5983</v>
      </c>
      <c r="I81" s="4" t="s">
        <v>712</v>
      </c>
      <c r="J81" s="170"/>
      <c r="K81" s="136"/>
    </row>
    <row r="82" spans="1:19" ht="13.95" hidden="1" customHeight="1" x14ac:dyDescent="0.25">
      <c r="A82" s="32" t="s">
        <v>151</v>
      </c>
      <c r="B82" s="14">
        <v>43557</v>
      </c>
      <c r="C82" s="67">
        <v>409</v>
      </c>
      <c r="D82" s="32" t="s">
        <v>412</v>
      </c>
      <c r="E82" s="13" t="s">
        <v>1121</v>
      </c>
      <c r="F82" s="4">
        <v>20000</v>
      </c>
      <c r="G82" s="13">
        <v>18</v>
      </c>
      <c r="H82" s="14">
        <v>43525</v>
      </c>
      <c r="I82" s="4" t="s">
        <v>1908</v>
      </c>
      <c r="J82" s="22" t="s">
        <v>366</v>
      </c>
      <c r="K82" s="245"/>
    </row>
    <row r="83" spans="1:19" hidden="1" x14ac:dyDescent="0.25">
      <c r="A83" s="13" t="s">
        <v>151</v>
      </c>
      <c r="B83" s="14">
        <v>43557</v>
      </c>
      <c r="C83" s="13">
        <v>83</v>
      </c>
      <c r="D83" s="13" t="s">
        <v>5752</v>
      </c>
      <c r="E83" s="32" t="s">
        <v>22</v>
      </c>
      <c r="F83" s="4">
        <v>13130.47</v>
      </c>
      <c r="G83" s="28" t="s">
        <v>5985</v>
      </c>
      <c r="H83" s="14">
        <v>43556</v>
      </c>
      <c r="I83" s="4" t="s">
        <v>5754</v>
      </c>
      <c r="J83" s="125"/>
    </row>
    <row r="84" spans="1:19" ht="27.6" hidden="1" x14ac:dyDescent="0.25">
      <c r="A84" s="68" t="s">
        <v>261</v>
      </c>
      <c r="B84" s="14">
        <v>43557</v>
      </c>
      <c r="C84" s="13">
        <v>673</v>
      </c>
      <c r="D84" s="32" t="s">
        <v>3005</v>
      </c>
      <c r="E84" s="32" t="s">
        <v>6006</v>
      </c>
      <c r="F84" s="4">
        <v>10315.16</v>
      </c>
      <c r="G84" s="210" t="s">
        <v>5988</v>
      </c>
      <c r="H84" s="211">
        <v>43552</v>
      </c>
      <c r="I84" s="208" t="s">
        <v>5989</v>
      </c>
      <c r="J84" s="21"/>
      <c r="K84" s="228"/>
    </row>
    <row r="85" spans="1:19" ht="27.6" hidden="1" x14ac:dyDescent="0.25">
      <c r="A85" s="13" t="s">
        <v>1934</v>
      </c>
      <c r="B85" s="14">
        <v>43557</v>
      </c>
      <c r="C85" s="13">
        <v>555</v>
      </c>
      <c r="D85" s="13" t="s">
        <v>5993</v>
      </c>
      <c r="E85" s="13" t="s">
        <v>130</v>
      </c>
      <c r="F85" s="37">
        <v>57000</v>
      </c>
      <c r="G85" s="210" t="s">
        <v>3390</v>
      </c>
      <c r="H85" s="14">
        <v>43553</v>
      </c>
      <c r="I85" s="4" t="s">
        <v>1581</v>
      </c>
      <c r="J85" s="22" t="s">
        <v>5994</v>
      </c>
    </row>
    <row r="86" spans="1:19" hidden="1" x14ac:dyDescent="0.25">
      <c r="A86" s="13" t="s">
        <v>55</v>
      </c>
      <c r="B86" s="14">
        <v>43557</v>
      </c>
      <c r="C86" s="13">
        <v>561</v>
      </c>
      <c r="D86" s="32" t="s">
        <v>1980</v>
      </c>
      <c r="E86" s="32" t="s">
        <v>130</v>
      </c>
      <c r="F86" s="4">
        <v>124112.44</v>
      </c>
      <c r="G86" s="69" t="s">
        <v>4251</v>
      </c>
      <c r="H86" s="14"/>
      <c r="I86" s="41" t="s">
        <v>270</v>
      </c>
      <c r="K86" s="62"/>
    </row>
    <row r="87" spans="1:19" hidden="1" x14ac:dyDescent="0.25">
      <c r="A87" s="13" t="s">
        <v>91</v>
      </c>
      <c r="B87" s="14">
        <v>43557</v>
      </c>
      <c r="C87" s="13">
        <v>562</v>
      </c>
      <c r="D87" s="32" t="s">
        <v>1980</v>
      </c>
      <c r="E87" s="32" t="s">
        <v>130</v>
      </c>
      <c r="F87" s="4">
        <v>676000</v>
      </c>
      <c r="G87" s="69" t="s">
        <v>5423</v>
      </c>
      <c r="H87" s="14"/>
      <c r="I87" s="41" t="s">
        <v>5424</v>
      </c>
      <c r="K87" s="62"/>
    </row>
    <row r="88" spans="1:19" hidden="1" x14ac:dyDescent="0.25">
      <c r="A88" s="13" t="s">
        <v>55</v>
      </c>
      <c r="B88" s="14">
        <v>43557</v>
      </c>
      <c r="C88" s="13">
        <v>564</v>
      </c>
      <c r="D88" s="13" t="s">
        <v>971</v>
      </c>
      <c r="E88" s="13" t="s">
        <v>130</v>
      </c>
      <c r="F88" s="4">
        <v>72360</v>
      </c>
      <c r="G88" s="28" t="s">
        <v>3375</v>
      </c>
      <c r="H88" s="14">
        <v>43496</v>
      </c>
      <c r="I88" s="4" t="s">
        <v>182</v>
      </c>
    </row>
    <row r="89" spans="1:19" hidden="1" x14ac:dyDescent="0.25">
      <c r="A89" s="32" t="s">
        <v>358</v>
      </c>
      <c r="B89" s="14">
        <v>43557</v>
      </c>
      <c r="C89" s="13">
        <v>564</v>
      </c>
      <c r="D89" s="13" t="s">
        <v>971</v>
      </c>
      <c r="E89" s="13" t="s">
        <v>130</v>
      </c>
      <c r="F89" s="4">
        <v>36180</v>
      </c>
      <c r="G89" s="28" t="s">
        <v>3390</v>
      </c>
      <c r="H89" s="14">
        <v>43496</v>
      </c>
      <c r="I89" s="4" t="s">
        <v>182</v>
      </c>
    </row>
    <row r="90" spans="1:19" hidden="1" x14ac:dyDescent="0.25">
      <c r="A90" s="61" t="s">
        <v>442</v>
      </c>
      <c r="B90" s="14">
        <v>43557</v>
      </c>
      <c r="C90" s="13">
        <v>564</v>
      </c>
      <c r="D90" s="13" t="s">
        <v>971</v>
      </c>
      <c r="E90" s="13" t="s">
        <v>130</v>
      </c>
      <c r="F90" s="4">
        <v>130650</v>
      </c>
      <c r="G90" s="28" t="s">
        <v>86</v>
      </c>
      <c r="H90" s="14">
        <v>43496</v>
      </c>
      <c r="I90" s="4" t="s">
        <v>182</v>
      </c>
    </row>
    <row r="91" spans="1:19" hidden="1" x14ac:dyDescent="0.25">
      <c r="A91" s="61" t="s">
        <v>55</v>
      </c>
      <c r="B91" s="14">
        <v>43557</v>
      </c>
      <c r="C91" s="13">
        <v>564</v>
      </c>
      <c r="D91" s="13" t="s">
        <v>971</v>
      </c>
      <c r="E91" s="13" t="s">
        <v>130</v>
      </c>
      <c r="F91" s="37">
        <v>54270</v>
      </c>
      <c r="G91" s="29" t="s">
        <v>4</v>
      </c>
      <c r="H91" s="14">
        <v>43524</v>
      </c>
      <c r="I91" s="4" t="s">
        <v>182</v>
      </c>
    </row>
    <row r="92" spans="1:19" hidden="1" x14ac:dyDescent="0.25">
      <c r="A92" s="61" t="s">
        <v>358</v>
      </c>
      <c r="B92" s="14">
        <v>43557</v>
      </c>
      <c r="C92" s="13">
        <v>564</v>
      </c>
      <c r="D92" s="13" t="s">
        <v>971</v>
      </c>
      <c r="E92" s="13" t="s">
        <v>130</v>
      </c>
      <c r="F92" s="37">
        <v>18090</v>
      </c>
      <c r="G92" s="29" t="s">
        <v>302</v>
      </c>
      <c r="H92" s="14">
        <v>43524</v>
      </c>
      <c r="I92" s="4" t="s">
        <v>182</v>
      </c>
    </row>
    <row r="93" spans="1:19" hidden="1" x14ac:dyDescent="0.25">
      <c r="A93" s="32" t="s">
        <v>151</v>
      </c>
      <c r="B93" s="14">
        <v>43557</v>
      </c>
      <c r="C93" s="13">
        <v>563</v>
      </c>
      <c r="D93" s="32" t="s">
        <v>437</v>
      </c>
      <c r="E93" s="32" t="s">
        <v>130</v>
      </c>
      <c r="F93" s="4">
        <f>8000*3</f>
        <v>24000</v>
      </c>
      <c r="G93" s="13" t="s">
        <v>6015</v>
      </c>
      <c r="H93" s="14"/>
      <c r="I93" s="4" t="s">
        <v>1324</v>
      </c>
      <c r="J93" s="22" t="s">
        <v>5982</v>
      </c>
      <c r="K93" s="62"/>
      <c r="L93" s="62"/>
      <c r="M93" s="62"/>
      <c r="N93" s="62"/>
      <c r="O93" s="35"/>
      <c r="P93" s="35"/>
      <c r="Q93" s="35"/>
      <c r="R93" s="35"/>
      <c r="S93" s="35"/>
    </row>
    <row r="94" spans="1:19" ht="13.95" hidden="1" customHeight="1" x14ac:dyDescent="0.25">
      <c r="A94" s="68" t="s">
        <v>358</v>
      </c>
      <c r="B94" s="14">
        <v>43557</v>
      </c>
      <c r="C94" s="13">
        <v>473</v>
      </c>
      <c r="D94" s="32" t="s">
        <v>1077</v>
      </c>
      <c r="E94" s="32" t="s">
        <v>38</v>
      </c>
      <c r="F94" s="4">
        <v>5000000</v>
      </c>
      <c r="G94" s="86" t="s">
        <v>410</v>
      </c>
      <c r="H94" s="211"/>
      <c r="I94" s="208" t="s">
        <v>581</v>
      </c>
      <c r="J94" s="21"/>
      <c r="K94" s="228"/>
    </row>
    <row r="95" spans="1:19" ht="13.95" hidden="1" customHeight="1" x14ac:dyDescent="0.25">
      <c r="A95" s="68" t="s">
        <v>904</v>
      </c>
      <c r="B95" s="14">
        <v>43557</v>
      </c>
      <c r="C95" s="13">
        <v>474</v>
      </c>
      <c r="D95" s="32" t="s">
        <v>905</v>
      </c>
      <c r="E95" s="32" t="s">
        <v>38</v>
      </c>
      <c r="F95" s="4">
        <v>9000000</v>
      </c>
      <c r="G95" s="86" t="s">
        <v>906</v>
      </c>
      <c r="H95" s="211"/>
      <c r="I95" s="208" t="s">
        <v>581</v>
      </c>
      <c r="J95" s="21"/>
      <c r="K95" s="228"/>
    </row>
    <row r="96" spans="1:19" s="97" customFormat="1" ht="27.6" hidden="1" x14ac:dyDescent="0.25">
      <c r="A96" s="13" t="s">
        <v>92</v>
      </c>
      <c r="B96" s="14">
        <v>43557</v>
      </c>
      <c r="C96" s="13">
        <v>475</v>
      </c>
      <c r="D96" s="32" t="s">
        <v>4222</v>
      </c>
      <c r="E96" s="13" t="s">
        <v>38</v>
      </c>
      <c r="F96" s="4">
        <v>5066.53</v>
      </c>
      <c r="G96" s="69" t="s">
        <v>1583</v>
      </c>
      <c r="H96" s="14"/>
      <c r="I96" s="41" t="s">
        <v>5998</v>
      </c>
      <c r="J96" s="133"/>
      <c r="K96" s="22"/>
      <c r="L96" s="134"/>
    </row>
    <row r="97" spans="1:12" hidden="1" x14ac:dyDescent="0.25">
      <c r="A97" s="32" t="s">
        <v>151</v>
      </c>
      <c r="B97" s="14">
        <v>43557</v>
      </c>
      <c r="C97" s="67">
        <v>476</v>
      </c>
      <c r="D97" s="32" t="s">
        <v>3520</v>
      </c>
      <c r="E97" s="32" t="s">
        <v>38</v>
      </c>
      <c r="F97" s="4">
        <v>8000</v>
      </c>
      <c r="G97" s="28"/>
      <c r="H97" s="14"/>
      <c r="I97" s="4" t="s">
        <v>1324</v>
      </c>
      <c r="J97" s="22" t="s">
        <v>771</v>
      </c>
      <c r="K97" s="167"/>
      <c r="L97" s="35"/>
    </row>
    <row r="98" spans="1:12" s="129" customFormat="1" ht="13.95" hidden="1" customHeight="1" x14ac:dyDescent="0.25">
      <c r="A98" s="13" t="s">
        <v>151</v>
      </c>
      <c r="B98" s="14">
        <v>43557</v>
      </c>
      <c r="C98" s="28" t="s">
        <v>1668</v>
      </c>
      <c r="D98" s="13" t="s">
        <v>258</v>
      </c>
      <c r="E98" s="32" t="s">
        <v>38</v>
      </c>
      <c r="F98" s="4">
        <v>8082</v>
      </c>
      <c r="G98" s="28" t="s">
        <v>5825</v>
      </c>
      <c r="H98" s="14">
        <v>43549</v>
      </c>
      <c r="I98" s="4" t="s">
        <v>5826</v>
      </c>
      <c r="J98" s="22"/>
      <c r="K98" s="136"/>
    </row>
    <row r="99" spans="1:12" ht="13.95" hidden="1" customHeight="1" x14ac:dyDescent="0.25">
      <c r="A99" s="68" t="s">
        <v>1165</v>
      </c>
      <c r="B99" s="14">
        <v>43557</v>
      </c>
      <c r="C99" s="13">
        <v>568</v>
      </c>
      <c r="D99" s="32" t="s">
        <v>2759</v>
      </c>
      <c r="E99" s="32" t="s">
        <v>62</v>
      </c>
      <c r="F99" s="4">
        <v>2000000</v>
      </c>
      <c r="G99" s="86" t="s">
        <v>2608</v>
      </c>
      <c r="H99" s="211"/>
      <c r="I99" s="84" t="s">
        <v>23</v>
      </c>
      <c r="J99" s="21"/>
      <c r="K99" s="228"/>
    </row>
    <row r="100" spans="1:12" ht="13.95" hidden="1" customHeight="1" x14ac:dyDescent="0.25">
      <c r="A100" s="68" t="s">
        <v>1637</v>
      </c>
      <c r="B100" s="14">
        <v>43557</v>
      </c>
      <c r="C100" s="13">
        <v>565</v>
      </c>
      <c r="D100" s="32" t="s">
        <v>1644</v>
      </c>
      <c r="E100" s="32" t="s">
        <v>62</v>
      </c>
      <c r="F100" s="4">
        <v>10000000</v>
      </c>
      <c r="G100" s="86" t="s">
        <v>4252</v>
      </c>
      <c r="H100" s="211"/>
      <c r="I100" s="84" t="s">
        <v>23</v>
      </c>
      <c r="J100" s="21"/>
      <c r="K100" s="228"/>
    </row>
    <row r="101" spans="1:12" ht="13.95" hidden="1" customHeight="1" x14ac:dyDescent="0.25">
      <c r="A101" s="68" t="s">
        <v>550</v>
      </c>
      <c r="B101" s="14">
        <v>43557</v>
      </c>
      <c r="C101" s="13">
        <v>269</v>
      </c>
      <c r="D101" s="32" t="s">
        <v>272</v>
      </c>
      <c r="E101" s="32" t="s">
        <v>62</v>
      </c>
      <c r="F101" s="4">
        <v>2410000</v>
      </c>
      <c r="G101" s="86" t="s">
        <v>5725</v>
      </c>
      <c r="H101" s="211"/>
      <c r="I101" s="84" t="s">
        <v>273</v>
      </c>
      <c r="J101" s="21"/>
      <c r="K101" s="228"/>
    </row>
    <row r="102" spans="1:12" ht="13.95" hidden="1" customHeight="1" x14ac:dyDescent="0.25">
      <c r="A102" s="32" t="s">
        <v>1286</v>
      </c>
      <c r="B102" s="14">
        <v>43557</v>
      </c>
      <c r="C102" s="13">
        <v>566</v>
      </c>
      <c r="D102" s="32" t="s">
        <v>272</v>
      </c>
      <c r="E102" s="32" t="s">
        <v>62</v>
      </c>
      <c r="F102" s="4">
        <v>1359174.5300000012</v>
      </c>
      <c r="G102" s="69" t="s">
        <v>1195</v>
      </c>
      <c r="H102" s="14"/>
      <c r="I102" s="84" t="s">
        <v>1196</v>
      </c>
      <c r="K102" s="62"/>
    </row>
    <row r="103" spans="1:12" ht="15" hidden="1" customHeight="1" x14ac:dyDescent="0.25">
      <c r="A103" s="68" t="s">
        <v>215</v>
      </c>
      <c r="B103" s="14">
        <v>43557</v>
      </c>
      <c r="C103" s="13">
        <v>563</v>
      </c>
      <c r="D103" s="13" t="s">
        <v>456</v>
      </c>
      <c r="E103" s="32" t="s">
        <v>62</v>
      </c>
      <c r="F103" s="4">
        <v>6428880.5</v>
      </c>
      <c r="G103" s="86" t="s">
        <v>557</v>
      </c>
      <c r="H103" s="14"/>
      <c r="I103" s="4" t="s">
        <v>237</v>
      </c>
      <c r="J103" s="71"/>
      <c r="K103" s="62"/>
      <c r="L103" s="62"/>
    </row>
    <row r="104" spans="1:12" ht="16.2" hidden="1" customHeight="1" x14ac:dyDescent="0.25">
      <c r="A104" s="68" t="s">
        <v>1286</v>
      </c>
      <c r="B104" s="14">
        <v>43557</v>
      </c>
      <c r="C104" s="13">
        <v>558</v>
      </c>
      <c r="D104" s="13" t="s">
        <v>456</v>
      </c>
      <c r="E104" s="32" t="s">
        <v>62</v>
      </c>
      <c r="F104" s="4">
        <v>4810000</v>
      </c>
      <c r="G104" s="86" t="s">
        <v>1735</v>
      </c>
      <c r="H104" s="14"/>
      <c r="I104" s="4" t="s">
        <v>237</v>
      </c>
      <c r="J104" s="71"/>
      <c r="K104" s="62"/>
      <c r="L104" s="62"/>
    </row>
    <row r="105" spans="1:12" ht="14.1" hidden="1" customHeight="1" x14ac:dyDescent="0.25">
      <c r="A105" s="32" t="s">
        <v>358</v>
      </c>
      <c r="B105" s="14">
        <v>43557</v>
      </c>
      <c r="C105" s="13">
        <v>559</v>
      </c>
      <c r="D105" s="32" t="s">
        <v>541</v>
      </c>
      <c r="E105" s="13" t="s">
        <v>62</v>
      </c>
      <c r="F105" s="4">
        <v>2700000</v>
      </c>
      <c r="G105" s="86" t="s">
        <v>1962</v>
      </c>
      <c r="H105" s="211"/>
      <c r="I105" s="208" t="s">
        <v>1964</v>
      </c>
      <c r="J105" s="21"/>
      <c r="K105" s="228"/>
    </row>
    <row r="106" spans="1:12" ht="13.95" hidden="1" customHeight="1" x14ac:dyDescent="0.25">
      <c r="A106" s="61" t="s">
        <v>91</v>
      </c>
      <c r="B106" s="14">
        <v>43557</v>
      </c>
      <c r="C106" s="13">
        <v>570</v>
      </c>
      <c r="D106" s="32" t="s">
        <v>525</v>
      </c>
      <c r="E106" s="32" t="s">
        <v>62</v>
      </c>
      <c r="F106" s="4">
        <v>899975.7</v>
      </c>
      <c r="G106" s="86" t="s">
        <v>5519</v>
      </c>
      <c r="H106" s="211"/>
      <c r="I106" s="4" t="s">
        <v>5520</v>
      </c>
      <c r="J106" s="21"/>
      <c r="K106" s="228"/>
    </row>
    <row r="107" spans="1:12" ht="13.95" hidden="1" customHeight="1" x14ac:dyDescent="0.25">
      <c r="A107" s="32" t="s">
        <v>442</v>
      </c>
      <c r="B107" s="14">
        <v>43557</v>
      </c>
      <c r="C107" s="13">
        <v>571</v>
      </c>
      <c r="D107" s="32" t="s">
        <v>1840</v>
      </c>
      <c r="E107" s="32" t="s">
        <v>62</v>
      </c>
      <c r="F107" s="4">
        <f>510900-90900</f>
        <v>420000</v>
      </c>
      <c r="G107" s="69" t="s">
        <v>5597</v>
      </c>
      <c r="H107" s="14"/>
      <c r="I107" s="41" t="s">
        <v>1918</v>
      </c>
      <c r="J107" s="21"/>
      <c r="K107" s="228"/>
    </row>
    <row r="108" spans="1:12" ht="13.95" hidden="1" customHeight="1" x14ac:dyDescent="0.25">
      <c r="A108" s="61" t="s">
        <v>442</v>
      </c>
      <c r="B108" s="14">
        <v>43557</v>
      </c>
      <c r="C108" s="13">
        <v>560</v>
      </c>
      <c r="D108" s="13" t="s">
        <v>679</v>
      </c>
      <c r="E108" s="32" t="s">
        <v>62</v>
      </c>
      <c r="F108" s="4">
        <v>1172680.6100000001</v>
      </c>
      <c r="G108" s="86" t="s">
        <v>1010</v>
      </c>
      <c r="H108" s="211"/>
      <c r="I108" s="4" t="s">
        <v>1011</v>
      </c>
      <c r="J108" s="21"/>
      <c r="K108" s="228"/>
    </row>
    <row r="109" spans="1:12" ht="13.95" hidden="1" customHeight="1" x14ac:dyDescent="0.25">
      <c r="A109" s="61" t="s">
        <v>91</v>
      </c>
      <c r="B109" s="14">
        <v>43557</v>
      </c>
      <c r="C109" s="13">
        <v>562</v>
      </c>
      <c r="D109" s="13" t="s">
        <v>679</v>
      </c>
      <c r="E109" s="32" t="s">
        <v>62</v>
      </c>
      <c r="F109" s="4">
        <v>825870.9</v>
      </c>
      <c r="G109" s="86" t="s">
        <v>1084</v>
      </c>
      <c r="H109" s="211"/>
      <c r="I109" s="4" t="s">
        <v>1085</v>
      </c>
      <c r="J109" s="21"/>
      <c r="K109" s="228"/>
    </row>
    <row r="110" spans="1:12" ht="13.95" hidden="1" customHeight="1" x14ac:dyDescent="0.25">
      <c r="A110" s="61" t="s">
        <v>91</v>
      </c>
      <c r="B110" s="14">
        <v>43557</v>
      </c>
      <c r="C110" s="13">
        <v>572</v>
      </c>
      <c r="D110" s="13" t="s">
        <v>204</v>
      </c>
      <c r="E110" s="32" t="s">
        <v>62</v>
      </c>
      <c r="F110" s="4">
        <v>601600</v>
      </c>
      <c r="G110" s="86" t="s">
        <v>785</v>
      </c>
      <c r="H110" s="211"/>
      <c r="I110" s="4" t="s">
        <v>20</v>
      </c>
      <c r="J110" s="21"/>
      <c r="K110" s="228"/>
    </row>
    <row r="111" spans="1:12" ht="13.95" hidden="1" customHeight="1" x14ac:dyDescent="0.25">
      <c r="A111" s="13" t="s">
        <v>1222</v>
      </c>
      <c r="B111" s="14">
        <v>43557</v>
      </c>
      <c r="C111" s="13">
        <v>564</v>
      </c>
      <c r="D111" s="32" t="s">
        <v>391</v>
      </c>
      <c r="E111" s="32" t="s">
        <v>62</v>
      </c>
      <c r="F111" s="4">
        <v>600000</v>
      </c>
      <c r="G111" s="69" t="s">
        <v>1584</v>
      </c>
      <c r="H111" s="14"/>
      <c r="I111" s="41" t="s">
        <v>252</v>
      </c>
      <c r="K111" s="62"/>
    </row>
    <row r="112" spans="1:12" ht="13.95" hidden="1" customHeight="1" x14ac:dyDescent="0.25">
      <c r="A112" s="13" t="s">
        <v>1291</v>
      </c>
      <c r="B112" s="14">
        <v>43557</v>
      </c>
      <c r="C112" s="13">
        <v>567</v>
      </c>
      <c r="D112" s="32" t="s">
        <v>391</v>
      </c>
      <c r="E112" s="32" t="s">
        <v>62</v>
      </c>
      <c r="F112" s="4">
        <v>406522.5</v>
      </c>
      <c r="G112" s="69" t="s">
        <v>1585</v>
      </c>
      <c r="H112" s="14"/>
      <c r="I112" s="41" t="s">
        <v>252</v>
      </c>
      <c r="K112" s="62"/>
    </row>
    <row r="113" spans="1:19" ht="13.95" hidden="1" customHeight="1" x14ac:dyDescent="0.25">
      <c r="A113" s="13" t="s">
        <v>442</v>
      </c>
      <c r="B113" s="14">
        <v>43557</v>
      </c>
      <c r="C113" s="13">
        <v>555</v>
      </c>
      <c r="D113" s="32" t="s">
        <v>194</v>
      </c>
      <c r="E113" s="32" t="s">
        <v>62</v>
      </c>
      <c r="F113" s="4">
        <v>2700000</v>
      </c>
      <c r="G113" s="69" t="s">
        <v>924</v>
      </c>
      <c r="H113" s="14"/>
      <c r="I113" s="41" t="s">
        <v>789</v>
      </c>
      <c r="J113" s="21"/>
      <c r="K113" s="228"/>
    </row>
    <row r="114" spans="1:19" ht="13.95" hidden="1" customHeight="1" x14ac:dyDescent="0.25">
      <c r="A114" s="13" t="s">
        <v>92</v>
      </c>
      <c r="B114" s="14">
        <v>43557</v>
      </c>
      <c r="C114" s="13">
        <v>556</v>
      </c>
      <c r="D114" s="32" t="s">
        <v>194</v>
      </c>
      <c r="E114" s="32" t="s">
        <v>62</v>
      </c>
      <c r="F114" s="4">
        <v>2300000</v>
      </c>
      <c r="G114" s="69" t="s">
        <v>1709</v>
      </c>
      <c r="H114" s="14"/>
      <c r="I114" s="41" t="s">
        <v>1410</v>
      </c>
      <c r="J114" s="21"/>
      <c r="K114" s="228"/>
    </row>
    <row r="115" spans="1:19" ht="13.95" hidden="1" customHeight="1" x14ac:dyDescent="0.25">
      <c r="A115" s="13" t="s">
        <v>505</v>
      </c>
      <c r="B115" s="14">
        <v>43557</v>
      </c>
      <c r="C115" s="13">
        <v>557</v>
      </c>
      <c r="D115" s="32" t="s">
        <v>285</v>
      </c>
      <c r="E115" s="32" t="s">
        <v>62</v>
      </c>
      <c r="F115" s="4">
        <v>5000000</v>
      </c>
      <c r="G115" s="69" t="s">
        <v>1681</v>
      </c>
      <c r="H115" s="14"/>
      <c r="I115" s="41" t="s">
        <v>1682</v>
      </c>
      <c r="K115" s="62"/>
    </row>
    <row r="116" spans="1:19" ht="13.95" hidden="1" customHeight="1" x14ac:dyDescent="0.25">
      <c r="A116" s="61" t="s">
        <v>1034</v>
      </c>
      <c r="B116" s="14">
        <v>43557</v>
      </c>
      <c r="C116" s="13">
        <v>573</v>
      </c>
      <c r="D116" s="13" t="s">
        <v>632</v>
      </c>
      <c r="E116" s="32" t="s">
        <v>62</v>
      </c>
      <c r="F116" s="4">
        <v>510870.20000000019</v>
      </c>
      <c r="G116" s="86" t="s">
        <v>1037</v>
      </c>
      <c r="H116" s="211"/>
      <c r="I116" s="4" t="s">
        <v>1224</v>
      </c>
      <c r="J116" s="21"/>
      <c r="K116" s="228"/>
    </row>
    <row r="117" spans="1:19" ht="13.95" hidden="1" customHeight="1" x14ac:dyDescent="0.25">
      <c r="A117" s="61" t="s">
        <v>1291</v>
      </c>
      <c r="B117" s="14">
        <v>43557</v>
      </c>
      <c r="C117" s="13">
        <v>574</v>
      </c>
      <c r="D117" s="13" t="s">
        <v>632</v>
      </c>
      <c r="E117" s="32" t="s">
        <v>62</v>
      </c>
      <c r="F117" s="4">
        <v>141780</v>
      </c>
      <c r="G117" s="86" t="s">
        <v>1292</v>
      </c>
      <c r="H117" s="211"/>
      <c r="I117" s="4" t="s">
        <v>879</v>
      </c>
      <c r="J117" s="21"/>
      <c r="K117" s="228"/>
    </row>
    <row r="118" spans="1:19" ht="13.95" hidden="1" customHeight="1" x14ac:dyDescent="0.25">
      <c r="A118" s="68" t="s">
        <v>91</v>
      </c>
      <c r="B118" s="14">
        <v>43557</v>
      </c>
      <c r="C118" s="13">
        <v>575</v>
      </c>
      <c r="D118" s="32" t="s">
        <v>543</v>
      </c>
      <c r="E118" s="32" t="s">
        <v>62</v>
      </c>
      <c r="F118" s="4">
        <v>292377.90000000002</v>
      </c>
      <c r="G118" s="86" t="s">
        <v>544</v>
      </c>
      <c r="H118" s="211"/>
      <c r="I118" s="208" t="s">
        <v>79</v>
      </c>
      <c r="J118" s="21"/>
      <c r="K118" s="228"/>
    </row>
    <row r="119" spans="1:19" ht="13.95" hidden="1" customHeight="1" x14ac:dyDescent="0.25">
      <c r="A119" s="68" t="s">
        <v>91</v>
      </c>
      <c r="B119" s="14">
        <v>43557</v>
      </c>
      <c r="C119" s="13">
        <v>576</v>
      </c>
      <c r="D119" s="32" t="s">
        <v>543</v>
      </c>
      <c r="E119" s="32" t="s">
        <v>62</v>
      </c>
      <c r="F119" s="4">
        <v>55096.800000000003</v>
      </c>
      <c r="G119" s="86" t="s">
        <v>544</v>
      </c>
      <c r="H119" s="211"/>
      <c r="I119" s="208" t="s">
        <v>79</v>
      </c>
      <c r="J119" s="21"/>
      <c r="K119" s="228"/>
    </row>
    <row r="120" spans="1:19" hidden="1" x14ac:dyDescent="0.25">
      <c r="A120" s="32" t="s">
        <v>442</v>
      </c>
      <c r="B120" s="14">
        <v>43557</v>
      </c>
      <c r="C120" s="13">
        <v>561</v>
      </c>
      <c r="D120" s="32" t="s">
        <v>454</v>
      </c>
      <c r="E120" s="32" t="s">
        <v>62</v>
      </c>
      <c r="F120" s="4">
        <v>3756547.5399999991</v>
      </c>
      <c r="G120" s="69" t="s">
        <v>883</v>
      </c>
      <c r="H120" s="14"/>
      <c r="I120" s="4" t="s">
        <v>884</v>
      </c>
      <c r="J120" s="21"/>
      <c r="K120" s="228"/>
    </row>
    <row r="121" spans="1:19" ht="13.95" hidden="1" customHeight="1" x14ac:dyDescent="0.25">
      <c r="A121" s="61" t="s">
        <v>550</v>
      </c>
      <c r="B121" s="14">
        <v>43557</v>
      </c>
      <c r="C121" s="13">
        <v>577</v>
      </c>
      <c r="D121" s="13" t="s">
        <v>352</v>
      </c>
      <c r="E121" s="32" t="s">
        <v>62</v>
      </c>
      <c r="F121" s="4">
        <v>500000</v>
      </c>
      <c r="G121" s="86" t="s">
        <v>1223</v>
      </c>
      <c r="H121" s="211"/>
      <c r="I121" s="4" t="s">
        <v>218</v>
      </c>
      <c r="J121" s="21"/>
      <c r="K121" s="228"/>
    </row>
    <row r="122" spans="1:19" ht="13.95" hidden="1" customHeight="1" x14ac:dyDescent="0.25">
      <c r="A122" s="61" t="s">
        <v>1286</v>
      </c>
      <c r="B122" s="14">
        <v>43557</v>
      </c>
      <c r="C122" s="13">
        <v>578</v>
      </c>
      <c r="D122" s="13" t="s">
        <v>352</v>
      </c>
      <c r="E122" s="32" t="s">
        <v>62</v>
      </c>
      <c r="F122" s="4">
        <v>110620</v>
      </c>
      <c r="G122" s="86" t="s">
        <v>1519</v>
      </c>
      <c r="H122" s="211"/>
      <c r="I122" s="4" t="s">
        <v>218</v>
      </c>
      <c r="J122" s="21"/>
      <c r="K122" s="228"/>
    </row>
    <row r="123" spans="1:19" ht="13.95" hidden="1" customHeight="1" x14ac:dyDescent="0.25">
      <c r="A123" s="61" t="s">
        <v>1286</v>
      </c>
      <c r="B123" s="14">
        <v>43557</v>
      </c>
      <c r="C123" s="13">
        <v>579</v>
      </c>
      <c r="D123" s="13" t="s">
        <v>352</v>
      </c>
      <c r="E123" s="32" t="s">
        <v>62</v>
      </c>
      <c r="F123" s="4">
        <v>389380</v>
      </c>
      <c r="G123" s="86" t="s">
        <v>1519</v>
      </c>
      <c r="H123" s="211"/>
      <c r="I123" s="4" t="s">
        <v>218</v>
      </c>
      <c r="J123" s="21"/>
      <c r="K123" s="228"/>
    </row>
    <row r="124" spans="1:19" ht="13.95" hidden="1" customHeight="1" x14ac:dyDescent="0.25">
      <c r="A124" s="68" t="s">
        <v>442</v>
      </c>
      <c r="B124" s="14">
        <v>43557</v>
      </c>
      <c r="C124" s="13">
        <v>580</v>
      </c>
      <c r="D124" s="32" t="s">
        <v>1592</v>
      </c>
      <c r="E124" s="32" t="s">
        <v>62</v>
      </c>
      <c r="F124" s="4">
        <v>16632</v>
      </c>
      <c r="G124" s="86" t="s">
        <v>4962</v>
      </c>
      <c r="H124" s="211"/>
      <c r="I124" s="41" t="s">
        <v>976</v>
      </c>
      <c r="J124" s="21"/>
      <c r="K124" s="228"/>
    </row>
    <row r="125" spans="1:19" s="76" customFormat="1" hidden="1" x14ac:dyDescent="0.25">
      <c r="A125" s="32" t="s">
        <v>1148</v>
      </c>
      <c r="B125" s="14">
        <v>43557</v>
      </c>
      <c r="C125" s="13">
        <v>581</v>
      </c>
      <c r="D125" s="32" t="s">
        <v>411</v>
      </c>
      <c r="E125" s="32" t="s">
        <v>62</v>
      </c>
      <c r="F125" s="4">
        <f>360000-55000</f>
        <v>305000</v>
      </c>
      <c r="G125" s="28" t="s">
        <v>878</v>
      </c>
      <c r="H125" s="14">
        <v>43389</v>
      </c>
      <c r="I125" s="32" t="s">
        <v>4655</v>
      </c>
      <c r="J125" s="407"/>
      <c r="K125" s="260"/>
      <c r="L125" s="50"/>
      <c r="M125" s="50"/>
      <c r="N125" s="50"/>
      <c r="O125" s="50"/>
      <c r="P125" s="50"/>
      <c r="Q125" s="50"/>
      <c r="R125" s="50"/>
      <c r="S125" s="50"/>
    </row>
    <row r="126" spans="1:19" s="97" customFormat="1" hidden="1" x14ac:dyDescent="0.25">
      <c r="A126" s="61" t="s">
        <v>442</v>
      </c>
      <c r="B126" s="14">
        <v>43557</v>
      </c>
      <c r="C126" s="13">
        <v>582</v>
      </c>
      <c r="D126" s="13" t="s">
        <v>4894</v>
      </c>
      <c r="E126" s="13" t="s">
        <v>62</v>
      </c>
      <c r="F126" s="37">
        <v>141616</v>
      </c>
      <c r="G126" s="210" t="s">
        <v>5636</v>
      </c>
      <c r="H126" s="211">
        <v>43536</v>
      </c>
      <c r="I126" s="4" t="s">
        <v>1244</v>
      </c>
      <c r="J126" s="133"/>
      <c r="K126" s="22"/>
      <c r="L126" s="134"/>
    </row>
    <row r="127" spans="1:19" s="97" customFormat="1" hidden="1" x14ac:dyDescent="0.25">
      <c r="A127" s="32" t="s">
        <v>442</v>
      </c>
      <c r="B127" s="14">
        <v>43557</v>
      </c>
      <c r="C127" s="13">
        <v>583</v>
      </c>
      <c r="D127" s="13" t="s">
        <v>740</v>
      </c>
      <c r="E127" s="13" t="s">
        <v>62</v>
      </c>
      <c r="F127" s="4">
        <v>373000</v>
      </c>
      <c r="G127" s="28" t="s">
        <v>4334</v>
      </c>
      <c r="H127" s="14">
        <v>43483</v>
      </c>
      <c r="I127" s="4" t="s">
        <v>1331</v>
      </c>
      <c r="J127" s="133"/>
      <c r="K127" s="22"/>
      <c r="L127" s="134"/>
    </row>
    <row r="128" spans="1:19" s="97" customFormat="1" hidden="1" x14ac:dyDescent="0.25">
      <c r="A128" s="61" t="s">
        <v>442</v>
      </c>
      <c r="B128" s="14">
        <v>43557</v>
      </c>
      <c r="C128" s="13">
        <v>584</v>
      </c>
      <c r="D128" s="13" t="s">
        <v>589</v>
      </c>
      <c r="E128" s="13" t="s">
        <v>62</v>
      </c>
      <c r="F128" s="37">
        <v>780520</v>
      </c>
      <c r="G128" s="29" t="s">
        <v>4348</v>
      </c>
      <c r="H128" s="14">
        <v>43514</v>
      </c>
      <c r="I128" s="4" t="s">
        <v>423</v>
      </c>
      <c r="J128" s="133"/>
      <c r="K128" s="22"/>
      <c r="L128" s="134"/>
    </row>
    <row r="129" spans="1:12" s="97" customFormat="1" hidden="1" x14ac:dyDescent="0.25">
      <c r="A129" s="61" t="s">
        <v>442</v>
      </c>
      <c r="B129" s="14">
        <v>43557</v>
      </c>
      <c r="C129" s="13">
        <v>585</v>
      </c>
      <c r="D129" s="13" t="s">
        <v>448</v>
      </c>
      <c r="E129" s="13" t="s">
        <v>62</v>
      </c>
      <c r="F129" s="37">
        <v>10400</v>
      </c>
      <c r="G129" s="29" t="s">
        <v>1662</v>
      </c>
      <c r="H129" s="14">
        <v>43518</v>
      </c>
      <c r="I129" s="4" t="s">
        <v>63</v>
      </c>
      <c r="J129" s="133"/>
      <c r="K129" s="22"/>
      <c r="L129" s="134"/>
    </row>
    <row r="130" spans="1:12" s="97" customFormat="1" hidden="1" x14ac:dyDescent="0.25">
      <c r="A130" s="61" t="s">
        <v>442</v>
      </c>
      <c r="B130" s="14">
        <v>43557</v>
      </c>
      <c r="C130" s="13">
        <v>586</v>
      </c>
      <c r="D130" s="13" t="s">
        <v>100</v>
      </c>
      <c r="E130" s="13" t="s">
        <v>62</v>
      </c>
      <c r="F130" s="37">
        <v>361028.88</v>
      </c>
      <c r="G130" s="210" t="s">
        <v>1754</v>
      </c>
      <c r="H130" s="211">
        <v>43524</v>
      </c>
      <c r="I130" s="4" t="s">
        <v>572</v>
      </c>
      <c r="J130" s="133"/>
      <c r="K130" s="22"/>
      <c r="L130" s="134"/>
    </row>
    <row r="131" spans="1:12" s="97" customFormat="1" hidden="1" x14ac:dyDescent="0.25">
      <c r="A131" s="61" t="s">
        <v>442</v>
      </c>
      <c r="B131" s="14">
        <v>43557</v>
      </c>
      <c r="C131" s="13">
        <v>587</v>
      </c>
      <c r="D131" s="13" t="s">
        <v>814</v>
      </c>
      <c r="E131" s="13" t="s">
        <v>62</v>
      </c>
      <c r="F131" s="37">
        <v>35548</v>
      </c>
      <c r="G131" s="29" t="s">
        <v>4940</v>
      </c>
      <c r="H131" s="14">
        <v>43524</v>
      </c>
      <c r="I131" s="4" t="s">
        <v>45</v>
      </c>
      <c r="J131" s="133"/>
      <c r="K131" s="22"/>
      <c r="L131" s="134"/>
    </row>
    <row r="132" spans="1:12" s="97" customFormat="1" hidden="1" x14ac:dyDescent="0.25">
      <c r="A132" s="61" t="s">
        <v>442</v>
      </c>
      <c r="B132" s="14">
        <v>43557</v>
      </c>
      <c r="C132" s="13">
        <v>587</v>
      </c>
      <c r="D132" s="13" t="s">
        <v>814</v>
      </c>
      <c r="E132" s="13" t="s">
        <v>62</v>
      </c>
      <c r="F132" s="37">
        <v>68649</v>
      </c>
      <c r="G132" s="29" t="s">
        <v>4941</v>
      </c>
      <c r="H132" s="14">
        <v>43524</v>
      </c>
      <c r="I132" s="4" t="s">
        <v>142</v>
      </c>
      <c r="J132" s="133"/>
      <c r="K132" s="22"/>
      <c r="L132" s="134"/>
    </row>
    <row r="133" spans="1:12" s="97" customFormat="1" hidden="1" x14ac:dyDescent="0.25">
      <c r="A133" s="32" t="s">
        <v>442</v>
      </c>
      <c r="B133" s="14">
        <v>43557</v>
      </c>
      <c r="C133" s="13">
        <v>588</v>
      </c>
      <c r="D133" s="13" t="s">
        <v>4936</v>
      </c>
      <c r="E133" s="13" t="s">
        <v>62</v>
      </c>
      <c r="F133" s="4">
        <v>68197.440000000002</v>
      </c>
      <c r="G133" s="28" t="s">
        <v>4937</v>
      </c>
      <c r="H133" s="14">
        <v>43524</v>
      </c>
      <c r="I133" s="4" t="s">
        <v>572</v>
      </c>
      <c r="J133" s="133"/>
      <c r="K133" s="22"/>
      <c r="L133" s="134"/>
    </row>
    <row r="134" spans="1:12" s="97" customFormat="1" hidden="1" x14ac:dyDescent="0.25">
      <c r="A134" s="61" t="s">
        <v>92</v>
      </c>
      <c r="B134" s="14">
        <v>43557</v>
      </c>
      <c r="C134" s="13">
        <v>589</v>
      </c>
      <c r="D134" s="13" t="s">
        <v>72</v>
      </c>
      <c r="E134" s="13" t="s">
        <v>62</v>
      </c>
      <c r="F134" s="37">
        <v>24232</v>
      </c>
      <c r="G134" s="210" t="s">
        <v>4935</v>
      </c>
      <c r="H134" s="211">
        <v>43524</v>
      </c>
      <c r="I134" s="4" t="s">
        <v>1190</v>
      </c>
      <c r="J134" s="133"/>
      <c r="K134" s="22"/>
      <c r="L134" s="134"/>
    </row>
    <row r="135" spans="1:12" s="97" customFormat="1" hidden="1" x14ac:dyDescent="0.25">
      <c r="A135" s="32" t="s">
        <v>91</v>
      </c>
      <c r="B135" s="14">
        <v>43557</v>
      </c>
      <c r="C135" s="13">
        <v>590</v>
      </c>
      <c r="D135" s="13" t="s">
        <v>157</v>
      </c>
      <c r="E135" s="13" t="s">
        <v>62</v>
      </c>
      <c r="F135" s="4">
        <v>131612.89000000001</v>
      </c>
      <c r="G135" s="28" t="s">
        <v>4712</v>
      </c>
      <c r="H135" s="14">
        <v>43523</v>
      </c>
      <c r="I135" s="4" t="s">
        <v>4713</v>
      </c>
      <c r="J135" s="133"/>
      <c r="K135" s="22"/>
      <c r="L135" s="134"/>
    </row>
    <row r="136" spans="1:12" ht="13.8" hidden="1" customHeight="1" x14ac:dyDescent="0.25">
      <c r="A136" s="32" t="s">
        <v>442</v>
      </c>
      <c r="B136" s="14">
        <v>43557</v>
      </c>
      <c r="C136" s="13">
        <v>591</v>
      </c>
      <c r="D136" s="32" t="s">
        <v>181</v>
      </c>
      <c r="E136" s="32" t="s">
        <v>62</v>
      </c>
      <c r="F136" s="4">
        <v>95520</v>
      </c>
      <c r="G136" s="29" t="s">
        <v>430</v>
      </c>
      <c r="H136" s="14">
        <v>43545</v>
      </c>
      <c r="I136" s="4" t="s">
        <v>102</v>
      </c>
      <c r="J136" s="21"/>
      <c r="K136" s="228"/>
    </row>
    <row r="137" spans="1:12" hidden="1" x14ac:dyDescent="0.25">
      <c r="A137" s="13" t="s">
        <v>151</v>
      </c>
      <c r="B137" s="14">
        <v>43557</v>
      </c>
      <c r="C137" s="13">
        <v>592</v>
      </c>
      <c r="D137" s="13" t="s">
        <v>5913</v>
      </c>
      <c r="E137" s="13" t="s">
        <v>62</v>
      </c>
      <c r="F137" s="37">
        <v>2201.9499999999998</v>
      </c>
      <c r="G137" s="29" t="s">
        <v>5369</v>
      </c>
      <c r="H137" s="14">
        <v>43549</v>
      </c>
      <c r="I137" s="4" t="s">
        <v>5914</v>
      </c>
      <c r="J137" s="128"/>
    </row>
    <row r="138" spans="1:12" hidden="1" x14ac:dyDescent="0.25">
      <c r="A138" s="61" t="s">
        <v>103</v>
      </c>
      <c r="B138" s="14">
        <v>43557</v>
      </c>
      <c r="C138" s="13">
        <v>593</v>
      </c>
      <c r="D138" s="13" t="s">
        <v>80</v>
      </c>
      <c r="E138" s="13" t="s">
        <v>62</v>
      </c>
      <c r="F138" s="4">
        <v>44800</v>
      </c>
      <c r="G138" s="28" t="s">
        <v>4864</v>
      </c>
      <c r="H138" s="14">
        <v>43523</v>
      </c>
      <c r="I138" s="4" t="s">
        <v>354</v>
      </c>
    </row>
    <row r="139" spans="1:12" ht="13.2" hidden="1" customHeight="1" x14ac:dyDescent="0.25">
      <c r="A139" s="61" t="s">
        <v>103</v>
      </c>
      <c r="B139" s="14">
        <v>43557</v>
      </c>
      <c r="C139" s="13">
        <v>594</v>
      </c>
      <c r="D139" s="13" t="s">
        <v>250</v>
      </c>
      <c r="E139" s="13" t="s">
        <v>62</v>
      </c>
      <c r="F139" s="37">
        <v>13750</v>
      </c>
      <c r="G139" s="29" t="s">
        <v>4869</v>
      </c>
      <c r="H139" s="14">
        <v>43523</v>
      </c>
      <c r="I139" s="4" t="s">
        <v>337</v>
      </c>
    </row>
    <row r="140" spans="1:12" hidden="1" x14ac:dyDescent="0.25">
      <c r="A140" s="61" t="s">
        <v>92</v>
      </c>
      <c r="B140" s="14">
        <v>43557</v>
      </c>
      <c r="C140" s="13">
        <v>595</v>
      </c>
      <c r="D140" s="13" t="s">
        <v>29</v>
      </c>
      <c r="E140" s="13" t="s">
        <v>62</v>
      </c>
      <c r="F140" s="37">
        <v>24500</v>
      </c>
      <c r="G140" s="29" t="s">
        <v>18</v>
      </c>
      <c r="H140" s="14">
        <v>43516</v>
      </c>
      <c r="I140" s="4" t="s">
        <v>87</v>
      </c>
    </row>
    <row r="141" spans="1:12" hidden="1" x14ac:dyDescent="0.25">
      <c r="A141" s="61" t="s">
        <v>442</v>
      </c>
      <c r="B141" s="14">
        <v>43557</v>
      </c>
      <c r="C141" s="13">
        <v>595</v>
      </c>
      <c r="D141" s="13" t="s">
        <v>29</v>
      </c>
      <c r="E141" s="13" t="s">
        <v>62</v>
      </c>
      <c r="F141" s="4">
        <v>95650</v>
      </c>
      <c r="G141" s="28" t="s">
        <v>158</v>
      </c>
      <c r="H141" s="14">
        <v>43523</v>
      </c>
      <c r="I141" s="4" t="s">
        <v>87</v>
      </c>
    </row>
    <row r="142" spans="1:12" hidden="1" x14ac:dyDescent="0.25">
      <c r="A142" s="68" t="s">
        <v>442</v>
      </c>
      <c r="B142" s="14">
        <v>43557</v>
      </c>
      <c r="C142" s="13">
        <v>596</v>
      </c>
      <c r="D142" s="13" t="s">
        <v>692</v>
      </c>
      <c r="E142" s="13" t="s">
        <v>62</v>
      </c>
      <c r="F142" s="4">
        <v>140250</v>
      </c>
      <c r="G142" s="28" t="s">
        <v>4089</v>
      </c>
      <c r="H142" s="14">
        <v>43516</v>
      </c>
      <c r="I142" s="4" t="s">
        <v>419</v>
      </c>
    </row>
    <row r="143" spans="1:12" ht="27.6" hidden="1" x14ac:dyDescent="0.25">
      <c r="A143" s="61" t="s">
        <v>358</v>
      </c>
      <c r="B143" s="14">
        <v>43557</v>
      </c>
      <c r="C143" s="13">
        <v>597</v>
      </c>
      <c r="D143" s="13" t="s">
        <v>2115</v>
      </c>
      <c r="E143" s="13" t="s">
        <v>62</v>
      </c>
      <c r="F143" s="37">
        <v>352275</v>
      </c>
      <c r="G143" s="210" t="s">
        <v>1265</v>
      </c>
      <c r="H143" s="211">
        <v>43524</v>
      </c>
      <c r="I143" s="4" t="s">
        <v>5375</v>
      </c>
    </row>
    <row r="144" spans="1:12" s="2" customFormat="1" hidden="1" x14ac:dyDescent="0.25">
      <c r="A144" s="32" t="s">
        <v>91</v>
      </c>
      <c r="B144" s="14">
        <v>43557</v>
      </c>
      <c r="C144" s="13">
        <v>599</v>
      </c>
      <c r="D144" s="13" t="s">
        <v>149</v>
      </c>
      <c r="E144" s="13" t="s">
        <v>62</v>
      </c>
      <c r="F144" s="4">
        <v>27500</v>
      </c>
      <c r="G144" s="28" t="s">
        <v>3326</v>
      </c>
      <c r="H144" s="14">
        <v>43515</v>
      </c>
      <c r="I144" s="4" t="s">
        <v>4887</v>
      </c>
      <c r="J144" s="16"/>
      <c r="K144" s="5"/>
    </row>
    <row r="145" spans="1:12" s="2" customFormat="1" hidden="1" x14ac:dyDescent="0.25">
      <c r="A145" s="61" t="s">
        <v>442</v>
      </c>
      <c r="B145" s="14">
        <v>43557</v>
      </c>
      <c r="C145" s="13">
        <v>599</v>
      </c>
      <c r="D145" s="13" t="s">
        <v>149</v>
      </c>
      <c r="E145" s="13" t="s">
        <v>62</v>
      </c>
      <c r="F145" s="4">
        <v>8000</v>
      </c>
      <c r="G145" s="28" t="s">
        <v>2222</v>
      </c>
      <c r="H145" s="14">
        <v>43515</v>
      </c>
      <c r="I145" s="32" t="s">
        <v>4887</v>
      </c>
      <c r="J145" s="16"/>
      <c r="K145" s="5"/>
    </row>
    <row r="146" spans="1:12" s="2" customFormat="1" hidden="1" x14ac:dyDescent="0.25">
      <c r="A146" s="61" t="s">
        <v>358</v>
      </c>
      <c r="B146" s="14">
        <v>43557</v>
      </c>
      <c r="C146" s="13">
        <v>599</v>
      </c>
      <c r="D146" s="13" t="s">
        <v>149</v>
      </c>
      <c r="E146" s="13" t="s">
        <v>62</v>
      </c>
      <c r="F146" s="4">
        <v>4000</v>
      </c>
      <c r="G146" s="28" t="s">
        <v>1693</v>
      </c>
      <c r="H146" s="14">
        <v>43515</v>
      </c>
      <c r="I146" s="4" t="s">
        <v>4887</v>
      </c>
      <c r="J146" s="16"/>
      <c r="K146" s="5"/>
    </row>
    <row r="147" spans="1:12" s="2" customFormat="1" hidden="1" x14ac:dyDescent="0.25">
      <c r="A147" s="61" t="s">
        <v>442</v>
      </c>
      <c r="B147" s="14">
        <v>43557</v>
      </c>
      <c r="C147" s="13">
        <v>599</v>
      </c>
      <c r="D147" s="13" t="s">
        <v>149</v>
      </c>
      <c r="E147" s="13" t="s">
        <v>62</v>
      </c>
      <c r="F147" s="37">
        <v>25000</v>
      </c>
      <c r="G147" s="29" t="s">
        <v>867</v>
      </c>
      <c r="H147" s="14">
        <v>43515</v>
      </c>
      <c r="I147" s="4" t="s">
        <v>4886</v>
      </c>
      <c r="J147" s="16"/>
      <c r="K147" s="5"/>
    </row>
    <row r="148" spans="1:12" ht="13.95" hidden="1" customHeight="1" x14ac:dyDescent="0.25">
      <c r="A148" s="32" t="s">
        <v>1316</v>
      </c>
      <c r="B148" s="14">
        <v>43557</v>
      </c>
      <c r="C148" s="13">
        <v>541</v>
      </c>
      <c r="D148" s="32" t="s">
        <v>5965</v>
      </c>
      <c r="E148" s="32" t="s">
        <v>808</v>
      </c>
      <c r="F148" s="4">
        <v>500000</v>
      </c>
      <c r="G148" s="69" t="s">
        <v>1532</v>
      </c>
      <c r="H148" s="14"/>
      <c r="I148" s="4" t="s">
        <v>24</v>
      </c>
      <c r="J148" s="21"/>
      <c r="K148" s="228"/>
    </row>
    <row r="149" spans="1:12" ht="13.95" hidden="1" customHeight="1" x14ac:dyDescent="0.25">
      <c r="A149" s="68" t="s">
        <v>261</v>
      </c>
      <c r="B149" s="14">
        <v>43557</v>
      </c>
      <c r="C149" s="13">
        <v>542</v>
      </c>
      <c r="D149" s="32" t="s">
        <v>454</v>
      </c>
      <c r="E149" s="32" t="s">
        <v>808</v>
      </c>
      <c r="F149" s="4">
        <v>1245000</v>
      </c>
      <c r="G149" s="86" t="s">
        <v>1040</v>
      </c>
      <c r="H149" s="211"/>
      <c r="I149" s="208" t="s">
        <v>315</v>
      </c>
      <c r="J149" s="21"/>
      <c r="K149" s="228"/>
    </row>
    <row r="150" spans="1:12" ht="13.95" hidden="1" customHeight="1" x14ac:dyDescent="0.25">
      <c r="A150" s="61" t="s">
        <v>1316</v>
      </c>
      <c r="B150" s="14">
        <v>43557</v>
      </c>
      <c r="C150" s="13">
        <v>543</v>
      </c>
      <c r="D150" s="13" t="s">
        <v>432</v>
      </c>
      <c r="E150" s="32" t="s">
        <v>808</v>
      </c>
      <c r="F150" s="4">
        <v>320000</v>
      </c>
      <c r="G150" s="86" t="s">
        <v>4008</v>
      </c>
      <c r="H150" s="211"/>
      <c r="I150" s="4" t="s">
        <v>24</v>
      </c>
      <c r="J150" s="21"/>
      <c r="K150" s="228"/>
    </row>
    <row r="151" spans="1:12" hidden="1" x14ac:dyDescent="0.25">
      <c r="A151" s="61" t="s">
        <v>659</v>
      </c>
      <c r="B151" s="14">
        <v>43557</v>
      </c>
      <c r="C151" s="13">
        <v>544</v>
      </c>
      <c r="D151" s="13" t="s">
        <v>432</v>
      </c>
      <c r="E151" s="13" t="s">
        <v>808</v>
      </c>
      <c r="F151" s="37">
        <v>681110</v>
      </c>
      <c r="G151" s="174" t="s">
        <v>5968</v>
      </c>
      <c r="H151" s="14"/>
      <c r="I151" s="4" t="s">
        <v>24</v>
      </c>
    </row>
    <row r="152" spans="1:12" s="97" customFormat="1" hidden="1" x14ac:dyDescent="0.25">
      <c r="A152" s="61" t="s">
        <v>1316</v>
      </c>
      <c r="B152" s="14">
        <v>43557</v>
      </c>
      <c r="C152" s="13">
        <v>545</v>
      </c>
      <c r="D152" s="13" t="s">
        <v>4894</v>
      </c>
      <c r="E152" s="13" t="s">
        <v>808</v>
      </c>
      <c r="F152" s="37">
        <v>72608</v>
      </c>
      <c r="G152" s="210" t="s">
        <v>5637</v>
      </c>
      <c r="H152" s="211">
        <v>43536</v>
      </c>
      <c r="I152" s="4" t="s">
        <v>1244</v>
      </c>
      <c r="J152" s="133"/>
      <c r="K152" s="22"/>
      <c r="L152" s="134"/>
    </row>
    <row r="153" spans="1:12" s="97" customFormat="1" hidden="1" x14ac:dyDescent="0.25">
      <c r="A153" s="61" t="s">
        <v>1316</v>
      </c>
      <c r="B153" s="14">
        <v>43557</v>
      </c>
      <c r="C153" s="13">
        <v>545</v>
      </c>
      <c r="D153" s="13" t="s">
        <v>4894</v>
      </c>
      <c r="E153" s="13" t="s">
        <v>808</v>
      </c>
      <c r="F153" s="37">
        <v>89134.399999999994</v>
      </c>
      <c r="G153" s="210" t="s">
        <v>3621</v>
      </c>
      <c r="H153" s="211">
        <v>43536</v>
      </c>
      <c r="I153" s="4" t="s">
        <v>1826</v>
      </c>
      <c r="J153" s="133"/>
      <c r="K153" s="22"/>
      <c r="L153" s="134"/>
    </row>
    <row r="154" spans="1:12" s="97" customFormat="1" hidden="1" x14ac:dyDescent="0.25">
      <c r="A154" s="32" t="s">
        <v>1149</v>
      </c>
      <c r="B154" s="14">
        <v>43557</v>
      </c>
      <c r="C154" s="13">
        <v>546</v>
      </c>
      <c r="D154" s="13" t="s">
        <v>539</v>
      </c>
      <c r="E154" s="13" t="s">
        <v>808</v>
      </c>
      <c r="F154" s="4">
        <v>820000</v>
      </c>
      <c r="G154" s="28" t="s">
        <v>2669</v>
      </c>
      <c r="H154" s="14">
        <v>43543</v>
      </c>
      <c r="I154" s="4" t="s">
        <v>421</v>
      </c>
      <c r="J154" s="133"/>
      <c r="K154" s="22"/>
      <c r="L154" s="134"/>
    </row>
    <row r="155" spans="1:12" s="97" customFormat="1" hidden="1" x14ac:dyDescent="0.25">
      <c r="A155" s="61" t="s">
        <v>1147</v>
      </c>
      <c r="B155" s="14">
        <v>43557</v>
      </c>
      <c r="C155" s="13">
        <v>547</v>
      </c>
      <c r="D155" s="13" t="s">
        <v>1206</v>
      </c>
      <c r="E155" s="13" t="s">
        <v>808</v>
      </c>
      <c r="F155" s="37">
        <v>878000</v>
      </c>
      <c r="G155" s="29" t="s">
        <v>5387</v>
      </c>
      <c r="H155" s="14">
        <v>43535</v>
      </c>
      <c r="I155" s="4" t="s">
        <v>1207</v>
      </c>
      <c r="J155" s="133"/>
      <c r="K155" s="22"/>
      <c r="L155" s="134"/>
    </row>
    <row r="156" spans="1:12" s="97" customFormat="1" hidden="1" x14ac:dyDescent="0.25">
      <c r="A156" s="61" t="s">
        <v>1147</v>
      </c>
      <c r="B156" s="14">
        <v>43557</v>
      </c>
      <c r="C156" s="13">
        <v>548</v>
      </c>
      <c r="D156" s="13" t="s">
        <v>254</v>
      </c>
      <c r="E156" s="13" t="s">
        <v>808</v>
      </c>
      <c r="F156" s="37">
        <v>833491.92</v>
      </c>
      <c r="G156" s="29" t="s">
        <v>4920</v>
      </c>
      <c r="H156" s="14">
        <v>43521</v>
      </c>
      <c r="I156" s="4" t="s">
        <v>4921</v>
      </c>
      <c r="J156" s="133"/>
      <c r="K156" s="22"/>
      <c r="L156" s="134"/>
    </row>
    <row r="157" spans="1:12" s="97" customFormat="1" hidden="1" x14ac:dyDescent="0.25">
      <c r="A157" s="32" t="s">
        <v>1149</v>
      </c>
      <c r="B157" s="14">
        <v>43557</v>
      </c>
      <c r="C157" s="13">
        <v>548</v>
      </c>
      <c r="D157" s="13" t="s">
        <v>254</v>
      </c>
      <c r="E157" s="13" t="s">
        <v>808</v>
      </c>
      <c r="F157" s="37">
        <v>849350.06</v>
      </c>
      <c r="G157" s="29" t="s">
        <v>5643</v>
      </c>
      <c r="H157" s="14">
        <v>43529</v>
      </c>
      <c r="I157" s="4" t="s">
        <v>5644</v>
      </c>
      <c r="J157" s="133"/>
      <c r="K157" s="22"/>
      <c r="L157" s="134"/>
    </row>
    <row r="158" spans="1:12" s="97" customFormat="1" hidden="1" x14ac:dyDescent="0.25">
      <c r="A158" s="61" t="s">
        <v>1316</v>
      </c>
      <c r="B158" s="14">
        <v>43557</v>
      </c>
      <c r="C158" s="13">
        <v>549</v>
      </c>
      <c r="D158" s="13" t="s">
        <v>589</v>
      </c>
      <c r="E158" s="13" t="s">
        <v>808</v>
      </c>
      <c r="F158" s="37">
        <v>734000</v>
      </c>
      <c r="G158" s="29" t="s">
        <v>4343</v>
      </c>
      <c r="H158" s="14">
        <v>43507</v>
      </c>
      <c r="I158" s="4" t="s">
        <v>1207</v>
      </c>
      <c r="J158" s="133"/>
      <c r="K158" s="22"/>
      <c r="L158" s="134"/>
    </row>
    <row r="159" spans="1:12" s="97" customFormat="1" hidden="1" x14ac:dyDescent="0.25">
      <c r="A159" s="61" t="s">
        <v>1148</v>
      </c>
      <c r="B159" s="14">
        <v>43557</v>
      </c>
      <c r="C159" s="13">
        <v>549</v>
      </c>
      <c r="D159" s="13" t="s">
        <v>589</v>
      </c>
      <c r="E159" s="13" t="s">
        <v>808</v>
      </c>
      <c r="F159" s="37">
        <v>780010</v>
      </c>
      <c r="G159" s="29" t="s">
        <v>4345</v>
      </c>
      <c r="H159" s="14">
        <v>43510</v>
      </c>
      <c r="I159" s="4" t="s">
        <v>421</v>
      </c>
      <c r="J159" s="133"/>
      <c r="K159" s="22"/>
      <c r="L159" s="134"/>
    </row>
    <row r="160" spans="1:12" s="97" customFormat="1" hidden="1" x14ac:dyDescent="0.25">
      <c r="A160" s="61" t="s">
        <v>1149</v>
      </c>
      <c r="B160" s="14">
        <v>43557</v>
      </c>
      <c r="C160" s="13">
        <v>549</v>
      </c>
      <c r="D160" s="13" t="s">
        <v>589</v>
      </c>
      <c r="E160" s="13" t="s">
        <v>808</v>
      </c>
      <c r="F160" s="37">
        <v>780780</v>
      </c>
      <c r="G160" s="29" t="s">
        <v>1326</v>
      </c>
      <c r="H160" s="14">
        <v>43510</v>
      </c>
      <c r="I160" s="4" t="s">
        <v>423</v>
      </c>
      <c r="J160" s="133"/>
      <c r="K160" s="22"/>
      <c r="L160" s="134"/>
    </row>
    <row r="161" spans="1:12" s="97" customFormat="1" hidden="1" x14ac:dyDescent="0.25">
      <c r="A161" s="61" t="s">
        <v>1316</v>
      </c>
      <c r="B161" s="14">
        <v>43557</v>
      </c>
      <c r="C161" s="13">
        <v>549</v>
      </c>
      <c r="D161" s="13" t="s">
        <v>589</v>
      </c>
      <c r="E161" s="13" t="s">
        <v>808</v>
      </c>
      <c r="F161" s="37">
        <v>792135</v>
      </c>
      <c r="G161" s="29" t="s">
        <v>4346</v>
      </c>
      <c r="H161" s="14">
        <v>43511</v>
      </c>
      <c r="I161" s="4" t="s">
        <v>4347</v>
      </c>
      <c r="J161" s="133"/>
      <c r="K161" s="22"/>
      <c r="L161" s="134"/>
    </row>
    <row r="162" spans="1:12" s="97" customFormat="1" x14ac:dyDescent="0.25">
      <c r="A162" s="61" t="s">
        <v>1148</v>
      </c>
      <c r="B162" s="14">
        <v>43557</v>
      </c>
      <c r="C162" s="13">
        <v>550</v>
      </c>
      <c r="D162" s="13" t="s">
        <v>243</v>
      </c>
      <c r="E162" s="13" t="s">
        <v>808</v>
      </c>
      <c r="F162" s="37">
        <v>838655.64</v>
      </c>
      <c r="G162" s="29" t="s">
        <v>790</v>
      </c>
      <c r="H162" s="14">
        <v>43510</v>
      </c>
      <c r="I162" s="4" t="s">
        <v>421</v>
      </c>
      <c r="J162" s="133"/>
      <c r="K162" s="22"/>
      <c r="L162" s="134"/>
    </row>
    <row r="163" spans="1:12" s="97" customFormat="1" x14ac:dyDescent="0.25">
      <c r="A163" s="32" t="s">
        <v>1148</v>
      </c>
      <c r="B163" s="14">
        <v>43557</v>
      </c>
      <c r="C163" s="13">
        <v>550</v>
      </c>
      <c r="D163" s="13" t="s">
        <v>243</v>
      </c>
      <c r="E163" s="13" t="s">
        <v>808</v>
      </c>
      <c r="F163" s="4">
        <v>816975</v>
      </c>
      <c r="G163" s="28" t="s">
        <v>731</v>
      </c>
      <c r="H163" s="14">
        <v>43510</v>
      </c>
      <c r="I163" s="4" t="s">
        <v>1741</v>
      </c>
      <c r="J163" s="133"/>
      <c r="K163" s="22"/>
      <c r="L163" s="134"/>
    </row>
    <row r="164" spans="1:12" s="97" customFormat="1" hidden="1" x14ac:dyDescent="0.25">
      <c r="A164" s="13" t="s">
        <v>1149</v>
      </c>
      <c r="B164" s="14">
        <v>43557</v>
      </c>
      <c r="C164" s="13">
        <v>551</v>
      </c>
      <c r="D164" s="13" t="s">
        <v>1082</v>
      </c>
      <c r="E164" s="13" t="s">
        <v>808</v>
      </c>
      <c r="F164" s="37">
        <v>821100.08</v>
      </c>
      <c r="G164" s="29" t="s">
        <v>728</v>
      </c>
      <c r="H164" s="14">
        <v>43509</v>
      </c>
      <c r="I164" s="4" t="s">
        <v>421</v>
      </c>
      <c r="J164" s="133"/>
      <c r="K164" s="22"/>
      <c r="L164" s="134"/>
    </row>
    <row r="165" spans="1:12" s="97" customFormat="1" hidden="1" x14ac:dyDescent="0.25">
      <c r="A165" s="61" t="s">
        <v>1316</v>
      </c>
      <c r="B165" s="14">
        <v>43557</v>
      </c>
      <c r="C165" s="13">
        <v>552</v>
      </c>
      <c r="D165" s="13" t="s">
        <v>869</v>
      </c>
      <c r="E165" s="13" t="s">
        <v>808</v>
      </c>
      <c r="F165" s="37">
        <v>172283.2</v>
      </c>
      <c r="G165" s="29" t="s">
        <v>4728</v>
      </c>
      <c r="H165" s="14">
        <v>43518</v>
      </c>
      <c r="I165" s="4" t="s">
        <v>572</v>
      </c>
      <c r="J165" s="133"/>
      <c r="K165" s="22"/>
      <c r="L165" s="134"/>
    </row>
    <row r="166" spans="1:12" s="97" customFormat="1" hidden="1" x14ac:dyDescent="0.25">
      <c r="A166" s="32" t="s">
        <v>1147</v>
      </c>
      <c r="B166" s="14">
        <v>43557</v>
      </c>
      <c r="C166" s="13">
        <v>553</v>
      </c>
      <c r="D166" s="13" t="s">
        <v>1032</v>
      </c>
      <c r="E166" s="13" t="s">
        <v>808</v>
      </c>
      <c r="F166" s="4">
        <v>100800</v>
      </c>
      <c r="G166" s="28" t="s">
        <v>4951</v>
      </c>
      <c r="H166" s="14">
        <v>43514</v>
      </c>
      <c r="I166" s="4" t="s">
        <v>142</v>
      </c>
      <c r="J166" s="133"/>
      <c r="K166" s="22"/>
      <c r="L166" s="134"/>
    </row>
    <row r="167" spans="1:12" s="97" customFormat="1" hidden="1" x14ac:dyDescent="0.25">
      <c r="A167" s="32" t="s">
        <v>1316</v>
      </c>
      <c r="B167" s="14">
        <v>43557</v>
      </c>
      <c r="C167" s="13">
        <v>554</v>
      </c>
      <c r="D167" s="13" t="s">
        <v>1065</v>
      </c>
      <c r="E167" s="13" t="s">
        <v>808</v>
      </c>
      <c r="F167" s="37">
        <v>21123.62</v>
      </c>
      <c r="G167" s="29" t="s">
        <v>731</v>
      </c>
      <c r="H167" s="14">
        <v>43518</v>
      </c>
      <c r="I167" s="4" t="s">
        <v>4724</v>
      </c>
      <c r="J167" s="133"/>
      <c r="K167" s="22"/>
      <c r="L167" s="134"/>
    </row>
    <row r="168" spans="1:12" s="97" customFormat="1" hidden="1" x14ac:dyDescent="0.25">
      <c r="A168" s="32" t="s">
        <v>1147</v>
      </c>
      <c r="B168" s="14">
        <v>43557</v>
      </c>
      <c r="C168" s="13">
        <v>554</v>
      </c>
      <c r="D168" s="13" t="s">
        <v>1065</v>
      </c>
      <c r="E168" s="13" t="s">
        <v>808</v>
      </c>
      <c r="F168" s="37">
        <v>7476</v>
      </c>
      <c r="G168" s="29" t="s">
        <v>4725</v>
      </c>
      <c r="H168" s="14">
        <v>43522</v>
      </c>
      <c r="I168" s="4" t="s">
        <v>4726</v>
      </c>
      <c r="J168" s="133"/>
      <c r="K168" s="22"/>
      <c r="L168" s="134"/>
    </row>
    <row r="169" spans="1:12" s="97" customFormat="1" hidden="1" x14ac:dyDescent="0.25">
      <c r="A169" s="32" t="s">
        <v>1316</v>
      </c>
      <c r="B169" s="14">
        <v>43557</v>
      </c>
      <c r="C169" s="13">
        <v>555</v>
      </c>
      <c r="D169" s="13" t="s">
        <v>868</v>
      </c>
      <c r="E169" s="13" t="s">
        <v>808</v>
      </c>
      <c r="F169" s="37">
        <v>30744.78</v>
      </c>
      <c r="G169" s="29" t="s">
        <v>4722</v>
      </c>
      <c r="H169" s="14">
        <v>43521</v>
      </c>
      <c r="I169" s="4" t="s">
        <v>4723</v>
      </c>
      <c r="J169" s="133"/>
      <c r="K169" s="22"/>
      <c r="L169" s="134"/>
    </row>
    <row r="170" spans="1:12" s="97" customFormat="1" hidden="1" x14ac:dyDescent="0.25">
      <c r="A170" s="32" t="s">
        <v>659</v>
      </c>
      <c r="B170" s="14">
        <v>43557</v>
      </c>
      <c r="C170" s="13">
        <v>555</v>
      </c>
      <c r="D170" s="13" t="s">
        <v>868</v>
      </c>
      <c r="E170" s="13" t="s">
        <v>808</v>
      </c>
      <c r="F170" s="4">
        <v>130241.49</v>
      </c>
      <c r="G170" s="28" t="s">
        <v>4945</v>
      </c>
      <c r="H170" s="14">
        <v>43528</v>
      </c>
      <c r="I170" s="4" t="s">
        <v>4946</v>
      </c>
      <c r="J170" s="133"/>
      <c r="K170" s="22"/>
      <c r="L170" s="134"/>
    </row>
    <row r="171" spans="1:12" s="97" customFormat="1" hidden="1" x14ac:dyDescent="0.25">
      <c r="A171" s="32" t="s">
        <v>1148</v>
      </c>
      <c r="B171" s="14">
        <v>43557</v>
      </c>
      <c r="C171" s="13">
        <v>556</v>
      </c>
      <c r="D171" s="13" t="s">
        <v>280</v>
      </c>
      <c r="E171" s="13" t="s">
        <v>808</v>
      </c>
      <c r="F171" s="4">
        <v>154810</v>
      </c>
      <c r="G171" s="28" t="s">
        <v>53</v>
      </c>
      <c r="H171" s="14">
        <v>43518</v>
      </c>
      <c r="I171" s="4" t="s">
        <v>4719</v>
      </c>
      <c r="J171" s="133"/>
      <c r="K171" s="22"/>
      <c r="L171" s="134"/>
    </row>
    <row r="172" spans="1:12" s="97" customFormat="1" hidden="1" x14ac:dyDescent="0.25">
      <c r="A172" s="32" t="s">
        <v>1148</v>
      </c>
      <c r="B172" s="14">
        <v>43557</v>
      </c>
      <c r="C172" s="13">
        <v>556</v>
      </c>
      <c r="D172" s="13" t="s">
        <v>280</v>
      </c>
      <c r="E172" s="13" t="s">
        <v>808</v>
      </c>
      <c r="F172" s="4">
        <v>11690</v>
      </c>
      <c r="G172" s="28" t="s">
        <v>476</v>
      </c>
      <c r="H172" s="14">
        <v>43521</v>
      </c>
      <c r="I172" s="4" t="s">
        <v>4720</v>
      </c>
      <c r="J172" s="133"/>
      <c r="K172" s="22"/>
      <c r="L172" s="134"/>
    </row>
    <row r="173" spans="1:12" s="97" customFormat="1" hidden="1" x14ac:dyDescent="0.25">
      <c r="A173" s="32" t="s">
        <v>659</v>
      </c>
      <c r="B173" s="14">
        <v>43557</v>
      </c>
      <c r="C173" s="13">
        <v>556</v>
      </c>
      <c r="D173" s="13" t="s">
        <v>280</v>
      </c>
      <c r="E173" s="13" t="s">
        <v>808</v>
      </c>
      <c r="F173" s="37">
        <v>53209</v>
      </c>
      <c r="G173" s="29" t="s">
        <v>3870</v>
      </c>
      <c r="H173" s="14">
        <v>43521</v>
      </c>
      <c r="I173" s="4" t="s">
        <v>4721</v>
      </c>
      <c r="J173" s="133"/>
      <c r="K173" s="22"/>
      <c r="L173" s="134"/>
    </row>
    <row r="174" spans="1:12" s="97" customFormat="1" hidden="1" x14ac:dyDescent="0.25">
      <c r="A174" s="61" t="s">
        <v>1316</v>
      </c>
      <c r="B174" s="14">
        <v>43557</v>
      </c>
      <c r="C174" s="13">
        <v>556</v>
      </c>
      <c r="D174" s="13" t="s">
        <v>280</v>
      </c>
      <c r="E174" s="13" t="s">
        <v>808</v>
      </c>
      <c r="F174" s="37">
        <v>83678</v>
      </c>
      <c r="G174" s="29" t="s">
        <v>153</v>
      </c>
      <c r="H174" s="14">
        <v>43523</v>
      </c>
      <c r="I174" s="4" t="s">
        <v>4943</v>
      </c>
      <c r="J174" s="133"/>
      <c r="K174" s="22"/>
      <c r="L174" s="134"/>
    </row>
    <row r="175" spans="1:12" s="97" customFormat="1" hidden="1" x14ac:dyDescent="0.25">
      <c r="A175" s="13" t="s">
        <v>1149</v>
      </c>
      <c r="B175" s="14">
        <v>43557</v>
      </c>
      <c r="C175" s="13">
        <v>556</v>
      </c>
      <c r="D175" s="13" t="s">
        <v>280</v>
      </c>
      <c r="E175" s="13" t="s">
        <v>808</v>
      </c>
      <c r="F175" s="37">
        <v>72051</v>
      </c>
      <c r="G175" s="29" t="s">
        <v>1264</v>
      </c>
      <c r="H175" s="14">
        <v>43524</v>
      </c>
      <c r="I175" s="4" t="s">
        <v>4944</v>
      </c>
      <c r="J175" s="133"/>
      <c r="K175" s="22"/>
      <c r="L175" s="134"/>
    </row>
    <row r="176" spans="1:12" s="97" customFormat="1" hidden="1" x14ac:dyDescent="0.25">
      <c r="A176" s="14" t="s">
        <v>1149</v>
      </c>
      <c r="B176" s="14">
        <v>43557</v>
      </c>
      <c r="C176" s="13">
        <v>557</v>
      </c>
      <c r="D176" s="13" t="s">
        <v>4936</v>
      </c>
      <c r="E176" s="13" t="s">
        <v>808</v>
      </c>
      <c r="F176" s="37">
        <v>49836.94</v>
      </c>
      <c r="G176" s="210" t="s">
        <v>1788</v>
      </c>
      <c r="H176" s="211">
        <v>43523</v>
      </c>
      <c r="I176" s="4" t="s">
        <v>572</v>
      </c>
      <c r="J176" s="133"/>
      <c r="K176" s="22"/>
      <c r="L176" s="134"/>
    </row>
    <row r="177" spans="1:12" s="97" customFormat="1" hidden="1" x14ac:dyDescent="0.25">
      <c r="A177" s="61" t="s">
        <v>188</v>
      </c>
      <c r="B177" s="14">
        <v>43557</v>
      </c>
      <c r="C177" s="13">
        <v>558</v>
      </c>
      <c r="D177" s="13" t="s">
        <v>72</v>
      </c>
      <c r="E177" s="13" t="s">
        <v>808</v>
      </c>
      <c r="F177" s="37">
        <v>11416.56</v>
      </c>
      <c r="G177" s="29" t="s">
        <v>5394</v>
      </c>
      <c r="H177" s="14">
        <v>43524</v>
      </c>
      <c r="I177" s="4" t="s">
        <v>5395</v>
      </c>
      <c r="J177" s="133"/>
      <c r="K177" s="22"/>
      <c r="L177" s="134"/>
    </row>
    <row r="178" spans="1:12" s="97" customFormat="1" hidden="1" x14ac:dyDescent="0.25">
      <c r="A178" s="61" t="s">
        <v>1316</v>
      </c>
      <c r="B178" s="14">
        <v>43557</v>
      </c>
      <c r="C178" s="13">
        <v>559</v>
      </c>
      <c r="D178" s="13" t="s">
        <v>70</v>
      </c>
      <c r="E178" s="13" t="s">
        <v>808</v>
      </c>
      <c r="F178" s="37">
        <v>8390</v>
      </c>
      <c r="G178" s="29" t="s">
        <v>509</v>
      </c>
      <c r="H178" s="14">
        <v>43521</v>
      </c>
      <c r="I178" s="4" t="s">
        <v>4704</v>
      </c>
      <c r="J178" s="133"/>
      <c r="K178" s="22"/>
      <c r="L178" s="134"/>
    </row>
    <row r="179" spans="1:12" s="97" customFormat="1" hidden="1" x14ac:dyDescent="0.25">
      <c r="A179" s="13" t="s">
        <v>1316</v>
      </c>
      <c r="B179" s="14">
        <v>43557</v>
      </c>
      <c r="C179" s="13">
        <v>559</v>
      </c>
      <c r="D179" s="13" t="s">
        <v>70</v>
      </c>
      <c r="E179" s="13" t="s">
        <v>808</v>
      </c>
      <c r="F179" s="4">
        <v>7540</v>
      </c>
      <c r="G179" s="28" t="s">
        <v>4705</v>
      </c>
      <c r="H179" s="14">
        <v>43523</v>
      </c>
      <c r="I179" s="4" t="s">
        <v>793</v>
      </c>
      <c r="J179" s="133"/>
      <c r="K179" s="22"/>
      <c r="L179" s="134"/>
    </row>
    <row r="180" spans="1:12" s="97" customFormat="1" hidden="1" x14ac:dyDescent="0.25">
      <c r="A180" s="13" t="s">
        <v>1147</v>
      </c>
      <c r="B180" s="14">
        <v>43557</v>
      </c>
      <c r="C180" s="13">
        <v>560</v>
      </c>
      <c r="D180" s="13" t="s">
        <v>516</v>
      </c>
      <c r="E180" s="13" t="s">
        <v>808</v>
      </c>
      <c r="F180" s="37">
        <f>193219.69-50000</f>
        <v>143219.69</v>
      </c>
      <c r="G180" s="29" t="s">
        <v>1318</v>
      </c>
      <c r="H180" s="14">
        <v>43523</v>
      </c>
      <c r="I180" s="4" t="s">
        <v>4927</v>
      </c>
      <c r="J180" s="133"/>
      <c r="K180" s="22"/>
      <c r="L180" s="134"/>
    </row>
    <row r="181" spans="1:12" s="97" customFormat="1" hidden="1" x14ac:dyDescent="0.25">
      <c r="A181" s="32" t="s">
        <v>659</v>
      </c>
      <c r="B181" s="14">
        <v>43557</v>
      </c>
      <c r="C181" s="13">
        <v>560</v>
      </c>
      <c r="D181" s="13" t="s">
        <v>516</v>
      </c>
      <c r="E181" s="13" t="s">
        <v>808</v>
      </c>
      <c r="F181" s="4">
        <v>358795.3</v>
      </c>
      <c r="G181" s="28" t="s">
        <v>4928</v>
      </c>
      <c r="H181" s="14">
        <v>43523</v>
      </c>
      <c r="I181" s="4" t="s">
        <v>4929</v>
      </c>
      <c r="J181" s="133"/>
      <c r="K181" s="22"/>
      <c r="L181" s="134"/>
    </row>
    <row r="182" spans="1:12" ht="13.8" hidden="1" customHeight="1" x14ac:dyDescent="0.25">
      <c r="A182" s="32" t="s">
        <v>1147</v>
      </c>
      <c r="B182" s="14">
        <v>43557</v>
      </c>
      <c r="C182" s="13">
        <v>561</v>
      </c>
      <c r="D182" s="32" t="s">
        <v>2439</v>
      </c>
      <c r="E182" s="32" t="s">
        <v>808</v>
      </c>
      <c r="F182" s="4">
        <v>75880</v>
      </c>
      <c r="G182" s="29" t="s">
        <v>4772</v>
      </c>
      <c r="H182" s="14">
        <v>43556</v>
      </c>
      <c r="I182" s="4" t="s">
        <v>5986</v>
      </c>
      <c r="J182" s="21"/>
      <c r="K182" s="228"/>
    </row>
    <row r="183" spans="1:12" ht="13.8" hidden="1" customHeight="1" x14ac:dyDescent="0.25">
      <c r="A183" s="32" t="s">
        <v>151</v>
      </c>
      <c r="B183" s="14">
        <v>43557</v>
      </c>
      <c r="C183" s="13">
        <v>562</v>
      </c>
      <c r="D183" s="32" t="s">
        <v>93</v>
      </c>
      <c r="E183" s="32" t="s">
        <v>808</v>
      </c>
      <c r="F183" s="4">
        <v>14880</v>
      </c>
      <c r="G183" s="29" t="s">
        <v>5987</v>
      </c>
      <c r="H183" s="14">
        <v>43553</v>
      </c>
      <c r="I183" s="4" t="s">
        <v>5995</v>
      </c>
      <c r="J183" s="21"/>
      <c r="K183" s="228"/>
    </row>
    <row r="184" spans="1:12" ht="13.8" hidden="1" customHeight="1" x14ac:dyDescent="0.25">
      <c r="A184" s="32" t="s">
        <v>1148</v>
      </c>
      <c r="B184" s="14">
        <v>43557</v>
      </c>
      <c r="C184" s="13">
        <v>563</v>
      </c>
      <c r="D184" s="32" t="s">
        <v>181</v>
      </c>
      <c r="E184" s="32" t="s">
        <v>808</v>
      </c>
      <c r="F184" s="4">
        <v>62280</v>
      </c>
      <c r="G184" s="29" t="s">
        <v>5996</v>
      </c>
      <c r="H184" s="14">
        <v>43552</v>
      </c>
      <c r="I184" s="4" t="s">
        <v>102</v>
      </c>
      <c r="J184" s="21"/>
      <c r="K184" s="228"/>
    </row>
    <row r="185" spans="1:12" ht="13.8" hidden="1" customHeight="1" x14ac:dyDescent="0.25">
      <c r="A185" s="32" t="s">
        <v>1147</v>
      </c>
      <c r="B185" s="14">
        <v>43557</v>
      </c>
      <c r="C185" s="13">
        <v>563</v>
      </c>
      <c r="D185" s="32" t="s">
        <v>181</v>
      </c>
      <c r="E185" s="32" t="s">
        <v>808</v>
      </c>
      <c r="F185" s="4">
        <v>20400</v>
      </c>
      <c r="G185" s="29" t="s">
        <v>5997</v>
      </c>
      <c r="H185" s="14">
        <v>43552</v>
      </c>
      <c r="I185" s="4" t="s">
        <v>102</v>
      </c>
      <c r="J185" s="21"/>
      <c r="K185" s="228"/>
    </row>
    <row r="186" spans="1:12" hidden="1" x14ac:dyDescent="0.25">
      <c r="A186" s="61" t="s">
        <v>659</v>
      </c>
      <c r="B186" s="14">
        <v>43557</v>
      </c>
      <c r="C186" s="13">
        <v>564</v>
      </c>
      <c r="D186" s="13" t="s">
        <v>1513</v>
      </c>
      <c r="E186" s="13" t="s">
        <v>808</v>
      </c>
      <c r="F186" s="37">
        <v>149700</v>
      </c>
      <c r="G186" s="29" t="s">
        <v>86</v>
      </c>
      <c r="H186" s="14">
        <v>43530</v>
      </c>
      <c r="I186" s="4" t="s">
        <v>1237</v>
      </c>
      <c r="J186" s="128"/>
    </row>
    <row r="187" spans="1:12" hidden="1" x14ac:dyDescent="0.25">
      <c r="A187" s="61" t="s">
        <v>1148</v>
      </c>
      <c r="B187" s="14">
        <v>43557</v>
      </c>
      <c r="C187" s="13">
        <v>565</v>
      </c>
      <c r="D187" s="13" t="s">
        <v>447</v>
      </c>
      <c r="E187" s="13" t="s">
        <v>808</v>
      </c>
      <c r="F187" s="37">
        <v>245000</v>
      </c>
      <c r="G187" s="29" t="s">
        <v>25</v>
      </c>
      <c r="H187" s="14">
        <v>43533</v>
      </c>
      <c r="I187" s="4" t="s">
        <v>1315</v>
      </c>
      <c r="J187" s="128"/>
    </row>
    <row r="188" spans="1:12" hidden="1" x14ac:dyDescent="0.25">
      <c r="A188" s="61" t="s">
        <v>659</v>
      </c>
      <c r="B188" s="14">
        <v>43557</v>
      </c>
      <c r="C188" s="13">
        <v>566</v>
      </c>
      <c r="D188" s="13" t="s">
        <v>381</v>
      </c>
      <c r="E188" s="13" t="s">
        <v>808</v>
      </c>
      <c r="F188" s="37">
        <v>16300</v>
      </c>
      <c r="G188" s="29" t="s">
        <v>3142</v>
      </c>
      <c r="H188" s="14">
        <v>43545</v>
      </c>
      <c r="I188" s="4" t="s">
        <v>441</v>
      </c>
      <c r="J188" s="128"/>
    </row>
    <row r="189" spans="1:12" hidden="1" x14ac:dyDescent="0.25">
      <c r="A189" s="61" t="s">
        <v>5258</v>
      </c>
      <c r="B189" s="14">
        <v>43557</v>
      </c>
      <c r="C189" s="13">
        <v>567</v>
      </c>
      <c r="D189" s="13" t="s">
        <v>5347</v>
      </c>
      <c r="E189" s="13" t="s">
        <v>808</v>
      </c>
      <c r="F189" s="37">
        <v>472800</v>
      </c>
      <c r="G189" s="29" t="s">
        <v>2963</v>
      </c>
      <c r="H189" s="14">
        <v>43504</v>
      </c>
      <c r="I189" s="4" t="s">
        <v>164</v>
      </c>
    </row>
    <row r="190" spans="1:12" hidden="1" x14ac:dyDescent="0.25">
      <c r="A190" s="61" t="s">
        <v>1316</v>
      </c>
      <c r="B190" s="14">
        <v>43557</v>
      </c>
      <c r="C190" s="13">
        <v>568</v>
      </c>
      <c r="D190" s="13" t="s">
        <v>282</v>
      </c>
      <c r="E190" s="13" t="s">
        <v>808</v>
      </c>
      <c r="F190" s="37">
        <v>3575</v>
      </c>
      <c r="G190" s="29" t="s">
        <v>5353</v>
      </c>
      <c r="H190" s="14">
        <v>43531</v>
      </c>
      <c r="I190" s="4" t="s">
        <v>283</v>
      </c>
    </row>
    <row r="191" spans="1:12" hidden="1" x14ac:dyDescent="0.25">
      <c r="A191" s="32" t="s">
        <v>1148</v>
      </c>
      <c r="B191" s="14">
        <v>43557</v>
      </c>
      <c r="C191" s="13">
        <v>568</v>
      </c>
      <c r="D191" s="13" t="s">
        <v>282</v>
      </c>
      <c r="E191" s="13" t="s">
        <v>808</v>
      </c>
      <c r="F191" s="37">
        <v>6435</v>
      </c>
      <c r="G191" s="29" t="s">
        <v>5354</v>
      </c>
      <c r="H191" s="14">
        <v>43531</v>
      </c>
      <c r="I191" s="4" t="s">
        <v>283</v>
      </c>
    </row>
    <row r="192" spans="1:12" ht="13.2" hidden="1" customHeight="1" x14ac:dyDescent="0.25">
      <c r="A192" s="61" t="s">
        <v>659</v>
      </c>
      <c r="B192" s="14">
        <v>43557</v>
      </c>
      <c r="C192" s="13">
        <v>569</v>
      </c>
      <c r="D192" s="13" t="s">
        <v>250</v>
      </c>
      <c r="E192" s="13" t="s">
        <v>808</v>
      </c>
      <c r="F192" s="37">
        <v>259250</v>
      </c>
      <c r="G192" s="29" t="s">
        <v>4315</v>
      </c>
      <c r="H192" s="14">
        <v>43511</v>
      </c>
      <c r="I192" s="4" t="s">
        <v>1895</v>
      </c>
    </row>
    <row r="193" spans="1:19" hidden="1" x14ac:dyDescent="0.25">
      <c r="A193" s="13" t="s">
        <v>1147</v>
      </c>
      <c r="B193" s="14">
        <v>43557</v>
      </c>
      <c r="C193" s="13">
        <v>570</v>
      </c>
      <c r="D193" s="13" t="s">
        <v>29</v>
      </c>
      <c r="E193" s="13" t="s">
        <v>808</v>
      </c>
      <c r="F193" s="37">
        <v>282150</v>
      </c>
      <c r="G193" s="29" t="s">
        <v>146</v>
      </c>
      <c r="H193" s="14">
        <v>43521</v>
      </c>
      <c r="I193" s="4" t="s">
        <v>1061</v>
      </c>
    </row>
    <row r="194" spans="1:19" hidden="1" x14ac:dyDescent="0.25">
      <c r="A194" s="68" t="s">
        <v>1148</v>
      </c>
      <c r="B194" s="14">
        <v>43557</v>
      </c>
      <c r="C194" s="13">
        <v>571</v>
      </c>
      <c r="D194" s="13" t="s">
        <v>2047</v>
      </c>
      <c r="E194" s="13" t="s">
        <v>808</v>
      </c>
      <c r="F194" s="4">
        <v>37400</v>
      </c>
      <c r="G194" s="28" t="s">
        <v>1164</v>
      </c>
      <c r="H194" s="14">
        <v>43530</v>
      </c>
      <c r="I194" s="4" t="s">
        <v>95</v>
      </c>
    </row>
    <row r="195" spans="1:19" hidden="1" x14ac:dyDescent="0.25">
      <c r="A195" s="61" t="s">
        <v>1147</v>
      </c>
      <c r="B195" s="14">
        <v>43557</v>
      </c>
      <c r="C195" s="13">
        <v>571</v>
      </c>
      <c r="D195" s="13" t="s">
        <v>2047</v>
      </c>
      <c r="E195" s="13" t="s">
        <v>808</v>
      </c>
      <c r="F195" s="37">
        <v>37400</v>
      </c>
      <c r="G195" s="29" t="s">
        <v>341</v>
      </c>
      <c r="H195" s="14">
        <v>43530</v>
      </c>
      <c r="I195" s="4" t="s">
        <v>95</v>
      </c>
    </row>
    <row r="196" spans="1:19" ht="27.6" hidden="1" x14ac:dyDescent="0.25">
      <c r="A196" s="61" t="s">
        <v>5370</v>
      </c>
      <c r="B196" s="14">
        <v>43557</v>
      </c>
      <c r="C196" s="13">
        <v>571</v>
      </c>
      <c r="D196" s="13" t="s">
        <v>2047</v>
      </c>
      <c r="E196" s="13" t="s">
        <v>808</v>
      </c>
      <c r="F196" s="37">
        <v>35700</v>
      </c>
      <c r="G196" s="29" t="s">
        <v>1746</v>
      </c>
      <c r="H196" s="14">
        <v>43530</v>
      </c>
      <c r="I196" s="4" t="s">
        <v>95</v>
      </c>
    </row>
    <row r="197" spans="1:19" ht="27.6" hidden="1" x14ac:dyDescent="0.25">
      <c r="A197" s="61" t="s">
        <v>1806</v>
      </c>
      <c r="B197" s="14">
        <v>43557</v>
      </c>
      <c r="C197" s="13">
        <v>571</v>
      </c>
      <c r="D197" s="13" t="s">
        <v>2047</v>
      </c>
      <c r="E197" s="13" t="s">
        <v>808</v>
      </c>
      <c r="F197" s="37">
        <v>28900</v>
      </c>
      <c r="G197" s="29" t="s">
        <v>1320</v>
      </c>
      <c r="H197" s="14">
        <v>43530</v>
      </c>
      <c r="I197" s="4" t="s">
        <v>95</v>
      </c>
    </row>
    <row r="198" spans="1:19" hidden="1" x14ac:dyDescent="0.25">
      <c r="A198" s="61" t="s">
        <v>659</v>
      </c>
      <c r="B198" s="14">
        <v>43557</v>
      </c>
      <c r="C198" s="13">
        <v>572</v>
      </c>
      <c r="D198" s="13" t="s">
        <v>5888</v>
      </c>
      <c r="E198" s="13" t="s">
        <v>808</v>
      </c>
      <c r="F198" s="37">
        <v>100000</v>
      </c>
      <c r="G198" s="29" t="s">
        <v>459</v>
      </c>
      <c r="H198" s="14">
        <v>43542</v>
      </c>
      <c r="I198" s="4" t="s">
        <v>402</v>
      </c>
    </row>
    <row r="199" spans="1:19" ht="27.6" hidden="1" x14ac:dyDescent="0.25">
      <c r="A199" s="61" t="s">
        <v>4316</v>
      </c>
      <c r="B199" s="14">
        <v>43557</v>
      </c>
      <c r="C199" s="13">
        <v>573</v>
      </c>
      <c r="D199" s="13" t="s">
        <v>1985</v>
      </c>
      <c r="E199" s="13" t="s">
        <v>808</v>
      </c>
      <c r="F199" s="4">
        <f>220400-100000</f>
        <v>120400</v>
      </c>
      <c r="G199" s="28" t="s">
        <v>3184</v>
      </c>
      <c r="H199" s="14">
        <v>43511</v>
      </c>
      <c r="I199" s="4" t="s">
        <v>4317</v>
      </c>
    </row>
    <row r="200" spans="1:19" hidden="1" x14ac:dyDescent="0.25">
      <c r="A200" s="32" t="s">
        <v>659</v>
      </c>
      <c r="B200" s="14">
        <v>43557</v>
      </c>
      <c r="C200" s="13">
        <v>574</v>
      </c>
      <c r="D200" s="13" t="s">
        <v>303</v>
      </c>
      <c r="E200" s="13" t="s">
        <v>808</v>
      </c>
      <c r="F200" s="4">
        <v>53100</v>
      </c>
      <c r="G200" s="28" t="s">
        <v>695</v>
      </c>
      <c r="H200" s="14">
        <v>43523</v>
      </c>
      <c r="I200" s="4" t="s">
        <v>511</v>
      </c>
    </row>
    <row r="201" spans="1:19" s="2" customFormat="1" hidden="1" x14ac:dyDescent="0.25">
      <c r="A201" s="61" t="s">
        <v>4883</v>
      </c>
      <c r="B201" s="14">
        <v>43557</v>
      </c>
      <c r="C201" s="13">
        <v>575</v>
      </c>
      <c r="D201" s="13" t="s">
        <v>149</v>
      </c>
      <c r="E201" s="13" t="s">
        <v>808</v>
      </c>
      <c r="F201" s="37">
        <v>12000</v>
      </c>
      <c r="G201" s="29" t="s">
        <v>2138</v>
      </c>
      <c r="H201" s="14">
        <v>43514</v>
      </c>
      <c r="I201" s="4" t="s">
        <v>4886</v>
      </c>
      <c r="J201" s="16"/>
      <c r="K201" s="5"/>
    </row>
    <row r="202" spans="1:19" s="62" customFormat="1" hidden="1" x14ac:dyDescent="0.25">
      <c r="A202" s="13" t="s">
        <v>956</v>
      </c>
      <c r="B202" s="14">
        <v>43557</v>
      </c>
      <c r="C202" s="13">
        <v>204</v>
      </c>
      <c r="D202" s="13" t="s">
        <v>1516</v>
      </c>
      <c r="E202" s="13" t="s">
        <v>481</v>
      </c>
      <c r="F202" s="37">
        <v>621900</v>
      </c>
      <c r="G202" s="69" t="s">
        <v>1799</v>
      </c>
      <c r="H202" s="14"/>
      <c r="I202" s="4" t="s">
        <v>16</v>
      </c>
      <c r="J202" s="71"/>
    </row>
    <row r="203" spans="1:19" s="62" customFormat="1" hidden="1" x14ac:dyDescent="0.25">
      <c r="A203" s="13" t="s">
        <v>956</v>
      </c>
      <c r="B203" s="14">
        <v>43557</v>
      </c>
      <c r="C203" s="13">
        <v>205</v>
      </c>
      <c r="D203" s="13" t="s">
        <v>1516</v>
      </c>
      <c r="E203" s="13" t="s">
        <v>481</v>
      </c>
      <c r="F203" s="37">
        <v>1240100</v>
      </c>
      <c r="G203" s="69" t="s">
        <v>1799</v>
      </c>
      <c r="H203" s="14"/>
      <c r="I203" s="4" t="s">
        <v>16</v>
      </c>
      <c r="J203" s="71"/>
    </row>
    <row r="204" spans="1:19" ht="13.8" hidden="1" customHeight="1" x14ac:dyDescent="0.25">
      <c r="A204" s="32" t="s">
        <v>442</v>
      </c>
      <c r="B204" s="14">
        <v>43557</v>
      </c>
      <c r="C204" s="13">
        <v>206</v>
      </c>
      <c r="D204" s="32" t="s">
        <v>258</v>
      </c>
      <c r="E204" s="32" t="s">
        <v>481</v>
      </c>
      <c r="F204" s="4">
        <v>19866</v>
      </c>
      <c r="G204" s="29" t="s">
        <v>5992</v>
      </c>
      <c r="H204" s="14">
        <v>43552</v>
      </c>
      <c r="I204" s="4" t="s">
        <v>187</v>
      </c>
      <c r="J204" s="21"/>
      <c r="K204" s="228"/>
    </row>
    <row r="205" spans="1:19" s="192" customFormat="1" ht="14.85" hidden="1" customHeight="1" x14ac:dyDescent="0.25">
      <c r="A205" s="147" t="s">
        <v>242</v>
      </c>
      <c r="B205" s="164">
        <v>43557</v>
      </c>
      <c r="C205" s="195">
        <v>256</v>
      </c>
      <c r="D205" s="149" t="s">
        <v>1816</v>
      </c>
      <c r="E205" s="147" t="s">
        <v>144</v>
      </c>
      <c r="F205" s="158">
        <v>141534.72</v>
      </c>
      <c r="G205" s="150" t="s">
        <v>26</v>
      </c>
      <c r="H205" s="148">
        <v>43537</v>
      </c>
      <c r="I205" s="149" t="s">
        <v>143</v>
      </c>
      <c r="J205" s="190"/>
    </row>
    <row r="206" spans="1:19" ht="15" hidden="1" customHeight="1" x14ac:dyDescent="0.25">
      <c r="A206" s="61" t="s">
        <v>1934</v>
      </c>
      <c r="B206" s="14">
        <v>43557</v>
      </c>
      <c r="C206" s="13">
        <v>317</v>
      </c>
      <c r="D206" s="32" t="s">
        <v>281</v>
      </c>
      <c r="E206" s="32" t="s">
        <v>136</v>
      </c>
      <c r="F206" s="4">
        <v>473652</v>
      </c>
      <c r="G206" s="29" t="s">
        <v>5497</v>
      </c>
      <c r="H206" s="14">
        <v>43536</v>
      </c>
      <c r="I206" s="41" t="s">
        <v>852</v>
      </c>
      <c r="J206" s="35" t="s">
        <v>771</v>
      </c>
      <c r="K206" s="35"/>
      <c r="L206" s="35"/>
    </row>
    <row r="207" spans="1:19" s="129" customFormat="1" ht="27.6" hidden="1" x14ac:dyDescent="0.25">
      <c r="A207" s="13" t="s">
        <v>90</v>
      </c>
      <c r="B207" s="14">
        <v>43557</v>
      </c>
      <c r="C207" s="13">
        <v>257</v>
      </c>
      <c r="D207" s="13" t="s">
        <v>1392</v>
      </c>
      <c r="E207" s="13" t="s">
        <v>1335</v>
      </c>
      <c r="F207" s="37">
        <v>271575.82</v>
      </c>
      <c r="G207" s="29" t="s">
        <v>161</v>
      </c>
      <c r="H207" s="14">
        <v>43524</v>
      </c>
      <c r="I207" s="4" t="s">
        <v>618</v>
      </c>
      <c r="J207" s="35" t="s">
        <v>721</v>
      </c>
      <c r="K207" s="136"/>
    </row>
    <row r="208" spans="1:19" s="31" customFormat="1" ht="27.6" hidden="1" x14ac:dyDescent="0.25">
      <c r="A208" s="13" t="s">
        <v>91</v>
      </c>
      <c r="B208" s="14">
        <v>43557</v>
      </c>
      <c r="C208" s="13">
        <v>258</v>
      </c>
      <c r="D208" s="13" t="s">
        <v>745</v>
      </c>
      <c r="E208" s="13" t="s">
        <v>2021</v>
      </c>
      <c r="F208" s="37">
        <v>400000</v>
      </c>
      <c r="G208" s="29" t="s">
        <v>2018</v>
      </c>
      <c r="H208" s="14">
        <v>43377</v>
      </c>
      <c r="I208" s="4" t="s">
        <v>484</v>
      </c>
      <c r="J208" s="34"/>
      <c r="O208" s="34"/>
      <c r="P208" s="34"/>
      <c r="Q208" s="34"/>
      <c r="R208" s="34"/>
      <c r="S208" s="34"/>
    </row>
    <row r="209" spans="1:19" ht="27.6" hidden="1" x14ac:dyDescent="0.25">
      <c r="A209" s="32" t="s">
        <v>668</v>
      </c>
      <c r="B209" s="14">
        <v>43557</v>
      </c>
      <c r="C209" s="67">
        <v>259</v>
      </c>
      <c r="D209" s="32" t="s">
        <v>373</v>
      </c>
      <c r="E209" s="13" t="s">
        <v>2021</v>
      </c>
      <c r="F209" s="4">
        <v>577822.42000000004</v>
      </c>
      <c r="G209" s="28" t="s">
        <v>5575</v>
      </c>
      <c r="H209" s="14">
        <v>43459</v>
      </c>
      <c r="I209" s="4" t="s">
        <v>362</v>
      </c>
      <c r="J209" s="166" t="s">
        <v>721</v>
      </c>
      <c r="K209" s="167"/>
      <c r="L209" s="35"/>
    </row>
    <row r="210" spans="1:19" ht="27.6" hidden="1" x14ac:dyDescent="0.25">
      <c r="A210" s="32" t="s">
        <v>536</v>
      </c>
      <c r="B210" s="14">
        <v>43557</v>
      </c>
      <c r="C210" s="67">
        <v>260</v>
      </c>
      <c r="D210" s="32" t="s">
        <v>373</v>
      </c>
      <c r="E210" s="13" t="s">
        <v>2021</v>
      </c>
      <c r="F210" s="4">
        <v>635591.19999999995</v>
      </c>
      <c r="G210" s="28" t="s">
        <v>5576</v>
      </c>
      <c r="H210" s="14">
        <v>43459</v>
      </c>
      <c r="I210" s="4" t="s">
        <v>362</v>
      </c>
      <c r="J210" s="166" t="s">
        <v>721</v>
      </c>
      <c r="K210" s="167"/>
      <c r="L210" s="35"/>
    </row>
    <row r="211" spans="1:19" ht="27.6" hidden="1" x14ac:dyDescent="0.25">
      <c r="A211" s="32" t="s">
        <v>527</v>
      </c>
      <c r="B211" s="14">
        <v>43557</v>
      </c>
      <c r="C211" s="67">
        <v>261</v>
      </c>
      <c r="D211" s="32" t="s">
        <v>373</v>
      </c>
      <c r="E211" s="13" t="s">
        <v>2021</v>
      </c>
      <c r="F211" s="4">
        <v>384907.99</v>
      </c>
      <c r="G211" s="28" t="s">
        <v>5577</v>
      </c>
      <c r="H211" s="14">
        <v>43459</v>
      </c>
      <c r="I211" s="4" t="s">
        <v>362</v>
      </c>
      <c r="J211" s="166" t="s">
        <v>721</v>
      </c>
      <c r="K211" s="167"/>
      <c r="L211" s="35"/>
    </row>
    <row r="212" spans="1:19" ht="13.95" hidden="1" customHeight="1" x14ac:dyDescent="0.25">
      <c r="A212" s="13" t="s">
        <v>495</v>
      </c>
      <c r="B212" s="14">
        <v>43557</v>
      </c>
      <c r="C212" s="13">
        <v>565</v>
      </c>
      <c r="D212" s="32" t="s">
        <v>390</v>
      </c>
      <c r="E212" s="32" t="s">
        <v>130</v>
      </c>
      <c r="F212" s="4">
        <v>50000</v>
      </c>
      <c r="G212" s="210" t="s">
        <v>2062</v>
      </c>
      <c r="H212" s="211">
        <v>43402</v>
      </c>
      <c r="I212" s="84" t="s">
        <v>2063</v>
      </c>
      <c r="J212" s="21"/>
      <c r="K212" s="389"/>
      <c r="L212" s="388"/>
    </row>
    <row r="213" spans="1:19" s="62" customFormat="1" ht="13.95" hidden="1" customHeight="1" x14ac:dyDescent="0.25">
      <c r="A213" s="13" t="s">
        <v>91</v>
      </c>
      <c r="B213" s="14">
        <v>43557</v>
      </c>
      <c r="C213" s="13">
        <v>566</v>
      </c>
      <c r="D213" s="13" t="s">
        <v>133</v>
      </c>
      <c r="E213" s="13" t="s">
        <v>130</v>
      </c>
      <c r="F213" s="37">
        <v>210000</v>
      </c>
      <c r="G213" s="29" t="s">
        <v>3350</v>
      </c>
      <c r="H213" s="14"/>
      <c r="I213" s="4" t="s">
        <v>1134</v>
      </c>
      <c r="J213" s="71" t="s">
        <v>6011</v>
      </c>
      <c r="O213" s="35"/>
      <c r="P213" s="35"/>
      <c r="Q213" s="35"/>
      <c r="R213" s="35"/>
      <c r="S213" s="35"/>
    </row>
    <row r="214" spans="1:19" s="62" customFormat="1" ht="13.95" hidden="1" customHeight="1" x14ac:dyDescent="0.25">
      <c r="A214" s="13" t="s">
        <v>637</v>
      </c>
      <c r="B214" s="14">
        <v>43557</v>
      </c>
      <c r="C214" s="13">
        <v>567</v>
      </c>
      <c r="D214" s="13" t="s">
        <v>133</v>
      </c>
      <c r="E214" s="13" t="s">
        <v>130</v>
      </c>
      <c r="F214" s="37">
        <v>70800</v>
      </c>
      <c r="G214" s="29" t="s">
        <v>6013</v>
      </c>
      <c r="H214" s="14"/>
      <c r="I214" s="4" t="s">
        <v>6014</v>
      </c>
      <c r="J214" s="71" t="s">
        <v>6012</v>
      </c>
      <c r="O214" s="35"/>
      <c r="P214" s="35"/>
      <c r="Q214" s="35"/>
      <c r="R214" s="35"/>
      <c r="S214" s="35"/>
    </row>
    <row r="215" spans="1:19" s="62" customFormat="1" ht="13.95" hidden="1" customHeight="1" x14ac:dyDescent="0.25">
      <c r="A215" s="13" t="s">
        <v>455</v>
      </c>
      <c r="B215" s="14">
        <v>43557</v>
      </c>
      <c r="C215" s="13">
        <v>568</v>
      </c>
      <c r="D215" s="13" t="s">
        <v>267</v>
      </c>
      <c r="E215" s="13" t="s">
        <v>130</v>
      </c>
      <c r="F215" s="37">
        <v>33600</v>
      </c>
      <c r="G215" s="29" t="s">
        <v>2955</v>
      </c>
      <c r="H215" s="14">
        <v>43496</v>
      </c>
      <c r="I215" s="4" t="s">
        <v>576</v>
      </c>
      <c r="J215" s="71"/>
      <c r="O215" s="35"/>
      <c r="P215" s="35"/>
      <c r="Q215" s="35"/>
      <c r="R215" s="35"/>
      <c r="S215" s="35"/>
    </row>
    <row r="216" spans="1:19" s="62" customFormat="1" ht="13.95" hidden="1" customHeight="1" x14ac:dyDescent="0.25">
      <c r="A216" s="13" t="s">
        <v>455</v>
      </c>
      <c r="B216" s="14">
        <v>43557</v>
      </c>
      <c r="C216" s="13">
        <v>569</v>
      </c>
      <c r="D216" s="13" t="s">
        <v>267</v>
      </c>
      <c r="E216" s="13" t="s">
        <v>130</v>
      </c>
      <c r="F216" s="37">
        <v>33600</v>
      </c>
      <c r="G216" s="29" t="s">
        <v>199</v>
      </c>
      <c r="H216" s="14">
        <v>43524</v>
      </c>
      <c r="I216" s="4" t="s">
        <v>576</v>
      </c>
      <c r="J216" s="71"/>
      <c r="O216" s="35"/>
      <c r="P216" s="35"/>
      <c r="Q216" s="35"/>
      <c r="R216" s="35"/>
      <c r="S216" s="35"/>
    </row>
    <row r="217" spans="1:19" s="62" customFormat="1" ht="13.95" hidden="1" customHeight="1" x14ac:dyDescent="0.25">
      <c r="A217" s="13" t="s">
        <v>442</v>
      </c>
      <c r="B217" s="14">
        <v>43557</v>
      </c>
      <c r="C217" s="13">
        <v>570</v>
      </c>
      <c r="D217" s="13" t="s">
        <v>267</v>
      </c>
      <c r="E217" s="13" t="s">
        <v>130</v>
      </c>
      <c r="F217" s="37">
        <v>102200</v>
      </c>
      <c r="G217" s="29" t="s">
        <v>458</v>
      </c>
      <c r="H217" s="14">
        <v>43496</v>
      </c>
      <c r="I217" s="4" t="s">
        <v>576</v>
      </c>
      <c r="J217" s="71"/>
      <c r="O217" s="35"/>
      <c r="P217" s="35"/>
      <c r="Q217" s="35"/>
      <c r="R217" s="35"/>
      <c r="S217" s="35"/>
    </row>
    <row r="218" spans="1:19" s="62" customFormat="1" ht="13.95" hidden="1" customHeight="1" x14ac:dyDescent="0.25">
      <c r="A218" s="13" t="s">
        <v>442</v>
      </c>
      <c r="B218" s="14">
        <v>43557</v>
      </c>
      <c r="C218" s="13">
        <v>570</v>
      </c>
      <c r="D218" s="13" t="s">
        <v>267</v>
      </c>
      <c r="E218" s="13" t="s">
        <v>130</v>
      </c>
      <c r="F218" s="37">
        <v>102200</v>
      </c>
      <c r="G218" s="29" t="s">
        <v>3143</v>
      </c>
      <c r="H218" s="14">
        <v>43524</v>
      </c>
      <c r="I218" s="4" t="s">
        <v>576</v>
      </c>
      <c r="J218" s="71"/>
      <c r="O218" s="35"/>
      <c r="P218" s="35"/>
      <c r="Q218" s="35"/>
      <c r="R218" s="35"/>
      <c r="S218" s="35"/>
    </row>
    <row r="219" spans="1:19" s="62" customFormat="1" ht="13.95" hidden="1" customHeight="1" x14ac:dyDescent="0.25">
      <c r="A219" s="13" t="s">
        <v>358</v>
      </c>
      <c r="B219" s="14">
        <v>43557</v>
      </c>
      <c r="C219" s="13">
        <v>571</v>
      </c>
      <c r="D219" s="13" t="s">
        <v>267</v>
      </c>
      <c r="E219" s="13" t="s">
        <v>130</v>
      </c>
      <c r="F219" s="37">
        <v>37100</v>
      </c>
      <c r="G219" s="29" t="s">
        <v>3211</v>
      </c>
      <c r="H219" s="14">
        <v>43496</v>
      </c>
      <c r="I219" s="4" t="s">
        <v>576</v>
      </c>
      <c r="J219" s="71"/>
      <c r="O219" s="35"/>
      <c r="P219" s="35"/>
      <c r="Q219" s="35"/>
      <c r="R219" s="35"/>
      <c r="S219" s="35"/>
    </row>
    <row r="220" spans="1:19" s="62" customFormat="1" ht="13.95" hidden="1" customHeight="1" x14ac:dyDescent="0.25">
      <c r="A220" s="13" t="s">
        <v>358</v>
      </c>
      <c r="B220" s="14">
        <v>43557</v>
      </c>
      <c r="C220" s="13">
        <v>571</v>
      </c>
      <c r="D220" s="13" t="s">
        <v>267</v>
      </c>
      <c r="E220" s="13" t="s">
        <v>130</v>
      </c>
      <c r="F220" s="37">
        <v>37100</v>
      </c>
      <c r="G220" s="29" t="s">
        <v>111</v>
      </c>
      <c r="H220" s="14">
        <v>43524</v>
      </c>
      <c r="I220" s="4" t="s">
        <v>576</v>
      </c>
      <c r="J220" s="71"/>
      <c r="O220" s="35"/>
      <c r="P220" s="35"/>
      <c r="Q220" s="35"/>
      <c r="R220" s="35"/>
      <c r="S220" s="35"/>
    </row>
    <row r="221" spans="1:19" ht="13.95" hidden="1" customHeight="1" x14ac:dyDescent="0.25">
      <c r="A221" s="13" t="s">
        <v>91</v>
      </c>
      <c r="B221" s="14">
        <v>43557</v>
      </c>
      <c r="C221" s="13">
        <v>572</v>
      </c>
      <c r="D221" s="32" t="s">
        <v>1907</v>
      </c>
      <c r="E221" s="32" t="s">
        <v>130</v>
      </c>
      <c r="F221" s="4">
        <v>1000000</v>
      </c>
      <c r="G221" s="86" t="s">
        <v>2797</v>
      </c>
      <c r="H221" s="14"/>
      <c r="I221" s="41" t="s">
        <v>1834</v>
      </c>
      <c r="J221" s="21"/>
      <c r="K221" s="228"/>
    </row>
    <row r="222" spans="1:19" hidden="1" x14ac:dyDescent="0.25">
      <c r="A222" s="61" t="s">
        <v>91</v>
      </c>
      <c r="B222" s="14">
        <v>43557</v>
      </c>
      <c r="C222" s="13">
        <v>573</v>
      </c>
      <c r="D222" s="13" t="s">
        <v>971</v>
      </c>
      <c r="E222" s="13" t="s">
        <v>130</v>
      </c>
      <c r="F222" s="4">
        <v>198990</v>
      </c>
      <c r="G222" s="28" t="s">
        <v>299</v>
      </c>
      <c r="H222" s="14">
        <v>43524</v>
      </c>
      <c r="I222" s="4" t="s">
        <v>182</v>
      </c>
    </row>
    <row r="223" spans="1:19" hidden="1" x14ac:dyDescent="0.25">
      <c r="A223" s="61" t="s">
        <v>209</v>
      </c>
      <c r="B223" s="14">
        <v>43557</v>
      </c>
      <c r="C223" s="13">
        <v>64</v>
      </c>
      <c r="D223" s="13" t="s">
        <v>5737</v>
      </c>
      <c r="E223" s="13" t="s">
        <v>134</v>
      </c>
      <c r="F223" s="4">
        <v>14000</v>
      </c>
      <c r="G223" s="70" t="s">
        <v>6036</v>
      </c>
      <c r="H223" s="211">
        <v>43550</v>
      </c>
      <c r="I223" s="4" t="s">
        <v>484</v>
      </c>
    </row>
    <row r="224" spans="1:19" ht="27.6" hidden="1" x14ac:dyDescent="0.25">
      <c r="A224" s="61" t="s">
        <v>460</v>
      </c>
      <c r="B224" s="14">
        <v>43557</v>
      </c>
      <c r="C224" s="13">
        <v>333</v>
      </c>
      <c r="D224" s="14" t="s">
        <v>4559</v>
      </c>
      <c r="E224" s="32" t="s">
        <v>2058</v>
      </c>
      <c r="F224" s="4">
        <v>97911</v>
      </c>
      <c r="G224" s="86" t="s">
        <v>4561</v>
      </c>
      <c r="H224" s="211"/>
      <c r="I224" s="326"/>
      <c r="K224" s="62"/>
    </row>
    <row r="225" spans="1:11" ht="27.6" hidden="1" x14ac:dyDescent="0.25">
      <c r="A225" s="61" t="s">
        <v>460</v>
      </c>
      <c r="B225" s="14">
        <v>43557</v>
      </c>
      <c r="C225" s="13">
        <v>336</v>
      </c>
      <c r="D225" s="14" t="s">
        <v>4588</v>
      </c>
      <c r="E225" s="32" t="s">
        <v>2058</v>
      </c>
      <c r="F225" s="4">
        <v>107880</v>
      </c>
      <c r="G225" s="86" t="s">
        <v>4589</v>
      </c>
      <c r="H225" s="211"/>
      <c r="I225" s="326"/>
      <c r="K225" s="62"/>
    </row>
    <row r="226" spans="1:11" ht="27.6" hidden="1" x14ac:dyDescent="0.25">
      <c r="A226" s="61" t="s">
        <v>460</v>
      </c>
      <c r="B226" s="14">
        <v>43557</v>
      </c>
      <c r="C226" s="13">
        <v>337</v>
      </c>
      <c r="D226" s="14" t="s">
        <v>4596</v>
      </c>
      <c r="E226" s="32" t="s">
        <v>2058</v>
      </c>
      <c r="F226" s="4">
        <v>91466</v>
      </c>
      <c r="G226" s="86" t="s">
        <v>4597</v>
      </c>
      <c r="H226" s="211"/>
      <c r="I226" s="326"/>
      <c r="K226" s="62"/>
    </row>
    <row r="227" spans="1:11" ht="27.6" hidden="1" x14ac:dyDescent="0.25">
      <c r="A227" s="61" t="s">
        <v>460</v>
      </c>
      <c r="B227" s="14">
        <v>43557</v>
      </c>
      <c r="C227" s="13">
        <v>338</v>
      </c>
      <c r="D227" s="14" t="s">
        <v>4639</v>
      </c>
      <c r="E227" s="32" t="s">
        <v>2058</v>
      </c>
      <c r="F227" s="4">
        <v>86268</v>
      </c>
      <c r="G227" s="86" t="s">
        <v>4640</v>
      </c>
      <c r="H227" s="211"/>
      <c r="I227" s="326"/>
      <c r="K227" s="62"/>
    </row>
    <row r="228" spans="1:11" ht="27.6" hidden="1" x14ac:dyDescent="0.25">
      <c r="A228" s="61" t="s">
        <v>460</v>
      </c>
      <c r="B228" s="14">
        <v>43557</v>
      </c>
      <c r="C228" s="13">
        <v>340</v>
      </c>
      <c r="D228" s="14" t="s">
        <v>5283</v>
      </c>
      <c r="E228" s="32" t="s">
        <v>2058</v>
      </c>
      <c r="F228" s="4">
        <v>87158</v>
      </c>
      <c r="G228" s="86" t="s">
        <v>5284</v>
      </c>
      <c r="H228" s="211"/>
      <c r="I228" s="326"/>
      <c r="K228" s="62"/>
    </row>
    <row r="229" spans="1:11" ht="27.6" hidden="1" x14ac:dyDescent="0.25">
      <c r="A229" s="61" t="s">
        <v>460</v>
      </c>
      <c r="B229" s="14">
        <v>43558</v>
      </c>
      <c r="C229" s="13">
        <v>339</v>
      </c>
      <c r="D229" s="14" t="s">
        <v>4641</v>
      </c>
      <c r="E229" s="32" t="s">
        <v>2058</v>
      </c>
      <c r="F229" s="4">
        <v>121800</v>
      </c>
      <c r="G229" s="86" t="s">
        <v>4642</v>
      </c>
      <c r="H229" s="211"/>
      <c r="I229" s="326"/>
      <c r="K229" s="62"/>
    </row>
    <row r="230" spans="1:11" ht="27.6" hidden="1" x14ac:dyDescent="0.25">
      <c r="A230" s="61" t="s">
        <v>460</v>
      </c>
      <c r="B230" s="14">
        <v>43558</v>
      </c>
      <c r="C230" s="13">
        <v>341</v>
      </c>
      <c r="D230" s="14" t="s">
        <v>5293</v>
      </c>
      <c r="E230" s="32" t="s">
        <v>2058</v>
      </c>
      <c r="F230" s="4">
        <v>93448</v>
      </c>
      <c r="G230" s="86" t="s">
        <v>5294</v>
      </c>
      <c r="H230" s="211"/>
      <c r="I230" s="326"/>
      <c r="K230" s="62"/>
    </row>
    <row r="231" spans="1:11" hidden="1" x14ac:dyDescent="0.25">
      <c r="A231" s="32" t="s">
        <v>741</v>
      </c>
      <c r="B231" s="14">
        <v>43558</v>
      </c>
      <c r="C231" s="13">
        <v>340</v>
      </c>
      <c r="D231" s="13" t="s">
        <v>5822</v>
      </c>
      <c r="E231" s="13" t="s">
        <v>434</v>
      </c>
      <c r="F231" s="4">
        <v>22500</v>
      </c>
      <c r="G231" s="28" t="s">
        <v>1264</v>
      </c>
      <c r="H231" s="14">
        <v>43551</v>
      </c>
      <c r="I231" s="4" t="s">
        <v>5979</v>
      </c>
      <c r="J231" s="128"/>
    </row>
    <row r="232" spans="1:11" hidden="1" x14ac:dyDescent="0.25">
      <c r="A232" s="61" t="s">
        <v>460</v>
      </c>
      <c r="B232" s="14">
        <v>43558</v>
      </c>
      <c r="C232" s="13">
        <v>80</v>
      </c>
      <c r="D232" s="14" t="s">
        <v>4566</v>
      </c>
      <c r="E232" s="32" t="s">
        <v>483</v>
      </c>
      <c r="F232" s="4">
        <v>59284</v>
      </c>
      <c r="G232" s="86" t="s">
        <v>4567</v>
      </c>
      <c r="H232" s="211"/>
      <c r="I232" s="326"/>
      <c r="K232" s="62"/>
    </row>
    <row r="233" spans="1:11" hidden="1" x14ac:dyDescent="0.25">
      <c r="A233" s="61" t="s">
        <v>460</v>
      </c>
      <c r="B233" s="14">
        <v>43558</v>
      </c>
      <c r="C233" s="13">
        <v>81</v>
      </c>
      <c r="D233" s="14" t="s">
        <v>4562</v>
      </c>
      <c r="E233" s="32" t="s">
        <v>483</v>
      </c>
      <c r="F233" s="4">
        <v>46920</v>
      </c>
      <c r="G233" s="86" t="s">
        <v>4563</v>
      </c>
      <c r="H233" s="211"/>
      <c r="I233" s="326"/>
      <c r="K233" s="62"/>
    </row>
    <row r="234" spans="1:11" hidden="1" x14ac:dyDescent="0.25">
      <c r="A234" s="61" t="s">
        <v>460</v>
      </c>
      <c r="B234" s="14">
        <v>43558</v>
      </c>
      <c r="C234" s="13">
        <v>82</v>
      </c>
      <c r="D234" s="14" t="s">
        <v>4574</v>
      </c>
      <c r="E234" s="32" t="s">
        <v>483</v>
      </c>
      <c r="F234" s="4">
        <v>18000</v>
      </c>
      <c r="G234" s="86" t="s">
        <v>4575</v>
      </c>
      <c r="H234" s="211"/>
      <c r="I234" s="326"/>
      <c r="K234" s="62"/>
    </row>
    <row r="235" spans="1:11" hidden="1" x14ac:dyDescent="0.25">
      <c r="A235" s="61" t="s">
        <v>460</v>
      </c>
      <c r="B235" s="14">
        <v>43558</v>
      </c>
      <c r="C235" s="13">
        <v>83</v>
      </c>
      <c r="D235" s="14" t="s">
        <v>4584</v>
      </c>
      <c r="E235" s="32" t="s">
        <v>483</v>
      </c>
      <c r="F235" s="4">
        <v>39641</v>
      </c>
      <c r="G235" s="86" t="s">
        <v>4585</v>
      </c>
      <c r="H235" s="211"/>
      <c r="I235" s="326"/>
      <c r="K235" s="62"/>
    </row>
    <row r="236" spans="1:11" hidden="1" x14ac:dyDescent="0.25">
      <c r="A236" s="61" t="s">
        <v>460</v>
      </c>
      <c r="B236" s="14">
        <v>43558</v>
      </c>
      <c r="C236" s="13">
        <v>84</v>
      </c>
      <c r="D236" s="14" t="s">
        <v>4586</v>
      </c>
      <c r="E236" s="32" t="s">
        <v>483</v>
      </c>
      <c r="F236" s="4">
        <v>48960</v>
      </c>
      <c r="G236" s="86" t="s">
        <v>4587</v>
      </c>
      <c r="H236" s="211"/>
      <c r="I236" s="326"/>
      <c r="K236" s="62"/>
    </row>
    <row r="237" spans="1:11" hidden="1" x14ac:dyDescent="0.25">
      <c r="A237" s="61" t="s">
        <v>460</v>
      </c>
      <c r="B237" s="14">
        <v>43558</v>
      </c>
      <c r="C237" s="13">
        <v>85</v>
      </c>
      <c r="D237" s="14" t="s">
        <v>4594</v>
      </c>
      <c r="E237" s="32" t="s">
        <v>483</v>
      </c>
      <c r="F237" s="4">
        <v>58222</v>
      </c>
      <c r="G237" s="86" t="s">
        <v>4595</v>
      </c>
      <c r="H237" s="211"/>
      <c r="I237" s="326"/>
      <c r="K237" s="62"/>
    </row>
    <row r="238" spans="1:11" hidden="1" x14ac:dyDescent="0.25">
      <c r="A238" s="61" t="s">
        <v>460</v>
      </c>
      <c r="B238" s="14">
        <v>43558</v>
      </c>
      <c r="C238" s="13">
        <v>86</v>
      </c>
      <c r="D238" s="14" t="s">
        <v>4633</v>
      </c>
      <c r="E238" s="32" t="s">
        <v>483</v>
      </c>
      <c r="F238" s="4">
        <v>47850</v>
      </c>
      <c r="G238" s="86" t="s">
        <v>4634</v>
      </c>
      <c r="H238" s="211"/>
      <c r="I238" s="326"/>
      <c r="K238" s="62"/>
    </row>
    <row r="239" spans="1:11" hidden="1" x14ac:dyDescent="0.25">
      <c r="A239" s="61" t="s">
        <v>460</v>
      </c>
      <c r="B239" s="14">
        <v>43558</v>
      </c>
      <c r="C239" s="13">
        <v>87</v>
      </c>
      <c r="D239" s="14" t="s">
        <v>4757</v>
      </c>
      <c r="E239" s="32" t="s">
        <v>483</v>
      </c>
      <c r="F239" s="4">
        <v>37325</v>
      </c>
      <c r="G239" s="86" t="s">
        <v>4758</v>
      </c>
      <c r="H239" s="211"/>
      <c r="I239" s="326"/>
      <c r="K239" s="62"/>
    </row>
    <row r="240" spans="1:11" hidden="1" x14ac:dyDescent="0.25">
      <c r="A240" s="61" t="s">
        <v>460</v>
      </c>
      <c r="B240" s="14">
        <v>43558</v>
      </c>
      <c r="C240" s="13">
        <v>88</v>
      </c>
      <c r="D240" s="14" t="s">
        <v>5279</v>
      </c>
      <c r="E240" s="32" t="s">
        <v>483</v>
      </c>
      <c r="F240" s="4">
        <v>50288</v>
      </c>
      <c r="G240" s="86" t="s">
        <v>5280</v>
      </c>
      <c r="H240" s="211"/>
      <c r="I240" s="326"/>
      <c r="K240" s="62"/>
    </row>
    <row r="241" spans="1:12" hidden="1" x14ac:dyDescent="0.25">
      <c r="A241" s="61" t="s">
        <v>460</v>
      </c>
      <c r="B241" s="14">
        <v>43558</v>
      </c>
      <c r="C241" s="13">
        <v>89</v>
      </c>
      <c r="D241" s="14" t="s">
        <v>5281</v>
      </c>
      <c r="E241" s="32" t="s">
        <v>483</v>
      </c>
      <c r="F241" s="4">
        <v>45360</v>
      </c>
      <c r="G241" s="86" t="s">
        <v>5282</v>
      </c>
      <c r="H241" s="211"/>
      <c r="I241" s="326"/>
      <c r="K241" s="62"/>
    </row>
    <row r="242" spans="1:12" ht="15" hidden="1" customHeight="1" x14ac:dyDescent="0.25">
      <c r="A242" s="32" t="s">
        <v>188</v>
      </c>
      <c r="B242" s="14">
        <v>43558</v>
      </c>
      <c r="C242" s="67">
        <v>90</v>
      </c>
      <c r="D242" s="32" t="s">
        <v>156</v>
      </c>
      <c r="E242" s="32" t="s">
        <v>483</v>
      </c>
      <c r="F242" s="4">
        <f>1100223.34-600000</f>
        <v>500223.34000000008</v>
      </c>
      <c r="G242" s="28" t="s">
        <v>5491</v>
      </c>
      <c r="H242" s="14">
        <v>43529</v>
      </c>
      <c r="I242" s="4" t="s">
        <v>362</v>
      </c>
      <c r="J242" s="166" t="s">
        <v>721</v>
      </c>
      <c r="K242" s="167"/>
      <c r="L242" s="35"/>
    </row>
    <row r="243" spans="1:12" ht="16.5" hidden="1" customHeight="1" x14ac:dyDescent="0.25">
      <c r="A243" s="13" t="s">
        <v>184</v>
      </c>
      <c r="B243" s="14">
        <v>43558</v>
      </c>
      <c r="C243" s="67">
        <v>410</v>
      </c>
      <c r="D243" s="32" t="s">
        <v>1359</v>
      </c>
      <c r="E243" s="32" t="s">
        <v>1121</v>
      </c>
      <c r="F243" s="208">
        <f>1153331.28-700000</f>
        <v>453331.28</v>
      </c>
      <c r="G243" s="25" t="s">
        <v>5793</v>
      </c>
      <c r="H243" s="212">
        <v>43525</v>
      </c>
      <c r="I243" s="208" t="s">
        <v>294</v>
      </c>
      <c r="J243" s="76" t="s">
        <v>366</v>
      </c>
      <c r="K243" s="260"/>
      <c r="L243" s="62"/>
    </row>
    <row r="244" spans="1:12" ht="15" hidden="1" customHeight="1" x14ac:dyDescent="0.25">
      <c r="A244" s="13" t="s">
        <v>184</v>
      </c>
      <c r="B244" s="14">
        <v>43558</v>
      </c>
      <c r="C244" s="13">
        <v>411</v>
      </c>
      <c r="D244" s="13" t="s">
        <v>348</v>
      </c>
      <c r="E244" s="32" t="s">
        <v>1121</v>
      </c>
      <c r="F244" s="4">
        <f>1388851.63-49499.92-700000</f>
        <v>639351.71</v>
      </c>
      <c r="G244" s="28" t="s">
        <v>4931</v>
      </c>
      <c r="H244" s="14">
        <v>43525</v>
      </c>
      <c r="I244" s="4" t="s">
        <v>1124</v>
      </c>
      <c r="J244" s="76" t="s">
        <v>366</v>
      </c>
    </row>
    <row r="245" spans="1:12" ht="15" hidden="1" customHeight="1" x14ac:dyDescent="0.25">
      <c r="A245" s="13" t="s">
        <v>184</v>
      </c>
      <c r="B245" s="14">
        <v>43558</v>
      </c>
      <c r="C245" s="13">
        <v>412</v>
      </c>
      <c r="D245" s="13" t="s">
        <v>348</v>
      </c>
      <c r="E245" s="32" t="s">
        <v>1121</v>
      </c>
      <c r="F245" s="4">
        <f>2571085.36-5871.4-300000-1500000</f>
        <v>765213.96</v>
      </c>
      <c r="G245" s="28" t="s">
        <v>1485</v>
      </c>
      <c r="H245" s="14">
        <v>43525</v>
      </c>
      <c r="I245" s="4" t="s">
        <v>309</v>
      </c>
      <c r="J245" s="76" t="s">
        <v>366</v>
      </c>
    </row>
    <row r="246" spans="1:12" ht="15" hidden="1" customHeight="1" x14ac:dyDescent="0.25">
      <c r="A246" s="13" t="s">
        <v>184</v>
      </c>
      <c r="B246" s="14">
        <v>43558</v>
      </c>
      <c r="C246" s="13">
        <v>413</v>
      </c>
      <c r="D246" s="13" t="s">
        <v>1533</v>
      </c>
      <c r="E246" s="32" t="s">
        <v>1121</v>
      </c>
      <c r="F246" s="4">
        <v>229500</v>
      </c>
      <c r="G246" s="28" t="s">
        <v>5801</v>
      </c>
      <c r="H246" s="14">
        <v>43544</v>
      </c>
      <c r="I246" s="4" t="s">
        <v>1535</v>
      </c>
      <c r="J246" s="125" t="s">
        <v>771</v>
      </c>
    </row>
    <row r="247" spans="1:12" hidden="1" x14ac:dyDescent="0.25">
      <c r="A247" s="13" t="s">
        <v>964</v>
      </c>
      <c r="B247" s="14">
        <v>43558</v>
      </c>
      <c r="C247" s="13">
        <v>414</v>
      </c>
      <c r="D247" s="13" t="s">
        <v>5530</v>
      </c>
      <c r="E247" s="32" t="s">
        <v>1121</v>
      </c>
      <c r="F247" s="4">
        <v>30000</v>
      </c>
      <c r="G247" s="28" t="s">
        <v>111</v>
      </c>
      <c r="H247" s="14">
        <v>43553</v>
      </c>
      <c r="I247" s="4" t="s">
        <v>6010</v>
      </c>
      <c r="J247" s="76"/>
    </row>
    <row r="248" spans="1:12" s="192" customFormat="1" hidden="1" x14ac:dyDescent="0.25">
      <c r="A248" s="147" t="s">
        <v>242</v>
      </c>
      <c r="B248" s="14">
        <v>43558</v>
      </c>
      <c r="C248" s="195">
        <v>415</v>
      </c>
      <c r="D248" s="149" t="s">
        <v>490</v>
      </c>
      <c r="E248" s="147" t="s">
        <v>1121</v>
      </c>
      <c r="F248" s="158">
        <v>906545.4</v>
      </c>
      <c r="G248" s="150" t="s">
        <v>5862</v>
      </c>
      <c r="H248" s="148">
        <v>43537</v>
      </c>
      <c r="I248" s="149" t="s">
        <v>143</v>
      </c>
      <c r="J248" s="193"/>
      <c r="K248" s="194"/>
      <c r="L248" s="190"/>
    </row>
    <row r="249" spans="1:12" s="192" customFormat="1" hidden="1" x14ac:dyDescent="0.25">
      <c r="A249" s="147" t="s">
        <v>242</v>
      </c>
      <c r="B249" s="14">
        <v>43558</v>
      </c>
      <c r="C249" s="195">
        <v>415</v>
      </c>
      <c r="D249" s="149" t="s">
        <v>490</v>
      </c>
      <c r="E249" s="147" t="s">
        <v>1121</v>
      </c>
      <c r="F249" s="158">
        <v>841942.16</v>
      </c>
      <c r="G249" s="150" t="s">
        <v>5858</v>
      </c>
      <c r="H249" s="148">
        <v>43537</v>
      </c>
      <c r="I249" s="149" t="s">
        <v>143</v>
      </c>
      <c r="J249" s="193"/>
      <c r="K249" s="194"/>
      <c r="L249" s="190"/>
    </row>
    <row r="250" spans="1:12" s="192" customFormat="1" hidden="1" x14ac:dyDescent="0.25">
      <c r="A250" s="147" t="s">
        <v>242</v>
      </c>
      <c r="B250" s="14">
        <v>43558</v>
      </c>
      <c r="C250" s="195">
        <v>416</v>
      </c>
      <c r="D250" s="149" t="s">
        <v>490</v>
      </c>
      <c r="E250" s="147" t="s">
        <v>1121</v>
      </c>
      <c r="F250" s="158">
        <v>198875.6</v>
      </c>
      <c r="G250" s="150" t="s">
        <v>5863</v>
      </c>
      <c r="H250" s="148">
        <v>43537</v>
      </c>
      <c r="I250" s="149" t="s">
        <v>143</v>
      </c>
      <c r="J250" s="193"/>
      <c r="K250" s="194"/>
      <c r="L250" s="190"/>
    </row>
    <row r="251" spans="1:12" s="192" customFormat="1" hidden="1" x14ac:dyDescent="0.25">
      <c r="A251" s="147" t="s">
        <v>242</v>
      </c>
      <c r="B251" s="14">
        <v>43558</v>
      </c>
      <c r="C251" s="195">
        <v>417</v>
      </c>
      <c r="D251" s="149" t="s">
        <v>490</v>
      </c>
      <c r="E251" s="147" t="s">
        <v>1121</v>
      </c>
      <c r="F251" s="158">
        <v>563950.04</v>
      </c>
      <c r="G251" s="150" t="s">
        <v>5861</v>
      </c>
      <c r="H251" s="148">
        <v>43543</v>
      </c>
      <c r="I251" s="149" t="s">
        <v>143</v>
      </c>
      <c r="J251" s="193"/>
      <c r="K251" s="194"/>
      <c r="L251" s="190"/>
    </row>
    <row r="252" spans="1:12" s="192" customFormat="1" hidden="1" x14ac:dyDescent="0.25">
      <c r="A252" s="147" t="s">
        <v>242</v>
      </c>
      <c r="B252" s="14">
        <v>43558</v>
      </c>
      <c r="C252" s="195">
        <v>417</v>
      </c>
      <c r="D252" s="149" t="s">
        <v>490</v>
      </c>
      <c r="E252" s="147" t="s">
        <v>1121</v>
      </c>
      <c r="F252" s="158">
        <v>254689.56</v>
      </c>
      <c r="G252" s="150" t="s">
        <v>5859</v>
      </c>
      <c r="H252" s="148">
        <v>43543</v>
      </c>
      <c r="I252" s="149" t="s">
        <v>143</v>
      </c>
      <c r="J252" s="193"/>
      <c r="K252" s="194"/>
      <c r="L252" s="190"/>
    </row>
    <row r="253" spans="1:12" s="192" customFormat="1" hidden="1" x14ac:dyDescent="0.25">
      <c r="A253" s="147" t="s">
        <v>242</v>
      </c>
      <c r="B253" s="14">
        <v>43558</v>
      </c>
      <c r="C253" s="187">
        <v>418</v>
      </c>
      <c r="D253" s="149" t="s">
        <v>388</v>
      </c>
      <c r="E253" s="147" t="s">
        <v>1121</v>
      </c>
      <c r="F253" s="158">
        <v>121802.72</v>
      </c>
      <c r="G253" s="150" t="s">
        <v>2932</v>
      </c>
      <c r="H253" s="148">
        <v>43551</v>
      </c>
      <c r="I253" s="149" t="s">
        <v>143</v>
      </c>
      <c r="J253" s="193"/>
      <c r="K253" s="194"/>
      <c r="L253" s="190"/>
    </row>
    <row r="254" spans="1:12" s="192" customFormat="1" hidden="1" x14ac:dyDescent="0.25">
      <c r="A254" s="147" t="s">
        <v>242</v>
      </c>
      <c r="B254" s="14">
        <v>43558</v>
      </c>
      <c r="C254" s="187">
        <v>418</v>
      </c>
      <c r="D254" s="149" t="s">
        <v>388</v>
      </c>
      <c r="E254" s="147" t="s">
        <v>1121</v>
      </c>
      <c r="F254" s="158">
        <v>92856.92</v>
      </c>
      <c r="G254" s="150" t="s">
        <v>4089</v>
      </c>
      <c r="H254" s="148">
        <v>43551</v>
      </c>
      <c r="I254" s="149" t="s">
        <v>143</v>
      </c>
      <c r="J254" s="193"/>
      <c r="K254" s="194"/>
      <c r="L254" s="190"/>
    </row>
    <row r="255" spans="1:12" s="192" customFormat="1" hidden="1" x14ac:dyDescent="0.25">
      <c r="A255" s="147" t="s">
        <v>242</v>
      </c>
      <c r="B255" s="14">
        <v>43558</v>
      </c>
      <c r="C255" s="187">
        <v>418</v>
      </c>
      <c r="D255" s="149" t="s">
        <v>388</v>
      </c>
      <c r="E255" s="147" t="s">
        <v>1121</v>
      </c>
      <c r="F255" s="158">
        <v>68628</v>
      </c>
      <c r="G255" s="150" t="s">
        <v>113</v>
      </c>
      <c r="H255" s="148">
        <v>43551</v>
      </c>
      <c r="I255" s="149" t="s">
        <v>143</v>
      </c>
      <c r="J255" s="193"/>
      <c r="K255" s="194"/>
      <c r="L255" s="190"/>
    </row>
    <row r="256" spans="1:12" s="192" customFormat="1" ht="14.85" hidden="1" customHeight="1" x14ac:dyDescent="0.25">
      <c r="A256" s="147" t="s">
        <v>242</v>
      </c>
      <c r="B256" s="14">
        <v>43558</v>
      </c>
      <c r="C256" s="195">
        <v>419</v>
      </c>
      <c r="D256" s="149" t="s">
        <v>840</v>
      </c>
      <c r="E256" s="147" t="s">
        <v>1121</v>
      </c>
      <c r="F256" s="158">
        <v>72661.33</v>
      </c>
      <c r="G256" s="150" t="s">
        <v>5459</v>
      </c>
      <c r="H256" s="148">
        <v>43537</v>
      </c>
      <c r="I256" s="149" t="s">
        <v>143</v>
      </c>
      <c r="J256" s="193"/>
      <c r="K256" s="194"/>
      <c r="L256" s="190"/>
    </row>
    <row r="257" spans="1:12" s="192" customFormat="1" hidden="1" x14ac:dyDescent="0.25">
      <c r="A257" s="147" t="s">
        <v>242</v>
      </c>
      <c r="B257" s="14">
        <v>43558</v>
      </c>
      <c r="C257" s="195">
        <v>420</v>
      </c>
      <c r="D257" s="149" t="s">
        <v>784</v>
      </c>
      <c r="E257" s="147" t="s">
        <v>1121</v>
      </c>
      <c r="F257" s="158">
        <v>449650.56</v>
      </c>
      <c r="G257" s="150" t="s">
        <v>1347</v>
      </c>
      <c r="H257" s="148">
        <v>43551</v>
      </c>
      <c r="I257" s="149" t="s">
        <v>143</v>
      </c>
      <c r="J257" s="193"/>
      <c r="K257" s="194"/>
      <c r="L257" s="190"/>
    </row>
    <row r="258" spans="1:12" s="192" customFormat="1" hidden="1" x14ac:dyDescent="0.25">
      <c r="A258" s="147" t="s">
        <v>242</v>
      </c>
      <c r="B258" s="14">
        <v>43558</v>
      </c>
      <c r="C258" s="195">
        <v>420</v>
      </c>
      <c r="D258" s="149" t="s">
        <v>784</v>
      </c>
      <c r="E258" s="147" t="s">
        <v>1121</v>
      </c>
      <c r="F258" s="158">
        <v>95238</v>
      </c>
      <c r="G258" s="150" t="s">
        <v>84</v>
      </c>
      <c r="H258" s="148">
        <v>43551</v>
      </c>
      <c r="I258" s="149" t="s">
        <v>143</v>
      </c>
      <c r="J258" s="193"/>
      <c r="K258" s="194"/>
      <c r="L258" s="190"/>
    </row>
    <row r="259" spans="1:12" s="192" customFormat="1" hidden="1" x14ac:dyDescent="0.25">
      <c r="A259" s="147" t="s">
        <v>242</v>
      </c>
      <c r="B259" s="14">
        <v>43558</v>
      </c>
      <c r="C259" s="195">
        <v>420</v>
      </c>
      <c r="D259" s="149" t="s">
        <v>784</v>
      </c>
      <c r="E259" s="147" t="s">
        <v>1121</v>
      </c>
      <c r="F259" s="158">
        <v>187912.8</v>
      </c>
      <c r="G259" s="150" t="s">
        <v>1152</v>
      </c>
      <c r="H259" s="148">
        <v>43551</v>
      </c>
      <c r="I259" s="149" t="s">
        <v>143</v>
      </c>
      <c r="J259" s="193"/>
      <c r="K259" s="194"/>
      <c r="L259" s="190"/>
    </row>
    <row r="260" spans="1:12" s="192" customFormat="1" hidden="1" x14ac:dyDescent="0.25">
      <c r="A260" s="147" t="s">
        <v>242</v>
      </c>
      <c r="B260" s="14">
        <v>43558</v>
      </c>
      <c r="C260" s="187">
        <v>421</v>
      </c>
      <c r="D260" s="149" t="s">
        <v>291</v>
      </c>
      <c r="E260" s="147" t="s">
        <v>1121</v>
      </c>
      <c r="F260" s="158">
        <v>69048</v>
      </c>
      <c r="G260" s="150" t="s">
        <v>42</v>
      </c>
      <c r="H260" s="148">
        <v>43551</v>
      </c>
      <c r="I260" s="149" t="s">
        <v>143</v>
      </c>
      <c r="J260" s="193"/>
      <c r="K260" s="194"/>
      <c r="L260" s="190"/>
    </row>
    <row r="261" spans="1:12" s="192" customFormat="1" hidden="1" x14ac:dyDescent="0.25">
      <c r="A261" s="147" t="s">
        <v>242</v>
      </c>
      <c r="B261" s="14">
        <v>43558</v>
      </c>
      <c r="C261" s="187">
        <v>421</v>
      </c>
      <c r="D261" s="149" t="s">
        <v>291</v>
      </c>
      <c r="E261" s="147" t="s">
        <v>1121</v>
      </c>
      <c r="F261" s="158">
        <v>91145.25</v>
      </c>
      <c r="G261" s="150" t="s">
        <v>46</v>
      </c>
      <c r="H261" s="148">
        <v>43551</v>
      </c>
      <c r="I261" s="149" t="s">
        <v>143</v>
      </c>
      <c r="J261" s="193"/>
      <c r="K261" s="194"/>
      <c r="L261" s="190"/>
    </row>
    <row r="262" spans="1:12" s="192" customFormat="1" ht="14.85" hidden="1" customHeight="1" x14ac:dyDescent="0.25">
      <c r="A262" s="147" t="s">
        <v>242</v>
      </c>
      <c r="B262" s="14">
        <v>43558</v>
      </c>
      <c r="C262" s="195">
        <v>422</v>
      </c>
      <c r="D262" s="149" t="s">
        <v>1816</v>
      </c>
      <c r="E262" s="147" t="s">
        <v>1121</v>
      </c>
      <c r="F262" s="158">
        <v>72381.75</v>
      </c>
      <c r="G262" s="150" t="s">
        <v>3852</v>
      </c>
      <c r="H262" s="148">
        <v>43537</v>
      </c>
      <c r="I262" s="149" t="s">
        <v>143</v>
      </c>
      <c r="J262" s="193"/>
      <c r="K262" s="194"/>
      <c r="L262" s="190"/>
    </row>
    <row r="263" spans="1:12" s="192" customFormat="1" hidden="1" x14ac:dyDescent="0.25">
      <c r="A263" s="147" t="s">
        <v>242</v>
      </c>
      <c r="B263" s="14">
        <v>43558</v>
      </c>
      <c r="C263" s="187">
        <v>423</v>
      </c>
      <c r="D263" s="149" t="s">
        <v>2426</v>
      </c>
      <c r="E263" s="147" t="s">
        <v>1121</v>
      </c>
      <c r="F263" s="158">
        <v>128967.3</v>
      </c>
      <c r="G263" s="150" t="s">
        <v>3273</v>
      </c>
      <c r="H263" s="148">
        <v>43537</v>
      </c>
      <c r="I263" s="149" t="s">
        <v>143</v>
      </c>
      <c r="J263" s="193"/>
      <c r="K263" s="194"/>
      <c r="L263" s="190"/>
    </row>
    <row r="264" spans="1:12" s="192" customFormat="1" ht="14.85" hidden="1" customHeight="1" x14ac:dyDescent="0.25">
      <c r="A264" s="147" t="s">
        <v>242</v>
      </c>
      <c r="B264" s="164">
        <v>43558</v>
      </c>
      <c r="C264" s="195">
        <v>734</v>
      </c>
      <c r="D264" s="149" t="s">
        <v>490</v>
      </c>
      <c r="E264" s="147" t="s">
        <v>140</v>
      </c>
      <c r="F264" s="158">
        <v>1279656.45</v>
      </c>
      <c r="G264" s="150" t="s">
        <v>5851</v>
      </c>
      <c r="H264" s="148">
        <v>43537</v>
      </c>
      <c r="I264" s="149" t="s">
        <v>143</v>
      </c>
      <c r="J264" s="193"/>
      <c r="K264" s="194"/>
      <c r="L264" s="190"/>
    </row>
    <row r="265" spans="1:12" s="192" customFormat="1" ht="14.85" hidden="1" customHeight="1" x14ac:dyDescent="0.25">
      <c r="A265" s="147" t="s">
        <v>242</v>
      </c>
      <c r="B265" s="164">
        <v>43558</v>
      </c>
      <c r="C265" s="195">
        <v>734</v>
      </c>
      <c r="D265" s="149" t="s">
        <v>490</v>
      </c>
      <c r="E265" s="147" t="s">
        <v>140</v>
      </c>
      <c r="F265" s="158">
        <v>212814</v>
      </c>
      <c r="G265" s="150" t="s">
        <v>5853</v>
      </c>
      <c r="H265" s="148">
        <v>43543</v>
      </c>
      <c r="I265" s="149" t="s">
        <v>143</v>
      </c>
      <c r="J265" s="193"/>
      <c r="K265" s="194"/>
      <c r="L265" s="190"/>
    </row>
    <row r="266" spans="1:12" s="192" customFormat="1" hidden="1" x14ac:dyDescent="0.25">
      <c r="A266" s="147" t="s">
        <v>242</v>
      </c>
      <c r="B266" s="164">
        <v>43558</v>
      </c>
      <c r="C266" s="195">
        <v>735</v>
      </c>
      <c r="D266" s="233" t="s">
        <v>784</v>
      </c>
      <c r="E266" s="147" t="s">
        <v>140</v>
      </c>
      <c r="F266" s="158">
        <v>633549.15</v>
      </c>
      <c r="G266" s="150" t="s">
        <v>27</v>
      </c>
      <c r="H266" s="148">
        <v>43551</v>
      </c>
      <c r="I266" s="233" t="s">
        <v>143</v>
      </c>
      <c r="J266" s="193"/>
      <c r="K266" s="194"/>
      <c r="L266" s="190"/>
    </row>
    <row r="267" spans="1:12" s="192" customFormat="1" hidden="1" x14ac:dyDescent="0.25">
      <c r="A267" s="147" t="s">
        <v>242</v>
      </c>
      <c r="B267" s="164">
        <v>43558</v>
      </c>
      <c r="C267" s="195">
        <v>735</v>
      </c>
      <c r="D267" s="233" t="s">
        <v>784</v>
      </c>
      <c r="E267" s="147" t="s">
        <v>140</v>
      </c>
      <c r="F267" s="158">
        <v>1752261.6</v>
      </c>
      <c r="G267" s="150" t="s">
        <v>145</v>
      </c>
      <c r="H267" s="148">
        <v>43551</v>
      </c>
      <c r="I267" s="233" t="s">
        <v>143</v>
      </c>
      <c r="J267" s="193"/>
      <c r="K267" s="194"/>
      <c r="L267" s="190"/>
    </row>
    <row r="268" spans="1:12" s="192" customFormat="1" hidden="1" x14ac:dyDescent="0.25">
      <c r="A268" s="147" t="s">
        <v>242</v>
      </c>
      <c r="B268" s="164">
        <v>43558</v>
      </c>
      <c r="C268" s="187">
        <v>736</v>
      </c>
      <c r="D268" s="149" t="s">
        <v>291</v>
      </c>
      <c r="E268" s="147" t="s">
        <v>140</v>
      </c>
      <c r="F268" s="158">
        <v>89628</v>
      </c>
      <c r="G268" s="150" t="s">
        <v>299</v>
      </c>
      <c r="H268" s="148">
        <v>43551</v>
      </c>
      <c r="I268" s="149" t="s">
        <v>143</v>
      </c>
      <c r="J268" s="193"/>
      <c r="K268" s="194"/>
      <c r="L268" s="190"/>
    </row>
    <row r="269" spans="1:12" s="192" customFormat="1" hidden="1" x14ac:dyDescent="0.25">
      <c r="A269" s="147" t="s">
        <v>242</v>
      </c>
      <c r="B269" s="164">
        <v>43558</v>
      </c>
      <c r="C269" s="187">
        <v>737</v>
      </c>
      <c r="D269" s="149" t="s">
        <v>2426</v>
      </c>
      <c r="E269" s="147" t="s">
        <v>140</v>
      </c>
      <c r="F269" s="158">
        <v>157145.07999999999</v>
      </c>
      <c r="G269" s="150" t="s">
        <v>1158</v>
      </c>
      <c r="H269" s="148">
        <v>43537</v>
      </c>
      <c r="I269" s="149" t="s">
        <v>143</v>
      </c>
      <c r="J269" s="193"/>
      <c r="K269" s="194"/>
      <c r="L269" s="190"/>
    </row>
    <row r="270" spans="1:12" ht="13.95" hidden="1" customHeight="1" x14ac:dyDescent="0.25">
      <c r="A270" s="68" t="s">
        <v>638</v>
      </c>
      <c r="B270" s="14">
        <v>43558</v>
      </c>
      <c r="C270" s="67">
        <v>360</v>
      </c>
      <c r="D270" s="32" t="s">
        <v>595</v>
      </c>
      <c r="E270" s="32" t="s">
        <v>547</v>
      </c>
      <c r="F270" s="4">
        <v>600000</v>
      </c>
      <c r="G270" s="28" t="s">
        <v>5596</v>
      </c>
      <c r="H270" s="14">
        <v>43524</v>
      </c>
      <c r="I270" s="41" t="s">
        <v>949</v>
      </c>
      <c r="J270" s="166" t="s">
        <v>721</v>
      </c>
      <c r="K270" s="167"/>
      <c r="L270" s="35"/>
    </row>
    <row r="271" spans="1:12" ht="13.95" hidden="1" customHeight="1" x14ac:dyDescent="0.25">
      <c r="A271" s="32" t="s">
        <v>35</v>
      </c>
      <c r="B271" s="14">
        <v>43558</v>
      </c>
      <c r="C271" s="13">
        <v>390</v>
      </c>
      <c r="D271" s="32" t="s">
        <v>39</v>
      </c>
      <c r="E271" s="32" t="s">
        <v>963</v>
      </c>
      <c r="F271" s="4">
        <v>5000000</v>
      </c>
      <c r="G271" s="86" t="s">
        <v>1019</v>
      </c>
      <c r="H271" s="211"/>
      <c r="I271" s="41" t="s">
        <v>97</v>
      </c>
      <c r="J271" s="21"/>
      <c r="K271" s="228"/>
    </row>
    <row r="272" spans="1:12" ht="15.6" hidden="1" customHeight="1" x14ac:dyDescent="0.25">
      <c r="A272" s="68" t="s">
        <v>261</v>
      </c>
      <c r="B272" s="14">
        <v>43558</v>
      </c>
      <c r="C272" s="13">
        <v>391</v>
      </c>
      <c r="D272" s="32" t="s">
        <v>506</v>
      </c>
      <c r="E272" s="32" t="s">
        <v>963</v>
      </c>
      <c r="F272" s="4">
        <v>300000</v>
      </c>
      <c r="G272" s="86" t="s">
        <v>1021</v>
      </c>
      <c r="H272" s="211"/>
      <c r="I272" s="84" t="s">
        <v>220</v>
      </c>
      <c r="J272" s="21"/>
      <c r="K272" s="228"/>
    </row>
    <row r="273" spans="1:256" s="115" customFormat="1" ht="15" hidden="1" customHeight="1" x14ac:dyDescent="0.25">
      <c r="A273" s="13" t="s">
        <v>35</v>
      </c>
      <c r="B273" s="14">
        <v>43558</v>
      </c>
      <c r="C273" s="13">
        <v>392</v>
      </c>
      <c r="D273" s="13" t="s">
        <v>755</v>
      </c>
      <c r="E273" s="13" t="s">
        <v>963</v>
      </c>
      <c r="F273" s="37">
        <v>540000</v>
      </c>
      <c r="G273" s="265" t="s">
        <v>1017</v>
      </c>
      <c r="H273" s="126"/>
      <c r="I273" s="41" t="s">
        <v>229</v>
      </c>
      <c r="J273" s="258"/>
      <c r="K273" s="116"/>
      <c r="L273" s="116"/>
      <c r="M273" s="116"/>
      <c r="N273" s="116"/>
      <c r="O273" s="117"/>
      <c r="P273" s="117"/>
      <c r="Q273" s="117"/>
      <c r="R273" s="117"/>
      <c r="S273" s="117"/>
    </row>
    <row r="274" spans="1:256" s="115" customFormat="1" ht="15" hidden="1" customHeight="1" x14ac:dyDescent="0.25">
      <c r="A274" s="13" t="s">
        <v>35</v>
      </c>
      <c r="B274" s="14">
        <v>43558</v>
      </c>
      <c r="C274" s="13">
        <v>393</v>
      </c>
      <c r="D274" s="13" t="s">
        <v>755</v>
      </c>
      <c r="E274" s="13" t="s">
        <v>963</v>
      </c>
      <c r="F274" s="37">
        <v>1460000</v>
      </c>
      <c r="G274" s="265" t="s">
        <v>1016</v>
      </c>
      <c r="H274" s="126"/>
      <c r="I274" s="41" t="s">
        <v>229</v>
      </c>
      <c r="J274" s="258"/>
      <c r="K274" s="116"/>
      <c r="L274" s="116"/>
      <c r="M274" s="116"/>
      <c r="N274" s="116"/>
      <c r="O274" s="117"/>
      <c r="P274" s="117"/>
      <c r="Q274" s="117"/>
      <c r="R274" s="117"/>
      <c r="S274" s="117"/>
    </row>
    <row r="275" spans="1:256" s="97" customFormat="1" ht="14.1" hidden="1" customHeight="1" x14ac:dyDescent="0.25">
      <c r="A275" s="211" t="s">
        <v>956</v>
      </c>
      <c r="B275" s="14">
        <v>43558</v>
      </c>
      <c r="C275" s="13">
        <v>207</v>
      </c>
      <c r="D275" s="218" t="s">
        <v>590</v>
      </c>
      <c r="E275" s="218" t="s">
        <v>481</v>
      </c>
      <c r="F275" s="4">
        <v>1000000</v>
      </c>
      <c r="G275" s="28" t="s">
        <v>5771</v>
      </c>
      <c r="H275" s="14">
        <v>43347</v>
      </c>
      <c r="I275" s="32" t="s">
        <v>159</v>
      </c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0"/>
      <c r="EU275" s="50"/>
      <c r="EV275" s="50"/>
      <c r="EW275" s="50"/>
      <c r="EX275" s="50"/>
      <c r="EY275" s="50"/>
      <c r="EZ275" s="50"/>
      <c r="FA275" s="50"/>
      <c r="FB275" s="50"/>
      <c r="FC275" s="50"/>
      <c r="FD275" s="50"/>
      <c r="FE275" s="50"/>
      <c r="FF275" s="50"/>
      <c r="FG275" s="50"/>
      <c r="FH275" s="50"/>
      <c r="FI275" s="50"/>
      <c r="FJ275" s="50"/>
      <c r="FK275" s="50"/>
      <c r="FL275" s="50"/>
      <c r="FM275" s="50"/>
      <c r="FN275" s="50"/>
      <c r="FO275" s="50"/>
      <c r="FP275" s="50"/>
      <c r="FQ275" s="50"/>
      <c r="FR275" s="50"/>
      <c r="FS275" s="50"/>
      <c r="FT275" s="50"/>
      <c r="FU275" s="50"/>
      <c r="FV275" s="50"/>
      <c r="FW275" s="50"/>
      <c r="FX275" s="50"/>
      <c r="FY275" s="50"/>
      <c r="FZ275" s="50"/>
      <c r="GA275" s="50"/>
      <c r="GB275" s="50"/>
      <c r="GC275" s="50"/>
      <c r="GD275" s="50"/>
      <c r="GE275" s="50"/>
      <c r="GF275" s="50"/>
      <c r="GG275" s="50"/>
      <c r="GH275" s="50"/>
      <c r="GI275" s="50"/>
      <c r="GJ275" s="50"/>
      <c r="GK275" s="50"/>
      <c r="GL275" s="50"/>
      <c r="GM275" s="50"/>
      <c r="GN275" s="50"/>
      <c r="GO275" s="50"/>
      <c r="GP275" s="50"/>
      <c r="GQ275" s="50"/>
      <c r="GR275" s="50"/>
      <c r="GS275" s="50"/>
      <c r="GT275" s="50"/>
      <c r="GU275" s="50"/>
      <c r="GV275" s="50"/>
      <c r="GW275" s="50"/>
      <c r="GX275" s="50"/>
      <c r="GY275" s="50"/>
      <c r="GZ275" s="50"/>
      <c r="HA275" s="50"/>
      <c r="HB275" s="50"/>
      <c r="HC275" s="50"/>
      <c r="HD275" s="50"/>
      <c r="HE275" s="50"/>
      <c r="HF275" s="50"/>
      <c r="HG275" s="50"/>
      <c r="HH275" s="50"/>
      <c r="HI275" s="50"/>
      <c r="HJ275" s="50"/>
      <c r="HK275" s="50"/>
      <c r="HL275" s="50"/>
      <c r="HM275" s="50"/>
      <c r="HN275" s="50"/>
      <c r="HO275" s="50"/>
      <c r="HP275" s="50"/>
      <c r="HQ275" s="50"/>
      <c r="HR275" s="50"/>
      <c r="HS275" s="50"/>
      <c r="HT275" s="50"/>
      <c r="HU275" s="50"/>
      <c r="HV275" s="50"/>
      <c r="HW275" s="50"/>
      <c r="HX275" s="50"/>
      <c r="HY275" s="50"/>
      <c r="HZ275" s="50"/>
      <c r="IA275" s="50"/>
      <c r="IB275" s="50"/>
      <c r="IC275" s="50"/>
      <c r="ID275" s="50"/>
      <c r="IE275" s="50"/>
      <c r="IF275" s="50"/>
      <c r="IG275" s="50"/>
      <c r="IH275" s="50"/>
      <c r="II275" s="50"/>
      <c r="IJ275" s="50"/>
      <c r="IK275" s="50"/>
      <c r="IL275" s="50"/>
      <c r="IM275" s="50"/>
      <c r="IN275" s="50"/>
      <c r="IO275" s="50"/>
      <c r="IP275" s="50"/>
      <c r="IQ275" s="50"/>
      <c r="IR275" s="50"/>
      <c r="IS275" s="50"/>
      <c r="IT275" s="50"/>
      <c r="IU275" s="50"/>
      <c r="IV275" s="50"/>
    </row>
    <row r="276" spans="1:256" s="97" customFormat="1" hidden="1" x14ac:dyDescent="0.25">
      <c r="A276" s="32" t="s">
        <v>956</v>
      </c>
      <c r="B276" s="14">
        <v>43558</v>
      </c>
      <c r="C276" s="13">
        <v>208</v>
      </c>
      <c r="D276" s="13" t="s">
        <v>740</v>
      </c>
      <c r="E276" s="13" t="s">
        <v>481</v>
      </c>
      <c r="F276" s="4">
        <v>44650</v>
      </c>
      <c r="G276" s="28" t="s">
        <v>4335</v>
      </c>
      <c r="H276" s="14">
        <v>43487</v>
      </c>
      <c r="I276" s="4" t="s">
        <v>4336</v>
      </c>
      <c r="J276" s="133"/>
      <c r="K276" s="22"/>
      <c r="L276" s="134"/>
    </row>
    <row r="277" spans="1:256" s="97" customFormat="1" hidden="1" x14ac:dyDescent="0.25">
      <c r="A277" s="61" t="s">
        <v>442</v>
      </c>
      <c r="B277" s="14">
        <v>43558</v>
      </c>
      <c r="C277" s="13">
        <v>601</v>
      </c>
      <c r="D277" s="13" t="s">
        <v>2697</v>
      </c>
      <c r="E277" s="13" t="s">
        <v>62</v>
      </c>
      <c r="F277" s="4">
        <v>140000</v>
      </c>
      <c r="G277" s="28" t="s">
        <v>5961</v>
      </c>
      <c r="H277" s="14">
        <v>43544</v>
      </c>
      <c r="I277" s="4" t="s">
        <v>1244</v>
      </c>
      <c r="J277" s="133"/>
      <c r="K277" s="22"/>
      <c r="L277" s="134"/>
    </row>
    <row r="278" spans="1:256" s="97" customFormat="1" hidden="1" x14ac:dyDescent="0.25">
      <c r="A278" s="61" t="s">
        <v>91</v>
      </c>
      <c r="B278" s="14">
        <v>43558</v>
      </c>
      <c r="C278" s="13">
        <v>608</v>
      </c>
      <c r="D278" s="13" t="s">
        <v>157</v>
      </c>
      <c r="E278" s="13" t="s">
        <v>62</v>
      </c>
      <c r="F278" s="37">
        <v>35237.279999999999</v>
      </c>
      <c r="G278" s="29" t="s">
        <v>5385</v>
      </c>
      <c r="H278" s="14">
        <v>43535</v>
      </c>
      <c r="I278" s="4" t="s">
        <v>899</v>
      </c>
      <c r="J278" s="133"/>
      <c r="K278" s="22"/>
      <c r="L278" s="134"/>
    </row>
    <row r="279" spans="1:256" s="97" customFormat="1" hidden="1" x14ac:dyDescent="0.25">
      <c r="A279" s="61" t="s">
        <v>55</v>
      </c>
      <c r="B279" s="14">
        <v>43558</v>
      </c>
      <c r="C279" s="13">
        <v>615</v>
      </c>
      <c r="D279" s="13" t="s">
        <v>740</v>
      </c>
      <c r="E279" s="13" t="s">
        <v>62</v>
      </c>
      <c r="F279" s="37">
        <v>173000</v>
      </c>
      <c r="G279" s="29" t="s">
        <v>4906</v>
      </c>
      <c r="H279" s="14">
        <v>43495</v>
      </c>
      <c r="I279" s="4" t="s">
        <v>4902</v>
      </c>
      <c r="J279" s="133"/>
      <c r="K279" s="22"/>
      <c r="L279" s="134"/>
    </row>
    <row r="280" spans="1:256" s="97" customFormat="1" hidden="1" x14ac:dyDescent="0.25">
      <c r="A280" s="61" t="s">
        <v>92</v>
      </c>
      <c r="B280" s="14">
        <v>43558</v>
      </c>
      <c r="C280" s="13">
        <v>615</v>
      </c>
      <c r="D280" s="13" t="s">
        <v>740</v>
      </c>
      <c r="E280" s="13" t="s">
        <v>62</v>
      </c>
      <c r="F280" s="37">
        <v>129200</v>
      </c>
      <c r="G280" s="29" t="s">
        <v>4907</v>
      </c>
      <c r="H280" s="14">
        <v>43502</v>
      </c>
      <c r="I280" s="4" t="s">
        <v>245</v>
      </c>
      <c r="J280" s="133"/>
      <c r="K280" s="22"/>
      <c r="L280" s="134"/>
    </row>
    <row r="281" spans="1:256" s="97" customFormat="1" hidden="1" x14ac:dyDescent="0.25">
      <c r="A281" s="61" t="s">
        <v>442</v>
      </c>
      <c r="B281" s="14">
        <v>43558</v>
      </c>
      <c r="C281" s="13">
        <v>602</v>
      </c>
      <c r="D281" s="13" t="s">
        <v>589</v>
      </c>
      <c r="E281" s="13" t="s">
        <v>62</v>
      </c>
      <c r="F281" s="37">
        <v>126000</v>
      </c>
      <c r="G281" s="29" t="s">
        <v>4349</v>
      </c>
      <c r="H281" s="14">
        <v>43514</v>
      </c>
      <c r="I281" s="4" t="s">
        <v>900</v>
      </c>
      <c r="J281" s="133"/>
      <c r="K281" s="22"/>
      <c r="L281" s="134"/>
    </row>
    <row r="282" spans="1:256" s="97" customFormat="1" hidden="1" x14ac:dyDescent="0.25">
      <c r="A282" s="61" t="s">
        <v>442</v>
      </c>
      <c r="B282" s="14">
        <v>43558</v>
      </c>
      <c r="C282" s="13">
        <v>603</v>
      </c>
      <c r="D282" s="13" t="s">
        <v>4936</v>
      </c>
      <c r="E282" s="13" t="s">
        <v>62</v>
      </c>
      <c r="F282" s="37">
        <v>71196.78</v>
      </c>
      <c r="G282" s="29" t="s">
        <v>4939</v>
      </c>
      <c r="H282" s="14">
        <v>43530</v>
      </c>
      <c r="I282" s="4" t="s">
        <v>572</v>
      </c>
      <c r="J282" s="133"/>
      <c r="K282" s="22"/>
      <c r="L282" s="134"/>
    </row>
    <row r="283" spans="1:256" s="97" customFormat="1" hidden="1" x14ac:dyDescent="0.25">
      <c r="A283" s="32" t="s">
        <v>442</v>
      </c>
      <c r="B283" s="14">
        <v>43558</v>
      </c>
      <c r="C283" s="13">
        <v>608</v>
      </c>
      <c r="D283" s="13" t="s">
        <v>157</v>
      </c>
      <c r="E283" s="13" t="s">
        <v>62</v>
      </c>
      <c r="F283" s="4">
        <v>27871</v>
      </c>
      <c r="G283" s="28" t="s">
        <v>4933</v>
      </c>
      <c r="H283" s="14">
        <v>43524</v>
      </c>
      <c r="I283" s="4" t="s">
        <v>4934</v>
      </c>
      <c r="J283" s="133"/>
      <c r="K283" s="22"/>
      <c r="L283" s="134"/>
    </row>
    <row r="284" spans="1:256" s="97" customFormat="1" hidden="1" x14ac:dyDescent="0.25">
      <c r="A284" s="61" t="s">
        <v>442</v>
      </c>
      <c r="B284" s="14">
        <v>43558</v>
      </c>
      <c r="C284" s="13">
        <v>607</v>
      </c>
      <c r="D284" s="13" t="s">
        <v>516</v>
      </c>
      <c r="E284" s="13" t="s">
        <v>62</v>
      </c>
      <c r="F284" s="37">
        <v>4937.2</v>
      </c>
      <c r="G284" s="29" t="s">
        <v>5651</v>
      </c>
      <c r="H284" s="14">
        <v>43531</v>
      </c>
      <c r="I284" s="4" t="s">
        <v>5652</v>
      </c>
      <c r="J284" s="133"/>
      <c r="K284" s="22"/>
      <c r="L284" s="134"/>
    </row>
    <row r="285" spans="1:256" s="97" customFormat="1" hidden="1" x14ac:dyDescent="0.25">
      <c r="A285" s="32" t="s">
        <v>92</v>
      </c>
      <c r="B285" s="14">
        <v>43558</v>
      </c>
      <c r="C285" s="13">
        <v>607</v>
      </c>
      <c r="D285" s="13" t="s">
        <v>516</v>
      </c>
      <c r="E285" s="13" t="s">
        <v>62</v>
      </c>
      <c r="F285" s="4">
        <v>26806.400000000001</v>
      </c>
      <c r="G285" s="28" t="s">
        <v>3890</v>
      </c>
      <c r="H285" s="14">
        <v>43525</v>
      </c>
      <c r="I285" s="4" t="s">
        <v>4930</v>
      </c>
      <c r="J285" s="133"/>
      <c r="K285" s="22"/>
      <c r="L285" s="134"/>
    </row>
    <row r="286" spans="1:256" hidden="1" x14ac:dyDescent="0.25">
      <c r="A286" s="61" t="s">
        <v>358</v>
      </c>
      <c r="B286" s="14">
        <v>43558</v>
      </c>
      <c r="C286" s="13">
        <v>604</v>
      </c>
      <c r="D286" s="13" t="s">
        <v>5347</v>
      </c>
      <c r="E286" s="13" t="s">
        <v>62</v>
      </c>
      <c r="F286" s="37">
        <v>50750</v>
      </c>
      <c r="G286" s="29" t="s">
        <v>458</v>
      </c>
      <c r="H286" s="14">
        <v>43521</v>
      </c>
      <c r="I286" s="4" t="s">
        <v>164</v>
      </c>
    </row>
    <row r="287" spans="1:256" hidden="1" x14ac:dyDescent="0.25">
      <c r="A287" s="32" t="s">
        <v>91</v>
      </c>
      <c r="B287" s="14">
        <v>43558</v>
      </c>
      <c r="C287" s="13">
        <v>616</v>
      </c>
      <c r="D287" s="13" t="s">
        <v>282</v>
      </c>
      <c r="E287" s="13" t="s">
        <v>62</v>
      </c>
      <c r="F287" s="4">
        <v>13585</v>
      </c>
      <c r="G287" s="28" t="s">
        <v>5348</v>
      </c>
      <c r="H287" s="14">
        <v>43531</v>
      </c>
      <c r="I287" s="4" t="s">
        <v>283</v>
      </c>
    </row>
    <row r="288" spans="1:256" hidden="1" x14ac:dyDescent="0.25">
      <c r="A288" s="32" t="s">
        <v>92</v>
      </c>
      <c r="B288" s="14">
        <v>43558</v>
      </c>
      <c r="C288" s="13">
        <v>616</v>
      </c>
      <c r="D288" s="13" t="s">
        <v>282</v>
      </c>
      <c r="E288" s="13" t="s">
        <v>62</v>
      </c>
      <c r="F288" s="37">
        <v>4290</v>
      </c>
      <c r="G288" s="29" t="s">
        <v>5349</v>
      </c>
      <c r="H288" s="14">
        <v>43531</v>
      </c>
      <c r="I288" s="4" t="s">
        <v>283</v>
      </c>
    </row>
    <row r="289" spans="1:12" hidden="1" x14ac:dyDescent="0.25">
      <c r="A289" s="61" t="s">
        <v>442</v>
      </c>
      <c r="B289" s="14">
        <v>43558</v>
      </c>
      <c r="C289" s="13">
        <v>616</v>
      </c>
      <c r="D289" s="13" t="s">
        <v>282</v>
      </c>
      <c r="E289" s="13" t="s">
        <v>62</v>
      </c>
      <c r="F289" s="37">
        <v>22880</v>
      </c>
      <c r="G289" s="29" t="s">
        <v>5350</v>
      </c>
      <c r="H289" s="14">
        <v>43531</v>
      </c>
      <c r="I289" s="4" t="s">
        <v>283</v>
      </c>
    </row>
    <row r="290" spans="1:12" hidden="1" x14ac:dyDescent="0.25">
      <c r="A290" s="61" t="s">
        <v>358</v>
      </c>
      <c r="B290" s="14">
        <v>43558</v>
      </c>
      <c r="C290" s="13">
        <v>616</v>
      </c>
      <c r="D290" s="13" t="s">
        <v>282</v>
      </c>
      <c r="E290" s="13" t="s">
        <v>62</v>
      </c>
      <c r="F290" s="37">
        <v>2145</v>
      </c>
      <c r="G290" s="29" t="s">
        <v>5351</v>
      </c>
      <c r="H290" s="14">
        <v>43531</v>
      </c>
      <c r="I290" s="4" t="s">
        <v>283</v>
      </c>
    </row>
    <row r="291" spans="1:12" hidden="1" x14ac:dyDescent="0.25">
      <c r="A291" s="32" t="s">
        <v>91</v>
      </c>
      <c r="B291" s="14">
        <v>43558</v>
      </c>
      <c r="C291" s="13">
        <v>616</v>
      </c>
      <c r="D291" s="13" t="s">
        <v>282</v>
      </c>
      <c r="E291" s="13" t="s">
        <v>62</v>
      </c>
      <c r="F291" s="4">
        <v>27170</v>
      </c>
      <c r="G291" s="28" t="s">
        <v>5598</v>
      </c>
      <c r="H291" s="14">
        <v>43538</v>
      </c>
      <c r="I291" s="4" t="s">
        <v>283</v>
      </c>
    </row>
    <row r="292" spans="1:12" hidden="1" x14ac:dyDescent="0.25">
      <c r="A292" s="61" t="s">
        <v>92</v>
      </c>
      <c r="B292" s="14">
        <v>43558</v>
      </c>
      <c r="C292" s="13">
        <v>616</v>
      </c>
      <c r="D292" s="13" t="s">
        <v>282</v>
      </c>
      <c r="E292" s="13" t="s">
        <v>62</v>
      </c>
      <c r="F292" s="37">
        <v>6435</v>
      </c>
      <c r="G292" s="29" t="s">
        <v>5599</v>
      </c>
      <c r="H292" s="14">
        <v>43538</v>
      </c>
      <c r="I292" s="4" t="s">
        <v>283</v>
      </c>
    </row>
    <row r="293" spans="1:12" hidden="1" x14ac:dyDescent="0.25">
      <c r="A293" s="61" t="s">
        <v>442</v>
      </c>
      <c r="B293" s="14">
        <v>43558</v>
      </c>
      <c r="C293" s="13">
        <v>616</v>
      </c>
      <c r="D293" s="13" t="s">
        <v>282</v>
      </c>
      <c r="E293" s="13" t="s">
        <v>62</v>
      </c>
      <c r="F293" s="37">
        <v>21450</v>
      </c>
      <c r="G293" s="29" t="s">
        <v>5600</v>
      </c>
      <c r="H293" s="14">
        <v>43538</v>
      </c>
      <c r="I293" s="4" t="s">
        <v>283</v>
      </c>
    </row>
    <row r="294" spans="1:12" hidden="1" x14ac:dyDescent="0.25">
      <c r="A294" s="61" t="s">
        <v>358</v>
      </c>
      <c r="B294" s="14">
        <v>43558</v>
      </c>
      <c r="C294" s="13">
        <v>616</v>
      </c>
      <c r="D294" s="13" t="s">
        <v>282</v>
      </c>
      <c r="E294" s="13" t="s">
        <v>62</v>
      </c>
      <c r="F294" s="37">
        <v>5720</v>
      </c>
      <c r="G294" s="29" t="s">
        <v>5601</v>
      </c>
      <c r="H294" s="14">
        <v>43538</v>
      </c>
      <c r="I294" s="4" t="s">
        <v>283</v>
      </c>
    </row>
    <row r="295" spans="1:12" hidden="1" x14ac:dyDescent="0.25">
      <c r="A295" s="13" t="s">
        <v>103</v>
      </c>
      <c r="B295" s="14">
        <v>43558</v>
      </c>
      <c r="C295" s="13">
        <v>605</v>
      </c>
      <c r="D295" s="13" t="s">
        <v>250</v>
      </c>
      <c r="E295" s="13" t="s">
        <v>62</v>
      </c>
      <c r="F295" s="37">
        <v>11000</v>
      </c>
      <c r="G295" s="29" t="s">
        <v>5619</v>
      </c>
      <c r="H295" s="14">
        <v>43536</v>
      </c>
      <c r="I295" s="4" t="s">
        <v>337</v>
      </c>
    </row>
    <row r="296" spans="1:12" hidden="1" x14ac:dyDescent="0.25">
      <c r="A296" s="61" t="s">
        <v>92</v>
      </c>
      <c r="B296" s="14">
        <v>43558</v>
      </c>
      <c r="C296" s="13">
        <v>606</v>
      </c>
      <c r="D296" s="13" t="s">
        <v>2115</v>
      </c>
      <c r="E296" s="13" t="s">
        <v>62</v>
      </c>
      <c r="F296" s="37">
        <v>413475</v>
      </c>
      <c r="G296" s="29" t="s">
        <v>477</v>
      </c>
      <c r="H296" s="14">
        <v>43524</v>
      </c>
      <c r="I296" s="4" t="s">
        <v>2385</v>
      </c>
    </row>
    <row r="297" spans="1:12" ht="13.95" hidden="1" customHeight="1" x14ac:dyDescent="0.25">
      <c r="A297" s="68" t="s">
        <v>1147</v>
      </c>
      <c r="B297" s="14">
        <v>43558</v>
      </c>
      <c r="C297" s="13">
        <v>579</v>
      </c>
      <c r="D297" s="32" t="s">
        <v>2592</v>
      </c>
      <c r="E297" s="32" t="s">
        <v>808</v>
      </c>
      <c r="F297" s="4">
        <v>1362479</v>
      </c>
      <c r="G297" s="86" t="s">
        <v>2593</v>
      </c>
      <c r="H297" s="211"/>
      <c r="I297" s="4" t="s">
        <v>2594</v>
      </c>
      <c r="J297" s="21"/>
      <c r="K297" s="228"/>
    </row>
    <row r="298" spans="1:12" ht="13.95" hidden="1" customHeight="1" x14ac:dyDescent="0.25">
      <c r="A298" s="68" t="s">
        <v>1147</v>
      </c>
      <c r="B298" s="14">
        <v>43558</v>
      </c>
      <c r="C298" s="13">
        <v>580</v>
      </c>
      <c r="D298" s="32" t="s">
        <v>2592</v>
      </c>
      <c r="E298" s="32" t="s">
        <v>808</v>
      </c>
      <c r="F298" s="4">
        <v>637521</v>
      </c>
      <c r="G298" s="86" t="s">
        <v>2593</v>
      </c>
      <c r="H298" s="211"/>
      <c r="I298" s="4" t="s">
        <v>2594</v>
      </c>
      <c r="J298" s="21"/>
      <c r="K298" s="228"/>
    </row>
    <row r="299" spans="1:12" ht="13.95" hidden="1" customHeight="1" x14ac:dyDescent="0.25">
      <c r="A299" s="61" t="s">
        <v>261</v>
      </c>
      <c r="B299" s="14">
        <v>43558</v>
      </c>
      <c r="C299" s="13">
        <v>595</v>
      </c>
      <c r="D299" s="32" t="s">
        <v>1087</v>
      </c>
      <c r="E299" s="32" t="s">
        <v>808</v>
      </c>
      <c r="F299" s="4">
        <v>500000</v>
      </c>
      <c r="G299" s="86" t="s">
        <v>3299</v>
      </c>
      <c r="H299" s="211"/>
      <c r="I299" s="4" t="s">
        <v>3300</v>
      </c>
      <c r="J299" s="21"/>
      <c r="K299" s="228"/>
    </row>
    <row r="300" spans="1:12" hidden="1" x14ac:dyDescent="0.25">
      <c r="A300" s="61" t="s">
        <v>659</v>
      </c>
      <c r="B300" s="14">
        <v>43558</v>
      </c>
      <c r="C300" s="13">
        <v>581</v>
      </c>
      <c r="D300" s="32" t="s">
        <v>2144</v>
      </c>
      <c r="E300" s="13" t="s">
        <v>808</v>
      </c>
      <c r="F300" s="37">
        <v>250000</v>
      </c>
      <c r="G300" s="174" t="s">
        <v>5967</v>
      </c>
      <c r="H300" s="14"/>
      <c r="I300" s="4" t="s">
        <v>24</v>
      </c>
    </row>
    <row r="301" spans="1:12" hidden="1" x14ac:dyDescent="0.25">
      <c r="A301" s="61" t="s">
        <v>659</v>
      </c>
      <c r="B301" s="14">
        <v>43558</v>
      </c>
      <c r="C301" s="13">
        <v>596</v>
      </c>
      <c r="D301" s="13" t="s">
        <v>5888</v>
      </c>
      <c r="E301" s="13" t="s">
        <v>808</v>
      </c>
      <c r="F301" s="37">
        <v>1000000</v>
      </c>
      <c r="G301" s="174" t="s">
        <v>5762</v>
      </c>
      <c r="H301" s="14"/>
      <c r="I301" s="4" t="s">
        <v>24</v>
      </c>
    </row>
    <row r="302" spans="1:12" s="97" customFormat="1" hidden="1" x14ac:dyDescent="0.25">
      <c r="A302" s="32" t="s">
        <v>1147</v>
      </c>
      <c r="B302" s="14">
        <v>43558</v>
      </c>
      <c r="C302" s="13">
        <v>582</v>
      </c>
      <c r="D302" s="13" t="s">
        <v>740</v>
      </c>
      <c r="E302" s="13" t="s">
        <v>808</v>
      </c>
      <c r="F302" s="4">
        <v>142000</v>
      </c>
      <c r="G302" s="28" t="s">
        <v>4331</v>
      </c>
      <c r="H302" s="14">
        <v>43481</v>
      </c>
      <c r="I302" s="4" t="s">
        <v>2535</v>
      </c>
      <c r="J302" s="133"/>
      <c r="K302" s="22"/>
      <c r="L302" s="134"/>
    </row>
    <row r="303" spans="1:12" s="97" customFormat="1" hidden="1" x14ac:dyDescent="0.25">
      <c r="A303" s="32" t="s">
        <v>1147</v>
      </c>
      <c r="B303" s="14">
        <v>43558</v>
      </c>
      <c r="C303" s="13">
        <v>583</v>
      </c>
      <c r="D303" s="13" t="s">
        <v>1377</v>
      </c>
      <c r="E303" s="13" t="s">
        <v>808</v>
      </c>
      <c r="F303" s="4">
        <v>300000</v>
      </c>
      <c r="G303" s="28" t="s">
        <v>2955</v>
      </c>
      <c r="H303" s="14">
        <v>43507</v>
      </c>
      <c r="I303" s="4" t="s">
        <v>1207</v>
      </c>
      <c r="J303" s="133"/>
      <c r="K303" s="22"/>
      <c r="L303" s="134"/>
    </row>
    <row r="304" spans="1:12" s="97" customFormat="1" hidden="1" x14ac:dyDescent="0.25">
      <c r="A304" s="32" t="s">
        <v>1148</v>
      </c>
      <c r="B304" s="14">
        <v>43558</v>
      </c>
      <c r="C304" s="13">
        <v>584</v>
      </c>
      <c r="D304" s="13" t="s">
        <v>249</v>
      </c>
      <c r="E304" s="13" t="s">
        <v>808</v>
      </c>
      <c r="F304" s="4">
        <v>813855.08</v>
      </c>
      <c r="G304" s="28" t="s">
        <v>19</v>
      </c>
      <c r="H304" s="14">
        <v>43516</v>
      </c>
      <c r="I304" s="4" t="s">
        <v>2176</v>
      </c>
      <c r="J304" s="133"/>
      <c r="K304" s="22"/>
      <c r="L304" s="134"/>
    </row>
    <row r="305" spans="1:12" s="97" customFormat="1" hidden="1" x14ac:dyDescent="0.25">
      <c r="A305" s="61" t="s">
        <v>1147</v>
      </c>
      <c r="B305" s="14">
        <v>43558</v>
      </c>
      <c r="C305" s="13">
        <v>593</v>
      </c>
      <c r="D305" s="13" t="s">
        <v>869</v>
      </c>
      <c r="E305" s="13" t="s">
        <v>808</v>
      </c>
      <c r="F305" s="37">
        <v>22461.79</v>
      </c>
      <c r="G305" s="29" t="s">
        <v>4953</v>
      </c>
      <c r="H305" s="14">
        <v>43530</v>
      </c>
      <c r="I305" s="4" t="s">
        <v>268</v>
      </c>
      <c r="J305" s="133"/>
      <c r="K305" s="22"/>
      <c r="L305" s="134"/>
    </row>
    <row r="306" spans="1:12" s="97" customFormat="1" hidden="1" x14ac:dyDescent="0.25">
      <c r="A306" s="61" t="s">
        <v>1148</v>
      </c>
      <c r="B306" s="14">
        <v>43558</v>
      </c>
      <c r="C306" s="13">
        <v>593</v>
      </c>
      <c r="D306" s="13" t="s">
        <v>869</v>
      </c>
      <c r="E306" s="13" t="s">
        <v>808</v>
      </c>
      <c r="F306" s="37">
        <v>70798.44</v>
      </c>
      <c r="G306" s="29" t="s">
        <v>4954</v>
      </c>
      <c r="H306" s="14">
        <v>43530</v>
      </c>
      <c r="I306" s="4" t="s">
        <v>268</v>
      </c>
      <c r="J306" s="133"/>
      <c r="K306" s="22"/>
      <c r="L306" s="134"/>
    </row>
    <row r="307" spans="1:12" s="97" customFormat="1" hidden="1" x14ac:dyDescent="0.25">
      <c r="A307" s="61" t="s">
        <v>1148</v>
      </c>
      <c r="B307" s="14">
        <v>43558</v>
      </c>
      <c r="C307" s="13">
        <v>592</v>
      </c>
      <c r="D307" s="13" t="s">
        <v>280</v>
      </c>
      <c r="E307" s="13" t="s">
        <v>808</v>
      </c>
      <c r="F307" s="37">
        <v>28940</v>
      </c>
      <c r="G307" s="29" t="s">
        <v>3209</v>
      </c>
      <c r="H307" s="14">
        <v>43528</v>
      </c>
      <c r="I307" s="4" t="s">
        <v>5398</v>
      </c>
      <c r="J307" s="133"/>
      <c r="K307" s="22"/>
      <c r="L307" s="134"/>
    </row>
    <row r="308" spans="1:12" s="97" customFormat="1" hidden="1" x14ac:dyDescent="0.25">
      <c r="A308" s="61" t="s">
        <v>1149</v>
      </c>
      <c r="B308" s="14">
        <v>43558</v>
      </c>
      <c r="C308" s="13">
        <v>592</v>
      </c>
      <c r="D308" s="13" t="s">
        <v>280</v>
      </c>
      <c r="E308" s="13" t="s">
        <v>808</v>
      </c>
      <c r="F308" s="37">
        <v>12656</v>
      </c>
      <c r="G308" s="29" t="s">
        <v>1529</v>
      </c>
      <c r="H308" s="14">
        <v>43530</v>
      </c>
      <c r="I308" s="4" t="s">
        <v>5399</v>
      </c>
      <c r="J308" s="133"/>
      <c r="K308" s="22"/>
      <c r="L308" s="134"/>
    </row>
    <row r="309" spans="1:12" s="97" customFormat="1" hidden="1" x14ac:dyDescent="0.25">
      <c r="A309" s="61" t="s">
        <v>659</v>
      </c>
      <c r="B309" s="14">
        <v>43558</v>
      </c>
      <c r="C309" s="13">
        <v>585</v>
      </c>
      <c r="D309" s="13" t="s">
        <v>814</v>
      </c>
      <c r="E309" s="13" t="s">
        <v>808</v>
      </c>
      <c r="F309" s="37">
        <v>69090</v>
      </c>
      <c r="G309" s="29" t="s">
        <v>4942</v>
      </c>
      <c r="H309" s="14">
        <v>43530</v>
      </c>
      <c r="I309" s="4" t="s">
        <v>142</v>
      </c>
      <c r="J309" s="133"/>
      <c r="K309" s="22"/>
      <c r="L309" s="134"/>
    </row>
    <row r="310" spans="1:12" s="97" customFormat="1" hidden="1" x14ac:dyDescent="0.25">
      <c r="A310" s="32" t="s">
        <v>1148</v>
      </c>
      <c r="B310" s="14">
        <v>43558</v>
      </c>
      <c r="C310" s="13">
        <v>586</v>
      </c>
      <c r="D310" s="13" t="s">
        <v>4936</v>
      </c>
      <c r="E310" s="13" t="s">
        <v>808</v>
      </c>
      <c r="F310" s="4">
        <v>70696.78</v>
      </c>
      <c r="G310" s="28" t="s">
        <v>4938</v>
      </c>
      <c r="H310" s="14">
        <v>43528</v>
      </c>
      <c r="I310" s="4" t="s">
        <v>572</v>
      </c>
      <c r="J310" s="133"/>
      <c r="K310" s="22"/>
      <c r="L310" s="134"/>
    </row>
    <row r="311" spans="1:12" s="97" customFormat="1" hidden="1" x14ac:dyDescent="0.25">
      <c r="A311" s="32" t="s">
        <v>1148</v>
      </c>
      <c r="B311" s="14">
        <v>43558</v>
      </c>
      <c r="C311" s="13">
        <v>587</v>
      </c>
      <c r="D311" s="13" t="s">
        <v>666</v>
      </c>
      <c r="E311" s="13" t="s">
        <v>808</v>
      </c>
      <c r="F311" s="4">
        <v>46000</v>
      </c>
      <c r="G311" s="28" t="s">
        <v>1382</v>
      </c>
      <c r="H311" s="14">
        <v>43530</v>
      </c>
      <c r="I311" s="4" t="s">
        <v>266</v>
      </c>
      <c r="J311" s="133"/>
      <c r="K311" s="22"/>
      <c r="L311" s="134"/>
    </row>
    <row r="312" spans="1:12" s="97" customFormat="1" hidden="1" x14ac:dyDescent="0.25">
      <c r="A312" s="61" t="s">
        <v>659</v>
      </c>
      <c r="B312" s="14">
        <v>43558</v>
      </c>
      <c r="C312" s="13">
        <v>588</v>
      </c>
      <c r="D312" s="13" t="s">
        <v>516</v>
      </c>
      <c r="E312" s="13" t="s">
        <v>808</v>
      </c>
      <c r="F312" s="37">
        <v>36383.120000000003</v>
      </c>
      <c r="G312" s="29" t="s">
        <v>5050</v>
      </c>
      <c r="H312" s="14">
        <v>43530</v>
      </c>
      <c r="I312" s="4" t="s">
        <v>5389</v>
      </c>
      <c r="J312" s="133"/>
      <c r="K312" s="22"/>
      <c r="L312" s="134"/>
    </row>
    <row r="313" spans="1:12" hidden="1" x14ac:dyDescent="0.25">
      <c r="A313" s="13" t="s">
        <v>2320</v>
      </c>
      <c r="B313" s="14">
        <v>43558</v>
      </c>
      <c r="C313" s="13">
        <v>598</v>
      </c>
      <c r="D313" s="13" t="s">
        <v>1935</v>
      </c>
      <c r="E313" s="13" t="s">
        <v>808</v>
      </c>
      <c r="F313" s="37">
        <v>1500000</v>
      </c>
      <c r="G313" s="69" t="s">
        <v>2321</v>
      </c>
      <c r="H313" s="14"/>
      <c r="I313" s="4" t="s">
        <v>2318</v>
      </c>
      <c r="J313" s="169"/>
    </row>
    <row r="314" spans="1:12" hidden="1" x14ac:dyDescent="0.25">
      <c r="A314" s="61" t="s">
        <v>659</v>
      </c>
      <c r="B314" s="14">
        <v>43558</v>
      </c>
      <c r="C314" s="13">
        <v>591</v>
      </c>
      <c r="D314" s="13" t="s">
        <v>1099</v>
      </c>
      <c r="E314" s="13" t="s">
        <v>808</v>
      </c>
      <c r="F314" s="37">
        <v>49268.1</v>
      </c>
      <c r="G314" s="29" t="s">
        <v>504</v>
      </c>
      <c r="H314" s="14">
        <v>43521</v>
      </c>
      <c r="I314" s="4" t="s">
        <v>461</v>
      </c>
    </row>
    <row r="315" spans="1:12" hidden="1" x14ac:dyDescent="0.25">
      <c r="A315" s="61" t="s">
        <v>495</v>
      </c>
      <c r="B315" s="14">
        <v>43558</v>
      </c>
      <c r="C315" s="13">
        <v>591</v>
      </c>
      <c r="D315" s="13" t="s">
        <v>1099</v>
      </c>
      <c r="E315" s="13" t="s">
        <v>808</v>
      </c>
      <c r="F315" s="37">
        <v>7586.4</v>
      </c>
      <c r="G315" s="29" t="s">
        <v>3416</v>
      </c>
      <c r="H315" s="14">
        <v>43522</v>
      </c>
      <c r="I315" s="4" t="s">
        <v>461</v>
      </c>
    </row>
    <row r="316" spans="1:12" hidden="1" x14ac:dyDescent="0.25">
      <c r="A316" s="32" t="s">
        <v>1316</v>
      </c>
      <c r="B316" s="14">
        <v>43558</v>
      </c>
      <c r="C316" s="13">
        <v>589</v>
      </c>
      <c r="D316" s="13" t="s">
        <v>1395</v>
      </c>
      <c r="E316" s="13" t="s">
        <v>808</v>
      </c>
      <c r="F316" s="4">
        <v>30400</v>
      </c>
      <c r="G316" s="28" t="s">
        <v>5607</v>
      </c>
      <c r="H316" s="14">
        <v>43538</v>
      </c>
      <c r="I316" s="4" t="s">
        <v>5608</v>
      </c>
    </row>
    <row r="317" spans="1:12" hidden="1" x14ac:dyDescent="0.25">
      <c r="A317" s="61" t="s">
        <v>659</v>
      </c>
      <c r="B317" s="14">
        <v>43558</v>
      </c>
      <c r="C317" s="13">
        <v>590</v>
      </c>
      <c r="D317" s="13" t="s">
        <v>250</v>
      </c>
      <c r="E317" s="13" t="s">
        <v>808</v>
      </c>
      <c r="F317" s="37">
        <v>45000</v>
      </c>
      <c r="G317" s="29" t="s">
        <v>5886</v>
      </c>
      <c r="H317" s="14">
        <v>43518</v>
      </c>
      <c r="I317" s="4" t="s">
        <v>5887</v>
      </c>
    </row>
    <row r="318" spans="1:12" hidden="1" x14ac:dyDescent="0.25">
      <c r="A318" s="61" t="s">
        <v>659</v>
      </c>
      <c r="B318" s="14">
        <v>43558</v>
      </c>
      <c r="C318" s="13">
        <v>597</v>
      </c>
      <c r="D318" s="13" t="s">
        <v>29</v>
      </c>
      <c r="E318" s="13" t="s">
        <v>808</v>
      </c>
      <c r="F318" s="4">
        <v>120850</v>
      </c>
      <c r="G318" s="28" t="s">
        <v>114</v>
      </c>
      <c r="H318" s="14">
        <v>43524</v>
      </c>
      <c r="I318" s="4" t="s">
        <v>87</v>
      </c>
    </row>
    <row r="319" spans="1:12" hidden="1" x14ac:dyDescent="0.25">
      <c r="A319" s="32" t="s">
        <v>1147</v>
      </c>
      <c r="B319" s="14">
        <v>43558</v>
      </c>
      <c r="C319" s="13">
        <v>597</v>
      </c>
      <c r="D319" s="13" t="s">
        <v>29</v>
      </c>
      <c r="E319" s="13" t="s">
        <v>808</v>
      </c>
      <c r="F319" s="4">
        <v>188100</v>
      </c>
      <c r="G319" s="28" t="s">
        <v>68</v>
      </c>
      <c r="H319" s="14">
        <v>43524</v>
      </c>
      <c r="I319" s="4" t="s">
        <v>1061</v>
      </c>
    </row>
    <row r="320" spans="1:12" hidden="1" x14ac:dyDescent="0.25">
      <c r="A320" s="32" t="s">
        <v>659</v>
      </c>
      <c r="B320" s="14">
        <v>43558</v>
      </c>
      <c r="C320" s="13">
        <v>594</v>
      </c>
      <c r="D320" s="13" t="s">
        <v>692</v>
      </c>
      <c r="E320" s="13" t="s">
        <v>808</v>
      </c>
      <c r="F320" s="4">
        <v>12375</v>
      </c>
      <c r="G320" s="28" t="s">
        <v>1125</v>
      </c>
      <c r="H320" s="14">
        <v>43509</v>
      </c>
      <c r="I320" s="4" t="s">
        <v>419</v>
      </c>
    </row>
    <row r="321" spans="1:16" hidden="1" x14ac:dyDescent="0.25">
      <c r="A321" s="68" t="s">
        <v>1147</v>
      </c>
      <c r="B321" s="14">
        <v>43558</v>
      </c>
      <c r="C321" s="13">
        <v>594</v>
      </c>
      <c r="D321" s="13" t="s">
        <v>692</v>
      </c>
      <c r="E321" s="13" t="s">
        <v>808</v>
      </c>
      <c r="F321" s="4">
        <v>114750</v>
      </c>
      <c r="G321" s="28" t="s">
        <v>113</v>
      </c>
      <c r="H321" s="14">
        <v>43516</v>
      </c>
      <c r="I321" s="4" t="s">
        <v>2027</v>
      </c>
    </row>
    <row r="322" spans="1:16" hidden="1" x14ac:dyDescent="0.25">
      <c r="A322" s="68" t="s">
        <v>637</v>
      </c>
      <c r="B322" s="242">
        <v>43558</v>
      </c>
      <c r="C322" s="13" t="s">
        <v>6067</v>
      </c>
      <c r="D322" s="32" t="s">
        <v>837</v>
      </c>
      <c r="E322" s="32" t="s">
        <v>691</v>
      </c>
      <c r="F322" s="4">
        <v>500000</v>
      </c>
      <c r="G322" s="210" t="s">
        <v>207</v>
      </c>
      <c r="H322" s="211"/>
      <c r="I322" s="208" t="s">
        <v>838</v>
      </c>
      <c r="J322" s="228"/>
      <c r="K322" s="228"/>
    </row>
    <row r="323" spans="1:16" hidden="1" x14ac:dyDescent="0.25">
      <c r="A323" s="13" t="s">
        <v>1350</v>
      </c>
      <c r="B323" s="242">
        <v>43558</v>
      </c>
      <c r="C323" s="13">
        <v>214</v>
      </c>
      <c r="D323" s="32" t="s">
        <v>3662</v>
      </c>
      <c r="E323" s="13" t="s">
        <v>691</v>
      </c>
      <c r="F323" s="4">
        <v>600652.80000000005</v>
      </c>
      <c r="G323" s="29" t="s">
        <v>6005</v>
      </c>
      <c r="H323" s="14">
        <v>43551</v>
      </c>
      <c r="I323" s="4" t="s">
        <v>3664</v>
      </c>
      <c r="J323" s="62"/>
      <c r="K323" s="62"/>
      <c r="L323" s="35"/>
      <c r="M323" s="35"/>
      <c r="N323" s="35"/>
      <c r="O323" s="35"/>
      <c r="P323" s="35"/>
    </row>
    <row r="324" spans="1:16" hidden="1" x14ac:dyDescent="0.25">
      <c r="A324" s="13" t="s">
        <v>637</v>
      </c>
      <c r="B324" s="242">
        <v>43558</v>
      </c>
      <c r="C324" s="13">
        <v>215</v>
      </c>
      <c r="D324" s="13" t="s">
        <v>1789</v>
      </c>
      <c r="E324" s="13" t="s">
        <v>691</v>
      </c>
      <c r="F324" s="37">
        <v>100000</v>
      </c>
      <c r="G324" s="29" t="s">
        <v>1791</v>
      </c>
      <c r="H324" s="14"/>
      <c r="I324" s="4" t="s">
        <v>1790</v>
      </c>
      <c r="J324" s="62"/>
      <c r="K324" s="62"/>
      <c r="L324" s="35"/>
      <c r="M324" s="35"/>
      <c r="N324" s="35"/>
      <c r="O324" s="35"/>
      <c r="P324" s="35"/>
    </row>
    <row r="325" spans="1:16" hidden="1" x14ac:dyDescent="0.25">
      <c r="A325" s="32" t="s">
        <v>1350</v>
      </c>
      <c r="B325" s="242">
        <v>43558</v>
      </c>
      <c r="C325" s="13">
        <v>216</v>
      </c>
      <c r="D325" s="32" t="s">
        <v>825</v>
      </c>
      <c r="E325" s="13" t="s">
        <v>691</v>
      </c>
      <c r="F325" s="4">
        <v>800000</v>
      </c>
      <c r="G325" s="29" t="s">
        <v>1643</v>
      </c>
      <c r="H325" s="211"/>
      <c r="I325" s="4" t="s">
        <v>82</v>
      </c>
      <c r="J325" s="228"/>
      <c r="K325" s="228"/>
    </row>
    <row r="326" spans="1:16" s="97" customFormat="1" hidden="1" x14ac:dyDescent="0.25">
      <c r="A326" s="13" t="s">
        <v>1350</v>
      </c>
      <c r="B326" s="242">
        <v>43558</v>
      </c>
      <c r="C326" s="13">
        <v>217</v>
      </c>
      <c r="D326" s="13" t="s">
        <v>740</v>
      </c>
      <c r="E326" s="13" t="s">
        <v>691</v>
      </c>
      <c r="F326" s="37">
        <v>40400</v>
      </c>
      <c r="G326" s="29" t="s">
        <v>4329</v>
      </c>
      <c r="H326" s="14">
        <v>43479</v>
      </c>
      <c r="I326" s="4" t="s">
        <v>4330</v>
      </c>
      <c r="J326" s="133"/>
      <c r="K326" s="22"/>
      <c r="L326" s="134"/>
    </row>
    <row r="327" spans="1:16" s="97" customFormat="1" hidden="1" x14ac:dyDescent="0.25">
      <c r="A327" s="32" t="s">
        <v>637</v>
      </c>
      <c r="B327" s="242">
        <v>43558</v>
      </c>
      <c r="C327" s="13">
        <v>217</v>
      </c>
      <c r="D327" s="13" t="s">
        <v>740</v>
      </c>
      <c r="E327" s="13" t="s">
        <v>691</v>
      </c>
      <c r="F327" s="37">
        <v>265500</v>
      </c>
      <c r="G327" s="29" t="s">
        <v>4901</v>
      </c>
      <c r="H327" s="14">
        <v>43490</v>
      </c>
      <c r="I327" s="4" t="s">
        <v>4902</v>
      </c>
      <c r="J327" s="133"/>
      <c r="K327" s="22"/>
      <c r="L327" s="134"/>
    </row>
    <row r="328" spans="1:16" s="97" customFormat="1" hidden="1" x14ac:dyDescent="0.25">
      <c r="A328" s="61" t="s">
        <v>1350</v>
      </c>
      <c r="B328" s="242">
        <v>43558</v>
      </c>
      <c r="C328" s="13">
        <v>218</v>
      </c>
      <c r="D328" s="13" t="s">
        <v>257</v>
      </c>
      <c r="E328" s="13" t="s">
        <v>691</v>
      </c>
      <c r="F328" s="37">
        <v>825412.5</v>
      </c>
      <c r="G328" s="29" t="s">
        <v>3867</v>
      </c>
      <c r="H328" s="14">
        <v>43497</v>
      </c>
      <c r="I328" s="4" t="s">
        <v>1397</v>
      </c>
      <c r="J328" s="133"/>
      <c r="K328" s="22"/>
      <c r="L328" s="134"/>
    </row>
    <row r="329" spans="1:16" s="97" customFormat="1" hidden="1" x14ac:dyDescent="0.25">
      <c r="A329" s="61" t="s">
        <v>1350</v>
      </c>
      <c r="B329" s="242">
        <v>43558</v>
      </c>
      <c r="C329" s="13">
        <v>219</v>
      </c>
      <c r="D329" s="13" t="s">
        <v>1827</v>
      </c>
      <c r="E329" s="13" t="s">
        <v>691</v>
      </c>
      <c r="F329" s="37">
        <v>200000</v>
      </c>
      <c r="G329" s="29" t="s">
        <v>728</v>
      </c>
      <c r="H329" s="14">
        <v>43515</v>
      </c>
      <c r="I329" s="4" t="s">
        <v>4351</v>
      </c>
      <c r="J329" s="133"/>
      <c r="K329" s="22"/>
      <c r="L329" s="134"/>
    </row>
    <row r="330" spans="1:16" s="97" customFormat="1" hidden="1" x14ac:dyDescent="0.25">
      <c r="A330" s="61" t="s">
        <v>1350</v>
      </c>
      <c r="B330" s="242">
        <v>43558</v>
      </c>
      <c r="C330" s="13">
        <v>220</v>
      </c>
      <c r="D330" s="13" t="s">
        <v>280</v>
      </c>
      <c r="E330" s="13" t="s">
        <v>691</v>
      </c>
      <c r="F330" s="37">
        <v>75300</v>
      </c>
      <c r="G330" s="29" t="s">
        <v>1493</v>
      </c>
      <c r="H330" s="14">
        <v>43530</v>
      </c>
      <c r="I330" s="4" t="s">
        <v>5400</v>
      </c>
      <c r="J330" s="133"/>
      <c r="K330" s="22"/>
      <c r="L330" s="134"/>
    </row>
    <row r="331" spans="1:16" s="97" customFormat="1" hidden="1" x14ac:dyDescent="0.25">
      <c r="A331" s="61" t="s">
        <v>637</v>
      </c>
      <c r="B331" s="242">
        <v>43558</v>
      </c>
      <c r="C331" s="13">
        <v>221</v>
      </c>
      <c r="D331" s="13" t="s">
        <v>244</v>
      </c>
      <c r="E331" s="13" t="s">
        <v>691</v>
      </c>
      <c r="F331" s="37">
        <v>78781.929999999993</v>
      </c>
      <c r="G331" s="29" t="s">
        <v>791</v>
      </c>
      <c r="H331" s="14">
        <v>43525</v>
      </c>
      <c r="I331" s="4" t="s">
        <v>4932</v>
      </c>
      <c r="J331" s="133"/>
      <c r="K331" s="22"/>
      <c r="L331" s="134"/>
    </row>
    <row r="332" spans="1:16" hidden="1" x14ac:dyDescent="0.25">
      <c r="A332" s="61" t="s">
        <v>1350</v>
      </c>
      <c r="B332" s="242">
        <v>43558</v>
      </c>
      <c r="C332" s="13">
        <v>222</v>
      </c>
      <c r="D332" s="13" t="s">
        <v>944</v>
      </c>
      <c r="E332" s="13" t="s">
        <v>691</v>
      </c>
      <c r="F332" s="37">
        <v>58500</v>
      </c>
      <c r="G332" s="29" t="s">
        <v>339</v>
      </c>
      <c r="H332" s="14">
        <v>43524</v>
      </c>
      <c r="I332" s="4" t="s">
        <v>402</v>
      </c>
    </row>
    <row r="333" spans="1:16" hidden="1" x14ac:dyDescent="0.25">
      <c r="A333" s="61" t="s">
        <v>455</v>
      </c>
      <c r="B333" s="242">
        <v>43558</v>
      </c>
      <c r="C333" s="13">
        <v>235</v>
      </c>
      <c r="D333" s="13" t="s">
        <v>5443</v>
      </c>
      <c r="E333" s="13" t="s">
        <v>958</v>
      </c>
      <c r="F333" s="37">
        <v>2375701.48</v>
      </c>
      <c r="G333" s="29" t="s">
        <v>5444</v>
      </c>
      <c r="H333" s="14">
        <v>43191</v>
      </c>
      <c r="I333" s="4"/>
    </row>
    <row r="334" spans="1:16" hidden="1" x14ac:dyDescent="0.25">
      <c r="A334" s="61" t="s">
        <v>455</v>
      </c>
      <c r="B334" s="242">
        <v>43558</v>
      </c>
      <c r="C334" s="13">
        <v>236</v>
      </c>
      <c r="D334" s="13" t="s">
        <v>5443</v>
      </c>
      <c r="E334" s="13" t="s">
        <v>958</v>
      </c>
      <c r="F334" s="37">
        <v>88808.7</v>
      </c>
      <c r="G334" s="29" t="s">
        <v>5444</v>
      </c>
      <c r="H334" s="14">
        <v>43191</v>
      </c>
      <c r="I334" s="4"/>
    </row>
    <row r="335" spans="1:16" hidden="1" x14ac:dyDescent="0.25">
      <c r="A335" s="32" t="s">
        <v>151</v>
      </c>
      <c r="B335" s="14">
        <v>43558</v>
      </c>
      <c r="C335" s="13">
        <v>84</v>
      </c>
      <c r="D335" s="32" t="s">
        <v>1678</v>
      </c>
      <c r="E335" s="32" t="s">
        <v>22</v>
      </c>
      <c r="F335" s="4">
        <v>15424</v>
      </c>
      <c r="G335" s="13">
        <v>333252358</v>
      </c>
      <c r="H335" s="14">
        <v>43558</v>
      </c>
      <c r="I335" s="14" t="s">
        <v>6068</v>
      </c>
      <c r="J335" s="170"/>
      <c r="K335" s="167"/>
      <c r="L335" s="35"/>
    </row>
    <row r="336" spans="1:16" ht="13.95" hidden="1" customHeight="1" x14ac:dyDescent="0.25">
      <c r="A336" s="68" t="s">
        <v>358</v>
      </c>
      <c r="B336" s="14">
        <v>43558</v>
      </c>
      <c r="C336" s="13">
        <v>600</v>
      </c>
      <c r="D336" s="32" t="s">
        <v>269</v>
      </c>
      <c r="E336" s="32" t="s">
        <v>62</v>
      </c>
      <c r="F336" s="4">
        <v>1000000</v>
      </c>
      <c r="G336" s="86" t="s">
        <v>689</v>
      </c>
      <c r="H336" s="211"/>
      <c r="I336" s="41" t="s">
        <v>690</v>
      </c>
      <c r="J336" s="21"/>
      <c r="K336" s="228"/>
    </row>
    <row r="337" spans="1:19" ht="13.95" hidden="1" customHeight="1" x14ac:dyDescent="0.25">
      <c r="A337" s="68" t="s">
        <v>92</v>
      </c>
      <c r="B337" s="14">
        <v>43558</v>
      </c>
      <c r="C337" s="13">
        <v>613</v>
      </c>
      <c r="D337" s="32" t="s">
        <v>269</v>
      </c>
      <c r="E337" s="32" t="s">
        <v>62</v>
      </c>
      <c r="F337" s="4">
        <v>1750395</v>
      </c>
      <c r="G337" s="86" t="s">
        <v>787</v>
      </c>
      <c r="H337" s="211"/>
      <c r="I337" s="41" t="s">
        <v>789</v>
      </c>
      <c r="J337" s="21"/>
      <c r="K337" s="228"/>
    </row>
    <row r="338" spans="1:19" ht="15" hidden="1" customHeight="1" x14ac:dyDescent="0.25">
      <c r="A338" s="68" t="s">
        <v>92</v>
      </c>
      <c r="B338" s="14">
        <v>43558</v>
      </c>
      <c r="C338" s="13">
        <v>612</v>
      </c>
      <c r="D338" s="13" t="s">
        <v>969</v>
      </c>
      <c r="E338" s="32" t="s">
        <v>62</v>
      </c>
      <c r="F338" s="4">
        <v>1300000</v>
      </c>
      <c r="G338" s="86" t="s">
        <v>2035</v>
      </c>
      <c r="H338" s="14"/>
      <c r="I338" s="4" t="s">
        <v>229</v>
      </c>
      <c r="J338" s="71"/>
      <c r="K338" s="62"/>
      <c r="L338" s="62"/>
    </row>
    <row r="339" spans="1:19" ht="15" hidden="1" customHeight="1" x14ac:dyDescent="0.25">
      <c r="A339" s="68" t="s">
        <v>91</v>
      </c>
      <c r="B339" s="14">
        <v>43558</v>
      </c>
      <c r="C339" s="13">
        <v>609</v>
      </c>
      <c r="D339" s="13" t="s">
        <v>969</v>
      </c>
      <c r="E339" s="32" t="s">
        <v>62</v>
      </c>
      <c r="F339" s="4">
        <v>700000</v>
      </c>
      <c r="G339" s="86" t="s">
        <v>1369</v>
      </c>
      <c r="H339" s="14"/>
      <c r="I339" s="4" t="s">
        <v>190</v>
      </c>
      <c r="J339" s="71"/>
      <c r="K339" s="62"/>
      <c r="L339" s="62"/>
    </row>
    <row r="340" spans="1:19" ht="13.95" hidden="1" customHeight="1" x14ac:dyDescent="0.25">
      <c r="A340" s="32" t="s">
        <v>550</v>
      </c>
      <c r="B340" s="14">
        <v>43558</v>
      </c>
      <c r="C340" s="13">
        <v>610</v>
      </c>
      <c r="D340" s="32" t="s">
        <v>452</v>
      </c>
      <c r="E340" s="32" t="s">
        <v>62</v>
      </c>
      <c r="F340" s="4">
        <v>5000000</v>
      </c>
      <c r="G340" s="86" t="s">
        <v>453</v>
      </c>
      <c r="H340" s="211"/>
      <c r="I340" s="208" t="s">
        <v>671</v>
      </c>
      <c r="J340" s="21"/>
      <c r="K340" s="228"/>
    </row>
    <row r="341" spans="1:19" ht="13.95" hidden="1" customHeight="1" x14ac:dyDescent="0.25">
      <c r="A341" s="68" t="s">
        <v>1165</v>
      </c>
      <c r="B341" s="14">
        <v>43558</v>
      </c>
      <c r="C341" s="13">
        <v>611</v>
      </c>
      <c r="D341" s="32" t="s">
        <v>2759</v>
      </c>
      <c r="E341" s="32" t="s">
        <v>62</v>
      </c>
      <c r="F341" s="4">
        <v>2000000</v>
      </c>
      <c r="G341" s="86" t="s">
        <v>2608</v>
      </c>
      <c r="H341" s="211"/>
      <c r="I341" s="84" t="s">
        <v>23</v>
      </c>
      <c r="J341" s="21"/>
      <c r="K341" s="228"/>
    </row>
    <row r="342" spans="1:19" ht="16.2" hidden="1" customHeight="1" x14ac:dyDescent="0.25">
      <c r="A342" s="68" t="s">
        <v>1654</v>
      </c>
      <c r="B342" s="14">
        <v>43558</v>
      </c>
      <c r="C342" s="13">
        <v>614</v>
      </c>
      <c r="D342" s="32" t="s">
        <v>1655</v>
      </c>
      <c r="E342" s="32" t="s">
        <v>62</v>
      </c>
      <c r="F342" s="4">
        <v>4000000</v>
      </c>
      <c r="G342" s="69" t="s">
        <v>1656</v>
      </c>
      <c r="H342" s="14"/>
      <c r="I342" s="84" t="s">
        <v>273</v>
      </c>
      <c r="K342" s="62"/>
    </row>
    <row r="343" spans="1:19" s="115" customFormat="1" ht="15.6" hidden="1" x14ac:dyDescent="0.25">
      <c r="A343" s="61" t="s">
        <v>651</v>
      </c>
      <c r="B343" s="14">
        <v>43558</v>
      </c>
      <c r="C343" s="13">
        <v>361</v>
      </c>
      <c r="D343" s="13" t="s">
        <v>813</v>
      </c>
      <c r="E343" s="13" t="s">
        <v>547</v>
      </c>
      <c r="F343" s="37">
        <v>5000000</v>
      </c>
      <c r="G343" s="29" t="s">
        <v>810</v>
      </c>
      <c r="H343" s="14">
        <v>42340</v>
      </c>
      <c r="I343" s="41" t="s">
        <v>1560</v>
      </c>
      <c r="J343" s="258"/>
      <c r="K343" s="116"/>
      <c r="L343" s="116"/>
      <c r="M343" s="116"/>
      <c r="N343" s="116"/>
      <c r="O343" s="117"/>
      <c r="P343" s="117"/>
      <c r="Q343" s="117"/>
      <c r="R343" s="117"/>
      <c r="S343" s="117"/>
    </row>
    <row r="344" spans="1:19" hidden="1" x14ac:dyDescent="0.25">
      <c r="A344" s="61" t="s">
        <v>460</v>
      </c>
      <c r="B344" s="14">
        <v>43558</v>
      </c>
      <c r="C344" s="13">
        <v>680</v>
      </c>
      <c r="D344" s="13" t="s">
        <v>6069</v>
      </c>
      <c r="E344" s="13" t="s">
        <v>494</v>
      </c>
      <c r="F344" s="256">
        <v>2119103.17</v>
      </c>
      <c r="G344" s="69" t="s">
        <v>6070</v>
      </c>
      <c r="H344" s="14">
        <v>43558</v>
      </c>
      <c r="I344" s="274"/>
      <c r="J344" s="169"/>
    </row>
    <row r="345" spans="1:19" hidden="1" x14ac:dyDescent="0.25">
      <c r="A345" s="61" t="s">
        <v>103</v>
      </c>
      <c r="B345" s="14">
        <v>43559</v>
      </c>
      <c r="C345" s="13">
        <v>622</v>
      </c>
      <c r="D345" s="13" t="s">
        <v>862</v>
      </c>
      <c r="E345" s="13" t="s">
        <v>62</v>
      </c>
      <c r="F345" s="37">
        <v>61250</v>
      </c>
      <c r="G345" s="29" t="s">
        <v>3874</v>
      </c>
      <c r="H345" s="14">
        <v>43510</v>
      </c>
      <c r="I345" s="4" t="s">
        <v>354</v>
      </c>
    </row>
    <row r="346" spans="1:19" hidden="1" x14ac:dyDescent="0.25">
      <c r="A346" s="13" t="s">
        <v>455</v>
      </c>
      <c r="B346" s="126">
        <v>43559</v>
      </c>
      <c r="C346" s="28" t="s">
        <v>3443</v>
      </c>
      <c r="D346" s="32" t="s">
        <v>432</v>
      </c>
      <c r="E346" s="32" t="s">
        <v>958</v>
      </c>
      <c r="F346" s="4">
        <f>480870-95000-185000</f>
        <v>200870</v>
      </c>
      <c r="G346" s="69" t="s">
        <v>4761</v>
      </c>
      <c r="H346" s="14">
        <v>42941</v>
      </c>
      <c r="I346" s="4" t="s">
        <v>433</v>
      </c>
      <c r="J346" s="21"/>
      <c r="K346" s="228"/>
    </row>
    <row r="347" spans="1:19" ht="13.95" hidden="1" customHeight="1" x14ac:dyDescent="0.25">
      <c r="A347" s="13" t="s">
        <v>455</v>
      </c>
      <c r="B347" s="126">
        <v>43559</v>
      </c>
      <c r="C347" s="13">
        <v>268</v>
      </c>
      <c r="D347" s="13" t="s">
        <v>4438</v>
      </c>
      <c r="E347" s="32" t="s">
        <v>958</v>
      </c>
      <c r="F347" s="37">
        <v>2500000</v>
      </c>
      <c r="G347" s="69" t="s">
        <v>4437</v>
      </c>
      <c r="H347" s="14"/>
      <c r="I347" s="4" t="s">
        <v>24</v>
      </c>
      <c r="J347" s="71"/>
      <c r="K347" s="62"/>
      <c r="L347" s="62"/>
      <c r="M347" s="35"/>
      <c r="N347" s="35"/>
      <c r="O347" s="35"/>
      <c r="P347" s="35"/>
      <c r="Q347" s="35"/>
    </row>
    <row r="348" spans="1:19" ht="13.95" hidden="1" customHeight="1" x14ac:dyDescent="0.25">
      <c r="A348" s="13" t="s">
        <v>455</v>
      </c>
      <c r="B348" s="126">
        <v>43559</v>
      </c>
      <c r="C348" s="13">
        <v>269</v>
      </c>
      <c r="D348" s="13" t="s">
        <v>4431</v>
      </c>
      <c r="E348" s="32" t="s">
        <v>958</v>
      </c>
      <c r="F348" s="37">
        <v>201963</v>
      </c>
      <c r="G348" s="69" t="s">
        <v>5974</v>
      </c>
      <c r="H348" s="14"/>
      <c r="I348" s="4" t="s">
        <v>5975</v>
      </c>
      <c r="J348" s="71"/>
      <c r="K348" s="62"/>
      <c r="L348" s="62"/>
      <c r="M348" s="35"/>
      <c r="N348" s="35"/>
      <c r="O348" s="35"/>
      <c r="P348" s="35"/>
      <c r="Q348" s="35"/>
    </row>
    <row r="349" spans="1:19" s="97" customFormat="1" hidden="1" x14ac:dyDescent="0.25">
      <c r="A349" s="68" t="s">
        <v>160</v>
      </c>
      <c r="B349" s="126">
        <v>43559</v>
      </c>
      <c r="C349" s="13">
        <v>270</v>
      </c>
      <c r="D349" s="13" t="s">
        <v>982</v>
      </c>
      <c r="E349" s="13" t="s">
        <v>958</v>
      </c>
      <c r="F349" s="37">
        <v>500000</v>
      </c>
      <c r="G349" s="29" t="s">
        <v>5230</v>
      </c>
      <c r="H349" s="14">
        <v>42601</v>
      </c>
      <c r="I349" s="4" t="s">
        <v>1093</v>
      </c>
      <c r="J349" s="133"/>
      <c r="K349" s="22"/>
      <c r="L349" s="134"/>
    </row>
    <row r="350" spans="1:19" s="62" customFormat="1" hidden="1" x14ac:dyDescent="0.25">
      <c r="A350" s="32" t="s">
        <v>455</v>
      </c>
      <c r="B350" s="126">
        <v>43559</v>
      </c>
      <c r="C350" s="13">
        <v>254</v>
      </c>
      <c r="D350" s="13" t="s">
        <v>5053</v>
      </c>
      <c r="E350" s="13" t="s">
        <v>958</v>
      </c>
      <c r="F350" s="37">
        <v>450000</v>
      </c>
      <c r="G350" s="189" t="s">
        <v>5057</v>
      </c>
      <c r="H350" s="14">
        <v>43501</v>
      </c>
      <c r="I350" s="4" t="s">
        <v>5058</v>
      </c>
      <c r="J350" s="261" t="s">
        <v>3665</v>
      </c>
      <c r="K350" s="4" t="s">
        <v>4999</v>
      </c>
      <c r="L350" s="71"/>
      <c r="M350" s="170"/>
      <c r="N350" s="71"/>
      <c r="O350" s="71"/>
      <c r="P350" s="35"/>
      <c r="Q350" s="35"/>
      <c r="R350" s="35"/>
      <c r="S350" s="35"/>
    </row>
    <row r="351" spans="1:19" s="62" customFormat="1" hidden="1" x14ac:dyDescent="0.25">
      <c r="A351" s="32" t="s">
        <v>455</v>
      </c>
      <c r="B351" s="126">
        <v>43559</v>
      </c>
      <c r="C351" s="13">
        <v>255</v>
      </c>
      <c r="D351" s="13" t="s">
        <v>249</v>
      </c>
      <c r="E351" s="13" t="s">
        <v>958</v>
      </c>
      <c r="F351" s="37">
        <v>789995.17</v>
      </c>
      <c r="G351" s="189" t="s">
        <v>67</v>
      </c>
      <c r="H351" s="14">
        <v>43514</v>
      </c>
      <c r="I351" s="4" t="s">
        <v>5055</v>
      </c>
      <c r="J351" s="261" t="s">
        <v>3665</v>
      </c>
      <c r="K351" s="4" t="s">
        <v>4994</v>
      </c>
      <c r="L351" s="71"/>
      <c r="M351" s="170"/>
      <c r="N351" s="71"/>
      <c r="O351" s="71"/>
      <c r="P351" s="35"/>
      <c r="Q351" s="35"/>
      <c r="R351" s="35"/>
      <c r="S351" s="35"/>
    </row>
    <row r="352" spans="1:19" s="62" customFormat="1" hidden="1" x14ac:dyDescent="0.25">
      <c r="A352" s="32" t="s">
        <v>455</v>
      </c>
      <c r="B352" s="126">
        <v>43559</v>
      </c>
      <c r="C352" s="13">
        <v>256</v>
      </c>
      <c r="D352" s="13" t="s">
        <v>353</v>
      </c>
      <c r="E352" s="13" t="s">
        <v>958</v>
      </c>
      <c r="F352" s="37">
        <v>808399.92</v>
      </c>
      <c r="G352" s="189" t="s">
        <v>300</v>
      </c>
      <c r="H352" s="14">
        <v>43503</v>
      </c>
      <c r="I352" s="4" t="s">
        <v>5076</v>
      </c>
      <c r="J352" s="261" t="s">
        <v>3665</v>
      </c>
      <c r="K352" s="4" t="s">
        <v>4999</v>
      </c>
      <c r="L352" s="71"/>
      <c r="M352" s="170"/>
      <c r="N352" s="71"/>
      <c r="O352" s="71"/>
      <c r="P352" s="35"/>
      <c r="Q352" s="35"/>
      <c r="R352" s="35"/>
      <c r="S352" s="35"/>
    </row>
    <row r="353" spans="1:19" s="62" customFormat="1" hidden="1" x14ac:dyDescent="0.25">
      <c r="A353" s="32" t="s">
        <v>455</v>
      </c>
      <c r="B353" s="126">
        <v>43559</v>
      </c>
      <c r="C353" s="13">
        <v>256</v>
      </c>
      <c r="D353" s="13" t="s">
        <v>353</v>
      </c>
      <c r="E353" s="13" t="s">
        <v>958</v>
      </c>
      <c r="F353" s="37">
        <v>816914.08</v>
      </c>
      <c r="G353" s="189" t="s">
        <v>3375</v>
      </c>
      <c r="H353" s="14">
        <v>43510</v>
      </c>
      <c r="I353" s="4" t="s">
        <v>5041</v>
      </c>
      <c r="J353" s="261" t="s">
        <v>3665</v>
      </c>
      <c r="K353" s="4" t="s">
        <v>4999</v>
      </c>
      <c r="L353" s="71"/>
      <c r="M353" s="170"/>
      <c r="N353" s="71"/>
      <c r="O353" s="71"/>
      <c r="P353" s="35"/>
      <c r="Q353" s="35"/>
      <c r="R353" s="35"/>
      <c r="S353" s="35"/>
    </row>
    <row r="354" spans="1:19" s="97" customFormat="1" hidden="1" x14ac:dyDescent="0.25">
      <c r="A354" s="32" t="s">
        <v>455</v>
      </c>
      <c r="B354" s="126">
        <v>43559</v>
      </c>
      <c r="C354" s="13">
        <v>257</v>
      </c>
      <c r="D354" s="13" t="s">
        <v>1353</v>
      </c>
      <c r="E354" s="13" t="s">
        <v>958</v>
      </c>
      <c r="F354" s="4">
        <v>32380</v>
      </c>
      <c r="G354" s="28" t="s">
        <v>5951</v>
      </c>
      <c r="H354" s="14">
        <v>43535</v>
      </c>
      <c r="I354" s="4" t="s">
        <v>1497</v>
      </c>
      <c r="J354" s="133"/>
      <c r="K354" s="22"/>
      <c r="L354" s="134"/>
    </row>
    <row r="355" spans="1:19" s="97" customFormat="1" hidden="1" x14ac:dyDescent="0.25">
      <c r="A355" s="61" t="s">
        <v>455</v>
      </c>
      <c r="B355" s="126">
        <v>43559</v>
      </c>
      <c r="C355" s="13">
        <v>258</v>
      </c>
      <c r="D355" s="13" t="s">
        <v>666</v>
      </c>
      <c r="E355" s="13" t="s">
        <v>958</v>
      </c>
      <c r="F355" s="37">
        <v>11280</v>
      </c>
      <c r="G355" s="29" t="s">
        <v>1342</v>
      </c>
      <c r="H355" s="14">
        <v>43521</v>
      </c>
      <c r="I355" s="4" t="s">
        <v>45</v>
      </c>
      <c r="J355" s="133"/>
      <c r="K355" s="22"/>
      <c r="L355" s="134"/>
    </row>
    <row r="356" spans="1:19" s="97" customFormat="1" hidden="1" x14ac:dyDescent="0.25">
      <c r="A356" s="13" t="s">
        <v>455</v>
      </c>
      <c r="B356" s="126">
        <v>43559</v>
      </c>
      <c r="C356" s="13">
        <v>259</v>
      </c>
      <c r="D356" s="13" t="s">
        <v>666</v>
      </c>
      <c r="E356" s="13" t="s">
        <v>958</v>
      </c>
      <c r="F356" s="37">
        <v>100000</v>
      </c>
      <c r="G356" s="29" t="s">
        <v>1524</v>
      </c>
      <c r="H356" s="14">
        <v>43530</v>
      </c>
      <c r="I356" s="4" t="s">
        <v>5659</v>
      </c>
      <c r="J356" s="133"/>
      <c r="K356" s="22"/>
      <c r="L356" s="134"/>
    </row>
    <row r="357" spans="1:19" hidden="1" x14ac:dyDescent="0.25">
      <c r="A357" s="61" t="s">
        <v>455</v>
      </c>
      <c r="B357" s="126">
        <v>43559</v>
      </c>
      <c r="C357" s="13">
        <v>260</v>
      </c>
      <c r="D357" s="13" t="s">
        <v>5918</v>
      </c>
      <c r="E357" s="13" t="s">
        <v>958</v>
      </c>
      <c r="F357" s="37">
        <v>18600</v>
      </c>
      <c r="G357" s="29" t="s">
        <v>145</v>
      </c>
      <c r="H357" s="14">
        <v>43545</v>
      </c>
      <c r="I357" s="4" t="s">
        <v>5919</v>
      </c>
      <c r="J357" s="128"/>
    </row>
    <row r="358" spans="1:19" hidden="1" x14ac:dyDescent="0.25">
      <c r="A358" s="61" t="s">
        <v>455</v>
      </c>
      <c r="B358" s="126">
        <v>43559</v>
      </c>
      <c r="C358" s="13">
        <v>261</v>
      </c>
      <c r="D358" s="13" t="s">
        <v>5920</v>
      </c>
      <c r="E358" s="13" t="s">
        <v>958</v>
      </c>
      <c r="F358" s="37">
        <v>2000</v>
      </c>
      <c r="G358" s="29" t="s">
        <v>5921</v>
      </c>
      <c r="H358" s="14">
        <v>43544</v>
      </c>
      <c r="I358" s="4" t="s">
        <v>5922</v>
      </c>
      <c r="J358" s="128"/>
    </row>
    <row r="359" spans="1:19" hidden="1" x14ac:dyDescent="0.25">
      <c r="A359" s="13" t="s">
        <v>455</v>
      </c>
      <c r="B359" s="126">
        <v>43559</v>
      </c>
      <c r="C359" s="13">
        <v>262</v>
      </c>
      <c r="D359" s="13" t="s">
        <v>381</v>
      </c>
      <c r="E359" s="13" t="s">
        <v>958</v>
      </c>
      <c r="F359" s="4">
        <v>8000</v>
      </c>
      <c r="G359" s="28" t="s">
        <v>1158</v>
      </c>
      <c r="H359" s="14">
        <v>43524</v>
      </c>
      <c r="I359" s="4" t="s">
        <v>95</v>
      </c>
    </row>
    <row r="360" spans="1:19" hidden="1" x14ac:dyDescent="0.25">
      <c r="A360" s="61" t="s">
        <v>455</v>
      </c>
      <c r="B360" s="126">
        <v>43559</v>
      </c>
      <c r="C360" s="13">
        <v>263</v>
      </c>
      <c r="D360" s="13" t="s">
        <v>5345</v>
      </c>
      <c r="E360" s="13" t="s">
        <v>958</v>
      </c>
      <c r="F360" s="4">
        <v>50000</v>
      </c>
      <c r="G360" s="28" t="s">
        <v>459</v>
      </c>
      <c r="H360" s="14">
        <v>43524</v>
      </c>
      <c r="I360" s="4" t="s">
        <v>5346</v>
      </c>
    </row>
    <row r="361" spans="1:19" s="97" customFormat="1" ht="15" hidden="1" customHeight="1" x14ac:dyDescent="0.25">
      <c r="A361" s="32" t="s">
        <v>455</v>
      </c>
      <c r="B361" s="126">
        <v>43559</v>
      </c>
      <c r="C361" s="13">
        <v>264</v>
      </c>
      <c r="D361" s="32" t="s">
        <v>282</v>
      </c>
      <c r="E361" s="32" t="s">
        <v>958</v>
      </c>
      <c r="F361" s="4">
        <v>27170</v>
      </c>
      <c r="G361" s="28" t="s">
        <v>5132</v>
      </c>
      <c r="H361" s="14">
        <v>43517</v>
      </c>
      <c r="I361" s="32" t="s">
        <v>5129</v>
      </c>
      <c r="J361" s="442" t="s">
        <v>5030</v>
      </c>
      <c r="K361" s="32" t="s">
        <v>4999</v>
      </c>
      <c r="L361" s="22"/>
      <c r="M361" s="170"/>
      <c r="N361" s="22"/>
      <c r="O361" s="22"/>
    </row>
    <row r="362" spans="1:19" hidden="1" x14ac:dyDescent="0.25">
      <c r="A362" s="61" t="s">
        <v>455</v>
      </c>
      <c r="B362" s="126">
        <v>43559</v>
      </c>
      <c r="C362" s="13">
        <v>264</v>
      </c>
      <c r="D362" s="13" t="s">
        <v>282</v>
      </c>
      <c r="E362" s="13" t="s">
        <v>958</v>
      </c>
      <c r="F362" s="4">
        <v>12870</v>
      </c>
      <c r="G362" s="28" t="s">
        <v>4839</v>
      </c>
      <c r="H362" s="14">
        <v>43524</v>
      </c>
      <c r="I362" s="4" t="s">
        <v>283</v>
      </c>
    </row>
    <row r="363" spans="1:19" hidden="1" x14ac:dyDescent="0.25">
      <c r="A363" s="61" t="s">
        <v>455</v>
      </c>
      <c r="B363" s="126">
        <v>43559</v>
      </c>
      <c r="C363" s="13">
        <v>264</v>
      </c>
      <c r="D363" s="13" t="s">
        <v>282</v>
      </c>
      <c r="E363" s="13" t="s">
        <v>958</v>
      </c>
      <c r="F363" s="37">
        <v>30030</v>
      </c>
      <c r="G363" s="29" t="s">
        <v>5352</v>
      </c>
      <c r="H363" s="14">
        <v>43531</v>
      </c>
      <c r="I363" s="4" t="s">
        <v>283</v>
      </c>
    </row>
    <row r="364" spans="1:19" s="97" customFormat="1" ht="15" hidden="1" customHeight="1" x14ac:dyDescent="0.25">
      <c r="A364" s="32" t="s">
        <v>455</v>
      </c>
      <c r="B364" s="126">
        <v>43559</v>
      </c>
      <c r="C364" s="13">
        <v>265</v>
      </c>
      <c r="D364" s="13" t="s">
        <v>1395</v>
      </c>
      <c r="E364" s="32" t="s">
        <v>958</v>
      </c>
      <c r="F364" s="4">
        <v>27000</v>
      </c>
      <c r="G364" s="28" t="s">
        <v>1337</v>
      </c>
      <c r="H364" s="14">
        <v>43511</v>
      </c>
      <c r="I364" s="32" t="s">
        <v>4317</v>
      </c>
      <c r="J364" s="442" t="s">
        <v>5010</v>
      </c>
      <c r="K364" s="32" t="s">
        <v>4999</v>
      </c>
      <c r="L364" s="22"/>
      <c r="M364" s="170"/>
      <c r="N364" s="22"/>
      <c r="O364" s="22"/>
    </row>
    <row r="365" spans="1:19" s="97" customFormat="1" ht="15" hidden="1" customHeight="1" x14ac:dyDescent="0.25">
      <c r="A365" s="32" t="s">
        <v>455</v>
      </c>
      <c r="B365" s="126">
        <v>43559</v>
      </c>
      <c r="C365" s="13">
        <v>265</v>
      </c>
      <c r="D365" s="13" t="s">
        <v>1395</v>
      </c>
      <c r="E365" s="32" t="s">
        <v>958</v>
      </c>
      <c r="F365" s="4">
        <v>29700</v>
      </c>
      <c r="G365" s="28" t="s">
        <v>5065</v>
      </c>
      <c r="H365" s="14">
        <v>43514</v>
      </c>
      <c r="I365" s="32" t="s">
        <v>4317</v>
      </c>
      <c r="J365" s="442" t="s">
        <v>5010</v>
      </c>
      <c r="K365" s="32" t="s">
        <v>4999</v>
      </c>
      <c r="L365" s="22"/>
      <c r="M365" s="170"/>
      <c r="N365" s="22"/>
      <c r="O365" s="22"/>
    </row>
    <row r="366" spans="1:19" hidden="1" x14ac:dyDescent="0.25">
      <c r="A366" s="61" t="s">
        <v>455</v>
      </c>
      <c r="B366" s="126">
        <v>43559</v>
      </c>
      <c r="C366" s="13">
        <v>265</v>
      </c>
      <c r="D366" s="13" t="s">
        <v>1395</v>
      </c>
      <c r="E366" s="13" t="s">
        <v>958</v>
      </c>
      <c r="F366" s="37">
        <v>37800</v>
      </c>
      <c r="G366" s="29" t="s">
        <v>5360</v>
      </c>
      <c r="H366" s="14">
        <v>43531</v>
      </c>
      <c r="I366" s="4" t="s">
        <v>5359</v>
      </c>
    </row>
    <row r="367" spans="1:19" s="97" customFormat="1" ht="15" hidden="1" customHeight="1" x14ac:dyDescent="0.25">
      <c r="A367" s="32" t="s">
        <v>455</v>
      </c>
      <c r="B367" s="126">
        <v>43559</v>
      </c>
      <c r="C367" s="13">
        <v>266</v>
      </c>
      <c r="D367" s="32" t="s">
        <v>4870</v>
      </c>
      <c r="E367" s="32" t="s">
        <v>958</v>
      </c>
      <c r="F367" s="4">
        <v>28800</v>
      </c>
      <c r="G367" s="28" t="s">
        <v>5086</v>
      </c>
      <c r="H367" s="14">
        <v>43470</v>
      </c>
      <c r="I367" s="32" t="s">
        <v>2027</v>
      </c>
      <c r="J367" s="442" t="s">
        <v>5010</v>
      </c>
      <c r="K367" s="32" t="s">
        <v>4999</v>
      </c>
      <c r="L367" s="22"/>
      <c r="M367" s="170"/>
      <c r="N367" s="22"/>
      <c r="O367" s="22"/>
    </row>
    <row r="368" spans="1:19" s="97" customFormat="1" ht="15" hidden="1" customHeight="1" x14ac:dyDescent="0.25">
      <c r="A368" s="32" t="s">
        <v>455</v>
      </c>
      <c r="B368" s="126">
        <v>43559</v>
      </c>
      <c r="C368" s="13">
        <v>266</v>
      </c>
      <c r="D368" s="32" t="s">
        <v>4870</v>
      </c>
      <c r="E368" s="32" t="s">
        <v>958</v>
      </c>
      <c r="F368" s="4">
        <v>96000</v>
      </c>
      <c r="G368" s="28" t="s">
        <v>5084</v>
      </c>
      <c r="H368" s="14">
        <v>43479</v>
      </c>
      <c r="I368" s="32" t="s">
        <v>1941</v>
      </c>
      <c r="J368" s="442" t="s">
        <v>5010</v>
      </c>
      <c r="K368" s="32" t="s">
        <v>4999</v>
      </c>
      <c r="L368" s="22"/>
      <c r="M368" s="170"/>
      <c r="N368" s="22"/>
      <c r="O368" s="22"/>
    </row>
    <row r="369" spans="1:19" s="97" customFormat="1" ht="15" hidden="1" customHeight="1" x14ac:dyDescent="0.25">
      <c r="A369" s="32" t="s">
        <v>455</v>
      </c>
      <c r="B369" s="126">
        <v>43559</v>
      </c>
      <c r="C369" s="13">
        <v>251</v>
      </c>
      <c r="D369" s="32" t="s">
        <v>29</v>
      </c>
      <c r="E369" s="32" t="s">
        <v>958</v>
      </c>
      <c r="F369" s="4">
        <v>8250</v>
      </c>
      <c r="G369" s="28" t="s">
        <v>308</v>
      </c>
      <c r="H369" s="14">
        <v>43476</v>
      </c>
      <c r="I369" s="447" t="s">
        <v>87</v>
      </c>
      <c r="J369" s="442" t="s">
        <v>5010</v>
      </c>
      <c r="K369" s="32" t="s">
        <v>4999</v>
      </c>
      <c r="L369" s="22"/>
      <c r="M369" s="170"/>
      <c r="N369" s="22"/>
      <c r="O369" s="22"/>
    </row>
    <row r="370" spans="1:19" s="97" customFormat="1" ht="15" hidden="1" customHeight="1" x14ac:dyDescent="0.25">
      <c r="A370" s="32" t="s">
        <v>455</v>
      </c>
      <c r="B370" s="126">
        <v>43559</v>
      </c>
      <c r="C370" s="13">
        <v>251</v>
      </c>
      <c r="D370" s="32" t="s">
        <v>29</v>
      </c>
      <c r="E370" s="32" t="s">
        <v>958</v>
      </c>
      <c r="F370" s="4">
        <v>28000</v>
      </c>
      <c r="G370" s="28" t="s">
        <v>299</v>
      </c>
      <c r="H370" s="14">
        <v>43483</v>
      </c>
      <c r="I370" s="447" t="s">
        <v>87</v>
      </c>
      <c r="J370" s="442" t="s">
        <v>5010</v>
      </c>
      <c r="K370" s="32" t="s">
        <v>4999</v>
      </c>
      <c r="L370" s="22"/>
      <c r="M370" s="170"/>
      <c r="N370" s="22"/>
      <c r="O370" s="22"/>
    </row>
    <row r="371" spans="1:19" s="97" customFormat="1" ht="15" hidden="1" customHeight="1" x14ac:dyDescent="0.25">
      <c r="A371" s="32" t="s">
        <v>455</v>
      </c>
      <c r="B371" s="126">
        <v>43559</v>
      </c>
      <c r="C371" s="13">
        <v>252</v>
      </c>
      <c r="D371" s="32" t="s">
        <v>5111</v>
      </c>
      <c r="E371" s="32" t="s">
        <v>958</v>
      </c>
      <c r="F371" s="4">
        <v>100000</v>
      </c>
      <c r="G371" s="28" t="s">
        <v>5112</v>
      </c>
      <c r="H371" s="14">
        <v>43505</v>
      </c>
      <c r="I371" s="32" t="s">
        <v>4873</v>
      </c>
      <c r="J371" s="442" t="s">
        <v>5010</v>
      </c>
      <c r="K371" s="32" t="s">
        <v>4999</v>
      </c>
      <c r="L371" s="22"/>
      <c r="M371" s="170"/>
      <c r="N371" s="22"/>
      <c r="O371" s="22"/>
    </row>
    <row r="372" spans="1:19" ht="27.6" hidden="1" x14ac:dyDescent="0.25">
      <c r="A372" s="32" t="s">
        <v>5373</v>
      </c>
      <c r="B372" s="126">
        <v>43559</v>
      </c>
      <c r="C372" s="13">
        <v>253</v>
      </c>
      <c r="D372" s="13" t="s">
        <v>4874</v>
      </c>
      <c r="E372" s="32" t="s">
        <v>958</v>
      </c>
      <c r="F372" s="4">
        <v>16650</v>
      </c>
      <c r="G372" s="29" t="s">
        <v>3852</v>
      </c>
      <c r="H372" s="14">
        <v>43516</v>
      </c>
      <c r="I372" s="32" t="s">
        <v>87</v>
      </c>
    </row>
    <row r="373" spans="1:19" hidden="1" x14ac:dyDescent="0.25">
      <c r="A373" s="61" t="s">
        <v>455</v>
      </c>
      <c r="B373" s="126">
        <v>43559</v>
      </c>
      <c r="C373" s="13">
        <v>253</v>
      </c>
      <c r="D373" s="13" t="s">
        <v>4874</v>
      </c>
      <c r="E373" s="13" t="s">
        <v>958</v>
      </c>
      <c r="F373" s="37">
        <v>9250</v>
      </c>
      <c r="G373" s="29" t="s">
        <v>3218</v>
      </c>
      <c r="H373" s="14">
        <v>43524</v>
      </c>
      <c r="I373" s="4" t="s">
        <v>87</v>
      </c>
    </row>
    <row r="374" spans="1:19" hidden="1" x14ac:dyDescent="0.25">
      <c r="A374" s="61" t="s">
        <v>455</v>
      </c>
      <c r="B374" s="126">
        <v>43559</v>
      </c>
      <c r="C374" s="13">
        <v>253</v>
      </c>
      <c r="D374" s="13" t="s">
        <v>4874</v>
      </c>
      <c r="E374" s="13" t="s">
        <v>958</v>
      </c>
      <c r="F374" s="37">
        <v>12500</v>
      </c>
      <c r="G374" s="29" t="s">
        <v>1529</v>
      </c>
      <c r="H374" s="14">
        <v>43524</v>
      </c>
      <c r="I374" s="4" t="s">
        <v>5889</v>
      </c>
    </row>
    <row r="375" spans="1:19" s="62" customFormat="1" ht="15" hidden="1" customHeight="1" x14ac:dyDescent="0.25">
      <c r="A375" s="32" t="s">
        <v>455</v>
      </c>
      <c r="B375" s="126">
        <v>43559</v>
      </c>
      <c r="C375" s="13">
        <v>267</v>
      </c>
      <c r="D375" s="32" t="s">
        <v>431</v>
      </c>
      <c r="E375" s="32" t="s">
        <v>958</v>
      </c>
      <c r="F375" s="4">
        <v>76500</v>
      </c>
      <c r="G375" s="28" t="s">
        <v>1128</v>
      </c>
      <c r="H375" s="14">
        <v>43448</v>
      </c>
      <c r="I375" s="32" t="s">
        <v>95</v>
      </c>
      <c r="J375" s="442" t="s">
        <v>5010</v>
      </c>
      <c r="K375" s="4" t="s">
        <v>4999</v>
      </c>
      <c r="L375" s="170"/>
      <c r="M375" s="71"/>
      <c r="N375" s="71"/>
      <c r="O375" s="71"/>
      <c r="P375" s="35"/>
      <c r="Q375" s="35"/>
      <c r="R375" s="35"/>
      <c r="S375" s="35"/>
    </row>
    <row r="376" spans="1:19" s="62" customFormat="1" ht="15" hidden="1" customHeight="1" x14ac:dyDescent="0.25">
      <c r="A376" s="32" t="s">
        <v>1350</v>
      </c>
      <c r="B376" s="14">
        <v>43559</v>
      </c>
      <c r="C376" s="13">
        <v>225</v>
      </c>
      <c r="D376" s="13" t="s">
        <v>298</v>
      </c>
      <c r="E376" s="13" t="s">
        <v>691</v>
      </c>
      <c r="F376" s="37">
        <v>6500</v>
      </c>
      <c r="G376" s="189" t="s">
        <v>6001</v>
      </c>
      <c r="H376" s="14">
        <v>43556</v>
      </c>
      <c r="I376" s="4" t="s">
        <v>6002</v>
      </c>
      <c r="J376" s="359"/>
      <c r="K376" s="50"/>
      <c r="L376" s="71"/>
      <c r="M376" s="170"/>
      <c r="N376" s="71"/>
      <c r="O376" s="71"/>
      <c r="P376" s="35"/>
      <c r="Q376" s="35"/>
      <c r="R376" s="35"/>
      <c r="S376" s="35"/>
    </row>
    <row r="377" spans="1:19" s="97" customFormat="1" hidden="1" x14ac:dyDescent="0.25">
      <c r="A377" s="13" t="s">
        <v>151</v>
      </c>
      <c r="B377" s="14">
        <v>43559</v>
      </c>
      <c r="C377" s="67">
        <v>226</v>
      </c>
      <c r="D377" s="13" t="s">
        <v>776</v>
      </c>
      <c r="E377" s="13" t="s">
        <v>691</v>
      </c>
      <c r="F377" s="4">
        <v>2600</v>
      </c>
      <c r="G377" s="29" t="s">
        <v>301</v>
      </c>
      <c r="H377" s="14">
        <v>43550</v>
      </c>
      <c r="I377" s="4" t="s">
        <v>6004</v>
      </c>
      <c r="J377" s="22"/>
      <c r="K377" s="22"/>
      <c r="L377" s="134"/>
    </row>
    <row r="378" spans="1:19" s="129" customFormat="1" ht="13.95" hidden="1" customHeight="1" x14ac:dyDescent="0.25">
      <c r="A378" s="13" t="s">
        <v>151</v>
      </c>
      <c r="B378" s="14">
        <v>43559</v>
      </c>
      <c r="C378" s="28" t="s">
        <v>4015</v>
      </c>
      <c r="D378" s="13" t="s">
        <v>258</v>
      </c>
      <c r="E378" s="32" t="s">
        <v>691</v>
      </c>
      <c r="F378" s="4">
        <v>4041</v>
      </c>
      <c r="G378" s="28" t="s">
        <v>5828</v>
      </c>
      <c r="H378" s="14">
        <v>43549</v>
      </c>
      <c r="I378" s="4" t="s">
        <v>6003</v>
      </c>
      <c r="J378" s="22"/>
      <c r="K378" s="136"/>
    </row>
    <row r="379" spans="1:19" ht="13.8" hidden="1" customHeight="1" x14ac:dyDescent="0.25">
      <c r="A379" s="32" t="s">
        <v>151</v>
      </c>
      <c r="B379" s="14">
        <v>43559</v>
      </c>
      <c r="C379" s="13">
        <v>228</v>
      </c>
      <c r="D379" s="32" t="s">
        <v>5722</v>
      </c>
      <c r="E379" s="32" t="s">
        <v>691</v>
      </c>
      <c r="F379" s="4">
        <v>9600</v>
      </c>
      <c r="G379" s="29" t="s">
        <v>5723</v>
      </c>
      <c r="H379" s="14">
        <v>43544</v>
      </c>
      <c r="I379" s="4" t="s">
        <v>5724</v>
      </c>
      <c r="J379" s="21"/>
      <c r="K379" s="228"/>
    </row>
    <row r="380" spans="1:19" ht="13.8" hidden="1" customHeight="1" x14ac:dyDescent="0.25">
      <c r="A380" s="32" t="s">
        <v>151</v>
      </c>
      <c r="B380" s="14">
        <v>43559</v>
      </c>
      <c r="C380" s="13">
        <v>237</v>
      </c>
      <c r="D380" s="32" t="s">
        <v>112</v>
      </c>
      <c r="E380" s="32" t="s">
        <v>691</v>
      </c>
      <c r="F380" s="4">
        <v>3000</v>
      </c>
      <c r="G380" s="29" t="s">
        <v>1233</v>
      </c>
      <c r="H380" s="14">
        <v>43544</v>
      </c>
      <c r="I380" s="4" t="s">
        <v>5589</v>
      </c>
      <c r="J380" s="21"/>
      <c r="K380" s="228"/>
    </row>
    <row r="381" spans="1:19" ht="13.8" hidden="1" customHeight="1" x14ac:dyDescent="0.25">
      <c r="A381" s="32" t="s">
        <v>151</v>
      </c>
      <c r="B381" s="14">
        <v>43559</v>
      </c>
      <c r="C381" s="13">
        <v>237</v>
      </c>
      <c r="D381" s="32" t="s">
        <v>112</v>
      </c>
      <c r="E381" s="32" t="s">
        <v>691</v>
      </c>
      <c r="F381" s="4">
        <v>10000</v>
      </c>
      <c r="G381" s="29" t="s">
        <v>5590</v>
      </c>
      <c r="H381" s="14">
        <v>43537</v>
      </c>
      <c r="I381" s="4" t="s">
        <v>5591</v>
      </c>
      <c r="J381" s="21"/>
      <c r="K381" s="228"/>
    </row>
    <row r="382" spans="1:19" hidden="1" x14ac:dyDescent="0.25">
      <c r="A382" s="13" t="s">
        <v>637</v>
      </c>
      <c r="B382" s="14">
        <v>43559</v>
      </c>
      <c r="C382" s="28" t="s">
        <v>5666</v>
      </c>
      <c r="D382" s="32" t="s">
        <v>432</v>
      </c>
      <c r="E382" s="32" t="s">
        <v>691</v>
      </c>
      <c r="F382" s="4">
        <v>50000</v>
      </c>
      <c r="G382" s="69" t="s">
        <v>3256</v>
      </c>
      <c r="H382" s="14"/>
      <c r="I382" s="4" t="s">
        <v>433</v>
      </c>
      <c r="J382" s="21"/>
      <c r="K382" s="228"/>
    </row>
    <row r="383" spans="1:19" hidden="1" x14ac:dyDescent="0.25">
      <c r="A383" s="13" t="s">
        <v>637</v>
      </c>
      <c r="B383" s="14">
        <v>43559</v>
      </c>
      <c r="C383" s="13">
        <v>239</v>
      </c>
      <c r="D383" s="13" t="s">
        <v>528</v>
      </c>
      <c r="E383" s="13" t="s">
        <v>691</v>
      </c>
      <c r="F383" s="37">
        <v>2678191.7999999998</v>
      </c>
      <c r="G383" s="29" t="s">
        <v>1649</v>
      </c>
      <c r="H383" s="14"/>
      <c r="I383" s="4" t="s">
        <v>1650</v>
      </c>
      <c r="J383" s="62"/>
      <c r="K383" s="62"/>
      <c r="L383" s="35"/>
      <c r="M383" s="35"/>
      <c r="N383" s="35"/>
      <c r="O383" s="35"/>
      <c r="P383" s="35"/>
    </row>
    <row r="384" spans="1:19" s="97" customFormat="1" hidden="1" x14ac:dyDescent="0.25">
      <c r="A384" s="61" t="s">
        <v>1350</v>
      </c>
      <c r="B384" s="14">
        <v>43559</v>
      </c>
      <c r="C384" s="13">
        <v>229</v>
      </c>
      <c r="D384" s="13" t="s">
        <v>589</v>
      </c>
      <c r="E384" s="13" t="s">
        <v>691</v>
      </c>
      <c r="F384" s="37">
        <v>761500</v>
      </c>
      <c r="G384" s="29" t="s">
        <v>4112</v>
      </c>
      <c r="H384" s="14">
        <v>43508</v>
      </c>
      <c r="I384" s="4" t="s">
        <v>4113</v>
      </c>
      <c r="J384" s="133"/>
      <c r="K384" s="22"/>
      <c r="L384" s="134"/>
    </row>
    <row r="385" spans="1:19" s="97" customFormat="1" hidden="1" x14ac:dyDescent="0.25">
      <c r="A385" s="61" t="s">
        <v>1350</v>
      </c>
      <c r="B385" s="14">
        <v>43559</v>
      </c>
      <c r="C385" s="13">
        <v>230</v>
      </c>
      <c r="D385" s="13" t="s">
        <v>1353</v>
      </c>
      <c r="E385" s="13" t="s">
        <v>691</v>
      </c>
      <c r="F385" s="4">
        <v>7875</v>
      </c>
      <c r="G385" s="28" t="s">
        <v>5950</v>
      </c>
      <c r="H385" s="14">
        <v>43535</v>
      </c>
      <c r="I385" s="4" t="s">
        <v>108</v>
      </c>
      <c r="J385" s="133"/>
      <c r="K385" s="22"/>
      <c r="L385" s="134"/>
    </row>
    <row r="386" spans="1:19" s="97" customFormat="1" hidden="1" x14ac:dyDescent="0.25">
      <c r="A386" s="13" t="s">
        <v>637</v>
      </c>
      <c r="B386" s="14">
        <v>43559</v>
      </c>
      <c r="C386" s="13">
        <v>231</v>
      </c>
      <c r="D386" s="13" t="s">
        <v>869</v>
      </c>
      <c r="E386" s="13" t="s">
        <v>691</v>
      </c>
      <c r="F386" s="37">
        <v>79606.37</v>
      </c>
      <c r="G386" s="29" t="s">
        <v>4952</v>
      </c>
      <c r="H386" s="14">
        <v>43525</v>
      </c>
      <c r="I386" s="4" t="s">
        <v>572</v>
      </c>
      <c r="J386" s="133"/>
      <c r="K386" s="22"/>
      <c r="L386" s="134"/>
    </row>
    <row r="387" spans="1:19" s="97" customFormat="1" hidden="1" x14ac:dyDescent="0.25">
      <c r="A387" s="61" t="s">
        <v>1350</v>
      </c>
      <c r="B387" s="14">
        <v>43559</v>
      </c>
      <c r="C387" s="13">
        <v>232</v>
      </c>
      <c r="D387" s="13" t="s">
        <v>1491</v>
      </c>
      <c r="E387" s="13" t="s">
        <v>691</v>
      </c>
      <c r="F387" s="37">
        <v>156631.56</v>
      </c>
      <c r="G387" s="29" t="s">
        <v>5391</v>
      </c>
      <c r="H387" s="14">
        <v>43523</v>
      </c>
      <c r="I387" s="4" t="s">
        <v>555</v>
      </c>
      <c r="J387" s="133"/>
      <c r="K387" s="22"/>
      <c r="L387" s="134"/>
    </row>
    <row r="388" spans="1:19" s="2" customFormat="1" hidden="1" x14ac:dyDescent="0.25">
      <c r="A388" s="32" t="s">
        <v>637</v>
      </c>
      <c r="B388" s="14">
        <v>43559</v>
      </c>
      <c r="C388" s="13">
        <v>233</v>
      </c>
      <c r="D388" s="13" t="s">
        <v>340</v>
      </c>
      <c r="E388" s="13" t="s">
        <v>691</v>
      </c>
      <c r="F388" s="4">
        <v>4800</v>
      </c>
      <c r="G388" s="28" t="s">
        <v>1402</v>
      </c>
      <c r="H388" s="14">
        <v>43535</v>
      </c>
      <c r="I388" s="4" t="s">
        <v>1346</v>
      </c>
      <c r="J388" s="121"/>
      <c r="K388" s="5"/>
    </row>
    <row r="389" spans="1:19" hidden="1" x14ac:dyDescent="0.25">
      <c r="A389" s="61" t="s">
        <v>637</v>
      </c>
      <c r="B389" s="14">
        <v>43559</v>
      </c>
      <c r="C389" s="13">
        <v>234</v>
      </c>
      <c r="D389" s="13" t="s">
        <v>1348</v>
      </c>
      <c r="E389" s="13" t="s">
        <v>691</v>
      </c>
      <c r="F389" s="37">
        <v>49700</v>
      </c>
      <c r="G389" s="29" t="s">
        <v>158</v>
      </c>
      <c r="H389" s="14">
        <v>43530</v>
      </c>
      <c r="I389" s="4" t="s">
        <v>319</v>
      </c>
      <c r="J389" s="128"/>
    </row>
    <row r="390" spans="1:19" hidden="1" x14ac:dyDescent="0.25">
      <c r="A390" s="32" t="s">
        <v>637</v>
      </c>
      <c r="B390" s="14">
        <v>43559</v>
      </c>
      <c r="C390" s="13">
        <v>235</v>
      </c>
      <c r="D390" s="13" t="s">
        <v>5915</v>
      </c>
      <c r="E390" s="13" t="s">
        <v>691</v>
      </c>
      <c r="F390" s="37">
        <v>12650</v>
      </c>
      <c r="G390" s="29" t="s">
        <v>5916</v>
      </c>
      <c r="H390" s="14">
        <v>43550</v>
      </c>
      <c r="I390" s="4" t="s">
        <v>5917</v>
      </c>
      <c r="J390" s="128"/>
    </row>
    <row r="391" spans="1:19" hidden="1" x14ac:dyDescent="0.25">
      <c r="A391" s="61" t="s">
        <v>637</v>
      </c>
      <c r="B391" s="14">
        <v>43559</v>
      </c>
      <c r="C391" s="13">
        <v>236</v>
      </c>
      <c r="D391" s="13" t="s">
        <v>944</v>
      </c>
      <c r="E391" s="13" t="s">
        <v>691</v>
      </c>
      <c r="F391" s="37">
        <v>18000</v>
      </c>
      <c r="G391" s="29" t="s">
        <v>1529</v>
      </c>
      <c r="H391" s="14">
        <v>43518</v>
      </c>
      <c r="I391" s="4" t="s">
        <v>402</v>
      </c>
    </row>
    <row r="392" spans="1:19" hidden="1" x14ac:dyDescent="0.25">
      <c r="A392" s="61" t="s">
        <v>637</v>
      </c>
      <c r="B392" s="14">
        <v>43559</v>
      </c>
      <c r="C392" s="13">
        <v>240</v>
      </c>
      <c r="D392" s="13" t="s">
        <v>282</v>
      </c>
      <c r="E392" s="13" t="s">
        <v>691</v>
      </c>
      <c r="F392" s="37">
        <v>7150</v>
      </c>
      <c r="G392" s="29" t="s">
        <v>4840</v>
      </c>
      <c r="H392" s="14">
        <v>43524</v>
      </c>
      <c r="I392" s="4" t="s">
        <v>283</v>
      </c>
    </row>
    <row r="393" spans="1:19" hidden="1" x14ac:dyDescent="0.25">
      <c r="A393" s="61" t="s">
        <v>637</v>
      </c>
      <c r="B393" s="14">
        <v>43559</v>
      </c>
      <c r="C393" s="13">
        <v>240</v>
      </c>
      <c r="D393" s="13" t="s">
        <v>282</v>
      </c>
      <c r="E393" s="13" t="s">
        <v>691</v>
      </c>
      <c r="F393" s="37">
        <v>7150</v>
      </c>
      <c r="G393" s="29" t="s">
        <v>5355</v>
      </c>
      <c r="H393" s="14">
        <v>43531</v>
      </c>
      <c r="I393" s="4" t="s">
        <v>283</v>
      </c>
    </row>
    <row r="394" spans="1:19" ht="13.95" hidden="1" customHeight="1" x14ac:dyDescent="0.25">
      <c r="A394" s="68" t="s">
        <v>310</v>
      </c>
      <c r="B394" s="126">
        <v>43559</v>
      </c>
      <c r="C394" s="13">
        <v>239</v>
      </c>
      <c r="D394" s="32" t="s">
        <v>1664</v>
      </c>
      <c r="E394" s="32" t="s">
        <v>958</v>
      </c>
      <c r="F394" s="4">
        <v>5000000</v>
      </c>
      <c r="G394" s="86" t="s">
        <v>4471</v>
      </c>
      <c r="H394" s="211"/>
      <c r="I394" s="208" t="s">
        <v>16</v>
      </c>
      <c r="J394" s="21"/>
      <c r="K394" s="228"/>
    </row>
    <row r="395" spans="1:19" ht="13.95" hidden="1" customHeight="1" x14ac:dyDescent="0.25">
      <c r="A395" s="61" t="s">
        <v>310</v>
      </c>
      <c r="B395" s="126">
        <v>43559</v>
      </c>
      <c r="C395" s="13">
        <v>240</v>
      </c>
      <c r="D395" s="13" t="s">
        <v>474</v>
      </c>
      <c r="E395" s="32" t="s">
        <v>958</v>
      </c>
      <c r="F395" s="4">
        <v>1428747</v>
      </c>
      <c r="G395" s="86" t="s">
        <v>5726</v>
      </c>
      <c r="H395" s="211"/>
      <c r="I395" s="4" t="s">
        <v>5727</v>
      </c>
      <c r="J395" s="21"/>
      <c r="K395" s="228"/>
    </row>
    <row r="396" spans="1:19" s="62" customFormat="1" ht="15" hidden="1" customHeight="1" x14ac:dyDescent="0.25">
      <c r="A396" s="32" t="s">
        <v>455</v>
      </c>
      <c r="B396" s="126">
        <v>43559</v>
      </c>
      <c r="C396" s="13">
        <v>241</v>
      </c>
      <c r="D396" s="13" t="s">
        <v>5006</v>
      </c>
      <c r="E396" s="13" t="s">
        <v>958</v>
      </c>
      <c r="F396" s="37">
        <v>360040</v>
      </c>
      <c r="G396" s="70" t="s">
        <v>5422</v>
      </c>
      <c r="H396" s="14"/>
      <c r="I396" s="4" t="s">
        <v>1244</v>
      </c>
      <c r="J396" s="261" t="s">
        <v>5008</v>
      </c>
      <c r="K396" s="4" t="s">
        <v>4999</v>
      </c>
      <c r="L396" s="71"/>
      <c r="M396" s="170"/>
      <c r="N396" s="71"/>
      <c r="O396" s="71"/>
      <c r="P396" s="35"/>
      <c r="Q396" s="35"/>
      <c r="R396" s="35"/>
      <c r="S396" s="35"/>
    </row>
    <row r="397" spans="1:19" s="62" customFormat="1" hidden="1" x14ac:dyDescent="0.25">
      <c r="A397" s="32" t="s">
        <v>455</v>
      </c>
      <c r="B397" s="126">
        <v>43559</v>
      </c>
      <c r="C397" s="13">
        <v>242</v>
      </c>
      <c r="D397" s="13" t="s">
        <v>5053</v>
      </c>
      <c r="E397" s="13" t="s">
        <v>958</v>
      </c>
      <c r="F397" s="37">
        <f>839120.2-450000</f>
        <v>389120.19999999995</v>
      </c>
      <c r="G397" s="189" t="s">
        <v>5057</v>
      </c>
      <c r="H397" s="14">
        <v>43501</v>
      </c>
      <c r="I397" s="4" t="s">
        <v>5058</v>
      </c>
      <c r="J397" s="261" t="s">
        <v>3665</v>
      </c>
      <c r="K397" s="4" t="s">
        <v>4999</v>
      </c>
      <c r="L397" s="71"/>
      <c r="M397" s="170"/>
      <c r="N397" s="71"/>
      <c r="O397" s="71"/>
      <c r="P397" s="35"/>
      <c r="Q397" s="35"/>
      <c r="R397" s="35"/>
      <c r="S397" s="35"/>
    </row>
    <row r="398" spans="1:19" s="62" customFormat="1" hidden="1" x14ac:dyDescent="0.25">
      <c r="A398" s="32" t="s">
        <v>455</v>
      </c>
      <c r="B398" s="126">
        <v>43559</v>
      </c>
      <c r="C398" s="13">
        <v>243</v>
      </c>
      <c r="D398" s="13" t="s">
        <v>589</v>
      </c>
      <c r="E398" s="13" t="s">
        <v>958</v>
      </c>
      <c r="F398" s="37">
        <v>409180</v>
      </c>
      <c r="G398" s="189" t="s">
        <v>5075</v>
      </c>
      <c r="H398" s="14">
        <v>43511</v>
      </c>
      <c r="I398" s="4" t="s">
        <v>5076</v>
      </c>
      <c r="J398" s="261" t="s">
        <v>3665</v>
      </c>
      <c r="K398" s="4" t="s">
        <v>4999</v>
      </c>
      <c r="L398" s="71"/>
      <c r="M398" s="170"/>
      <c r="N398" s="71"/>
      <c r="O398" s="71"/>
      <c r="P398" s="35"/>
      <c r="Q398" s="35"/>
      <c r="R398" s="35"/>
      <c r="S398" s="35"/>
    </row>
    <row r="399" spans="1:19" s="62" customFormat="1" hidden="1" x14ac:dyDescent="0.25">
      <c r="A399" s="32" t="s">
        <v>455</v>
      </c>
      <c r="B399" s="126">
        <v>43559</v>
      </c>
      <c r="C399" s="13">
        <v>243</v>
      </c>
      <c r="D399" s="13" t="s">
        <v>589</v>
      </c>
      <c r="E399" s="13" t="s">
        <v>958</v>
      </c>
      <c r="F399" s="37">
        <v>425000</v>
      </c>
      <c r="G399" s="189" t="s">
        <v>5077</v>
      </c>
      <c r="H399" s="14">
        <v>43511</v>
      </c>
      <c r="I399" s="4" t="s">
        <v>5071</v>
      </c>
      <c r="J399" s="261" t="s">
        <v>3665</v>
      </c>
      <c r="K399" s="4" t="s">
        <v>4999</v>
      </c>
      <c r="L399" s="71"/>
      <c r="M399" s="170"/>
      <c r="N399" s="71"/>
      <c r="O399" s="71"/>
      <c r="P399" s="35"/>
      <c r="Q399" s="35"/>
      <c r="R399" s="35"/>
      <c r="S399" s="35"/>
    </row>
    <row r="400" spans="1:19" s="62" customFormat="1" hidden="1" x14ac:dyDescent="0.25">
      <c r="A400" s="32" t="s">
        <v>455</v>
      </c>
      <c r="B400" s="126">
        <v>43559</v>
      </c>
      <c r="C400" s="13">
        <v>244</v>
      </c>
      <c r="D400" s="13" t="s">
        <v>353</v>
      </c>
      <c r="E400" s="13" t="s">
        <v>958</v>
      </c>
      <c r="F400" s="37">
        <v>835999.92</v>
      </c>
      <c r="G400" s="189" t="s">
        <v>3390</v>
      </c>
      <c r="H400" s="14">
        <v>43511</v>
      </c>
      <c r="I400" s="4" t="s">
        <v>5055</v>
      </c>
      <c r="J400" s="261" t="s">
        <v>3665</v>
      </c>
      <c r="K400" s="4" t="s">
        <v>4999</v>
      </c>
      <c r="L400" s="71"/>
      <c r="M400" s="170"/>
      <c r="N400" s="71"/>
      <c r="O400" s="71"/>
      <c r="P400" s="35"/>
      <c r="Q400" s="35"/>
      <c r="R400" s="35"/>
      <c r="S400" s="35"/>
    </row>
    <row r="401" spans="1:19" s="62" customFormat="1" hidden="1" x14ac:dyDescent="0.25">
      <c r="A401" s="32" t="s">
        <v>455</v>
      </c>
      <c r="B401" s="126">
        <v>43559</v>
      </c>
      <c r="C401" s="13">
        <v>244</v>
      </c>
      <c r="D401" s="13" t="s">
        <v>353</v>
      </c>
      <c r="E401" s="13" t="s">
        <v>958</v>
      </c>
      <c r="F401" s="37">
        <v>844585.08</v>
      </c>
      <c r="G401" s="189" t="s">
        <v>86</v>
      </c>
      <c r="H401" s="14">
        <v>43511</v>
      </c>
      <c r="I401" s="4" t="s">
        <v>5041</v>
      </c>
      <c r="J401" s="261" t="s">
        <v>3665</v>
      </c>
      <c r="K401" s="4" t="s">
        <v>4999</v>
      </c>
      <c r="L401" s="71"/>
      <c r="M401" s="170"/>
      <c r="N401" s="71"/>
      <c r="O401" s="71"/>
      <c r="P401" s="35"/>
      <c r="Q401" s="35"/>
      <c r="R401" s="35"/>
      <c r="S401" s="35"/>
    </row>
    <row r="402" spans="1:19" s="97" customFormat="1" hidden="1" x14ac:dyDescent="0.25">
      <c r="A402" s="61" t="s">
        <v>455</v>
      </c>
      <c r="B402" s="126">
        <v>43559</v>
      </c>
      <c r="C402" s="13">
        <v>245</v>
      </c>
      <c r="D402" s="13" t="s">
        <v>1032</v>
      </c>
      <c r="E402" s="13" t="s">
        <v>958</v>
      </c>
      <c r="F402" s="37">
        <v>157500</v>
      </c>
      <c r="G402" s="29" t="s">
        <v>5700</v>
      </c>
      <c r="H402" s="14">
        <v>43529</v>
      </c>
      <c r="I402" s="4" t="s">
        <v>142</v>
      </c>
      <c r="J402" s="133"/>
      <c r="K402" s="22"/>
      <c r="L402" s="134"/>
    </row>
    <row r="403" spans="1:19" s="97" customFormat="1" hidden="1" x14ac:dyDescent="0.25">
      <c r="A403" s="13" t="s">
        <v>455</v>
      </c>
      <c r="B403" s="126">
        <v>43559</v>
      </c>
      <c r="C403" s="13">
        <v>246</v>
      </c>
      <c r="D403" s="13" t="s">
        <v>666</v>
      </c>
      <c r="E403" s="13" t="s">
        <v>958</v>
      </c>
      <c r="F403" s="37">
        <f>301941-100000</f>
        <v>201941</v>
      </c>
      <c r="G403" s="29" t="s">
        <v>1524</v>
      </c>
      <c r="H403" s="14">
        <v>43530</v>
      </c>
      <c r="I403" s="4" t="s">
        <v>5659</v>
      </c>
      <c r="J403" s="133"/>
      <c r="K403" s="22"/>
      <c r="L403" s="134"/>
    </row>
    <row r="404" spans="1:19" hidden="1" x14ac:dyDescent="0.25">
      <c r="A404" s="61" t="s">
        <v>455</v>
      </c>
      <c r="B404" s="126">
        <v>43559</v>
      </c>
      <c r="C404" s="13">
        <v>247</v>
      </c>
      <c r="D404" s="13" t="s">
        <v>1395</v>
      </c>
      <c r="E404" s="13" t="s">
        <v>958</v>
      </c>
      <c r="F404" s="37">
        <v>32400</v>
      </c>
      <c r="G404" s="29" t="s">
        <v>5362</v>
      </c>
      <c r="H404" s="14">
        <v>43535</v>
      </c>
      <c r="I404" s="4" t="s">
        <v>5361</v>
      </c>
    </row>
    <row r="405" spans="1:19" hidden="1" x14ac:dyDescent="0.25">
      <c r="A405" s="61" t="s">
        <v>310</v>
      </c>
      <c r="B405" s="126">
        <v>43559</v>
      </c>
      <c r="C405" s="13">
        <v>248</v>
      </c>
      <c r="D405" s="13" t="s">
        <v>250</v>
      </c>
      <c r="E405" s="13" t="s">
        <v>958</v>
      </c>
      <c r="F405" s="37">
        <v>27500</v>
      </c>
      <c r="G405" s="29" t="s">
        <v>5618</v>
      </c>
      <c r="H405" s="14">
        <v>43533</v>
      </c>
      <c r="I405" s="4" t="s">
        <v>337</v>
      </c>
    </row>
    <row r="406" spans="1:19" s="62" customFormat="1" ht="15" hidden="1" customHeight="1" x14ac:dyDescent="0.25">
      <c r="A406" s="32" t="s">
        <v>455</v>
      </c>
      <c r="B406" s="126">
        <v>43559</v>
      </c>
      <c r="C406" s="13">
        <v>249</v>
      </c>
      <c r="D406" s="32" t="s">
        <v>431</v>
      </c>
      <c r="E406" s="32" t="s">
        <v>958</v>
      </c>
      <c r="F406" s="4">
        <v>17000</v>
      </c>
      <c r="G406" s="28" t="s">
        <v>3211</v>
      </c>
      <c r="H406" s="14">
        <v>43510</v>
      </c>
      <c r="I406" s="32" t="s">
        <v>95</v>
      </c>
      <c r="J406" s="442" t="s">
        <v>5010</v>
      </c>
      <c r="K406" s="4" t="s">
        <v>4999</v>
      </c>
      <c r="L406" s="170"/>
      <c r="M406" s="71"/>
      <c r="N406" s="71"/>
      <c r="O406" s="71"/>
      <c r="P406" s="35"/>
      <c r="Q406" s="35"/>
      <c r="R406" s="35"/>
      <c r="S406" s="35"/>
    </row>
    <row r="407" spans="1:19" s="62" customFormat="1" ht="27.6" hidden="1" x14ac:dyDescent="0.25">
      <c r="A407" s="13" t="s">
        <v>495</v>
      </c>
      <c r="B407" s="14">
        <v>43559</v>
      </c>
      <c r="C407" s="13">
        <v>40</v>
      </c>
      <c r="D407" s="13" t="s">
        <v>5728</v>
      </c>
      <c r="E407" s="13" t="s">
        <v>6289</v>
      </c>
      <c r="F407" s="37">
        <v>2983.06</v>
      </c>
      <c r="G407" s="29" t="s">
        <v>5729</v>
      </c>
      <c r="H407" s="14">
        <v>43269</v>
      </c>
      <c r="I407" s="4" t="s">
        <v>5730</v>
      </c>
      <c r="J407" s="71" t="s">
        <v>4738</v>
      </c>
      <c r="O407" s="35"/>
      <c r="P407" s="35"/>
      <c r="Q407" s="35"/>
      <c r="R407" s="35"/>
      <c r="S407" s="35"/>
    </row>
    <row r="408" spans="1:19" s="62" customFormat="1" ht="27.6" hidden="1" x14ac:dyDescent="0.25">
      <c r="A408" s="13" t="s">
        <v>495</v>
      </c>
      <c r="B408" s="14">
        <v>43559</v>
      </c>
      <c r="C408" s="13">
        <v>40</v>
      </c>
      <c r="D408" s="13" t="s">
        <v>5728</v>
      </c>
      <c r="E408" s="13" t="s">
        <v>6289</v>
      </c>
      <c r="F408" s="37">
        <v>76271.19</v>
      </c>
      <c r="G408" s="29" t="s">
        <v>5729</v>
      </c>
      <c r="H408" s="14">
        <v>43269</v>
      </c>
      <c r="I408" s="4" t="s">
        <v>5730</v>
      </c>
      <c r="J408" s="71" t="s">
        <v>4742</v>
      </c>
      <c r="O408" s="35"/>
      <c r="P408" s="35"/>
      <c r="Q408" s="35"/>
      <c r="R408" s="35"/>
      <c r="S408" s="35"/>
    </row>
    <row r="409" spans="1:19" s="62" customFormat="1" ht="15" hidden="1" customHeight="1" x14ac:dyDescent="0.25">
      <c r="A409" s="13" t="s">
        <v>1934</v>
      </c>
      <c r="B409" s="14">
        <v>43559</v>
      </c>
      <c r="C409" s="13">
        <v>28</v>
      </c>
      <c r="D409" s="13" t="s">
        <v>1930</v>
      </c>
      <c r="E409" s="13" t="s">
        <v>482</v>
      </c>
      <c r="F409" s="37">
        <v>63460</v>
      </c>
      <c r="G409" s="29" t="s">
        <v>5251</v>
      </c>
      <c r="H409" s="14">
        <v>43556</v>
      </c>
      <c r="I409" s="4" t="s">
        <v>6061</v>
      </c>
      <c r="J409" s="71"/>
      <c r="O409" s="35"/>
      <c r="P409" s="35"/>
      <c r="Q409" s="35"/>
      <c r="R409" s="35"/>
      <c r="S409" s="35"/>
    </row>
    <row r="410" spans="1:19" hidden="1" x14ac:dyDescent="0.25">
      <c r="A410" s="61" t="s">
        <v>637</v>
      </c>
      <c r="B410" s="14">
        <v>43559</v>
      </c>
      <c r="C410" s="13">
        <v>241</v>
      </c>
      <c r="D410" s="13" t="s">
        <v>5920</v>
      </c>
      <c r="E410" s="13" t="s">
        <v>691</v>
      </c>
      <c r="F410" s="4">
        <v>6840</v>
      </c>
      <c r="G410" s="28" t="s">
        <v>2256</v>
      </c>
      <c r="H410" s="14">
        <v>43558</v>
      </c>
      <c r="I410" s="4" t="s">
        <v>6132</v>
      </c>
      <c r="J410" s="128"/>
    </row>
    <row r="411" spans="1:19" hidden="1" x14ac:dyDescent="0.25">
      <c r="A411" s="61" t="s">
        <v>460</v>
      </c>
      <c r="B411" s="14">
        <v>43559</v>
      </c>
      <c r="C411" s="13">
        <v>268</v>
      </c>
      <c r="D411" s="14" t="s">
        <v>4570</v>
      </c>
      <c r="E411" s="32" t="s">
        <v>144</v>
      </c>
      <c r="F411" s="4">
        <v>47005</v>
      </c>
      <c r="G411" s="86" t="s">
        <v>4571</v>
      </c>
      <c r="H411" s="211"/>
      <c r="I411" s="326"/>
      <c r="K411" s="62"/>
    </row>
    <row r="412" spans="1:19" hidden="1" x14ac:dyDescent="0.25">
      <c r="A412" s="61" t="s">
        <v>460</v>
      </c>
      <c r="B412" s="14">
        <v>43559</v>
      </c>
      <c r="C412" s="13">
        <v>269</v>
      </c>
      <c r="D412" s="14" t="s">
        <v>4578</v>
      </c>
      <c r="E412" s="32" t="s">
        <v>144</v>
      </c>
      <c r="F412" s="4">
        <v>40333</v>
      </c>
      <c r="G412" s="86" t="s">
        <v>4579</v>
      </c>
      <c r="H412" s="211"/>
      <c r="I412" s="326"/>
      <c r="K412" s="62"/>
    </row>
    <row r="413" spans="1:19" hidden="1" x14ac:dyDescent="0.25">
      <c r="A413" s="61" t="s">
        <v>460</v>
      </c>
      <c r="B413" s="14">
        <v>43559</v>
      </c>
      <c r="C413" s="13">
        <v>270</v>
      </c>
      <c r="D413" s="13" t="s">
        <v>4635</v>
      </c>
      <c r="E413" s="32" t="s">
        <v>144</v>
      </c>
      <c r="F413" s="4">
        <v>28336</v>
      </c>
      <c r="G413" s="86" t="s">
        <v>4636</v>
      </c>
      <c r="H413" s="211"/>
      <c r="I413" s="326"/>
      <c r="K413" s="62"/>
    </row>
    <row r="414" spans="1:19" hidden="1" x14ac:dyDescent="0.25">
      <c r="A414" s="61" t="s">
        <v>460</v>
      </c>
      <c r="B414" s="14">
        <v>43559</v>
      </c>
      <c r="C414" s="13">
        <v>271</v>
      </c>
      <c r="D414" s="13" t="s">
        <v>4637</v>
      </c>
      <c r="E414" s="32" t="s">
        <v>144</v>
      </c>
      <c r="F414" s="4">
        <v>31212</v>
      </c>
      <c r="G414" s="86" t="s">
        <v>4638</v>
      </c>
      <c r="H414" s="211"/>
      <c r="I414" s="326"/>
      <c r="K414" s="62"/>
    </row>
    <row r="415" spans="1:19" hidden="1" x14ac:dyDescent="0.25">
      <c r="A415" s="61" t="s">
        <v>460</v>
      </c>
      <c r="B415" s="14">
        <v>43559</v>
      </c>
      <c r="C415" s="13">
        <v>272</v>
      </c>
      <c r="D415" s="13" t="s">
        <v>5277</v>
      </c>
      <c r="E415" s="32" t="s">
        <v>144</v>
      </c>
      <c r="F415" s="4">
        <v>40045</v>
      </c>
      <c r="G415" s="86" t="s">
        <v>5278</v>
      </c>
      <c r="H415" s="211"/>
      <c r="I415" s="326"/>
      <c r="K415" s="62"/>
    </row>
    <row r="416" spans="1:19" hidden="1" x14ac:dyDescent="0.25">
      <c r="A416" s="61" t="s">
        <v>460</v>
      </c>
      <c r="B416" s="14">
        <v>43559</v>
      </c>
      <c r="C416" s="13">
        <v>273</v>
      </c>
      <c r="D416" s="13" t="s">
        <v>5285</v>
      </c>
      <c r="E416" s="32" t="s">
        <v>144</v>
      </c>
      <c r="F416" s="4">
        <v>46021</v>
      </c>
      <c r="G416" s="86" t="s">
        <v>5286</v>
      </c>
      <c r="H416" s="211"/>
      <c r="I416" s="326"/>
      <c r="K416" s="62"/>
    </row>
    <row r="417" spans="1:12" hidden="1" x14ac:dyDescent="0.25">
      <c r="A417" s="61" t="s">
        <v>460</v>
      </c>
      <c r="B417" s="14">
        <v>43559</v>
      </c>
      <c r="C417" s="13">
        <v>274</v>
      </c>
      <c r="D417" s="13" t="s">
        <v>5313</v>
      </c>
      <c r="E417" s="32" t="s">
        <v>144</v>
      </c>
      <c r="F417" s="4">
        <v>44439</v>
      </c>
      <c r="G417" s="86" t="s">
        <v>5314</v>
      </c>
      <c r="H417" s="211"/>
      <c r="I417" s="326"/>
      <c r="K417" s="62"/>
    </row>
    <row r="418" spans="1:12" hidden="1" x14ac:dyDescent="0.25">
      <c r="A418" s="13" t="s">
        <v>184</v>
      </c>
      <c r="B418" s="14">
        <v>43559</v>
      </c>
      <c r="C418" s="13">
        <v>430</v>
      </c>
      <c r="D418" s="32" t="s">
        <v>6227</v>
      </c>
      <c r="E418" s="32" t="s">
        <v>1121</v>
      </c>
      <c r="F418" s="4">
        <v>58.8</v>
      </c>
      <c r="G418" s="28" t="s">
        <v>6228</v>
      </c>
      <c r="H418" s="14">
        <v>43555</v>
      </c>
      <c r="I418" s="4" t="s">
        <v>915</v>
      </c>
      <c r="J418" s="22" t="s">
        <v>366</v>
      </c>
      <c r="K418" s="63"/>
      <c r="L418" s="62"/>
    </row>
    <row r="419" spans="1:12" hidden="1" x14ac:dyDescent="0.25">
      <c r="A419" s="13" t="s">
        <v>184</v>
      </c>
      <c r="B419" s="14">
        <v>43559</v>
      </c>
      <c r="C419" s="13">
        <v>431</v>
      </c>
      <c r="D419" s="32" t="s">
        <v>1546</v>
      </c>
      <c r="E419" s="32" t="s">
        <v>1121</v>
      </c>
      <c r="F419" s="4">
        <v>21290.39</v>
      </c>
      <c r="G419" s="28" t="s">
        <v>6229</v>
      </c>
      <c r="H419" s="14">
        <v>43555</v>
      </c>
      <c r="I419" s="4" t="s">
        <v>915</v>
      </c>
      <c r="J419" s="22" t="s">
        <v>366</v>
      </c>
      <c r="K419" s="63"/>
      <c r="L419" s="62"/>
    </row>
    <row r="420" spans="1:12" hidden="1" x14ac:dyDescent="0.25">
      <c r="A420" s="13" t="s">
        <v>184</v>
      </c>
      <c r="B420" s="14">
        <v>43559</v>
      </c>
      <c r="C420" s="13">
        <v>432</v>
      </c>
      <c r="D420" s="32" t="s">
        <v>914</v>
      </c>
      <c r="E420" s="32" t="s">
        <v>1121</v>
      </c>
      <c r="F420" s="4">
        <v>67602.94</v>
      </c>
      <c r="G420" s="28" t="s">
        <v>6226</v>
      </c>
      <c r="H420" s="14">
        <v>43555</v>
      </c>
      <c r="I420" s="4" t="s">
        <v>1260</v>
      </c>
      <c r="J420" s="22" t="s">
        <v>366</v>
      </c>
      <c r="K420" s="63"/>
      <c r="L420" s="62"/>
    </row>
    <row r="421" spans="1:12" ht="15" hidden="1" customHeight="1" x14ac:dyDescent="0.25">
      <c r="A421" s="13" t="s">
        <v>184</v>
      </c>
      <c r="B421" s="14">
        <v>43559</v>
      </c>
      <c r="C421" s="13">
        <v>433</v>
      </c>
      <c r="D421" s="13" t="s">
        <v>1215</v>
      </c>
      <c r="E421" s="32" t="s">
        <v>1121</v>
      </c>
      <c r="F421" s="4">
        <v>34320</v>
      </c>
      <c r="G421" s="28" t="s">
        <v>146</v>
      </c>
      <c r="H421" s="14">
        <v>43549</v>
      </c>
      <c r="I421" s="4" t="s">
        <v>3764</v>
      </c>
      <c r="J421" s="76" t="s">
        <v>771</v>
      </c>
    </row>
    <row r="422" spans="1:12" ht="15" hidden="1" customHeight="1" x14ac:dyDescent="0.25">
      <c r="A422" s="13" t="s">
        <v>184</v>
      </c>
      <c r="B422" s="14">
        <v>43559</v>
      </c>
      <c r="C422" s="13">
        <v>433</v>
      </c>
      <c r="D422" s="13" t="s">
        <v>1215</v>
      </c>
      <c r="E422" s="32" t="s">
        <v>1121</v>
      </c>
      <c r="F422" s="4">
        <v>34626</v>
      </c>
      <c r="G422" s="28" t="s">
        <v>6232</v>
      </c>
      <c r="H422" s="14">
        <v>43549</v>
      </c>
      <c r="I422" s="4" t="s">
        <v>1216</v>
      </c>
      <c r="J422" s="76" t="s">
        <v>771</v>
      </c>
    </row>
    <row r="423" spans="1:12" ht="15" hidden="1" customHeight="1" x14ac:dyDescent="0.25">
      <c r="A423" s="13" t="s">
        <v>184</v>
      </c>
      <c r="B423" s="14">
        <v>43559</v>
      </c>
      <c r="C423" s="13">
        <v>434</v>
      </c>
      <c r="D423" s="13" t="s">
        <v>47</v>
      </c>
      <c r="E423" s="32" t="s">
        <v>1121</v>
      </c>
      <c r="F423" s="4">
        <v>1790</v>
      </c>
      <c r="G423" s="28" t="s">
        <v>6233</v>
      </c>
      <c r="H423" s="14">
        <v>43525</v>
      </c>
      <c r="I423" s="4" t="s">
        <v>746</v>
      </c>
    </row>
    <row r="424" spans="1:12" ht="15" hidden="1" customHeight="1" x14ac:dyDescent="0.25">
      <c r="A424" s="13" t="s">
        <v>184</v>
      </c>
      <c r="B424" s="14">
        <v>43559</v>
      </c>
      <c r="C424" s="13">
        <v>434</v>
      </c>
      <c r="D424" s="13" t="s">
        <v>47</v>
      </c>
      <c r="E424" s="32" t="s">
        <v>1121</v>
      </c>
      <c r="F424" s="4">
        <v>5300</v>
      </c>
      <c r="G424" s="28" t="s">
        <v>6234</v>
      </c>
      <c r="H424" s="14">
        <v>43553</v>
      </c>
      <c r="I424" s="4" t="s">
        <v>746</v>
      </c>
    </row>
    <row r="425" spans="1:12" ht="15" hidden="1" customHeight="1" x14ac:dyDescent="0.25">
      <c r="A425" s="13" t="s">
        <v>964</v>
      </c>
      <c r="B425" s="14">
        <v>43559</v>
      </c>
      <c r="C425" s="13">
        <v>435</v>
      </c>
      <c r="D425" s="13" t="s">
        <v>321</v>
      </c>
      <c r="E425" s="32" t="s">
        <v>1121</v>
      </c>
      <c r="F425" s="4">
        <v>40000</v>
      </c>
      <c r="G425" s="28" t="s">
        <v>4127</v>
      </c>
      <c r="H425" s="14">
        <v>43522</v>
      </c>
      <c r="I425" s="4" t="s">
        <v>3670</v>
      </c>
      <c r="J425" s="76" t="s">
        <v>721</v>
      </c>
      <c r="L425" s="76"/>
    </row>
    <row r="426" spans="1:12" ht="15" hidden="1" customHeight="1" x14ac:dyDescent="0.25">
      <c r="A426" s="13" t="s">
        <v>964</v>
      </c>
      <c r="B426" s="14">
        <v>43559</v>
      </c>
      <c r="C426" s="13">
        <v>435</v>
      </c>
      <c r="D426" s="13" t="s">
        <v>321</v>
      </c>
      <c r="E426" s="32" t="s">
        <v>1121</v>
      </c>
      <c r="F426" s="4">
        <v>90000</v>
      </c>
      <c r="G426" s="28" t="s">
        <v>2933</v>
      </c>
      <c r="H426" s="14">
        <v>43522</v>
      </c>
      <c r="I426" s="4" t="s">
        <v>3671</v>
      </c>
      <c r="J426" s="76" t="s">
        <v>366</v>
      </c>
      <c r="L426" s="76"/>
    </row>
    <row r="427" spans="1:12" hidden="1" x14ac:dyDescent="0.25">
      <c r="A427" s="13" t="s">
        <v>964</v>
      </c>
      <c r="B427" s="14">
        <v>43559</v>
      </c>
      <c r="C427" s="13">
        <v>436</v>
      </c>
      <c r="D427" s="13" t="s">
        <v>1245</v>
      </c>
      <c r="E427" s="32" t="s">
        <v>1121</v>
      </c>
      <c r="F427" s="4">
        <v>21176.09</v>
      </c>
      <c r="G427" s="29" t="s">
        <v>6026</v>
      </c>
      <c r="H427" s="14">
        <v>43556</v>
      </c>
      <c r="I427" s="4" t="s">
        <v>1246</v>
      </c>
      <c r="J427" s="21" t="s">
        <v>366</v>
      </c>
      <c r="K427" s="50"/>
    </row>
    <row r="428" spans="1:12" ht="15" hidden="1" customHeight="1" x14ac:dyDescent="0.25">
      <c r="A428" s="13" t="s">
        <v>964</v>
      </c>
      <c r="B428" s="14">
        <v>43559</v>
      </c>
      <c r="C428" s="13">
        <v>437</v>
      </c>
      <c r="D428" s="13" t="s">
        <v>1886</v>
      </c>
      <c r="E428" s="32" t="s">
        <v>1121</v>
      </c>
      <c r="F428" s="4">
        <v>36000</v>
      </c>
      <c r="G428" s="28" t="s">
        <v>5138</v>
      </c>
      <c r="H428" s="14">
        <v>43542</v>
      </c>
      <c r="I428" s="4" t="s">
        <v>1887</v>
      </c>
      <c r="J428" s="76" t="s">
        <v>771</v>
      </c>
    </row>
    <row r="429" spans="1:12" ht="15" hidden="1" customHeight="1" x14ac:dyDescent="0.25">
      <c r="A429" s="13" t="s">
        <v>964</v>
      </c>
      <c r="B429" s="14">
        <v>43559</v>
      </c>
      <c r="C429" s="13">
        <v>438</v>
      </c>
      <c r="D429" s="13" t="s">
        <v>5217</v>
      </c>
      <c r="E429" s="32" t="s">
        <v>1121</v>
      </c>
      <c r="F429" s="4">
        <v>50000</v>
      </c>
      <c r="G429" s="28" t="s">
        <v>347</v>
      </c>
      <c r="H429" s="14">
        <v>43559</v>
      </c>
      <c r="I429" s="4" t="s">
        <v>5218</v>
      </c>
      <c r="J429" s="76" t="s">
        <v>771</v>
      </c>
    </row>
    <row r="430" spans="1:12" s="129" customFormat="1" hidden="1" x14ac:dyDescent="0.25">
      <c r="A430" s="13" t="s">
        <v>151</v>
      </c>
      <c r="B430" s="14">
        <v>43559</v>
      </c>
      <c r="C430" s="28" t="s">
        <v>2088</v>
      </c>
      <c r="D430" s="13" t="s">
        <v>711</v>
      </c>
      <c r="E430" s="32" t="s">
        <v>1121</v>
      </c>
      <c r="F430" s="37">
        <f>5500+300+2500+2200</f>
        <v>10500</v>
      </c>
      <c r="G430" s="28" t="s">
        <v>6224</v>
      </c>
      <c r="H430" s="28" t="s">
        <v>6225</v>
      </c>
      <c r="I430" s="4" t="s">
        <v>712</v>
      </c>
      <c r="J430" s="170"/>
      <c r="K430" s="136"/>
    </row>
    <row r="431" spans="1:12" hidden="1" x14ac:dyDescent="0.25">
      <c r="A431" s="32" t="s">
        <v>92</v>
      </c>
      <c r="B431" s="14">
        <v>43559</v>
      </c>
      <c r="C431" s="13">
        <v>739</v>
      </c>
      <c r="D431" s="13" t="s">
        <v>373</v>
      </c>
      <c r="E431" s="32" t="s">
        <v>140</v>
      </c>
      <c r="F431" s="4">
        <v>20475.34</v>
      </c>
      <c r="G431" s="29" t="s">
        <v>6059</v>
      </c>
      <c r="H431" s="14">
        <v>43497</v>
      </c>
      <c r="I431" s="4" t="s">
        <v>2796</v>
      </c>
      <c r="J431" s="128"/>
    </row>
    <row r="432" spans="1:12" ht="15" hidden="1" customHeight="1" x14ac:dyDescent="0.25">
      <c r="A432" s="68" t="s">
        <v>206</v>
      </c>
      <c r="B432" s="14">
        <v>43559</v>
      </c>
      <c r="C432" s="13">
        <v>61</v>
      </c>
      <c r="D432" s="32" t="s">
        <v>281</v>
      </c>
      <c r="E432" s="32" t="s">
        <v>178</v>
      </c>
      <c r="F432" s="4">
        <v>11702</v>
      </c>
      <c r="G432" s="29" t="s">
        <v>5506</v>
      </c>
      <c r="H432" s="14">
        <v>43536</v>
      </c>
      <c r="I432" s="41" t="s">
        <v>852</v>
      </c>
      <c r="J432" s="35" t="s">
        <v>771</v>
      </c>
      <c r="K432" s="35"/>
      <c r="L432" s="35"/>
    </row>
    <row r="433" spans="1:19" ht="27.6" hidden="1" x14ac:dyDescent="0.25">
      <c r="A433" s="32" t="s">
        <v>455</v>
      </c>
      <c r="B433" s="14">
        <v>43559</v>
      </c>
      <c r="C433" s="13">
        <v>242</v>
      </c>
      <c r="D433" s="32" t="s">
        <v>6047</v>
      </c>
      <c r="E433" s="32" t="s">
        <v>440</v>
      </c>
      <c r="F433" s="4">
        <v>35000</v>
      </c>
      <c r="G433" s="29" t="s">
        <v>6048</v>
      </c>
      <c r="H433" s="14"/>
      <c r="I433" s="41" t="s">
        <v>6049</v>
      </c>
      <c r="J433" s="35" t="s">
        <v>5340</v>
      </c>
      <c r="K433" s="35"/>
      <c r="L433" s="35"/>
    </row>
    <row r="434" spans="1:19" ht="15" hidden="1" customHeight="1" x14ac:dyDescent="0.25">
      <c r="A434" s="68" t="s">
        <v>455</v>
      </c>
      <c r="B434" s="14">
        <v>43559</v>
      </c>
      <c r="C434" s="13">
        <v>243</v>
      </c>
      <c r="D434" s="32" t="s">
        <v>281</v>
      </c>
      <c r="E434" s="32" t="s">
        <v>440</v>
      </c>
      <c r="F434" s="4">
        <v>262452</v>
      </c>
      <c r="G434" s="29" t="s">
        <v>5509</v>
      </c>
      <c r="H434" s="14">
        <v>43537</v>
      </c>
      <c r="I434" s="41" t="s">
        <v>852</v>
      </c>
      <c r="J434" s="35" t="s">
        <v>771</v>
      </c>
      <c r="K434" s="35"/>
      <c r="L434" s="35"/>
    </row>
    <row r="435" spans="1:19" ht="15" hidden="1" customHeight="1" x14ac:dyDescent="0.25">
      <c r="A435" s="68" t="s">
        <v>310</v>
      </c>
      <c r="B435" s="14">
        <v>43559</v>
      </c>
      <c r="C435" s="13">
        <v>107</v>
      </c>
      <c r="D435" s="32" t="s">
        <v>281</v>
      </c>
      <c r="E435" s="32" t="s">
        <v>314</v>
      </c>
      <c r="F435" s="4">
        <v>242765</v>
      </c>
      <c r="G435" s="29" t="s">
        <v>5500</v>
      </c>
      <c r="H435" s="14">
        <v>43536</v>
      </c>
      <c r="I435" s="41" t="s">
        <v>852</v>
      </c>
      <c r="J435" s="35" t="s">
        <v>771</v>
      </c>
      <c r="K435" s="35"/>
      <c r="L435" s="35"/>
    </row>
    <row r="436" spans="1:19" ht="15" hidden="1" customHeight="1" x14ac:dyDescent="0.25">
      <c r="A436" s="68" t="s">
        <v>460</v>
      </c>
      <c r="B436" s="14">
        <v>43559</v>
      </c>
      <c r="C436" s="13">
        <v>738</v>
      </c>
      <c r="D436" s="32" t="s">
        <v>6290</v>
      </c>
      <c r="E436" s="32" t="s">
        <v>140</v>
      </c>
      <c r="F436" s="4">
        <v>460000</v>
      </c>
      <c r="G436" s="29" t="s">
        <v>6291</v>
      </c>
      <c r="H436" s="14"/>
      <c r="I436" s="41" t="s">
        <v>6292</v>
      </c>
      <c r="J436" s="35"/>
      <c r="K436" s="35"/>
      <c r="L436" s="35"/>
    </row>
    <row r="437" spans="1:19" s="115" customFormat="1" ht="15.6" hidden="1" x14ac:dyDescent="0.25">
      <c r="A437" s="61" t="s">
        <v>166</v>
      </c>
      <c r="B437" s="14">
        <v>43559</v>
      </c>
      <c r="C437" s="13">
        <v>39</v>
      </c>
      <c r="D437" s="13" t="s">
        <v>3530</v>
      </c>
      <c r="E437" s="13" t="s">
        <v>76</v>
      </c>
      <c r="F437" s="4">
        <v>500000</v>
      </c>
      <c r="G437" s="29" t="s">
        <v>3965</v>
      </c>
      <c r="H437" s="14">
        <v>41177</v>
      </c>
      <c r="I437" s="41" t="s">
        <v>818</v>
      </c>
      <c r="J437" s="258"/>
      <c r="K437" s="116"/>
      <c r="L437" s="116"/>
      <c r="M437" s="116"/>
      <c r="N437" s="116"/>
      <c r="O437" s="117"/>
      <c r="P437" s="117"/>
      <c r="Q437" s="117"/>
      <c r="R437" s="117"/>
      <c r="S437" s="117"/>
    </row>
    <row r="438" spans="1:19" hidden="1" x14ac:dyDescent="0.25">
      <c r="A438" s="68" t="s">
        <v>151</v>
      </c>
      <c r="B438" s="14">
        <v>43559</v>
      </c>
      <c r="C438" s="13">
        <v>240</v>
      </c>
      <c r="D438" s="32" t="s">
        <v>2899</v>
      </c>
      <c r="E438" s="32" t="s">
        <v>440</v>
      </c>
      <c r="F438" s="209">
        <v>4000</v>
      </c>
      <c r="G438" s="210" t="s">
        <v>6293</v>
      </c>
      <c r="H438" s="211">
        <v>43585</v>
      </c>
      <c r="I438" s="208" t="s">
        <v>4399</v>
      </c>
      <c r="J438" s="21"/>
      <c r="K438" s="228"/>
    </row>
    <row r="439" spans="1:19" hidden="1" x14ac:dyDescent="0.25">
      <c r="A439" s="68" t="s">
        <v>151</v>
      </c>
      <c r="B439" s="14">
        <v>43559</v>
      </c>
      <c r="C439" s="13">
        <v>428</v>
      </c>
      <c r="D439" s="32" t="s">
        <v>2905</v>
      </c>
      <c r="E439" s="32" t="s">
        <v>1121</v>
      </c>
      <c r="F439" s="4">
        <v>300905</v>
      </c>
      <c r="G439" s="210" t="s">
        <v>3852</v>
      </c>
      <c r="H439" s="211">
        <v>43558</v>
      </c>
      <c r="I439" s="208" t="s">
        <v>1525</v>
      </c>
      <c r="J439" s="21"/>
      <c r="K439" s="228"/>
    </row>
    <row r="440" spans="1:19" s="115" customFormat="1" ht="15" hidden="1" customHeight="1" x14ac:dyDescent="0.25">
      <c r="A440" s="13" t="s">
        <v>151</v>
      </c>
      <c r="B440" s="14">
        <v>43559</v>
      </c>
      <c r="C440" s="13">
        <v>65</v>
      </c>
      <c r="D440" s="13" t="s">
        <v>1443</v>
      </c>
      <c r="E440" s="13" t="s">
        <v>134</v>
      </c>
      <c r="F440" s="4">
        <v>40000</v>
      </c>
      <c r="G440" s="29" t="s">
        <v>6294</v>
      </c>
      <c r="H440" s="126">
        <v>43539</v>
      </c>
      <c r="I440" s="4" t="s">
        <v>1444</v>
      </c>
      <c r="J440" s="454"/>
      <c r="K440" s="116"/>
      <c r="L440" s="116"/>
      <c r="M440" s="116"/>
      <c r="N440" s="116"/>
      <c r="O440" s="117"/>
      <c r="P440" s="117"/>
      <c r="Q440" s="117"/>
      <c r="R440" s="117"/>
      <c r="S440" s="117"/>
    </row>
    <row r="441" spans="1:19" s="115" customFormat="1" ht="15" hidden="1" customHeight="1" x14ac:dyDescent="0.25">
      <c r="A441" s="13" t="s">
        <v>455</v>
      </c>
      <c r="B441" s="14">
        <v>43559</v>
      </c>
      <c r="C441" s="13">
        <v>241</v>
      </c>
      <c r="D441" s="13" t="s">
        <v>6295</v>
      </c>
      <c r="E441" s="13" t="s">
        <v>440</v>
      </c>
      <c r="F441" s="4">
        <v>50000</v>
      </c>
      <c r="G441" s="29" t="s">
        <v>6296</v>
      </c>
      <c r="H441" s="126">
        <v>43549</v>
      </c>
      <c r="I441" s="4" t="s">
        <v>6302</v>
      </c>
      <c r="J441" s="454"/>
      <c r="K441" s="116"/>
      <c r="L441" s="116"/>
      <c r="M441" s="116"/>
      <c r="N441" s="116"/>
      <c r="O441" s="117"/>
      <c r="P441" s="117"/>
      <c r="Q441" s="117"/>
      <c r="R441" s="117"/>
      <c r="S441" s="117"/>
    </row>
    <row r="442" spans="1:19" s="115" customFormat="1" ht="15" hidden="1" customHeight="1" x14ac:dyDescent="0.25">
      <c r="A442" s="13" t="s">
        <v>639</v>
      </c>
      <c r="B442" s="14">
        <v>43559</v>
      </c>
      <c r="C442" s="13">
        <v>363</v>
      </c>
      <c r="D442" s="13" t="s">
        <v>6295</v>
      </c>
      <c r="E442" s="13" t="s">
        <v>547</v>
      </c>
      <c r="F442" s="4">
        <v>50000</v>
      </c>
      <c r="G442" s="29" t="s">
        <v>6297</v>
      </c>
      <c r="H442" s="126">
        <v>43507</v>
      </c>
      <c r="I442" s="4" t="s">
        <v>6302</v>
      </c>
      <c r="J442" s="454"/>
      <c r="K442" s="116"/>
      <c r="L442" s="116"/>
      <c r="M442" s="116"/>
      <c r="N442" s="116"/>
      <c r="O442" s="117"/>
      <c r="P442" s="117"/>
      <c r="Q442" s="117"/>
      <c r="R442" s="117"/>
      <c r="S442" s="117"/>
    </row>
    <row r="443" spans="1:19" s="115" customFormat="1" ht="15" hidden="1" customHeight="1" x14ac:dyDescent="0.25">
      <c r="A443" s="13" t="s">
        <v>659</v>
      </c>
      <c r="B443" s="14">
        <v>43559</v>
      </c>
      <c r="C443" s="13">
        <v>172</v>
      </c>
      <c r="D443" s="13" t="s">
        <v>6295</v>
      </c>
      <c r="E443" s="13" t="s">
        <v>1336</v>
      </c>
      <c r="F443" s="4">
        <v>50000</v>
      </c>
      <c r="G443" s="29" t="s">
        <v>6298</v>
      </c>
      <c r="H443" s="126">
        <v>43549</v>
      </c>
      <c r="I443" s="4" t="s">
        <v>6302</v>
      </c>
      <c r="J443" s="454"/>
      <c r="K443" s="116"/>
      <c r="L443" s="116"/>
      <c r="M443" s="116"/>
      <c r="N443" s="116"/>
      <c r="O443" s="117"/>
      <c r="P443" s="117"/>
      <c r="Q443" s="117"/>
      <c r="R443" s="117"/>
      <c r="S443" s="117"/>
    </row>
    <row r="444" spans="1:19" s="115" customFormat="1" ht="15" hidden="1" customHeight="1" x14ac:dyDescent="0.25">
      <c r="A444" s="13" t="s">
        <v>1934</v>
      </c>
      <c r="B444" s="14">
        <v>43559</v>
      </c>
      <c r="C444" s="13">
        <v>320</v>
      </c>
      <c r="D444" s="13" t="s">
        <v>6295</v>
      </c>
      <c r="E444" s="13" t="s">
        <v>136</v>
      </c>
      <c r="F444" s="4">
        <v>50000</v>
      </c>
      <c r="G444" s="29" t="s">
        <v>6299</v>
      </c>
      <c r="H444" s="126">
        <v>43549</v>
      </c>
      <c r="I444" s="4" t="s">
        <v>6302</v>
      </c>
      <c r="J444" s="454"/>
      <c r="K444" s="116"/>
      <c r="L444" s="116"/>
      <c r="M444" s="116"/>
      <c r="N444" s="116"/>
      <c r="O444" s="117"/>
      <c r="P444" s="117"/>
      <c r="Q444" s="117"/>
      <c r="R444" s="117"/>
      <c r="S444" s="117"/>
    </row>
    <row r="445" spans="1:19" s="115" customFormat="1" ht="15" hidden="1" customHeight="1" x14ac:dyDescent="0.25">
      <c r="A445" s="13" t="s">
        <v>311</v>
      </c>
      <c r="B445" s="14">
        <v>43559</v>
      </c>
      <c r="C445" s="13">
        <v>182</v>
      </c>
      <c r="D445" s="13" t="s">
        <v>6295</v>
      </c>
      <c r="E445" s="13" t="s">
        <v>408</v>
      </c>
      <c r="F445" s="4">
        <v>50000</v>
      </c>
      <c r="G445" s="29" t="s">
        <v>6300</v>
      </c>
      <c r="H445" s="126">
        <v>43549</v>
      </c>
      <c r="I445" s="4" t="s">
        <v>6302</v>
      </c>
      <c r="J445" s="454"/>
      <c r="K445" s="116"/>
      <c r="L445" s="116"/>
      <c r="M445" s="116"/>
      <c r="N445" s="116"/>
      <c r="O445" s="117"/>
      <c r="P445" s="117"/>
      <c r="Q445" s="117"/>
      <c r="R445" s="117"/>
      <c r="S445" s="117"/>
    </row>
    <row r="446" spans="1:19" ht="16.2" hidden="1" customHeight="1" x14ac:dyDescent="0.25">
      <c r="A446" s="68" t="s">
        <v>1286</v>
      </c>
      <c r="B446" s="14">
        <v>43559</v>
      </c>
      <c r="C446" s="13">
        <v>623</v>
      </c>
      <c r="D446" s="13" t="s">
        <v>456</v>
      </c>
      <c r="E446" s="32" t="s">
        <v>62</v>
      </c>
      <c r="F446" s="4">
        <v>12500000</v>
      </c>
      <c r="G446" s="86" t="s">
        <v>1735</v>
      </c>
      <c r="H446" s="14"/>
      <c r="I446" s="4" t="s">
        <v>237</v>
      </c>
      <c r="J446" s="71"/>
      <c r="K446" s="62"/>
      <c r="L446" s="62"/>
    </row>
    <row r="447" spans="1:19" s="115" customFormat="1" ht="15" hidden="1" customHeight="1" x14ac:dyDescent="0.25">
      <c r="A447" s="13" t="s">
        <v>310</v>
      </c>
      <c r="B447" s="14">
        <v>43560</v>
      </c>
      <c r="C447" s="13">
        <v>106</v>
      </c>
      <c r="D447" s="13" t="s">
        <v>6295</v>
      </c>
      <c r="E447" s="13" t="s">
        <v>314</v>
      </c>
      <c r="F447" s="4">
        <v>50000</v>
      </c>
      <c r="G447" s="29" t="s">
        <v>6301</v>
      </c>
      <c r="H447" s="126">
        <v>43549</v>
      </c>
      <c r="I447" s="4" t="s">
        <v>6302</v>
      </c>
      <c r="J447" s="454"/>
      <c r="K447" s="116"/>
      <c r="L447" s="116"/>
      <c r="M447" s="116"/>
      <c r="N447" s="116"/>
      <c r="O447" s="117"/>
      <c r="P447" s="117"/>
      <c r="Q447" s="117"/>
      <c r="R447" s="117"/>
      <c r="S447" s="117"/>
    </row>
    <row r="448" spans="1:19" s="129" customFormat="1" ht="13.95" hidden="1" customHeight="1" x14ac:dyDescent="0.25">
      <c r="A448" s="13" t="s">
        <v>151</v>
      </c>
      <c r="B448" s="14">
        <v>43560</v>
      </c>
      <c r="C448" s="28" t="s">
        <v>4116</v>
      </c>
      <c r="D448" s="13" t="s">
        <v>258</v>
      </c>
      <c r="E448" s="32" t="s">
        <v>60</v>
      </c>
      <c r="F448" s="4">
        <v>28071</v>
      </c>
      <c r="G448" s="28" t="s">
        <v>5827</v>
      </c>
      <c r="H448" s="14">
        <v>43549</v>
      </c>
      <c r="I448" s="4" t="s">
        <v>5826</v>
      </c>
      <c r="J448" s="22"/>
      <c r="K448" s="136"/>
    </row>
    <row r="449" spans="1:19" hidden="1" x14ac:dyDescent="0.25">
      <c r="A449" s="13" t="s">
        <v>151</v>
      </c>
      <c r="B449" s="14">
        <v>43560</v>
      </c>
      <c r="C449" s="13">
        <v>88</v>
      </c>
      <c r="D449" s="13" t="s">
        <v>5752</v>
      </c>
      <c r="E449" s="32" t="s">
        <v>22</v>
      </c>
      <c r="F449" s="4">
        <v>3519.6</v>
      </c>
      <c r="G449" s="28" t="s">
        <v>6027</v>
      </c>
      <c r="H449" s="14">
        <v>43557</v>
      </c>
      <c r="I449" s="4" t="s">
        <v>6028</v>
      </c>
      <c r="J449" s="125"/>
    </row>
    <row r="450" spans="1:19" hidden="1" x14ac:dyDescent="0.25">
      <c r="A450" s="13" t="s">
        <v>151</v>
      </c>
      <c r="B450" s="14">
        <v>43560</v>
      </c>
      <c r="C450" s="13">
        <v>89</v>
      </c>
      <c r="D450" s="13" t="s">
        <v>606</v>
      </c>
      <c r="E450" s="32" t="s">
        <v>22</v>
      </c>
      <c r="F450" s="4">
        <v>1600</v>
      </c>
      <c r="G450" s="28" t="s">
        <v>2590</v>
      </c>
      <c r="H450" s="14">
        <v>43552</v>
      </c>
      <c r="I450" s="4" t="s">
        <v>6052</v>
      </c>
      <c r="J450" s="125"/>
    </row>
    <row r="451" spans="1:19" hidden="1" x14ac:dyDescent="0.25">
      <c r="A451" s="13" t="s">
        <v>151</v>
      </c>
      <c r="B451" s="14">
        <v>43560</v>
      </c>
      <c r="C451" s="13">
        <v>90</v>
      </c>
      <c r="D451" s="13" t="s">
        <v>6038</v>
      </c>
      <c r="E451" s="32" t="s">
        <v>22</v>
      </c>
      <c r="F451" s="4">
        <v>195000</v>
      </c>
      <c r="G451" s="28" t="s">
        <v>6039</v>
      </c>
      <c r="H451" s="14">
        <v>43557</v>
      </c>
      <c r="I451" s="4" t="s">
        <v>6040</v>
      </c>
      <c r="J451" s="125"/>
    </row>
    <row r="452" spans="1:19" s="129" customFormat="1" hidden="1" x14ac:dyDescent="0.25">
      <c r="A452" s="13" t="s">
        <v>151</v>
      </c>
      <c r="B452" s="14">
        <v>43560</v>
      </c>
      <c r="C452" s="28" t="s">
        <v>150</v>
      </c>
      <c r="D452" s="13" t="s">
        <v>1589</v>
      </c>
      <c r="E452" s="13" t="s">
        <v>22</v>
      </c>
      <c r="F452" s="4">
        <v>6900</v>
      </c>
      <c r="G452" s="28" t="s">
        <v>117</v>
      </c>
      <c r="H452" s="14">
        <v>43559</v>
      </c>
      <c r="I452" s="4" t="s">
        <v>1511</v>
      </c>
      <c r="J452" s="133"/>
      <c r="K452" s="275"/>
    </row>
    <row r="453" spans="1:19" s="62" customFormat="1" ht="13.95" hidden="1" customHeight="1" x14ac:dyDescent="0.25">
      <c r="A453" s="13" t="s">
        <v>91</v>
      </c>
      <c r="B453" s="14">
        <v>43560</v>
      </c>
      <c r="C453" s="13">
        <v>589</v>
      </c>
      <c r="D453" s="13" t="s">
        <v>2928</v>
      </c>
      <c r="E453" s="13" t="s">
        <v>130</v>
      </c>
      <c r="F453" s="37">
        <v>30000</v>
      </c>
      <c r="G453" s="29" t="s">
        <v>6057</v>
      </c>
      <c r="H453" s="14">
        <v>43516</v>
      </c>
      <c r="I453" s="4" t="s">
        <v>2930</v>
      </c>
      <c r="J453" s="393" t="s">
        <v>6058</v>
      </c>
      <c r="O453" s="35"/>
      <c r="P453" s="35"/>
      <c r="Q453" s="35"/>
      <c r="R453" s="35"/>
      <c r="S453" s="35"/>
    </row>
    <row r="454" spans="1:19" s="97" customFormat="1" hidden="1" x14ac:dyDescent="0.25">
      <c r="A454" s="14" t="s">
        <v>151</v>
      </c>
      <c r="B454" s="14">
        <v>43560</v>
      </c>
      <c r="C454" s="13">
        <v>590</v>
      </c>
      <c r="D454" s="13" t="s">
        <v>1751</v>
      </c>
      <c r="E454" s="13" t="s">
        <v>130</v>
      </c>
      <c r="F454" s="37">
        <v>3939.88</v>
      </c>
      <c r="G454" s="29" t="s">
        <v>6147</v>
      </c>
      <c r="H454" s="14">
        <v>43524</v>
      </c>
      <c r="I454" s="4" t="s">
        <v>1383</v>
      </c>
      <c r="J454" s="22" t="s">
        <v>366</v>
      </c>
      <c r="K454" s="22"/>
      <c r="L454" s="134"/>
    </row>
    <row r="455" spans="1:19" ht="13.95" hidden="1" customHeight="1" x14ac:dyDescent="0.25">
      <c r="A455" s="68" t="s">
        <v>358</v>
      </c>
      <c r="B455" s="14">
        <v>43560</v>
      </c>
      <c r="C455" s="13">
        <v>490</v>
      </c>
      <c r="D455" s="32" t="s">
        <v>1077</v>
      </c>
      <c r="E455" s="32" t="s">
        <v>38</v>
      </c>
      <c r="F455" s="4">
        <v>10000000</v>
      </c>
      <c r="G455" s="86" t="s">
        <v>410</v>
      </c>
      <c r="H455" s="211"/>
      <c r="I455" s="208" t="s">
        <v>581</v>
      </c>
      <c r="J455" s="21"/>
      <c r="K455" s="228"/>
    </row>
    <row r="456" spans="1:19" ht="13.95" hidden="1" customHeight="1" x14ac:dyDescent="0.25">
      <c r="A456" s="13" t="s">
        <v>151</v>
      </c>
      <c r="B456" s="14">
        <v>43560</v>
      </c>
      <c r="C456" s="13">
        <v>491</v>
      </c>
      <c r="D456" s="32" t="s">
        <v>6221</v>
      </c>
      <c r="E456" s="32" t="s">
        <v>38</v>
      </c>
      <c r="F456" s="4">
        <v>30000</v>
      </c>
      <c r="G456" s="29" t="s">
        <v>6222</v>
      </c>
      <c r="H456" s="14">
        <v>43557</v>
      </c>
      <c r="I456" s="41" t="s">
        <v>6223</v>
      </c>
      <c r="J456" s="21"/>
      <c r="K456" s="228"/>
    </row>
    <row r="457" spans="1:19" s="97" customFormat="1" hidden="1" x14ac:dyDescent="0.25">
      <c r="A457" s="14" t="s">
        <v>151</v>
      </c>
      <c r="B457" s="14">
        <v>43560</v>
      </c>
      <c r="C457" s="13">
        <v>412</v>
      </c>
      <c r="D457" s="13" t="s">
        <v>1751</v>
      </c>
      <c r="E457" s="13" t="s">
        <v>60</v>
      </c>
      <c r="F457" s="37">
        <v>95474.29</v>
      </c>
      <c r="G457" s="29" t="s">
        <v>6146</v>
      </c>
      <c r="H457" s="14">
        <v>43524</v>
      </c>
      <c r="I457" s="4" t="s">
        <v>1383</v>
      </c>
      <c r="J457" s="22" t="s">
        <v>366</v>
      </c>
      <c r="K457" s="22"/>
      <c r="L457" s="134"/>
    </row>
    <row r="458" spans="1:19" s="50" customFormat="1" hidden="1" x14ac:dyDescent="0.25">
      <c r="A458" s="68" t="s">
        <v>660</v>
      </c>
      <c r="B458" s="14">
        <v>43560</v>
      </c>
      <c r="C458" s="13">
        <v>242</v>
      </c>
      <c r="D458" s="218" t="s">
        <v>385</v>
      </c>
      <c r="E458" s="218" t="s">
        <v>691</v>
      </c>
      <c r="F458" s="221">
        <v>2000000</v>
      </c>
      <c r="G458" s="28" t="s">
        <v>1541</v>
      </c>
      <c r="H458" s="14"/>
      <c r="I458" s="127" t="s">
        <v>1542</v>
      </c>
    </row>
    <row r="459" spans="1:19" s="2" customFormat="1" ht="15" hidden="1" customHeight="1" x14ac:dyDescent="0.25">
      <c r="A459" s="13" t="s">
        <v>151</v>
      </c>
      <c r="B459" s="14">
        <v>43560</v>
      </c>
      <c r="C459" s="13">
        <v>243</v>
      </c>
      <c r="D459" s="13" t="s">
        <v>4162</v>
      </c>
      <c r="E459" s="13" t="s">
        <v>691</v>
      </c>
      <c r="F459" s="4">
        <v>11878.38</v>
      </c>
      <c r="G459" s="29" t="s">
        <v>6032</v>
      </c>
      <c r="H459" s="14">
        <v>43556</v>
      </c>
      <c r="I459" s="4" t="s">
        <v>6033</v>
      </c>
      <c r="J459" s="341"/>
      <c r="K459" s="31"/>
      <c r="L459" s="31"/>
      <c r="M459" s="31"/>
      <c r="N459" s="31"/>
      <c r="O459" s="34"/>
      <c r="P459" s="34"/>
      <c r="Q459" s="34"/>
      <c r="R459" s="34"/>
      <c r="S459" s="34"/>
    </row>
    <row r="460" spans="1:19" s="129" customFormat="1" hidden="1" x14ac:dyDescent="0.25">
      <c r="A460" s="13" t="s">
        <v>151</v>
      </c>
      <c r="B460" s="14">
        <v>43560</v>
      </c>
      <c r="C460" s="28" t="s">
        <v>1976</v>
      </c>
      <c r="D460" s="13" t="s">
        <v>1254</v>
      </c>
      <c r="E460" s="13" t="s">
        <v>691</v>
      </c>
      <c r="F460" s="37">
        <v>17000</v>
      </c>
      <c r="G460" s="28" t="s">
        <v>6230</v>
      </c>
      <c r="H460" s="14">
        <v>43559</v>
      </c>
      <c r="I460" s="4" t="s">
        <v>4054</v>
      </c>
      <c r="J460" s="133"/>
      <c r="K460" s="275"/>
    </row>
    <row r="461" spans="1:19" ht="13.95" hidden="1" customHeight="1" x14ac:dyDescent="0.25">
      <c r="A461" s="68" t="s">
        <v>310</v>
      </c>
      <c r="B461" s="14">
        <v>43560</v>
      </c>
      <c r="C461" s="13">
        <v>272</v>
      </c>
      <c r="D461" s="13" t="s">
        <v>510</v>
      </c>
      <c r="E461" s="32" t="s">
        <v>958</v>
      </c>
      <c r="F461" s="4">
        <v>5000000</v>
      </c>
      <c r="G461" s="86" t="s">
        <v>4467</v>
      </c>
      <c r="H461" s="14"/>
      <c r="I461" s="4" t="s">
        <v>237</v>
      </c>
      <c r="J461" s="71"/>
      <c r="K461" s="62"/>
      <c r="L461" s="62"/>
    </row>
    <row r="462" spans="1:19" s="97" customFormat="1" hidden="1" x14ac:dyDescent="0.25">
      <c r="A462" s="14" t="s">
        <v>151</v>
      </c>
      <c r="B462" s="14">
        <v>43560</v>
      </c>
      <c r="C462" s="13">
        <v>273</v>
      </c>
      <c r="D462" s="13" t="s">
        <v>6148</v>
      </c>
      <c r="E462" s="13" t="s">
        <v>958</v>
      </c>
      <c r="F462" s="37">
        <v>6482.4</v>
      </c>
      <c r="G462" s="29" t="s">
        <v>6149</v>
      </c>
      <c r="H462" s="14">
        <v>43524</v>
      </c>
      <c r="I462" s="4" t="s">
        <v>1383</v>
      </c>
      <c r="J462" s="22" t="s">
        <v>366</v>
      </c>
      <c r="K462" s="22"/>
      <c r="L462" s="134"/>
    </row>
    <row r="463" spans="1:19" ht="13.95" hidden="1" customHeight="1" x14ac:dyDescent="0.25">
      <c r="A463" s="61" t="s">
        <v>1147</v>
      </c>
      <c r="B463" s="14">
        <v>43560</v>
      </c>
      <c r="C463" s="13">
        <v>605</v>
      </c>
      <c r="D463" s="13" t="s">
        <v>679</v>
      </c>
      <c r="E463" s="32" t="s">
        <v>808</v>
      </c>
      <c r="F463" s="4">
        <v>2000000</v>
      </c>
      <c r="G463" s="86" t="s">
        <v>2192</v>
      </c>
      <c r="H463" s="211"/>
      <c r="I463" s="4" t="s">
        <v>24</v>
      </c>
      <c r="J463" s="21"/>
      <c r="K463" s="228"/>
    </row>
    <row r="464" spans="1:19" ht="13.95" hidden="1" customHeight="1" x14ac:dyDescent="0.25">
      <c r="A464" s="68" t="s">
        <v>1148</v>
      </c>
      <c r="B464" s="14">
        <v>43560</v>
      </c>
      <c r="C464" s="13">
        <v>606</v>
      </c>
      <c r="D464" s="32" t="s">
        <v>1736</v>
      </c>
      <c r="E464" s="32" t="s">
        <v>808</v>
      </c>
      <c r="F464" s="4">
        <v>2500000</v>
      </c>
      <c r="G464" s="86" t="s">
        <v>2596</v>
      </c>
      <c r="H464" s="211"/>
      <c r="I464" s="41" t="s">
        <v>24</v>
      </c>
      <c r="J464" s="21"/>
      <c r="K464" s="228"/>
    </row>
    <row r="465" spans="1:19" s="50" customFormat="1" hidden="1" x14ac:dyDescent="0.25">
      <c r="A465" s="32" t="s">
        <v>1316</v>
      </c>
      <c r="B465" s="14">
        <v>43560</v>
      </c>
      <c r="C465" s="13">
        <v>607</v>
      </c>
      <c r="D465" s="13" t="s">
        <v>1891</v>
      </c>
      <c r="E465" s="32" t="s">
        <v>808</v>
      </c>
      <c r="F465" s="4">
        <v>43740</v>
      </c>
      <c r="G465" s="28" t="s">
        <v>3143</v>
      </c>
      <c r="H465" s="14">
        <v>43543</v>
      </c>
      <c r="I465" s="32" t="s">
        <v>2096</v>
      </c>
      <c r="J465" s="21"/>
      <c r="K465" s="228"/>
      <c r="L465" s="228"/>
      <c r="M465" s="228"/>
      <c r="N465" s="228"/>
    </row>
    <row r="466" spans="1:19" ht="15" hidden="1" customHeight="1" x14ac:dyDescent="0.25">
      <c r="A466" s="61" t="s">
        <v>1934</v>
      </c>
      <c r="B466" s="14">
        <v>43560</v>
      </c>
      <c r="C466" s="13">
        <v>608</v>
      </c>
      <c r="D466" s="32" t="s">
        <v>1387</v>
      </c>
      <c r="E466" s="32" t="s">
        <v>808</v>
      </c>
      <c r="F466" s="4">
        <v>5733</v>
      </c>
      <c r="G466" s="29" t="s">
        <v>2806</v>
      </c>
      <c r="H466" s="14">
        <v>43557</v>
      </c>
      <c r="I466" s="41" t="s">
        <v>6037</v>
      </c>
      <c r="J466" s="35"/>
      <c r="K466" s="35"/>
      <c r="L466" s="35"/>
    </row>
    <row r="467" spans="1:19" ht="13.8" hidden="1" customHeight="1" x14ac:dyDescent="0.25">
      <c r="A467" s="13" t="s">
        <v>151</v>
      </c>
      <c r="B467" s="14">
        <v>43560</v>
      </c>
      <c r="C467" s="13">
        <v>609</v>
      </c>
      <c r="D467" s="32" t="s">
        <v>1254</v>
      </c>
      <c r="E467" s="32" t="s">
        <v>808</v>
      </c>
      <c r="F467" s="4">
        <v>17000</v>
      </c>
      <c r="G467" s="29" t="s">
        <v>6231</v>
      </c>
      <c r="H467" s="14">
        <v>43559</v>
      </c>
      <c r="I467" s="4" t="s">
        <v>1</v>
      </c>
      <c r="J467" s="21"/>
      <c r="K467" s="228"/>
    </row>
    <row r="468" spans="1:19" ht="14.1" hidden="1" customHeight="1" x14ac:dyDescent="0.25">
      <c r="A468" s="32" t="s">
        <v>358</v>
      </c>
      <c r="B468" s="14">
        <v>43560</v>
      </c>
      <c r="C468" s="13">
        <v>624</v>
      </c>
      <c r="D468" s="32" t="s">
        <v>541</v>
      </c>
      <c r="E468" s="13" t="s">
        <v>62</v>
      </c>
      <c r="F468" s="4">
        <v>2000000</v>
      </c>
      <c r="G468" s="86" t="s">
        <v>1961</v>
      </c>
      <c r="H468" s="211"/>
      <c r="I468" s="208" t="s">
        <v>1963</v>
      </c>
      <c r="J468" s="21"/>
      <c r="K468" s="228"/>
    </row>
    <row r="469" spans="1:19" ht="13.95" hidden="1" customHeight="1" x14ac:dyDescent="0.25">
      <c r="A469" s="68" t="s">
        <v>442</v>
      </c>
      <c r="B469" s="14">
        <v>43560</v>
      </c>
      <c r="C469" s="13">
        <v>625</v>
      </c>
      <c r="D469" s="32" t="s">
        <v>438</v>
      </c>
      <c r="E469" s="32" t="s">
        <v>62</v>
      </c>
      <c r="F469" s="4">
        <v>216324.4</v>
      </c>
      <c r="G469" s="86" t="s">
        <v>2037</v>
      </c>
      <c r="H469" s="211"/>
      <c r="I469" s="84" t="s">
        <v>1792</v>
      </c>
      <c r="J469" s="21"/>
      <c r="K469" s="228"/>
    </row>
    <row r="470" spans="1:19" ht="13.95" hidden="1" customHeight="1" x14ac:dyDescent="0.25">
      <c r="A470" s="68" t="s">
        <v>442</v>
      </c>
      <c r="B470" s="14">
        <v>43560</v>
      </c>
      <c r="C470" s="13">
        <v>626</v>
      </c>
      <c r="D470" s="32" t="s">
        <v>438</v>
      </c>
      <c r="E470" s="32" t="s">
        <v>62</v>
      </c>
      <c r="F470" s="4">
        <v>783675.6</v>
      </c>
      <c r="G470" s="86" t="s">
        <v>2037</v>
      </c>
      <c r="H470" s="211"/>
      <c r="I470" s="84" t="s">
        <v>1792</v>
      </c>
      <c r="J470" s="21"/>
      <c r="K470" s="228"/>
    </row>
    <row r="471" spans="1:19" s="2" customFormat="1" ht="15" hidden="1" customHeight="1" x14ac:dyDescent="0.25">
      <c r="A471" s="13" t="s">
        <v>6029</v>
      </c>
      <c r="B471" s="14">
        <v>43560</v>
      </c>
      <c r="C471" s="13">
        <v>627</v>
      </c>
      <c r="D471" s="13" t="s">
        <v>4162</v>
      </c>
      <c r="E471" s="13" t="s">
        <v>62</v>
      </c>
      <c r="F471" s="4">
        <v>10501.99</v>
      </c>
      <c r="G471" s="29" t="s">
        <v>6030</v>
      </c>
      <c r="H471" s="14">
        <v>43557</v>
      </c>
      <c r="I471" s="4" t="s">
        <v>6031</v>
      </c>
      <c r="J471" s="341"/>
      <c r="K471" s="31"/>
      <c r="L471" s="31"/>
      <c r="M471" s="31"/>
      <c r="N471" s="31"/>
      <c r="O471" s="34"/>
      <c r="P471" s="34"/>
      <c r="Q471" s="34"/>
      <c r="R471" s="34"/>
      <c r="S471" s="34"/>
    </row>
    <row r="472" spans="1:19" ht="13.95" hidden="1" customHeight="1" x14ac:dyDescent="0.25">
      <c r="A472" s="32" t="s">
        <v>198</v>
      </c>
      <c r="B472" s="14">
        <v>43560</v>
      </c>
      <c r="C472" s="13">
        <v>92</v>
      </c>
      <c r="D472" s="32" t="s">
        <v>369</v>
      </c>
      <c r="E472" s="32" t="s">
        <v>195</v>
      </c>
      <c r="F472" s="4">
        <v>7500</v>
      </c>
      <c r="G472" s="13">
        <v>12</v>
      </c>
      <c r="H472" s="14">
        <v>43524</v>
      </c>
      <c r="I472" s="4" t="s">
        <v>328</v>
      </c>
      <c r="J472" s="170" t="s">
        <v>721</v>
      </c>
      <c r="K472" s="246"/>
    </row>
    <row r="473" spans="1:19" ht="15" hidden="1" customHeight="1" x14ac:dyDescent="0.25">
      <c r="A473" s="68" t="s">
        <v>198</v>
      </c>
      <c r="B473" s="14">
        <v>43560</v>
      </c>
      <c r="C473" s="13">
        <v>93</v>
      </c>
      <c r="D473" s="32" t="s">
        <v>279</v>
      </c>
      <c r="E473" s="32" t="s">
        <v>195</v>
      </c>
      <c r="F473" s="4">
        <v>89955.06</v>
      </c>
      <c r="G473" s="28" t="s">
        <v>5721</v>
      </c>
      <c r="H473" s="14">
        <v>43524</v>
      </c>
      <c r="I473" s="4" t="s">
        <v>333</v>
      </c>
      <c r="J473" s="170" t="s">
        <v>721</v>
      </c>
      <c r="K473" s="246"/>
    </row>
    <row r="474" spans="1:19" s="2" customFormat="1" ht="15" hidden="1" customHeight="1" x14ac:dyDescent="0.25">
      <c r="A474" s="61" t="s">
        <v>6</v>
      </c>
      <c r="B474" s="14">
        <v>43560</v>
      </c>
      <c r="C474" s="13">
        <v>158</v>
      </c>
      <c r="D474" s="13" t="s">
        <v>225</v>
      </c>
      <c r="E474" s="13" t="s">
        <v>183</v>
      </c>
      <c r="F474" s="4">
        <v>6000</v>
      </c>
      <c r="G474" s="29" t="s">
        <v>99</v>
      </c>
      <c r="H474" s="14">
        <v>43555</v>
      </c>
      <c r="I474" s="4" t="s">
        <v>1441</v>
      </c>
      <c r="J474" s="341" t="s">
        <v>771</v>
      </c>
      <c r="K474" s="31"/>
      <c r="L474" s="31"/>
      <c r="M474" s="31"/>
      <c r="N474" s="31"/>
      <c r="O474" s="34"/>
      <c r="P474" s="34"/>
      <c r="Q474" s="34"/>
      <c r="R474" s="34"/>
      <c r="S474" s="34"/>
    </row>
    <row r="475" spans="1:19" s="2" customFormat="1" ht="15" hidden="1" customHeight="1" x14ac:dyDescent="0.25">
      <c r="A475" s="13" t="s">
        <v>6</v>
      </c>
      <c r="B475" s="14">
        <v>43560</v>
      </c>
      <c r="C475" s="13">
        <v>162</v>
      </c>
      <c r="D475" s="13" t="s">
        <v>1394</v>
      </c>
      <c r="E475" s="13" t="s">
        <v>183</v>
      </c>
      <c r="F475" s="4">
        <v>111360</v>
      </c>
      <c r="G475" s="29" t="s">
        <v>1313</v>
      </c>
      <c r="H475" s="14">
        <v>43549</v>
      </c>
      <c r="I475" s="4" t="s">
        <v>4813</v>
      </c>
      <c r="J475" s="341"/>
      <c r="K475" s="31"/>
      <c r="L475" s="31"/>
      <c r="M475" s="31"/>
      <c r="N475" s="31"/>
      <c r="O475" s="34"/>
      <c r="P475" s="34"/>
      <c r="Q475" s="34"/>
      <c r="R475" s="34"/>
      <c r="S475" s="34"/>
    </row>
    <row r="476" spans="1:19" s="2" customFormat="1" ht="15" hidden="1" customHeight="1" x14ac:dyDescent="0.25">
      <c r="A476" s="13" t="s">
        <v>6</v>
      </c>
      <c r="B476" s="14">
        <v>43560</v>
      </c>
      <c r="C476" s="13">
        <v>161</v>
      </c>
      <c r="D476" s="32" t="s">
        <v>1500</v>
      </c>
      <c r="E476" s="13" t="s">
        <v>183</v>
      </c>
      <c r="F476" s="4">
        <v>800</v>
      </c>
      <c r="G476" s="29" t="s">
        <v>5596</v>
      </c>
      <c r="H476" s="14">
        <v>43553</v>
      </c>
      <c r="I476" s="4" t="s">
        <v>6220</v>
      </c>
      <c r="J476" s="341"/>
      <c r="K476" s="31"/>
      <c r="L476" s="31"/>
      <c r="M476" s="31"/>
      <c r="N476" s="31"/>
      <c r="O476" s="34"/>
      <c r="P476" s="34"/>
      <c r="Q476" s="34"/>
      <c r="R476" s="34"/>
      <c r="S476" s="34"/>
    </row>
    <row r="477" spans="1:19" s="2" customFormat="1" hidden="1" x14ac:dyDescent="0.25">
      <c r="A477" s="13" t="s">
        <v>6</v>
      </c>
      <c r="B477" s="14">
        <v>43560</v>
      </c>
      <c r="C477" s="13">
        <v>163</v>
      </c>
      <c r="D477" s="32" t="s">
        <v>530</v>
      </c>
      <c r="E477" s="13" t="s">
        <v>183</v>
      </c>
      <c r="F477" s="4">
        <v>67500</v>
      </c>
      <c r="G477" s="29" t="s">
        <v>3234</v>
      </c>
      <c r="H477" s="14">
        <v>43544</v>
      </c>
      <c r="I477" s="4" t="s">
        <v>208</v>
      </c>
      <c r="J477" s="341"/>
      <c r="K477" s="31"/>
      <c r="L477" s="31"/>
      <c r="M477" s="31"/>
      <c r="N477" s="31"/>
      <c r="O477" s="34"/>
      <c r="P477" s="34"/>
      <c r="Q477" s="34"/>
      <c r="R477" s="34"/>
      <c r="S477" s="34"/>
    </row>
    <row r="478" spans="1:19" s="97" customFormat="1" hidden="1" x14ac:dyDescent="0.25">
      <c r="A478" s="13" t="s">
        <v>6</v>
      </c>
      <c r="B478" s="14">
        <v>43560</v>
      </c>
      <c r="C478" s="67">
        <v>159</v>
      </c>
      <c r="D478" s="13" t="s">
        <v>776</v>
      </c>
      <c r="E478" s="13" t="s">
        <v>183</v>
      </c>
      <c r="F478" s="4">
        <v>11700</v>
      </c>
      <c r="G478" s="29" t="s">
        <v>7</v>
      </c>
      <c r="H478" s="14">
        <v>43550</v>
      </c>
      <c r="I478" s="4" t="s">
        <v>6034</v>
      </c>
      <c r="J478" s="22"/>
      <c r="K478" s="22"/>
      <c r="L478" s="134"/>
    </row>
    <row r="479" spans="1:19" s="2" customFormat="1" hidden="1" x14ac:dyDescent="0.25">
      <c r="A479" s="13" t="s">
        <v>6</v>
      </c>
      <c r="B479" s="14">
        <v>43560</v>
      </c>
      <c r="C479" s="13">
        <v>164</v>
      </c>
      <c r="D479" s="13" t="s">
        <v>743</v>
      </c>
      <c r="E479" s="13" t="s">
        <v>183</v>
      </c>
      <c r="F479" s="4">
        <v>33000</v>
      </c>
      <c r="G479" s="29" t="s">
        <v>5843</v>
      </c>
      <c r="H479" s="14">
        <v>43543</v>
      </c>
      <c r="I479" s="4" t="s">
        <v>105</v>
      </c>
      <c r="J479" s="341"/>
      <c r="K479" s="31"/>
      <c r="L479" s="31"/>
      <c r="M479" s="31"/>
      <c r="N479" s="31"/>
      <c r="O479" s="34"/>
      <c r="P479" s="34"/>
      <c r="Q479" s="34"/>
      <c r="R479" s="34"/>
      <c r="S479" s="34"/>
    </row>
    <row r="480" spans="1:19" s="2" customFormat="1" ht="15" hidden="1" customHeight="1" x14ac:dyDescent="0.25">
      <c r="A480" s="13" t="s">
        <v>6</v>
      </c>
      <c r="B480" s="14">
        <v>43560</v>
      </c>
      <c r="C480" s="13">
        <v>160</v>
      </c>
      <c r="D480" s="13" t="s">
        <v>5810</v>
      </c>
      <c r="E480" s="13" t="s">
        <v>183</v>
      </c>
      <c r="F480" s="4">
        <v>28500</v>
      </c>
      <c r="G480" s="29" t="s">
        <v>3432</v>
      </c>
      <c r="H480" s="14">
        <v>43546</v>
      </c>
      <c r="I480" s="4" t="s">
        <v>5811</v>
      </c>
      <c r="J480" s="341"/>
      <c r="K480" s="31"/>
      <c r="L480" s="31"/>
      <c r="M480" s="31"/>
      <c r="N480" s="31"/>
      <c r="O480" s="34"/>
      <c r="P480" s="34"/>
      <c r="Q480" s="34"/>
      <c r="R480" s="34"/>
      <c r="S480" s="34"/>
    </row>
    <row r="481" spans="1:12" ht="13.95" hidden="1" customHeight="1" x14ac:dyDescent="0.25">
      <c r="A481" s="61" t="s">
        <v>659</v>
      </c>
      <c r="B481" s="14">
        <v>43560</v>
      </c>
      <c r="C481" s="13">
        <v>173</v>
      </c>
      <c r="D481" s="32" t="s">
        <v>6303</v>
      </c>
      <c r="E481" s="32" t="s">
        <v>1336</v>
      </c>
      <c r="F481" s="4">
        <v>6472391.9699999997</v>
      </c>
      <c r="G481" s="29" t="s">
        <v>6304</v>
      </c>
      <c r="H481" s="14">
        <v>43124</v>
      </c>
      <c r="I481" s="41" t="s">
        <v>6305</v>
      </c>
      <c r="J481" s="21"/>
      <c r="K481" s="228"/>
    </row>
    <row r="482" spans="1:12" ht="13.95" hidden="1" customHeight="1" x14ac:dyDescent="0.25">
      <c r="A482" s="68" t="s">
        <v>638</v>
      </c>
      <c r="B482" s="14">
        <v>43563</v>
      </c>
      <c r="C482" s="67">
        <v>373</v>
      </c>
      <c r="D482" s="32" t="s">
        <v>595</v>
      </c>
      <c r="E482" s="32" t="s">
        <v>547</v>
      </c>
      <c r="F482" s="4">
        <f>1628447.4-500000-600000</f>
        <v>528447.39999999991</v>
      </c>
      <c r="G482" s="28" t="s">
        <v>5596</v>
      </c>
      <c r="H482" s="14">
        <v>43524</v>
      </c>
      <c r="I482" s="41" t="s">
        <v>949</v>
      </c>
      <c r="J482" s="166" t="s">
        <v>721</v>
      </c>
      <c r="K482" s="167"/>
      <c r="L482" s="35"/>
    </row>
    <row r="483" spans="1:12" ht="27.6" hidden="1" x14ac:dyDescent="0.25">
      <c r="A483" s="13" t="s">
        <v>91</v>
      </c>
      <c r="B483" s="14">
        <v>43564</v>
      </c>
      <c r="C483" s="13">
        <v>556</v>
      </c>
      <c r="D483" s="13" t="s">
        <v>2974</v>
      </c>
      <c r="E483" s="13" t="s">
        <v>130</v>
      </c>
      <c r="F483" s="37">
        <v>45</v>
      </c>
      <c r="G483" s="69" t="s">
        <v>5805</v>
      </c>
      <c r="H483" s="14"/>
      <c r="I483" s="4" t="s">
        <v>4070</v>
      </c>
    </row>
    <row r="484" spans="1:12" ht="27.6" hidden="1" x14ac:dyDescent="0.25">
      <c r="A484" s="13" t="s">
        <v>1147</v>
      </c>
      <c r="B484" s="14">
        <v>43564</v>
      </c>
      <c r="C484" s="13">
        <v>557</v>
      </c>
      <c r="D484" s="13" t="s">
        <v>2974</v>
      </c>
      <c r="E484" s="13" t="s">
        <v>130</v>
      </c>
      <c r="F484" s="37">
        <v>65</v>
      </c>
      <c r="G484" s="69" t="s">
        <v>5805</v>
      </c>
      <c r="H484" s="14"/>
      <c r="I484" s="4" t="s">
        <v>4070</v>
      </c>
    </row>
    <row r="485" spans="1:12" ht="27.6" hidden="1" x14ac:dyDescent="0.25">
      <c r="A485" s="13" t="s">
        <v>660</v>
      </c>
      <c r="B485" s="14">
        <v>43564</v>
      </c>
      <c r="C485" s="13">
        <v>558</v>
      </c>
      <c r="D485" s="13" t="s">
        <v>2974</v>
      </c>
      <c r="E485" s="13" t="s">
        <v>130</v>
      </c>
      <c r="F485" s="37">
        <v>45</v>
      </c>
      <c r="G485" s="69" t="s">
        <v>5805</v>
      </c>
      <c r="H485" s="14"/>
      <c r="I485" s="4" t="s">
        <v>4070</v>
      </c>
      <c r="J485" s="22" t="s">
        <v>46</v>
      </c>
    </row>
    <row r="486" spans="1:12" ht="27.6" hidden="1" x14ac:dyDescent="0.25">
      <c r="A486" s="13" t="s">
        <v>659</v>
      </c>
      <c r="B486" s="14">
        <v>43564</v>
      </c>
      <c r="C486" s="13">
        <v>559</v>
      </c>
      <c r="D486" s="13" t="s">
        <v>2974</v>
      </c>
      <c r="E486" s="13" t="s">
        <v>130</v>
      </c>
      <c r="F486" s="37">
        <v>40</v>
      </c>
      <c r="G486" s="69" t="s">
        <v>5805</v>
      </c>
      <c r="H486" s="14"/>
      <c r="I486" s="4" t="s">
        <v>4070</v>
      </c>
    </row>
    <row r="487" spans="1:12" ht="27.6" hidden="1" x14ac:dyDescent="0.25">
      <c r="A487" s="13" t="s">
        <v>455</v>
      </c>
      <c r="B487" s="14">
        <v>43564</v>
      </c>
      <c r="C487" s="13">
        <v>560</v>
      </c>
      <c r="D487" s="13" t="s">
        <v>2974</v>
      </c>
      <c r="E487" s="13" t="s">
        <v>130</v>
      </c>
      <c r="F487" s="37">
        <v>145</v>
      </c>
      <c r="G487" s="69" t="s">
        <v>5805</v>
      </c>
      <c r="H487" s="14"/>
      <c r="I487" s="4" t="s">
        <v>4070</v>
      </c>
    </row>
    <row r="488" spans="1:12" ht="27.6" hidden="1" x14ac:dyDescent="0.25">
      <c r="A488" s="13" t="s">
        <v>209</v>
      </c>
      <c r="B488" s="14">
        <v>43564</v>
      </c>
      <c r="C488" s="13">
        <v>73</v>
      </c>
      <c r="D488" s="13" t="s">
        <v>6339</v>
      </c>
      <c r="E488" s="13" t="s">
        <v>134</v>
      </c>
      <c r="F488" s="37">
        <v>70000</v>
      </c>
      <c r="G488" s="29" t="s">
        <v>6340</v>
      </c>
      <c r="H488" s="14">
        <v>43521</v>
      </c>
      <c r="I488" s="4" t="s">
        <v>6341</v>
      </c>
    </row>
    <row r="489" spans="1:12" hidden="1" x14ac:dyDescent="0.25">
      <c r="A489" s="13" t="s">
        <v>209</v>
      </c>
      <c r="B489" s="14">
        <v>43564</v>
      </c>
      <c r="C489" s="13">
        <v>75</v>
      </c>
      <c r="D489" s="13" t="s">
        <v>210</v>
      </c>
      <c r="E489" s="13" t="s">
        <v>134</v>
      </c>
      <c r="F489" s="37">
        <v>38122.239999999998</v>
      </c>
      <c r="G489" s="67" t="s">
        <v>6343</v>
      </c>
      <c r="H489" s="14">
        <v>43559</v>
      </c>
      <c r="I489" s="4" t="s">
        <v>6344</v>
      </c>
      <c r="J489" s="471"/>
      <c r="K489" s="228"/>
    </row>
    <row r="490" spans="1:12" hidden="1" x14ac:dyDescent="0.25">
      <c r="A490" s="13" t="s">
        <v>209</v>
      </c>
      <c r="B490" s="14">
        <v>43564</v>
      </c>
      <c r="C490" s="13">
        <v>74</v>
      </c>
      <c r="D490" s="13" t="s">
        <v>210</v>
      </c>
      <c r="E490" s="13" t="s">
        <v>134</v>
      </c>
      <c r="F490" s="37">
        <v>5292.69</v>
      </c>
      <c r="G490" s="67" t="s">
        <v>5264</v>
      </c>
      <c r="H490" s="14">
        <v>43558</v>
      </c>
      <c r="I490" s="4" t="s">
        <v>6345</v>
      </c>
      <c r="J490" s="471"/>
      <c r="K490" s="228"/>
    </row>
    <row r="491" spans="1:12" ht="27.6" hidden="1" x14ac:dyDescent="0.25">
      <c r="A491" s="68" t="s">
        <v>151</v>
      </c>
      <c r="B491" s="14">
        <v>43564</v>
      </c>
      <c r="C491" s="13">
        <v>92</v>
      </c>
      <c r="D491" s="32" t="s">
        <v>1263</v>
      </c>
      <c r="E491" s="32" t="s">
        <v>22</v>
      </c>
      <c r="F491" s="4">
        <v>380000</v>
      </c>
      <c r="G491" s="210" t="s">
        <v>6368</v>
      </c>
      <c r="H491" s="211">
        <v>43503</v>
      </c>
      <c r="I491" s="208" t="s">
        <v>6369</v>
      </c>
      <c r="J491" s="21"/>
      <c r="K491" s="228"/>
    </row>
    <row r="492" spans="1:12" ht="15" hidden="1" customHeight="1" x14ac:dyDescent="0.25">
      <c r="A492" s="68" t="s">
        <v>92</v>
      </c>
      <c r="B492" s="14">
        <v>43564</v>
      </c>
      <c r="C492" s="13">
        <v>637</v>
      </c>
      <c r="D492" s="13" t="s">
        <v>969</v>
      </c>
      <c r="E492" s="32" t="s">
        <v>62</v>
      </c>
      <c r="F492" s="4">
        <v>360000</v>
      </c>
      <c r="G492" s="86" t="s">
        <v>2035</v>
      </c>
      <c r="H492" s="14"/>
      <c r="I492" s="4" t="s">
        <v>229</v>
      </c>
      <c r="J492" s="71"/>
      <c r="K492" s="62"/>
      <c r="L492" s="62"/>
    </row>
    <row r="493" spans="1:12" hidden="1" x14ac:dyDescent="0.25">
      <c r="A493" s="68" t="s">
        <v>151</v>
      </c>
      <c r="B493" s="14">
        <v>43564</v>
      </c>
      <c r="C493" s="13">
        <v>617</v>
      </c>
      <c r="D493" s="32" t="s">
        <v>2899</v>
      </c>
      <c r="E493" s="32" t="s">
        <v>808</v>
      </c>
      <c r="F493" s="209">
        <v>49000</v>
      </c>
      <c r="G493" s="210" t="s">
        <v>6378</v>
      </c>
      <c r="H493" s="211">
        <v>43558</v>
      </c>
      <c r="I493" s="208" t="s">
        <v>6379</v>
      </c>
      <c r="J493" s="21"/>
      <c r="K493" s="228"/>
    </row>
    <row r="494" spans="1:12" hidden="1" x14ac:dyDescent="0.25">
      <c r="A494" s="68" t="s">
        <v>151</v>
      </c>
      <c r="B494" s="14">
        <v>43564</v>
      </c>
      <c r="C494" s="13">
        <v>32</v>
      </c>
      <c r="D494" s="32" t="s">
        <v>4047</v>
      </c>
      <c r="E494" s="32" t="s">
        <v>2941</v>
      </c>
      <c r="F494" s="209">
        <v>24000</v>
      </c>
      <c r="G494" s="210" t="s">
        <v>89</v>
      </c>
      <c r="H494" s="211">
        <v>43539</v>
      </c>
      <c r="I494" s="208" t="s">
        <v>6380</v>
      </c>
      <c r="J494" s="21"/>
      <c r="K494" s="228"/>
    </row>
    <row r="495" spans="1:12" hidden="1" x14ac:dyDescent="0.25">
      <c r="A495" s="68" t="s">
        <v>151</v>
      </c>
      <c r="B495" s="14">
        <v>43564</v>
      </c>
      <c r="C495" s="13">
        <v>612</v>
      </c>
      <c r="D495" s="32" t="s">
        <v>4047</v>
      </c>
      <c r="E495" s="32" t="s">
        <v>808</v>
      </c>
      <c r="F495" s="209">
        <v>24000</v>
      </c>
      <c r="G495" s="210" t="s">
        <v>4206</v>
      </c>
      <c r="H495" s="211">
        <v>43539</v>
      </c>
      <c r="I495" s="208" t="s">
        <v>6380</v>
      </c>
      <c r="J495" s="21"/>
      <c r="K495" s="228"/>
    </row>
    <row r="496" spans="1:12" hidden="1" x14ac:dyDescent="0.25">
      <c r="A496" s="61" t="s">
        <v>460</v>
      </c>
      <c r="B496" s="14">
        <v>43565</v>
      </c>
      <c r="C496" s="13">
        <v>44</v>
      </c>
      <c r="D496" s="32" t="s">
        <v>4509</v>
      </c>
      <c r="E496" s="32" t="s">
        <v>742</v>
      </c>
      <c r="F496" s="4">
        <v>1957500</v>
      </c>
      <c r="G496" s="86" t="s">
        <v>4510</v>
      </c>
      <c r="H496" s="14">
        <v>43518</v>
      </c>
      <c r="I496" s="326"/>
      <c r="K496" s="62"/>
    </row>
    <row r="497" spans="1:12" hidden="1" x14ac:dyDescent="0.25">
      <c r="A497" s="61" t="s">
        <v>460</v>
      </c>
      <c r="B497" s="14">
        <v>43565</v>
      </c>
      <c r="C497" s="13">
        <v>384</v>
      </c>
      <c r="D497" s="14" t="s">
        <v>6376</v>
      </c>
      <c r="E497" s="32" t="s">
        <v>547</v>
      </c>
      <c r="F497" s="4">
        <v>57192</v>
      </c>
      <c r="G497" s="86" t="s">
        <v>6377</v>
      </c>
      <c r="H497" s="211"/>
      <c r="I497" s="326"/>
      <c r="K497" s="62"/>
    </row>
    <row r="498" spans="1:12" ht="15" hidden="1" customHeight="1" x14ac:dyDescent="0.25">
      <c r="A498" s="13" t="s">
        <v>184</v>
      </c>
      <c r="B498" s="14">
        <v>43565</v>
      </c>
      <c r="C498" s="13">
        <v>284</v>
      </c>
      <c r="D498" s="32" t="s">
        <v>1359</v>
      </c>
      <c r="E498" s="32" t="s">
        <v>144</v>
      </c>
      <c r="F498" s="4">
        <v>200838</v>
      </c>
      <c r="G498" s="25" t="s">
        <v>5796</v>
      </c>
      <c r="H498" s="14">
        <v>43525</v>
      </c>
      <c r="I498" s="4" t="s">
        <v>294</v>
      </c>
      <c r="J498" s="76" t="s">
        <v>771</v>
      </c>
    </row>
    <row r="499" spans="1:12" s="192" customFormat="1" hidden="1" x14ac:dyDescent="0.25">
      <c r="A499" s="147" t="s">
        <v>242</v>
      </c>
      <c r="B499" s="14">
        <v>43565</v>
      </c>
      <c r="C499" s="195">
        <v>285</v>
      </c>
      <c r="D499" s="149" t="s">
        <v>490</v>
      </c>
      <c r="E499" s="147" t="s">
        <v>144</v>
      </c>
      <c r="F499" s="158">
        <v>1366959.35</v>
      </c>
      <c r="G499" s="150" t="s">
        <v>6021</v>
      </c>
      <c r="H499" s="148">
        <v>43537</v>
      </c>
      <c r="I499" s="149" t="s">
        <v>143</v>
      </c>
      <c r="J499" s="193"/>
      <c r="K499" s="194"/>
      <c r="L499" s="190"/>
    </row>
    <row r="500" spans="1:12" s="192" customFormat="1" hidden="1" x14ac:dyDescent="0.25">
      <c r="A500" s="147" t="s">
        <v>242</v>
      </c>
      <c r="B500" s="14">
        <v>43565</v>
      </c>
      <c r="C500" s="195">
        <v>286</v>
      </c>
      <c r="D500" s="149" t="s">
        <v>490</v>
      </c>
      <c r="E500" s="147" t="s">
        <v>144</v>
      </c>
      <c r="F500" s="158">
        <v>102450</v>
      </c>
      <c r="G500" s="150" t="s">
        <v>6022</v>
      </c>
      <c r="H500" s="148">
        <v>43537</v>
      </c>
      <c r="I500" s="149" t="s">
        <v>143</v>
      </c>
      <c r="J500" s="193"/>
      <c r="K500" s="194"/>
      <c r="L500" s="190"/>
    </row>
    <row r="501" spans="1:12" s="192" customFormat="1" hidden="1" x14ac:dyDescent="0.25">
      <c r="A501" s="147" t="s">
        <v>242</v>
      </c>
      <c r="B501" s="14">
        <v>43565</v>
      </c>
      <c r="C501" s="195">
        <v>286</v>
      </c>
      <c r="D501" s="149" t="s">
        <v>490</v>
      </c>
      <c r="E501" s="147" t="s">
        <v>144</v>
      </c>
      <c r="F501" s="158">
        <v>220800</v>
      </c>
      <c r="G501" s="150" t="s">
        <v>6023</v>
      </c>
      <c r="H501" s="148">
        <v>43543</v>
      </c>
      <c r="I501" s="149" t="s">
        <v>143</v>
      </c>
      <c r="J501" s="193"/>
      <c r="K501" s="194"/>
      <c r="L501" s="190"/>
    </row>
    <row r="502" spans="1:12" s="192" customFormat="1" hidden="1" x14ac:dyDescent="0.25">
      <c r="A502" s="147" t="s">
        <v>242</v>
      </c>
      <c r="B502" s="14">
        <v>43565</v>
      </c>
      <c r="C502" s="195">
        <v>285</v>
      </c>
      <c r="D502" s="149" t="s">
        <v>490</v>
      </c>
      <c r="E502" s="147" t="s">
        <v>144</v>
      </c>
      <c r="F502" s="158">
        <v>354739.1</v>
      </c>
      <c r="G502" s="150" t="s">
        <v>6024</v>
      </c>
      <c r="H502" s="148">
        <v>43543</v>
      </c>
      <c r="I502" s="149" t="s">
        <v>143</v>
      </c>
      <c r="J502" s="193"/>
      <c r="K502" s="194"/>
      <c r="L502" s="190"/>
    </row>
    <row r="503" spans="1:12" s="192" customFormat="1" hidden="1" x14ac:dyDescent="0.25">
      <c r="A503" s="147" t="s">
        <v>242</v>
      </c>
      <c r="B503" s="14">
        <v>43565</v>
      </c>
      <c r="C503" s="195">
        <v>287</v>
      </c>
      <c r="D503" s="149" t="s">
        <v>784</v>
      </c>
      <c r="E503" s="147" t="s">
        <v>144</v>
      </c>
      <c r="F503" s="158">
        <v>272019.55</v>
      </c>
      <c r="G503" s="150" t="s">
        <v>479</v>
      </c>
      <c r="H503" s="148">
        <v>43557</v>
      </c>
      <c r="I503" s="149" t="s">
        <v>143</v>
      </c>
      <c r="J503" s="193"/>
      <c r="K503" s="194"/>
      <c r="L503" s="190"/>
    </row>
    <row r="504" spans="1:12" s="192" customFormat="1" hidden="1" x14ac:dyDescent="0.25">
      <c r="A504" s="147" t="s">
        <v>242</v>
      </c>
      <c r="B504" s="14">
        <v>43565</v>
      </c>
      <c r="C504" s="195">
        <v>288</v>
      </c>
      <c r="D504" s="149" t="s">
        <v>784</v>
      </c>
      <c r="E504" s="147" t="s">
        <v>144</v>
      </c>
      <c r="F504" s="158">
        <v>84630</v>
      </c>
      <c r="G504" s="150" t="s">
        <v>308</v>
      </c>
      <c r="H504" s="148">
        <v>43557</v>
      </c>
      <c r="I504" s="149" t="s">
        <v>143</v>
      </c>
      <c r="J504" s="193"/>
      <c r="K504" s="194"/>
      <c r="L504" s="190"/>
    </row>
    <row r="505" spans="1:12" s="192" customFormat="1" hidden="1" x14ac:dyDescent="0.25">
      <c r="A505" s="147" t="s">
        <v>242</v>
      </c>
      <c r="B505" s="14">
        <v>43565</v>
      </c>
      <c r="C505" s="195">
        <v>288</v>
      </c>
      <c r="D505" s="149" t="s">
        <v>784</v>
      </c>
      <c r="E505" s="147" t="s">
        <v>144</v>
      </c>
      <c r="F505" s="158">
        <v>88887.5</v>
      </c>
      <c r="G505" s="150" t="s">
        <v>77</v>
      </c>
      <c r="H505" s="148">
        <v>43557</v>
      </c>
      <c r="I505" s="149" t="s">
        <v>143</v>
      </c>
      <c r="J505" s="193"/>
      <c r="K505" s="194"/>
      <c r="L505" s="190"/>
    </row>
    <row r="506" spans="1:12" s="192" customFormat="1" hidden="1" x14ac:dyDescent="0.25">
      <c r="A506" s="147" t="s">
        <v>242</v>
      </c>
      <c r="B506" s="14">
        <v>43565</v>
      </c>
      <c r="C506" s="195">
        <v>287</v>
      </c>
      <c r="D506" s="149" t="s">
        <v>784</v>
      </c>
      <c r="E506" s="147" t="s">
        <v>144</v>
      </c>
      <c r="F506" s="158">
        <v>609000.85</v>
      </c>
      <c r="G506" s="150" t="s">
        <v>3592</v>
      </c>
      <c r="H506" s="148">
        <v>43557</v>
      </c>
      <c r="I506" s="149" t="s">
        <v>143</v>
      </c>
      <c r="J506" s="193"/>
      <c r="K506" s="194"/>
      <c r="L506" s="190"/>
    </row>
    <row r="507" spans="1:12" s="192" customFormat="1" hidden="1" x14ac:dyDescent="0.25">
      <c r="A507" s="147" t="s">
        <v>242</v>
      </c>
      <c r="B507" s="14">
        <v>43565</v>
      </c>
      <c r="C507" s="195">
        <v>287</v>
      </c>
      <c r="D507" s="149" t="s">
        <v>784</v>
      </c>
      <c r="E507" s="147" t="s">
        <v>144</v>
      </c>
      <c r="F507" s="158">
        <v>631820.94999999995</v>
      </c>
      <c r="G507" s="150" t="s">
        <v>3339</v>
      </c>
      <c r="H507" s="148">
        <v>43557</v>
      </c>
      <c r="I507" s="149" t="s">
        <v>143</v>
      </c>
      <c r="J507" s="193"/>
      <c r="K507" s="194"/>
      <c r="L507" s="190"/>
    </row>
    <row r="508" spans="1:12" s="192" customFormat="1" hidden="1" x14ac:dyDescent="0.25">
      <c r="A508" s="147" t="s">
        <v>242</v>
      </c>
      <c r="B508" s="14">
        <v>43565</v>
      </c>
      <c r="C508" s="187">
        <v>289</v>
      </c>
      <c r="D508" s="149" t="s">
        <v>388</v>
      </c>
      <c r="E508" s="147" t="s">
        <v>144</v>
      </c>
      <c r="F508" s="158">
        <v>512183.2</v>
      </c>
      <c r="G508" s="150" t="s">
        <v>1155</v>
      </c>
      <c r="H508" s="148">
        <v>43557</v>
      </c>
      <c r="I508" s="149" t="s">
        <v>143</v>
      </c>
      <c r="J508" s="193"/>
      <c r="K508" s="194"/>
      <c r="L508" s="190"/>
    </row>
    <row r="509" spans="1:12" s="192" customFormat="1" hidden="1" x14ac:dyDescent="0.25">
      <c r="A509" s="147" t="s">
        <v>242</v>
      </c>
      <c r="B509" s="14">
        <v>43565</v>
      </c>
      <c r="C509" s="187">
        <v>289</v>
      </c>
      <c r="D509" s="149" t="s">
        <v>388</v>
      </c>
      <c r="E509" s="147" t="s">
        <v>144</v>
      </c>
      <c r="F509" s="158">
        <v>1064596.2</v>
      </c>
      <c r="G509" s="150" t="s">
        <v>3852</v>
      </c>
      <c r="H509" s="148">
        <v>43557</v>
      </c>
      <c r="I509" s="149" t="s">
        <v>143</v>
      </c>
      <c r="J509" s="193"/>
      <c r="K509" s="194"/>
      <c r="L509" s="190"/>
    </row>
    <row r="510" spans="1:12" s="192" customFormat="1" hidden="1" x14ac:dyDescent="0.25">
      <c r="A510" s="147" t="s">
        <v>242</v>
      </c>
      <c r="B510" s="14">
        <v>43565</v>
      </c>
      <c r="C510" s="187">
        <v>290</v>
      </c>
      <c r="D510" s="149" t="s">
        <v>388</v>
      </c>
      <c r="E510" s="147" t="s">
        <v>144</v>
      </c>
      <c r="F510" s="158">
        <v>81235</v>
      </c>
      <c r="G510" s="150" t="s">
        <v>3432</v>
      </c>
      <c r="H510" s="148">
        <v>43557</v>
      </c>
      <c r="I510" s="149" t="s">
        <v>143</v>
      </c>
      <c r="J510" s="193"/>
      <c r="K510" s="194"/>
      <c r="L510" s="190"/>
    </row>
    <row r="511" spans="1:12" s="192" customFormat="1" hidden="1" x14ac:dyDescent="0.25">
      <c r="A511" s="147" t="s">
        <v>242</v>
      </c>
      <c r="B511" s="14">
        <v>43565</v>
      </c>
      <c r="C511" s="195">
        <v>290</v>
      </c>
      <c r="D511" s="149" t="s">
        <v>388</v>
      </c>
      <c r="E511" s="147" t="s">
        <v>144</v>
      </c>
      <c r="F511" s="158">
        <v>312974.2</v>
      </c>
      <c r="G511" s="150" t="s">
        <v>25</v>
      </c>
      <c r="H511" s="148">
        <v>43557</v>
      </c>
      <c r="I511" s="149" t="s">
        <v>143</v>
      </c>
      <c r="J511" s="193"/>
      <c r="K511" s="194"/>
      <c r="L511" s="190"/>
    </row>
    <row r="512" spans="1:12" s="129" customFormat="1" hidden="1" x14ac:dyDescent="0.25">
      <c r="A512" s="13" t="s">
        <v>151</v>
      </c>
      <c r="B512" s="14">
        <v>43565</v>
      </c>
      <c r="C512" s="28" t="s">
        <v>1498</v>
      </c>
      <c r="D512" s="13" t="s">
        <v>2889</v>
      </c>
      <c r="E512" s="13" t="s">
        <v>144</v>
      </c>
      <c r="F512" s="37">
        <v>40000</v>
      </c>
      <c r="G512" s="28" t="s">
        <v>6337</v>
      </c>
      <c r="H512" s="14">
        <v>43560</v>
      </c>
      <c r="I512" s="4" t="s">
        <v>6338</v>
      </c>
      <c r="J512" s="133"/>
      <c r="K512" s="275"/>
    </row>
    <row r="513" spans="1:19" s="31" customFormat="1" ht="27.6" hidden="1" x14ac:dyDescent="0.25">
      <c r="A513" s="13" t="s">
        <v>91</v>
      </c>
      <c r="B513" s="14">
        <v>43565</v>
      </c>
      <c r="C513" s="13">
        <v>296</v>
      </c>
      <c r="D513" s="13" t="s">
        <v>745</v>
      </c>
      <c r="E513" s="13" t="s">
        <v>2021</v>
      </c>
      <c r="F513" s="37">
        <v>400000</v>
      </c>
      <c r="G513" s="29" t="s">
        <v>2018</v>
      </c>
      <c r="H513" s="14">
        <v>43377</v>
      </c>
      <c r="I513" s="4" t="s">
        <v>484</v>
      </c>
      <c r="J513" s="34"/>
      <c r="O513" s="34"/>
      <c r="P513" s="34"/>
      <c r="Q513" s="34"/>
      <c r="R513" s="34"/>
      <c r="S513" s="34"/>
    </row>
    <row r="514" spans="1:19" ht="27.6" hidden="1" x14ac:dyDescent="0.25">
      <c r="A514" s="13" t="s">
        <v>91</v>
      </c>
      <c r="B514" s="14">
        <v>43565</v>
      </c>
      <c r="C514" s="28" t="s">
        <v>6100</v>
      </c>
      <c r="D514" s="13" t="s">
        <v>3653</v>
      </c>
      <c r="E514" s="13" t="s">
        <v>2021</v>
      </c>
      <c r="F514" s="37">
        <v>612530</v>
      </c>
      <c r="G514" s="29" t="s">
        <v>6312</v>
      </c>
      <c r="H514" s="14">
        <v>43563</v>
      </c>
      <c r="I514" s="4" t="s">
        <v>6313</v>
      </c>
      <c r="K514" s="62"/>
    </row>
    <row r="515" spans="1:19" ht="27.6" hidden="1" x14ac:dyDescent="0.25">
      <c r="A515" s="32" t="s">
        <v>550</v>
      </c>
      <c r="B515" s="14">
        <v>43565</v>
      </c>
      <c r="C515" s="67">
        <v>298</v>
      </c>
      <c r="D515" s="32" t="s">
        <v>373</v>
      </c>
      <c r="E515" s="13" t="s">
        <v>2021</v>
      </c>
      <c r="F515" s="4">
        <v>64182.77</v>
      </c>
      <c r="G515" s="28" t="s">
        <v>5573</v>
      </c>
      <c r="H515" s="14">
        <v>43459</v>
      </c>
      <c r="I515" s="4" t="s">
        <v>362</v>
      </c>
      <c r="J515" s="166" t="s">
        <v>327</v>
      </c>
      <c r="K515" s="167"/>
      <c r="L515" s="35"/>
    </row>
    <row r="516" spans="1:19" ht="27.6" hidden="1" x14ac:dyDescent="0.25">
      <c r="A516" s="32" t="s">
        <v>668</v>
      </c>
      <c r="B516" s="14">
        <v>43565</v>
      </c>
      <c r="C516" s="67">
        <v>299</v>
      </c>
      <c r="D516" s="32" t="s">
        <v>373</v>
      </c>
      <c r="E516" s="13" t="s">
        <v>2021</v>
      </c>
      <c r="F516" s="4">
        <v>33195.71</v>
      </c>
      <c r="G516" s="28" t="s">
        <v>5575</v>
      </c>
      <c r="H516" s="14">
        <v>43459</v>
      </c>
      <c r="I516" s="4" t="s">
        <v>362</v>
      </c>
      <c r="J516" s="166" t="s">
        <v>327</v>
      </c>
      <c r="K516" s="167"/>
      <c r="L516" s="35"/>
    </row>
    <row r="517" spans="1:19" ht="27.6" hidden="1" x14ac:dyDescent="0.25">
      <c r="A517" s="32" t="s">
        <v>536</v>
      </c>
      <c r="B517" s="14">
        <v>43565</v>
      </c>
      <c r="C517" s="67">
        <v>300</v>
      </c>
      <c r="D517" s="32" t="s">
        <v>373</v>
      </c>
      <c r="E517" s="13" t="s">
        <v>2021</v>
      </c>
      <c r="F517" s="4">
        <v>38518.51</v>
      </c>
      <c r="G517" s="28" t="s">
        <v>5576</v>
      </c>
      <c r="H517" s="14">
        <v>43459</v>
      </c>
      <c r="I517" s="4" t="s">
        <v>362</v>
      </c>
      <c r="J517" s="166" t="s">
        <v>327</v>
      </c>
      <c r="K517" s="167"/>
      <c r="L517" s="35"/>
    </row>
    <row r="518" spans="1:19" ht="27.6" hidden="1" x14ac:dyDescent="0.25">
      <c r="A518" s="32" t="s">
        <v>527</v>
      </c>
      <c r="B518" s="14">
        <v>43565</v>
      </c>
      <c r="C518" s="67">
        <v>301</v>
      </c>
      <c r="D518" s="32" t="s">
        <v>373</v>
      </c>
      <c r="E518" s="13" t="s">
        <v>2021</v>
      </c>
      <c r="F518" s="4">
        <v>23146.44</v>
      </c>
      <c r="G518" s="28" t="s">
        <v>5577</v>
      </c>
      <c r="H518" s="14">
        <v>43459</v>
      </c>
      <c r="I518" s="4" t="s">
        <v>362</v>
      </c>
      <c r="J518" s="166" t="s">
        <v>327</v>
      </c>
      <c r="K518" s="167"/>
      <c r="L518" s="35"/>
    </row>
    <row r="519" spans="1:19" s="192" customFormat="1" ht="14.85" hidden="1" customHeight="1" x14ac:dyDescent="0.25">
      <c r="A519" s="147" t="s">
        <v>242</v>
      </c>
      <c r="B519" s="164">
        <v>43565</v>
      </c>
      <c r="C519" s="195">
        <v>747</v>
      </c>
      <c r="D519" s="149" t="s">
        <v>840</v>
      </c>
      <c r="E519" s="147" t="s">
        <v>140</v>
      </c>
      <c r="F519" s="158">
        <v>176461.96</v>
      </c>
      <c r="G519" s="150" t="s">
        <v>6025</v>
      </c>
      <c r="H519" s="148">
        <v>43537</v>
      </c>
      <c r="I519" s="149" t="s">
        <v>143</v>
      </c>
      <c r="J519" s="193"/>
      <c r="K519" s="194"/>
      <c r="L519" s="190"/>
    </row>
    <row r="520" spans="1:19" s="192" customFormat="1" hidden="1" x14ac:dyDescent="0.25">
      <c r="A520" s="147" t="s">
        <v>242</v>
      </c>
      <c r="B520" s="164">
        <v>43565</v>
      </c>
      <c r="C520" s="187">
        <v>748</v>
      </c>
      <c r="D520" s="149" t="s">
        <v>388</v>
      </c>
      <c r="E520" s="147" t="s">
        <v>140</v>
      </c>
      <c r="F520" s="158">
        <v>1206197.2</v>
      </c>
      <c r="G520" s="150" t="s">
        <v>71</v>
      </c>
      <c r="H520" s="148">
        <v>43557</v>
      </c>
      <c r="I520" s="149" t="s">
        <v>143</v>
      </c>
      <c r="J520" s="193"/>
      <c r="K520" s="194"/>
      <c r="L520" s="190"/>
    </row>
    <row r="521" spans="1:19" hidden="1" x14ac:dyDescent="0.25">
      <c r="A521" s="13" t="s">
        <v>55</v>
      </c>
      <c r="B521" s="14">
        <v>43565</v>
      </c>
      <c r="C521" s="13">
        <v>563</v>
      </c>
      <c r="D521" s="32" t="s">
        <v>1980</v>
      </c>
      <c r="E521" s="32" t="s">
        <v>130</v>
      </c>
      <c r="F521" s="4">
        <v>84000</v>
      </c>
      <c r="G521" s="69" t="s">
        <v>4251</v>
      </c>
      <c r="H521" s="14"/>
      <c r="I521" s="41" t="s">
        <v>270</v>
      </c>
      <c r="K521" s="62"/>
    </row>
    <row r="522" spans="1:19" hidden="1" x14ac:dyDescent="0.25">
      <c r="A522" s="13" t="s">
        <v>91</v>
      </c>
      <c r="B522" s="14">
        <v>43565</v>
      </c>
      <c r="C522" s="13">
        <v>564</v>
      </c>
      <c r="D522" s="32" t="s">
        <v>1980</v>
      </c>
      <c r="E522" s="32" t="s">
        <v>130</v>
      </c>
      <c r="F522" s="4">
        <v>814000</v>
      </c>
      <c r="G522" s="69" t="s">
        <v>5423</v>
      </c>
      <c r="H522" s="14"/>
      <c r="I522" s="41" t="s">
        <v>5424</v>
      </c>
      <c r="K522" s="62"/>
    </row>
    <row r="523" spans="1:19" ht="13.95" hidden="1" customHeight="1" x14ac:dyDescent="0.25">
      <c r="A523" s="32" t="s">
        <v>90</v>
      </c>
      <c r="B523" s="14">
        <v>43565</v>
      </c>
      <c r="C523" s="13">
        <v>565</v>
      </c>
      <c r="D523" s="13" t="s">
        <v>34</v>
      </c>
      <c r="E523" s="32" t="s">
        <v>130</v>
      </c>
      <c r="F523" s="4">
        <v>825000</v>
      </c>
      <c r="G523" s="86" t="s">
        <v>2022</v>
      </c>
      <c r="H523" s="14"/>
      <c r="I523" s="4" t="s">
        <v>315</v>
      </c>
      <c r="J523" s="21"/>
      <c r="K523" s="228"/>
    </row>
    <row r="524" spans="1:19" ht="13.95" hidden="1" customHeight="1" x14ac:dyDescent="0.25">
      <c r="A524" s="32" t="s">
        <v>90</v>
      </c>
      <c r="B524" s="14">
        <v>43565</v>
      </c>
      <c r="C524" s="13">
        <v>566</v>
      </c>
      <c r="D524" s="13" t="s">
        <v>513</v>
      </c>
      <c r="E524" s="32" t="s">
        <v>130</v>
      </c>
      <c r="F524" s="4">
        <v>1000000</v>
      </c>
      <c r="G524" s="86" t="s">
        <v>1946</v>
      </c>
      <c r="H524" s="14"/>
      <c r="I524" s="4" t="s">
        <v>315</v>
      </c>
      <c r="J524" s="21"/>
      <c r="K524" s="228"/>
    </row>
    <row r="525" spans="1:19" ht="13.95" hidden="1" customHeight="1" x14ac:dyDescent="0.25">
      <c r="A525" s="68" t="s">
        <v>1651</v>
      </c>
      <c r="B525" s="14">
        <v>43565</v>
      </c>
      <c r="C525" s="13">
        <v>567</v>
      </c>
      <c r="D525" s="32" t="s">
        <v>1151</v>
      </c>
      <c r="E525" s="32" t="s">
        <v>130</v>
      </c>
      <c r="F525" s="4">
        <v>321877</v>
      </c>
      <c r="G525" s="86" t="s">
        <v>1652</v>
      </c>
      <c r="H525" s="14"/>
      <c r="I525" s="41" t="s">
        <v>1653</v>
      </c>
      <c r="K525" s="62"/>
    </row>
    <row r="526" spans="1:19" s="129" customFormat="1" hidden="1" x14ac:dyDescent="0.25">
      <c r="A526" s="13" t="s">
        <v>151</v>
      </c>
      <c r="B526" s="14">
        <v>43565</v>
      </c>
      <c r="C526" s="28" t="s">
        <v>6539</v>
      </c>
      <c r="D526" s="13" t="s">
        <v>1846</v>
      </c>
      <c r="E526" s="13" t="s">
        <v>130</v>
      </c>
      <c r="F526" s="4">
        <v>248224</v>
      </c>
      <c r="G526" s="28" t="s">
        <v>6373</v>
      </c>
      <c r="H526" s="14">
        <v>43563</v>
      </c>
      <c r="I526" s="4" t="s">
        <v>6374</v>
      </c>
      <c r="J526" s="22"/>
      <c r="K526" s="136"/>
    </row>
    <row r="527" spans="1:19" ht="13.95" hidden="1" customHeight="1" x14ac:dyDescent="0.25">
      <c r="A527" s="13" t="s">
        <v>151</v>
      </c>
      <c r="B527" s="14">
        <v>43565</v>
      </c>
      <c r="C527" s="13">
        <v>500</v>
      </c>
      <c r="D527" s="32" t="s">
        <v>6318</v>
      </c>
      <c r="E527" s="32" t="s">
        <v>38</v>
      </c>
      <c r="F527" s="4">
        <v>5000</v>
      </c>
      <c r="G527" s="29" t="s">
        <v>6319</v>
      </c>
      <c r="H527" s="14">
        <v>43563</v>
      </c>
      <c r="I527" s="41" t="s">
        <v>6320</v>
      </c>
      <c r="J527" s="21"/>
      <c r="K527" s="228"/>
    </row>
    <row r="528" spans="1:19" hidden="1" x14ac:dyDescent="0.25">
      <c r="A528" s="13" t="s">
        <v>151</v>
      </c>
      <c r="B528" s="126">
        <v>43565</v>
      </c>
      <c r="C528" s="28" t="s">
        <v>715</v>
      </c>
      <c r="D528" s="13" t="s">
        <v>3024</v>
      </c>
      <c r="E528" s="13" t="s">
        <v>38</v>
      </c>
      <c r="F528" s="37">
        <v>1500</v>
      </c>
      <c r="G528" s="29" t="s">
        <v>1299</v>
      </c>
      <c r="H528" s="14">
        <v>43524</v>
      </c>
      <c r="I528" s="4" t="s">
        <v>3026</v>
      </c>
      <c r="J528" s="128"/>
    </row>
    <row r="529" spans="1:12" hidden="1" x14ac:dyDescent="0.25">
      <c r="A529" s="13" t="s">
        <v>151</v>
      </c>
      <c r="B529" s="126">
        <v>43565</v>
      </c>
      <c r="C529" s="28" t="s">
        <v>1514</v>
      </c>
      <c r="D529" s="13" t="s">
        <v>3024</v>
      </c>
      <c r="E529" s="13" t="s">
        <v>60</v>
      </c>
      <c r="F529" s="37">
        <v>1500</v>
      </c>
      <c r="G529" s="29" t="s">
        <v>1210</v>
      </c>
      <c r="H529" s="14">
        <v>43496</v>
      </c>
      <c r="I529" s="4" t="s">
        <v>3026</v>
      </c>
      <c r="J529" s="128"/>
    </row>
    <row r="530" spans="1:12" hidden="1" x14ac:dyDescent="0.25">
      <c r="A530" s="13" t="s">
        <v>151</v>
      </c>
      <c r="B530" s="126">
        <v>43565</v>
      </c>
      <c r="C530" s="28" t="s">
        <v>1514</v>
      </c>
      <c r="D530" s="13" t="s">
        <v>3024</v>
      </c>
      <c r="E530" s="13" t="s">
        <v>60</v>
      </c>
      <c r="F530" s="37">
        <v>1500</v>
      </c>
      <c r="G530" s="29" t="s">
        <v>1133</v>
      </c>
      <c r="H530" s="14">
        <v>43524</v>
      </c>
      <c r="I530" s="4" t="s">
        <v>3026</v>
      </c>
      <c r="J530" s="128"/>
    </row>
    <row r="531" spans="1:12" ht="13.95" hidden="1" customHeight="1" x14ac:dyDescent="0.25">
      <c r="A531" s="68" t="s">
        <v>659</v>
      </c>
      <c r="B531" s="14">
        <v>43565</v>
      </c>
      <c r="C531" s="13">
        <v>623</v>
      </c>
      <c r="D531" s="32" t="s">
        <v>1767</v>
      </c>
      <c r="E531" s="32" t="s">
        <v>808</v>
      </c>
      <c r="F531" s="4">
        <v>3000000</v>
      </c>
      <c r="G531" s="86" t="s">
        <v>6279</v>
      </c>
      <c r="H531" s="14"/>
      <c r="I531" s="41" t="s">
        <v>101</v>
      </c>
      <c r="K531" s="62"/>
    </row>
    <row r="532" spans="1:12" ht="13.95" hidden="1" customHeight="1" x14ac:dyDescent="0.25">
      <c r="A532" s="61" t="s">
        <v>1148</v>
      </c>
      <c r="B532" s="14">
        <v>43565</v>
      </c>
      <c r="C532" s="13">
        <v>653</v>
      </c>
      <c r="D532" s="32" t="s">
        <v>588</v>
      </c>
      <c r="E532" s="32" t="s">
        <v>808</v>
      </c>
      <c r="F532" s="4">
        <v>503318.73000000045</v>
      </c>
      <c r="G532" s="86" t="s">
        <v>3714</v>
      </c>
      <c r="H532" s="211"/>
      <c r="I532" s="4" t="s">
        <v>82</v>
      </c>
      <c r="J532" s="21"/>
      <c r="K532" s="228"/>
    </row>
    <row r="533" spans="1:12" ht="13.95" hidden="1" customHeight="1" x14ac:dyDescent="0.25">
      <c r="A533" s="61" t="s">
        <v>1149</v>
      </c>
      <c r="B533" s="14">
        <v>43565</v>
      </c>
      <c r="C533" s="13">
        <v>624</v>
      </c>
      <c r="D533" s="32" t="s">
        <v>588</v>
      </c>
      <c r="E533" s="32" t="s">
        <v>808</v>
      </c>
      <c r="F533" s="4">
        <v>929916.36999999988</v>
      </c>
      <c r="G533" s="86" t="s">
        <v>2597</v>
      </c>
      <c r="H533" s="211"/>
      <c r="I533" s="4" t="s">
        <v>82</v>
      </c>
      <c r="J533" s="21"/>
      <c r="K533" s="228"/>
    </row>
    <row r="534" spans="1:12" ht="13.95" hidden="1" customHeight="1" x14ac:dyDescent="0.25">
      <c r="A534" s="61" t="s">
        <v>261</v>
      </c>
      <c r="B534" s="14">
        <v>43565</v>
      </c>
      <c r="C534" s="13">
        <v>658</v>
      </c>
      <c r="D534" s="32" t="s">
        <v>1087</v>
      </c>
      <c r="E534" s="32" t="s">
        <v>808</v>
      </c>
      <c r="F534" s="4">
        <v>520411.5</v>
      </c>
      <c r="G534" s="86" t="s">
        <v>3299</v>
      </c>
      <c r="H534" s="211"/>
      <c r="I534" s="4" t="s">
        <v>3300</v>
      </c>
      <c r="J534" s="21"/>
      <c r="K534" s="228"/>
    </row>
    <row r="535" spans="1:12" ht="15.6" hidden="1" customHeight="1" x14ac:dyDescent="0.25">
      <c r="A535" s="68" t="s">
        <v>8</v>
      </c>
      <c r="B535" s="14">
        <v>43565</v>
      </c>
      <c r="C535" s="13">
        <v>625</v>
      </c>
      <c r="D535" s="32" t="s">
        <v>6062</v>
      </c>
      <c r="E535" s="32" t="s">
        <v>808</v>
      </c>
      <c r="F535" s="4">
        <v>500000</v>
      </c>
      <c r="G535" s="86" t="s">
        <v>6063</v>
      </c>
      <c r="H535" s="211"/>
      <c r="I535" s="84" t="s">
        <v>220</v>
      </c>
      <c r="J535" s="21"/>
      <c r="K535" s="228"/>
    </row>
    <row r="536" spans="1:12" ht="13.95" hidden="1" customHeight="1" x14ac:dyDescent="0.25">
      <c r="A536" s="32" t="s">
        <v>1316</v>
      </c>
      <c r="B536" s="14">
        <v>43565</v>
      </c>
      <c r="C536" s="13">
        <v>659</v>
      </c>
      <c r="D536" s="32" t="s">
        <v>5965</v>
      </c>
      <c r="E536" s="32" t="s">
        <v>808</v>
      </c>
      <c r="F536" s="4">
        <v>500000</v>
      </c>
      <c r="G536" s="69" t="s">
        <v>1532</v>
      </c>
      <c r="H536" s="14"/>
      <c r="I536" s="4" t="s">
        <v>24</v>
      </c>
      <c r="J536" s="21"/>
      <c r="K536" s="228"/>
    </row>
    <row r="537" spans="1:12" ht="13.95" hidden="1" customHeight="1" x14ac:dyDescent="0.25">
      <c r="A537" s="61" t="s">
        <v>1316</v>
      </c>
      <c r="B537" s="14">
        <v>43565</v>
      </c>
      <c r="C537" s="13">
        <v>660</v>
      </c>
      <c r="D537" s="13" t="s">
        <v>432</v>
      </c>
      <c r="E537" s="32" t="s">
        <v>808</v>
      </c>
      <c r="F537" s="4">
        <v>2000000</v>
      </c>
      <c r="G537" s="86" t="s">
        <v>4008</v>
      </c>
      <c r="H537" s="211"/>
      <c r="I537" s="4" t="s">
        <v>24</v>
      </c>
      <c r="J537" s="21"/>
      <c r="K537" s="228"/>
    </row>
    <row r="538" spans="1:12" s="62" customFormat="1" ht="15" hidden="1" customHeight="1" x14ac:dyDescent="0.25">
      <c r="A538" s="13" t="s">
        <v>8</v>
      </c>
      <c r="B538" s="14">
        <v>43565</v>
      </c>
      <c r="C538" s="13">
        <v>626</v>
      </c>
      <c r="D538" s="13" t="s">
        <v>1765</v>
      </c>
      <c r="E538" s="13" t="s">
        <v>808</v>
      </c>
      <c r="F538" s="37">
        <v>910508</v>
      </c>
      <c r="G538" s="69" t="s">
        <v>1766</v>
      </c>
      <c r="H538" s="14"/>
      <c r="I538" s="4" t="s">
        <v>1204</v>
      </c>
      <c r="J538" s="71"/>
    </row>
    <row r="539" spans="1:12" s="62" customFormat="1" ht="15" hidden="1" customHeight="1" x14ac:dyDescent="0.25">
      <c r="A539" s="13" t="s">
        <v>8</v>
      </c>
      <c r="B539" s="14">
        <v>43565</v>
      </c>
      <c r="C539" s="13">
        <v>627</v>
      </c>
      <c r="D539" s="13" t="s">
        <v>1765</v>
      </c>
      <c r="E539" s="13" t="s">
        <v>808</v>
      </c>
      <c r="F539" s="37">
        <v>89492</v>
      </c>
      <c r="G539" s="69" t="s">
        <v>1766</v>
      </c>
      <c r="H539" s="14"/>
      <c r="I539" s="4" t="s">
        <v>1204</v>
      </c>
      <c r="J539" s="71"/>
    </row>
    <row r="540" spans="1:12" s="97" customFormat="1" hidden="1" x14ac:dyDescent="0.25">
      <c r="A540" s="61" t="s">
        <v>1316</v>
      </c>
      <c r="B540" s="14">
        <v>43565</v>
      </c>
      <c r="C540" s="13">
        <v>628</v>
      </c>
      <c r="D540" s="13" t="s">
        <v>304</v>
      </c>
      <c r="E540" s="13" t="s">
        <v>808</v>
      </c>
      <c r="F540" s="4">
        <v>316032</v>
      </c>
      <c r="G540" s="210" t="s">
        <v>5638</v>
      </c>
      <c r="H540" s="211">
        <v>43537</v>
      </c>
      <c r="I540" s="4" t="s">
        <v>1826</v>
      </c>
      <c r="J540" s="22"/>
      <c r="K540" s="62"/>
      <c r="L540" s="134"/>
    </row>
    <row r="541" spans="1:12" s="97" customFormat="1" hidden="1" x14ac:dyDescent="0.25">
      <c r="A541" s="32" t="s">
        <v>659</v>
      </c>
      <c r="B541" s="14">
        <v>43565</v>
      </c>
      <c r="C541" s="13">
        <v>629</v>
      </c>
      <c r="D541" s="13" t="s">
        <v>257</v>
      </c>
      <c r="E541" s="13" t="s">
        <v>808</v>
      </c>
      <c r="F541" s="4">
        <v>866887.5</v>
      </c>
      <c r="G541" s="28" t="s">
        <v>1809</v>
      </c>
      <c r="H541" s="14">
        <v>43507</v>
      </c>
      <c r="I541" s="4" t="s">
        <v>765</v>
      </c>
      <c r="J541" s="133"/>
      <c r="K541" s="22"/>
      <c r="L541" s="134"/>
    </row>
    <row r="542" spans="1:12" s="97" customFormat="1" hidden="1" x14ac:dyDescent="0.25">
      <c r="A542" s="61" t="s">
        <v>1148</v>
      </c>
      <c r="B542" s="14">
        <v>43565</v>
      </c>
      <c r="C542" s="13">
        <v>630</v>
      </c>
      <c r="D542" s="13" t="s">
        <v>539</v>
      </c>
      <c r="E542" s="13" t="s">
        <v>808</v>
      </c>
      <c r="F542" s="4">
        <v>767719</v>
      </c>
      <c r="G542" s="29" t="s">
        <v>158</v>
      </c>
      <c r="H542" s="14">
        <v>43497</v>
      </c>
      <c r="I542" s="4" t="s">
        <v>1883</v>
      </c>
      <c r="J542" s="133"/>
      <c r="K542" s="22"/>
      <c r="L542" s="134"/>
    </row>
    <row r="543" spans="1:12" s="97" customFormat="1" hidden="1" x14ac:dyDescent="0.25">
      <c r="A543" s="61" t="s">
        <v>1316</v>
      </c>
      <c r="B543" s="14">
        <v>43565</v>
      </c>
      <c r="C543" s="13">
        <v>631</v>
      </c>
      <c r="D543" s="13" t="s">
        <v>589</v>
      </c>
      <c r="E543" s="13" t="s">
        <v>808</v>
      </c>
      <c r="F543" s="4">
        <v>825850</v>
      </c>
      <c r="G543" s="29" t="s">
        <v>4350</v>
      </c>
      <c r="H543" s="14">
        <v>43514</v>
      </c>
      <c r="I543" s="4" t="s">
        <v>443</v>
      </c>
      <c r="J543" s="133"/>
      <c r="K543" s="22"/>
      <c r="L543" s="134"/>
    </row>
    <row r="544" spans="1:12" s="97" customFormat="1" hidden="1" x14ac:dyDescent="0.25">
      <c r="A544" s="32" t="s">
        <v>1147</v>
      </c>
      <c r="B544" s="14">
        <v>43565</v>
      </c>
      <c r="C544" s="13">
        <v>650</v>
      </c>
      <c r="D544" s="13" t="s">
        <v>249</v>
      </c>
      <c r="E544" s="13" t="s">
        <v>808</v>
      </c>
      <c r="F544" s="4">
        <v>839633.09</v>
      </c>
      <c r="G544" s="29" t="s">
        <v>1662</v>
      </c>
      <c r="H544" s="14">
        <v>43530</v>
      </c>
      <c r="I544" s="4" t="s">
        <v>735</v>
      </c>
      <c r="J544" s="133"/>
      <c r="K544" s="22"/>
      <c r="L544" s="134"/>
    </row>
    <row r="545" spans="1:12" s="97" customFormat="1" hidden="1" x14ac:dyDescent="0.25">
      <c r="A545" s="61" t="s">
        <v>1147</v>
      </c>
      <c r="B545" s="14">
        <v>43565</v>
      </c>
      <c r="C545" s="13">
        <v>650</v>
      </c>
      <c r="D545" s="13" t="s">
        <v>249</v>
      </c>
      <c r="E545" s="13" t="s">
        <v>808</v>
      </c>
      <c r="F545" s="4">
        <v>810189</v>
      </c>
      <c r="G545" s="29" t="s">
        <v>3394</v>
      </c>
      <c r="H545" s="14">
        <v>43538</v>
      </c>
      <c r="I545" s="4" t="s">
        <v>1349</v>
      </c>
      <c r="J545" s="133"/>
      <c r="K545" s="22"/>
      <c r="L545" s="134"/>
    </row>
    <row r="546" spans="1:12" s="97" customFormat="1" hidden="1" x14ac:dyDescent="0.25">
      <c r="A546" s="32" t="s">
        <v>659</v>
      </c>
      <c r="B546" s="14">
        <v>43565</v>
      </c>
      <c r="C546" s="13">
        <v>651</v>
      </c>
      <c r="D546" s="13" t="s">
        <v>1353</v>
      </c>
      <c r="E546" s="13" t="s">
        <v>808</v>
      </c>
      <c r="F546" s="4">
        <v>2680</v>
      </c>
      <c r="G546" s="28" t="s">
        <v>2042</v>
      </c>
      <c r="H546" s="14">
        <v>43557</v>
      </c>
      <c r="I546" s="4" t="s">
        <v>108</v>
      </c>
      <c r="J546" s="133"/>
      <c r="K546" s="22"/>
      <c r="L546" s="134"/>
    </row>
    <row r="547" spans="1:12" s="97" customFormat="1" hidden="1" x14ac:dyDescent="0.25">
      <c r="A547" s="32" t="s">
        <v>1316</v>
      </c>
      <c r="B547" s="14">
        <v>43565</v>
      </c>
      <c r="C547" s="13">
        <v>651</v>
      </c>
      <c r="D547" s="13" t="s">
        <v>1353</v>
      </c>
      <c r="E547" s="13" t="s">
        <v>808</v>
      </c>
      <c r="F547" s="4">
        <v>3316</v>
      </c>
      <c r="G547" s="28" t="s">
        <v>6375</v>
      </c>
      <c r="H547" s="14">
        <v>43557</v>
      </c>
      <c r="I547" s="4" t="s">
        <v>108</v>
      </c>
      <c r="J547" s="133"/>
      <c r="K547" s="22"/>
      <c r="L547" s="134"/>
    </row>
    <row r="548" spans="1:12" s="97" customFormat="1" hidden="1" x14ac:dyDescent="0.25">
      <c r="A548" s="13" t="s">
        <v>1316</v>
      </c>
      <c r="B548" s="14">
        <v>43565</v>
      </c>
      <c r="C548" s="13">
        <v>632</v>
      </c>
      <c r="D548" s="13" t="s">
        <v>5407</v>
      </c>
      <c r="E548" s="13" t="s">
        <v>808</v>
      </c>
      <c r="F548" s="4">
        <v>150900</v>
      </c>
      <c r="G548" s="29" t="s">
        <v>5408</v>
      </c>
      <c r="H548" s="14">
        <v>43531</v>
      </c>
      <c r="I548" s="4" t="s">
        <v>5409</v>
      </c>
      <c r="J548" s="133"/>
      <c r="K548" s="22"/>
      <c r="L548" s="134"/>
    </row>
    <row r="549" spans="1:12" s="97" customFormat="1" hidden="1" x14ac:dyDescent="0.25">
      <c r="A549" s="61" t="s">
        <v>1316</v>
      </c>
      <c r="B549" s="14">
        <v>43565</v>
      </c>
      <c r="C549" s="13">
        <v>633</v>
      </c>
      <c r="D549" s="13" t="s">
        <v>2142</v>
      </c>
      <c r="E549" s="13" t="s">
        <v>808</v>
      </c>
      <c r="F549" s="4">
        <v>159607.5</v>
      </c>
      <c r="G549" s="29" t="s">
        <v>153</v>
      </c>
      <c r="H549" s="14">
        <v>43518</v>
      </c>
      <c r="I549" s="4" t="s">
        <v>4730</v>
      </c>
      <c r="J549" s="133"/>
      <c r="K549" s="22"/>
      <c r="L549" s="134"/>
    </row>
    <row r="550" spans="1:12" s="97" customFormat="1" hidden="1" x14ac:dyDescent="0.25">
      <c r="A550" s="61" t="s">
        <v>1316</v>
      </c>
      <c r="B550" s="14">
        <v>43565</v>
      </c>
      <c r="C550" s="13">
        <v>634</v>
      </c>
      <c r="D550" s="13" t="s">
        <v>869</v>
      </c>
      <c r="E550" s="13" t="s">
        <v>808</v>
      </c>
      <c r="F550" s="4">
        <v>41961.8</v>
      </c>
      <c r="G550" s="29" t="s">
        <v>5406</v>
      </c>
      <c r="H550" s="14">
        <v>43531</v>
      </c>
      <c r="I550" s="4" t="s">
        <v>268</v>
      </c>
      <c r="J550" s="133"/>
      <c r="K550" s="22"/>
      <c r="L550" s="134"/>
    </row>
    <row r="551" spans="1:12" s="97" customFormat="1" hidden="1" x14ac:dyDescent="0.25">
      <c r="A551" s="61" t="s">
        <v>1316</v>
      </c>
      <c r="B551" s="14">
        <v>43565</v>
      </c>
      <c r="C551" s="13">
        <v>635</v>
      </c>
      <c r="D551" s="13" t="s">
        <v>868</v>
      </c>
      <c r="E551" s="13" t="s">
        <v>808</v>
      </c>
      <c r="F551" s="4">
        <v>8620</v>
      </c>
      <c r="G551" s="29" t="s">
        <v>5401</v>
      </c>
      <c r="H551" s="14">
        <v>43531</v>
      </c>
      <c r="I551" s="4" t="s">
        <v>345</v>
      </c>
      <c r="J551" s="133"/>
      <c r="K551" s="22"/>
      <c r="L551" s="134"/>
    </row>
    <row r="552" spans="1:12" s="97" customFormat="1" hidden="1" x14ac:dyDescent="0.25">
      <c r="A552" s="61" t="s">
        <v>1316</v>
      </c>
      <c r="B552" s="14">
        <v>43565</v>
      </c>
      <c r="C552" s="13">
        <v>636</v>
      </c>
      <c r="D552" s="13" t="s">
        <v>280</v>
      </c>
      <c r="E552" s="13" t="s">
        <v>808</v>
      </c>
      <c r="F552" s="4">
        <v>19055</v>
      </c>
      <c r="G552" s="29" t="s">
        <v>341</v>
      </c>
      <c r="H552" s="14">
        <v>43535</v>
      </c>
      <c r="I552" s="4" t="s">
        <v>5686</v>
      </c>
      <c r="J552" s="133"/>
      <c r="K552" s="22"/>
      <c r="L552" s="134"/>
    </row>
    <row r="553" spans="1:12" s="97" customFormat="1" hidden="1" x14ac:dyDescent="0.25">
      <c r="A553" s="32" t="s">
        <v>1316</v>
      </c>
      <c r="B553" s="14">
        <v>43565</v>
      </c>
      <c r="C553" s="13">
        <v>637</v>
      </c>
      <c r="D553" s="13" t="s">
        <v>1491</v>
      </c>
      <c r="E553" s="13" t="s">
        <v>808</v>
      </c>
      <c r="F553" s="4">
        <v>132296.79999999999</v>
      </c>
      <c r="G553" s="28" t="s">
        <v>5661</v>
      </c>
      <c r="H553" s="14">
        <v>43535</v>
      </c>
      <c r="I553" s="4" t="s">
        <v>555</v>
      </c>
      <c r="J553" s="133"/>
      <c r="K553" s="22"/>
      <c r="L553" s="134"/>
    </row>
    <row r="554" spans="1:12" s="93" customFormat="1" hidden="1" x14ac:dyDescent="0.25">
      <c r="A554" s="61" t="s">
        <v>659</v>
      </c>
      <c r="B554" s="14">
        <v>43565</v>
      </c>
      <c r="C554" s="13">
        <v>652</v>
      </c>
      <c r="D554" s="13" t="s">
        <v>666</v>
      </c>
      <c r="E554" s="13" t="s">
        <v>808</v>
      </c>
      <c r="F554" s="4">
        <v>10600</v>
      </c>
      <c r="G554" s="29" t="s">
        <v>1686</v>
      </c>
      <c r="H554" s="14">
        <v>43530</v>
      </c>
      <c r="I554" s="4" t="s">
        <v>266</v>
      </c>
      <c r="J554" s="130"/>
      <c r="K554" s="16"/>
      <c r="L554" s="92"/>
    </row>
    <row r="555" spans="1:12" s="93" customFormat="1" hidden="1" x14ac:dyDescent="0.25">
      <c r="A555" s="32" t="s">
        <v>1316</v>
      </c>
      <c r="B555" s="14">
        <v>43565</v>
      </c>
      <c r="C555" s="13">
        <v>652</v>
      </c>
      <c r="D555" s="13" t="s">
        <v>666</v>
      </c>
      <c r="E555" s="13" t="s">
        <v>808</v>
      </c>
      <c r="F555" s="4">
        <v>37750</v>
      </c>
      <c r="G555" s="28" t="s">
        <v>3224</v>
      </c>
      <c r="H555" s="14">
        <v>43531</v>
      </c>
      <c r="I555" s="4" t="s">
        <v>266</v>
      </c>
      <c r="J555" s="130"/>
      <c r="K555" s="16"/>
      <c r="L555" s="92"/>
    </row>
    <row r="556" spans="1:12" s="93" customFormat="1" hidden="1" x14ac:dyDescent="0.25">
      <c r="A556" s="61" t="s">
        <v>1316</v>
      </c>
      <c r="B556" s="14">
        <v>43565</v>
      </c>
      <c r="C556" s="13">
        <v>638</v>
      </c>
      <c r="D556" s="13" t="s">
        <v>516</v>
      </c>
      <c r="E556" s="13" t="s">
        <v>808</v>
      </c>
      <c r="F556" s="4">
        <v>241623.6</v>
      </c>
      <c r="G556" s="29" t="s">
        <v>5653</v>
      </c>
      <c r="H556" s="14">
        <v>43536</v>
      </c>
      <c r="I556" s="4" t="s">
        <v>5654</v>
      </c>
      <c r="J556" s="130"/>
      <c r="K556" s="16"/>
      <c r="L556" s="92"/>
    </row>
    <row r="557" spans="1:12" hidden="1" x14ac:dyDescent="0.25">
      <c r="A557" s="61" t="s">
        <v>1148</v>
      </c>
      <c r="B557" s="14">
        <v>43565</v>
      </c>
      <c r="C557" s="13">
        <v>639</v>
      </c>
      <c r="D557" s="13" t="s">
        <v>447</v>
      </c>
      <c r="E557" s="13" t="s">
        <v>808</v>
      </c>
      <c r="F557" s="37">
        <v>245000</v>
      </c>
      <c r="G557" s="29" t="s">
        <v>141</v>
      </c>
      <c r="H557" s="14">
        <v>43544</v>
      </c>
      <c r="I557" s="4" t="s">
        <v>1315</v>
      </c>
      <c r="J557" s="128"/>
    </row>
    <row r="558" spans="1:12" hidden="1" x14ac:dyDescent="0.25">
      <c r="A558" s="61" t="s">
        <v>1316</v>
      </c>
      <c r="B558" s="14">
        <v>43565</v>
      </c>
      <c r="C558" s="13">
        <v>649</v>
      </c>
      <c r="D558" s="13" t="s">
        <v>340</v>
      </c>
      <c r="E558" s="13" t="s">
        <v>808</v>
      </c>
      <c r="F558" s="37">
        <v>17600</v>
      </c>
      <c r="G558" s="29" t="s">
        <v>2910</v>
      </c>
      <c r="H558" s="14">
        <v>43515</v>
      </c>
      <c r="I558" s="4" t="s">
        <v>1345</v>
      </c>
      <c r="J558" s="128"/>
    </row>
    <row r="559" spans="1:12" hidden="1" x14ac:dyDescent="0.25">
      <c r="A559" s="61" t="s">
        <v>1316</v>
      </c>
      <c r="B559" s="14">
        <v>43565</v>
      </c>
      <c r="C559" s="13">
        <v>649</v>
      </c>
      <c r="D559" s="13" t="s">
        <v>340</v>
      </c>
      <c r="E559" s="13" t="s">
        <v>808</v>
      </c>
      <c r="F559" s="37">
        <v>11300</v>
      </c>
      <c r="G559" s="29" t="s">
        <v>177</v>
      </c>
      <c r="H559" s="14">
        <v>43515</v>
      </c>
      <c r="I559" s="4" t="s">
        <v>1345</v>
      </c>
      <c r="J559" s="128"/>
    </row>
    <row r="560" spans="1:12" hidden="1" x14ac:dyDescent="0.25">
      <c r="A560" s="61" t="s">
        <v>1316</v>
      </c>
      <c r="B560" s="14">
        <v>43565</v>
      </c>
      <c r="C560" s="13">
        <v>649</v>
      </c>
      <c r="D560" s="13" t="s">
        <v>340</v>
      </c>
      <c r="E560" s="13" t="s">
        <v>808</v>
      </c>
      <c r="F560" s="37">
        <v>14600</v>
      </c>
      <c r="G560" s="29" t="s">
        <v>4090</v>
      </c>
      <c r="H560" s="14">
        <v>43515</v>
      </c>
      <c r="I560" s="4" t="s">
        <v>1345</v>
      </c>
      <c r="J560" s="128"/>
    </row>
    <row r="561" spans="1:12" hidden="1" x14ac:dyDescent="0.25">
      <c r="A561" s="61" t="s">
        <v>5258</v>
      </c>
      <c r="B561" s="14">
        <v>43565</v>
      </c>
      <c r="C561" s="13">
        <v>640</v>
      </c>
      <c r="D561" s="13" t="s">
        <v>5347</v>
      </c>
      <c r="E561" s="13" t="s">
        <v>808</v>
      </c>
      <c r="F561" s="37">
        <v>172550</v>
      </c>
      <c r="G561" s="29" t="s">
        <v>3211</v>
      </c>
      <c r="H561" s="14">
        <v>43521</v>
      </c>
      <c r="I561" s="4" t="s">
        <v>164</v>
      </c>
    </row>
    <row r="562" spans="1:12" s="97" customFormat="1" hidden="1" x14ac:dyDescent="0.25">
      <c r="A562" s="61" t="s">
        <v>659</v>
      </c>
      <c r="B562" s="14">
        <v>43565</v>
      </c>
      <c r="C562" s="13">
        <v>641</v>
      </c>
      <c r="D562" s="13" t="s">
        <v>448</v>
      </c>
      <c r="E562" s="13" t="s">
        <v>808</v>
      </c>
      <c r="F562" s="4">
        <v>50000</v>
      </c>
      <c r="G562" s="29" t="s">
        <v>4931</v>
      </c>
      <c r="H562" s="14">
        <v>43522</v>
      </c>
      <c r="I562" s="4" t="s">
        <v>63</v>
      </c>
      <c r="J562" s="133"/>
      <c r="K562" s="22"/>
      <c r="L562" s="134"/>
    </row>
    <row r="563" spans="1:12" hidden="1" x14ac:dyDescent="0.25">
      <c r="A563" s="61" t="s">
        <v>1316</v>
      </c>
      <c r="B563" s="14">
        <v>43565</v>
      </c>
      <c r="C563" s="13">
        <v>656</v>
      </c>
      <c r="D563" s="13" t="s">
        <v>282</v>
      </c>
      <c r="E563" s="13" t="s">
        <v>808</v>
      </c>
      <c r="F563" s="37">
        <v>3575</v>
      </c>
      <c r="G563" s="29" t="s">
        <v>5602</v>
      </c>
      <c r="H563" s="14">
        <v>43538</v>
      </c>
      <c r="I563" s="4" t="s">
        <v>283</v>
      </c>
    </row>
    <row r="564" spans="1:12" hidden="1" x14ac:dyDescent="0.25">
      <c r="A564" s="61" t="s">
        <v>1148</v>
      </c>
      <c r="B564" s="14">
        <v>43565</v>
      </c>
      <c r="C564" s="13">
        <v>656</v>
      </c>
      <c r="D564" s="13" t="s">
        <v>282</v>
      </c>
      <c r="E564" s="13" t="s">
        <v>808</v>
      </c>
      <c r="F564" s="37">
        <v>7150</v>
      </c>
      <c r="G564" s="29" t="s">
        <v>5870</v>
      </c>
      <c r="H564" s="14">
        <v>43538</v>
      </c>
      <c r="I564" s="4" t="s">
        <v>283</v>
      </c>
    </row>
    <row r="565" spans="1:12" hidden="1" x14ac:dyDescent="0.25">
      <c r="A565" s="61" t="s">
        <v>1316</v>
      </c>
      <c r="B565" s="14">
        <v>43565</v>
      </c>
      <c r="C565" s="13">
        <v>656</v>
      </c>
      <c r="D565" s="13" t="s">
        <v>282</v>
      </c>
      <c r="E565" s="13" t="s">
        <v>808</v>
      </c>
      <c r="F565" s="37">
        <v>1430</v>
      </c>
      <c r="G565" s="29" t="s">
        <v>5871</v>
      </c>
      <c r="H565" s="14">
        <v>43545</v>
      </c>
      <c r="I565" s="4" t="s">
        <v>283</v>
      </c>
    </row>
    <row r="566" spans="1:12" hidden="1" x14ac:dyDescent="0.25">
      <c r="A566" s="61" t="s">
        <v>1149</v>
      </c>
      <c r="B566" s="14">
        <v>43565</v>
      </c>
      <c r="C566" s="13">
        <v>656</v>
      </c>
      <c r="D566" s="13" t="s">
        <v>282</v>
      </c>
      <c r="E566" s="13" t="s">
        <v>808</v>
      </c>
      <c r="F566" s="37">
        <v>2860</v>
      </c>
      <c r="G566" s="29" t="s">
        <v>5872</v>
      </c>
      <c r="H566" s="14">
        <v>43545</v>
      </c>
      <c r="I566" s="4" t="s">
        <v>283</v>
      </c>
    </row>
    <row r="567" spans="1:12" hidden="1" x14ac:dyDescent="0.25">
      <c r="A567" s="61" t="s">
        <v>1148</v>
      </c>
      <c r="B567" s="14">
        <v>43565</v>
      </c>
      <c r="C567" s="13">
        <v>656</v>
      </c>
      <c r="D567" s="13" t="s">
        <v>282</v>
      </c>
      <c r="E567" s="13" t="s">
        <v>808</v>
      </c>
      <c r="F567" s="37">
        <v>8580</v>
      </c>
      <c r="G567" s="29" t="s">
        <v>5873</v>
      </c>
      <c r="H567" s="14">
        <v>43545</v>
      </c>
      <c r="I567" s="4" t="s">
        <v>283</v>
      </c>
    </row>
    <row r="568" spans="1:12" hidden="1" x14ac:dyDescent="0.25">
      <c r="A568" s="61" t="s">
        <v>1148</v>
      </c>
      <c r="B568" s="14">
        <v>43565</v>
      </c>
      <c r="C568" s="13">
        <v>657</v>
      </c>
      <c r="D568" s="13" t="s">
        <v>1395</v>
      </c>
      <c r="E568" s="13" t="s">
        <v>808</v>
      </c>
      <c r="F568" s="4">
        <v>38000</v>
      </c>
      <c r="G568" s="28" t="s">
        <v>5613</v>
      </c>
      <c r="H568" s="14">
        <v>43542</v>
      </c>
      <c r="I568" s="4" t="s">
        <v>5614</v>
      </c>
    </row>
    <row r="569" spans="1:12" hidden="1" x14ac:dyDescent="0.25">
      <c r="A569" s="61" t="s">
        <v>1147</v>
      </c>
      <c r="B569" s="14">
        <v>43565</v>
      </c>
      <c r="C569" s="13">
        <v>657</v>
      </c>
      <c r="D569" s="13" t="s">
        <v>1395</v>
      </c>
      <c r="E569" s="13" t="s">
        <v>808</v>
      </c>
      <c r="F569" s="4">
        <v>30400</v>
      </c>
      <c r="G569" s="28" t="s">
        <v>1893</v>
      </c>
      <c r="H569" s="14">
        <v>43542</v>
      </c>
      <c r="I569" s="4" t="s">
        <v>5615</v>
      </c>
    </row>
    <row r="570" spans="1:12" ht="27.6" hidden="1" x14ac:dyDescent="0.25">
      <c r="A570" s="32" t="s">
        <v>1806</v>
      </c>
      <c r="B570" s="14">
        <v>43565</v>
      </c>
      <c r="C570" s="13">
        <v>642</v>
      </c>
      <c r="D570" s="13" t="s">
        <v>80</v>
      </c>
      <c r="E570" s="13" t="s">
        <v>808</v>
      </c>
      <c r="F570" s="4">
        <v>50000</v>
      </c>
      <c r="G570" s="28" t="s">
        <v>5616</v>
      </c>
      <c r="H570" s="14">
        <v>43539</v>
      </c>
      <c r="I570" s="4" t="s">
        <v>2157</v>
      </c>
    </row>
    <row r="571" spans="1:12" hidden="1" x14ac:dyDescent="0.25">
      <c r="A571" s="61" t="s">
        <v>659</v>
      </c>
      <c r="B571" s="14">
        <v>43565</v>
      </c>
      <c r="C571" s="13">
        <v>643</v>
      </c>
      <c r="D571" s="13" t="s">
        <v>250</v>
      </c>
      <c r="E571" s="13" t="s">
        <v>808</v>
      </c>
      <c r="F571" s="4">
        <v>50000</v>
      </c>
      <c r="G571" s="29" t="s">
        <v>5363</v>
      </c>
      <c r="H571" s="14">
        <v>43524</v>
      </c>
      <c r="I571" s="4" t="s">
        <v>402</v>
      </c>
    </row>
    <row r="572" spans="1:12" hidden="1" x14ac:dyDescent="0.25">
      <c r="A572" s="61" t="s">
        <v>1148</v>
      </c>
      <c r="B572" s="14">
        <v>43565</v>
      </c>
      <c r="C572" s="13">
        <v>644</v>
      </c>
      <c r="D572" s="13" t="s">
        <v>29</v>
      </c>
      <c r="E572" s="13" t="s">
        <v>808</v>
      </c>
      <c r="F572" s="4">
        <v>200000</v>
      </c>
      <c r="G572" s="28" t="s">
        <v>98</v>
      </c>
      <c r="H572" s="14">
        <v>43524</v>
      </c>
      <c r="I572" s="4" t="s">
        <v>511</v>
      </c>
    </row>
    <row r="573" spans="1:12" ht="27.6" hidden="1" x14ac:dyDescent="0.25">
      <c r="A573" s="61" t="s">
        <v>5370</v>
      </c>
      <c r="B573" s="14">
        <v>43565</v>
      </c>
      <c r="C573" s="13">
        <v>645</v>
      </c>
      <c r="D573" s="13" t="s">
        <v>2047</v>
      </c>
      <c r="E573" s="13" t="s">
        <v>808</v>
      </c>
      <c r="F573" s="37">
        <v>35700</v>
      </c>
      <c r="G573" s="29" t="s">
        <v>339</v>
      </c>
      <c r="H573" s="14">
        <v>43530</v>
      </c>
      <c r="I573" s="4" t="s">
        <v>95</v>
      </c>
    </row>
    <row r="574" spans="1:12" hidden="1" x14ac:dyDescent="0.25">
      <c r="A574" s="61" t="s">
        <v>659</v>
      </c>
      <c r="B574" s="14">
        <v>43565</v>
      </c>
      <c r="C574" s="13">
        <v>655</v>
      </c>
      <c r="D574" s="13" t="s">
        <v>5888</v>
      </c>
      <c r="E574" s="13" t="s">
        <v>808</v>
      </c>
      <c r="F574" s="37">
        <v>57125</v>
      </c>
      <c r="G574" s="29" t="s">
        <v>459</v>
      </c>
      <c r="H574" s="14">
        <v>43542</v>
      </c>
      <c r="I574" s="4" t="s">
        <v>402</v>
      </c>
    </row>
    <row r="575" spans="1:12" hidden="1" x14ac:dyDescent="0.25">
      <c r="A575" s="61" t="s">
        <v>495</v>
      </c>
      <c r="B575" s="14">
        <v>43565</v>
      </c>
      <c r="C575" s="13">
        <v>646</v>
      </c>
      <c r="D575" s="13" t="s">
        <v>692</v>
      </c>
      <c r="E575" s="13" t="s">
        <v>808</v>
      </c>
      <c r="F575" s="37">
        <v>77000</v>
      </c>
      <c r="G575" s="29" t="s">
        <v>1295</v>
      </c>
      <c r="H575" s="14">
        <v>43516</v>
      </c>
      <c r="I575" s="4" t="s">
        <v>419</v>
      </c>
    </row>
    <row r="576" spans="1:12" hidden="1" x14ac:dyDescent="0.25">
      <c r="A576" s="32" t="s">
        <v>659</v>
      </c>
      <c r="B576" s="14">
        <v>43565</v>
      </c>
      <c r="C576" s="13">
        <v>647</v>
      </c>
      <c r="D576" s="13" t="s">
        <v>2115</v>
      </c>
      <c r="E576" s="13" t="s">
        <v>808</v>
      </c>
      <c r="F576" s="4">
        <v>44550</v>
      </c>
      <c r="G576" s="28" t="s">
        <v>1347</v>
      </c>
      <c r="H576" s="14">
        <v>43524</v>
      </c>
      <c r="I576" s="4" t="s">
        <v>164</v>
      </c>
    </row>
    <row r="577" spans="1:12" hidden="1" x14ac:dyDescent="0.25">
      <c r="A577" s="32" t="s">
        <v>1149</v>
      </c>
      <c r="B577" s="14">
        <v>43565</v>
      </c>
      <c r="C577" s="13">
        <v>647</v>
      </c>
      <c r="D577" s="13" t="s">
        <v>2115</v>
      </c>
      <c r="E577" s="13" t="s">
        <v>808</v>
      </c>
      <c r="F577" s="4">
        <v>11250</v>
      </c>
      <c r="G577" s="28" t="s">
        <v>84</v>
      </c>
      <c r="H577" s="14">
        <v>43524</v>
      </c>
      <c r="I577" s="4" t="s">
        <v>1373</v>
      </c>
    </row>
    <row r="578" spans="1:12" hidden="1" x14ac:dyDescent="0.25">
      <c r="A578" s="32" t="s">
        <v>659</v>
      </c>
      <c r="B578" s="14">
        <v>43565</v>
      </c>
      <c r="C578" s="13">
        <v>654</v>
      </c>
      <c r="D578" s="13" t="s">
        <v>303</v>
      </c>
      <c r="E578" s="13" t="s">
        <v>808</v>
      </c>
      <c r="F578" s="4">
        <v>50000</v>
      </c>
      <c r="G578" s="28" t="s">
        <v>695</v>
      </c>
      <c r="H578" s="14">
        <v>43523</v>
      </c>
      <c r="I578" s="4" t="s">
        <v>511</v>
      </c>
    </row>
    <row r="579" spans="1:12" hidden="1" x14ac:dyDescent="0.25">
      <c r="A579" s="61" t="s">
        <v>261</v>
      </c>
      <c r="B579" s="14">
        <v>43565</v>
      </c>
      <c r="C579" s="13">
        <v>648</v>
      </c>
      <c r="D579" s="13" t="s">
        <v>149</v>
      </c>
      <c r="E579" s="13" t="s">
        <v>808</v>
      </c>
      <c r="F579" s="37">
        <v>9000</v>
      </c>
      <c r="G579" s="29" t="s">
        <v>6108</v>
      </c>
      <c r="H579" s="14">
        <v>43444</v>
      </c>
      <c r="I579" s="4" t="s">
        <v>6107</v>
      </c>
    </row>
    <row r="580" spans="1:12" hidden="1" x14ac:dyDescent="0.25">
      <c r="A580" s="61" t="s">
        <v>188</v>
      </c>
      <c r="B580" s="14">
        <v>43565</v>
      </c>
      <c r="C580" s="13">
        <v>648</v>
      </c>
      <c r="D580" s="13" t="s">
        <v>149</v>
      </c>
      <c r="E580" s="13" t="s">
        <v>808</v>
      </c>
      <c r="F580" s="4">
        <v>4500</v>
      </c>
      <c r="G580" s="28" t="s">
        <v>5744</v>
      </c>
      <c r="H580" s="14">
        <v>43486</v>
      </c>
      <c r="I580" s="4" t="s">
        <v>6114</v>
      </c>
    </row>
    <row r="581" spans="1:12" hidden="1" x14ac:dyDescent="0.25">
      <c r="A581" s="61" t="s">
        <v>261</v>
      </c>
      <c r="B581" s="14">
        <v>43565</v>
      </c>
      <c r="C581" s="13">
        <v>648</v>
      </c>
      <c r="D581" s="13" t="s">
        <v>149</v>
      </c>
      <c r="E581" s="13" t="s">
        <v>808</v>
      </c>
      <c r="F581" s="4">
        <v>6000</v>
      </c>
      <c r="G581" s="28" t="s">
        <v>3118</v>
      </c>
      <c r="H581" s="14">
        <v>43486</v>
      </c>
      <c r="I581" s="4" t="s">
        <v>6114</v>
      </c>
    </row>
    <row r="582" spans="1:12" hidden="1" x14ac:dyDescent="0.25">
      <c r="A582" s="61" t="s">
        <v>956</v>
      </c>
      <c r="B582" s="14">
        <v>43565</v>
      </c>
      <c r="C582" s="13">
        <v>236</v>
      </c>
      <c r="D582" s="13" t="s">
        <v>692</v>
      </c>
      <c r="E582" s="13" t="s">
        <v>481</v>
      </c>
      <c r="F582" s="37">
        <v>12375</v>
      </c>
      <c r="G582" s="29" t="s">
        <v>52</v>
      </c>
      <c r="H582" s="14">
        <v>43532</v>
      </c>
      <c r="I582" s="4" t="s">
        <v>419</v>
      </c>
    </row>
    <row r="583" spans="1:12" hidden="1" x14ac:dyDescent="0.25">
      <c r="A583" s="61" t="s">
        <v>956</v>
      </c>
      <c r="B583" s="14">
        <v>43565</v>
      </c>
      <c r="C583" s="13">
        <v>237</v>
      </c>
      <c r="D583" s="13" t="s">
        <v>149</v>
      </c>
      <c r="E583" s="13" t="s">
        <v>481</v>
      </c>
      <c r="F583" s="4">
        <v>1500</v>
      </c>
      <c r="G583" s="28" t="s">
        <v>6113</v>
      </c>
      <c r="H583" s="14">
        <v>43445</v>
      </c>
      <c r="I583" s="4" t="s">
        <v>6107</v>
      </c>
    </row>
    <row r="584" spans="1:12" ht="13.95" hidden="1" customHeight="1" x14ac:dyDescent="0.25">
      <c r="A584" s="68" t="s">
        <v>1165</v>
      </c>
      <c r="B584" s="14">
        <v>43565</v>
      </c>
      <c r="C584" s="13">
        <v>657</v>
      </c>
      <c r="D584" s="32" t="s">
        <v>2759</v>
      </c>
      <c r="E584" s="32" t="s">
        <v>62</v>
      </c>
      <c r="F584" s="4">
        <v>3000000</v>
      </c>
      <c r="G584" s="86" t="s">
        <v>2608</v>
      </c>
      <c r="H584" s="211"/>
      <c r="I584" s="84" t="s">
        <v>23</v>
      </c>
      <c r="J584" s="21"/>
      <c r="K584" s="228"/>
    </row>
    <row r="585" spans="1:12" ht="13.95" hidden="1" customHeight="1" x14ac:dyDescent="0.25">
      <c r="A585" s="32" t="s">
        <v>534</v>
      </c>
      <c r="B585" s="14">
        <v>43565</v>
      </c>
      <c r="C585" s="13">
        <v>643</v>
      </c>
      <c r="D585" s="32" t="s">
        <v>470</v>
      </c>
      <c r="E585" s="32" t="s">
        <v>62</v>
      </c>
      <c r="F585" s="4">
        <v>3801254.1</v>
      </c>
      <c r="G585" s="86" t="s">
        <v>471</v>
      </c>
      <c r="H585" s="211"/>
      <c r="I585" s="208" t="s">
        <v>672</v>
      </c>
      <c r="J585" s="21"/>
      <c r="K585" s="228"/>
    </row>
    <row r="586" spans="1:12" ht="13.95" hidden="1" customHeight="1" x14ac:dyDescent="0.25">
      <c r="A586" s="32" t="s">
        <v>1654</v>
      </c>
      <c r="B586" s="14">
        <v>43565</v>
      </c>
      <c r="C586" s="13">
        <v>654</v>
      </c>
      <c r="D586" s="32" t="s">
        <v>470</v>
      </c>
      <c r="E586" s="32" t="s">
        <v>62</v>
      </c>
      <c r="F586" s="4">
        <v>1198745.8999999999</v>
      </c>
      <c r="G586" s="86" t="s">
        <v>1867</v>
      </c>
      <c r="H586" s="211"/>
      <c r="I586" s="208" t="s">
        <v>675</v>
      </c>
      <c r="J586" s="21"/>
      <c r="K586" s="228"/>
    </row>
    <row r="587" spans="1:12" ht="13.95" hidden="1" customHeight="1" x14ac:dyDescent="0.25">
      <c r="A587" s="32" t="s">
        <v>1285</v>
      </c>
      <c r="B587" s="14">
        <v>43565</v>
      </c>
      <c r="C587" s="13">
        <v>656</v>
      </c>
      <c r="D587" s="32" t="s">
        <v>1800</v>
      </c>
      <c r="E587" s="32" t="s">
        <v>62</v>
      </c>
      <c r="F587" s="4">
        <v>4600000</v>
      </c>
      <c r="G587" s="86" t="s">
        <v>816</v>
      </c>
      <c r="H587" s="211"/>
      <c r="I587" s="208" t="s">
        <v>361</v>
      </c>
      <c r="J587" s="21"/>
      <c r="K587" s="228"/>
    </row>
    <row r="588" spans="1:12" ht="13.95" hidden="1" customHeight="1" x14ac:dyDescent="0.25">
      <c r="A588" s="68" t="s">
        <v>91</v>
      </c>
      <c r="B588" s="14">
        <v>43565</v>
      </c>
      <c r="C588" s="13">
        <v>653</v>
      </c>
      <c r="D588" s="32" t="s">
        <v>1151</v>
      </c>
      <c r="E588" s="32" t="s">
        <v>62</v>
      </c>
      <c r="F588" s="4">
        <v>107496.45</v>
      </c>
      <c r="G588" s="86" t="s">
        <v>1574</v>
      </c>
      <c r="H588" s="14"/>
      <c r="I588" s="41" t="s">
        <v>1531</v>
      </c>
      <c r="K588" s="62"/>
    </row>
    <row r="589" spans="1:12" s="97" customFormat="1" hidden="1" x14ac:dyDescent="0.25">
      <c r="A589" s="13" t="s">
        <v>160</v>
      </c>
      <c r="B589" s="14">
        <v>43565</v>
      </c>
      <c r="C589" s="13">
        <v>655</v>
      </c>
      <c r="D589" s="13" t="s">
        <v>590</v>
      </c>
      <c r="E589" s="13" t="s">
        <v>62</v>
      </c>
      <c r="F589" s="4">
        <v>1064000</v>
      </c>
      <c r="G589" s="29" t="s">
        <v>1197</v>
      </c>
      <c r="H589" s="14">
        <v>41572</v>
      </c>
      <c r="I589" s="4" t="s">
        <v>159</v>
      </c>
      <c r="J589" s="22"/>
      <c r="K589" s="62"/>
      <c r="L589" s="134"/>
    </row>
    <row r="590" spans="1:12" s="97" customFormat="1" hidden="1" x14ac:dyDescent="0.25">
      <c r="A590" s="32" t="s">
        <v>442</v>
      </c>
      <c r="B590" s="14">
        <v>43565</v>
      </c>
      <c r="C590" s="13">
        <v>658</v>
      </c>
      <c r="D590" s="13" t="s">
        <v>157</v>
      </c>
      <c r="E590" s="13" t="s">
        <v>62</v>
      </c>
      <c r="F590" s="4">
        <v>4737.7</v>
      </c>
      <c r="G590" s="29" t="s">
        <v>4896</v>
      </c>
      <c r="H590" s="14">
        <v>43528</v>
      </c>
      <c r="I590" s="4" t="s">
        <v>305</v>
      </c>
      <c r="J590" s="22"/>
      <c r="K590" s="62"/>
      <c r="L590" s="134"/>
    </row>
    <row r="591" spans="1:12" s="97" customFormat="1" hidden="1" x14ac:dyDescent="0.25">
      <c r="A591" s="61" t="s">
        <v>91</v>
      </c>
      <c r="B591" s="14">
        <v>43565</v>
      </c>
      <c r="C591" s="13">
        <v>658</v>
      </c>
      <c r="D591" s="13" t="s">
        <v>157</v>
      </c>
      <c r="E591" s="13" t="s">
        <v>62</v>
      </c>
      <c r="F591" s="4">
        <v>115910.76</v>
      </c>
      <c r="G591" s="29" t="s">
        <v>6133</v>
      </c>
      <c r="H591" s="14">
        <v>43551</v>
      </c>
      <c r="I591" s="4" t="s">
        <v>899</v>
      </c>
      <c r="J591" s="133"/>
      <c r="K591" s="22"/>
      <c r="L591" s="134"/>
    </row>
    <row r="592" spans="1:12" s="97" customFormat="1" hidden="1" x14ac:dyDescent="0.25">
      <c r="A592" s="13" t="s">
        <v>442</v>
      </c>
      <c r="B592" s="14">
        <v>43565</v>
      </c>
      <c r="C592" s="13">
        <v>652</v>
      </c>
      <c r="D592" s="13" t="s">
        <v>589</v>
      </c>
      <c r="E592" s="13" t="s">
        <v>62</v>
      </c>
      <c r="F592" s="4">
        <v>841445</v>
      </c>
      <c r="G592" s="28" t="s">
        <v>4689</v>
      </c>
      <c r="H592" s="14">
        <v>43515</v>
      </c>
      <c r="I592" s="4" t="s">
        <v>1998</v>
      </c>
      <c r="J592" s="133"/>
      <c r="K592" s="22"/>
      <c r="L592" s="134"/>
    </row>
    <row r="593" spans="1:19" s="97" customFormat="1" hidden="1" x14ac:dyDescent="0.25">
      <c r="A593" s="61" t="s">
        <v>442</v>
      </c>
      <c r="B593" s="14">
        <v>43565</v>
      </c>
      <c r="C593" s="13">
        <v>652</v>
      </c>
      <c r="D593" s="13" t="s">
        <v>589</v>
      </c>
      <c r="E593" s="13" t="s">
        <v>62</v>
      </c>
      <c r="F593" s="4">
        <v>830000</v>
      </c>
      <c r="G593" s="29" t="s">
        <v>4690</v>
      </c>
      <c r="H593" s="14">
        <v>43515</v>
      </c>
      <c r="I593" s="4" t="s">
        <v>443</v>
      </c>
      <c r="J593" s="133"/>
      <c r="K593" s="22"/>
      <c r="L593" s="134"/>
    </row>
    <row r="594" spans="1:19" s="97" customFormat="1" hidden="1" x14ac:dyDescent="0.25">
      <c r="A594" s="32" t="s">
        <v>91</v>
      </c>
      <c r="B594" s="14">
        <v>43565</v>
      </c>
      <c r="C594" s="13">
        <v>644</v>
      </c>
      <c r="D594" s="13" t="s">
        <v>1065</v>
      </c>
      <c r="E594" s="13" t="s">
        <v>62</v>
      </c>
      <c r="F594" s="4">
        <v>7808.02</v>
      </c>
      <c r="G594" s="28" t="s">
        <v>859</v>
      </c>
      <c r="H594" s="14">
        <v>43535</v>
      </c>
      <c r="I594" s="4" t="s">
        <v>5405</v>
      </c>
      <c r="J594" s="133"/>
      <c r="K594" s="22"/>
      <c r="L594" s="134"/>
    </row>
    <row r="595" spans="1:19" s="97" customFormat="1" hidden="1" x14ac:dyDescent="0.25">
      <c r="A595" s="61" t="s">
        <v>442</v>
      </c>
      <c r="B595" s="14">
        <v>43565</v>
      </c>
      <c r="C595" s="13">
        <v>645</v>
      </c>
      <c r="D595" s="13" t="s">
        <v>868</v>
      </c>
      <c r="E595" s="13" t="s">
        <v>62</v>
      </c>
      <c r="F595" s="4">
        <v>8340</v>
      </c>
      <c r="G595" s="29" t="s">
        <v>5403</v>
      </c>
      <c r="H595" s="14">
        <v>43531</v>
      </c>
      <c r="I595" s="4" t="s">
        <v>345</v>
      </c>
      <c r="J595" s="133"/>
      <c r="K595" s="22"/>
      <c r="L595" s="134"/>
    </row>
    <row r="596" spans="1:19" s="97" customFormat="1" hidden="1" x14ac:dyDescent="0.25">
      <c r="A596" s="61" t="s">
        <v>92</v>
      </c>
      <c r="B596" s="14">
        <v>43565</v>
      </c>
      <c r="C596" s="13">
        <v>646</v>
      </c>
      <c r="D596" s="13" t="s">
        <v>72</v>
      </c>
      <c r="E596" s="13" t="s">
        <v>62</v>
      </c>
      <c r="F596" s="4">
        <v>10132</v>
      </c>
      <c r="G596" s="29" t="s">
        <v>5396</v>
      </c>
      <c r="H596" s="14">
        <v>43536</v>
      </c>
      <c r="I596" s="4" t="s">
        <v>5397</v>
      </c>
      <c r="J596" s="133"/>
      <c r="K596" s="22"/>
      <c r="L596" s="134"/>
    </row>
    <row r="597" spans="1:19" s="62" customFormat="1" ht="15" hidden="1" customHeight="1" x14ac:dyDescent="0.25">
      <c r="A597" s="13" t="s">
        <v>442</v>
      </c>
      <c r="B597" s="14">
        <v>43565</v>
      </c>
      <c r="C597" s="13">
        <v>647</v>
      </c>
      <c r="D597" s="13" t="s">
        <v>298</v>
      </c>
      <c r="E597" s="13" t="s">
        <v>62</v>
      </c>
      <c r="F597" s="37">
        <v>2000</v>
      </c>
      <c r="G597" s="189" t="s">
        <v>6342</v>
      </c>
      <c r="H597" s="14">
        <v>43560</v>
      </c>
      <c r="I597" s="4" t="s">
        <v>3364</v>
      </c>
      <c r="J597" s="359"/>
      <c r="K597" s="50"/>
      <c r="L597" s="71"/>
      <c r="M597" s="170"/>
      <c r="N597" s="71"/>
      <c r="O597" s="71"/>
      <c r="P597" s="35"/>
      <c r="Q597" s="35"/>
      <c r="R597" s="35"/>
      <c r="S597" s="35"/>
    </row>
    <row r="598" spans="1:19" hidden="1" x14ac:dyDescent="0.25">
      <c r="A598" s="61" t="s">
        <v>442</v>
      </c>
      <c r="B598" s="14">
        <v>43565</v>
      </c>
      <c r="C598" s="13">
        <v>648</v>
      </c>
      <c r="D598" s="13" t="s">
        <v>1739</v>
      </c>
      <c r="E598" s="13" t="s">
        <v>62</v>
      </c>
      <c r="F598" s="37">
        <v>206400</v>
      </c>
      <c r="G598" s="29" t="s">
        <v>96</v>
      </c>
      <c r="H598" s="14">
        <v>43524</v>
      </c>
      <c r="I598" s="4" t="s">
        <v>5634</v>
      </c>
      <c r="J598" s="128"/>
    </row>
    <row r="599" spans="1:19" hidden="1" x14ac:dyDescent="0.25">
      <c r="A599" s="61" t="s">
        <v>442</v>
      </c>
      <c r="B599" s="14">
        <v>43565</v>
      </c>
      <c r="C599" s="13">
        <v>649</v>
      </c>
      <c r="D599" s="13" t="s">
        <v>340</v>
      </c>
      <c r="E599" s="13" t="s">
        <v>62</v>
      </c>
      <c r="F599" s="37">
        <v>7300</v>
      </c>
      <c r="G599" s="29" t="s">
        <v>173</v>
      </c>
      <c r="H599" s="14">
        <v>43515</v>
      </c>
      <c r="I599" s="4" t="s">
        <v>1345</v>
      </c>
      <c r="J599" s="128"/>
    </row>
    <row r="600" spans="1:19" s="129" customFormat="1" hidden="1" x14ac:dyDescent="0.25">
      <c r="A600" s="13" t="s">
        <v>151</v>
      </c>
      <c r="B600" s="14">
        <v>43565</v>
      </c>
      <c r="C600" s="28" t="s">
        <v>1429</v>
      </c>
      <c r="D600" s="13" t="s">
        <v>1846</v>
      </c>
      <c r="E600" s="13" t="s">
        <v>62</v>
      </c>
      <c r="F600" s="4">
        <v>20086</v>
      </c>
      <c r="G600" s="28" t="s">
        <v>6326</v>
      </c>
      <c r="H600" s="14">
        <v>43560</v>
      </c>
      <c r="I600" s="4" t="s">
        <v>6327</v>
      </c>
      <c r="J600" s="22"/>
      <c r="K600" s="136"/>
    </row>
    <row r="601" spans="1:19" hidden="1" x14ac:dyDescent="0.25">
      <c r="A601" s="13" t="s">
        <v>151</v>
      </c>
      <c r="B601" s="14">
        <v>43565</v>
      </c>
      <c r="C601" s="28" t="s">
        <v>723</v>
      </c>
      <c r="D601" s="13" t="s">
        <v>3024</v>
      </c>
      <c r="E601" s="13" t="s">
        <v>62</v>
      </c>
      <c r="F601" s="37">
        <v>4500</v>
      </c>
      <c r="G601" s="29" t="s">
        <v>4098</v>
      </c>
      <c r="H601" s="14">
        <v>43496</v>
      </c>
      <c r="I601" s="4" t="s">
        <v>6282</v>
      </c>
      <c r="J601" s="128"/>
    </row>
    <row r="602" spans="1:19" ht="13.95" hidden="1" customHeight="1" x14ac:dyDescent="0.25">
      <c r="A602" s="68" t="s">
        <v>310</v>
      </c>
      <c r="B602" s="14">
        <v>43565</v>
      </c>
      <c r="C602" s="13">
        <v>280</v>
      </c>
      <c r="D602" s="32" t="s">
        <v>4487</v>
      </c>
      <c r="E602" s="32" t="s">
        <v>958</v>
      </c>
      <c r="F602" s="4">
        <v>19414193.190000001</v>
      </c>
      <c r="G602" s="86" t="s">
        <v>4486</v>
      </c>
      <c r="H602" s="211"/>
      <c r="I602" s="84" t="s">
        <v>273</v>
      </c>
      <c r="J602" s="21"/>
      <c r="K602" s="228"/>
    </row>
    <row r="603" spans="1:19" ht="13.95" hidden="1" customHeight="1" x14ac:dyDescent="0.25">
      <c r="A603" s="68" t="s">
        <v>310</v>
      </c>
      <c r="B603" s="14">
        <v>43565</v>
      </c>
      <c r="C603" s="13">
        <v>281</v>
      </c>
      <c r="D603" s="32" t="s">
        <v>4487</v>
      </c>
      <c r="E603" s="32" t="s">
        <v>958</v>
      </c>
      <c r="F603" s="4">
        <v>585806.81000000006</v>
      </c>
      <c r="G603" s="86" t="s">
        <v>4486</v>
      </c>
      <c r="H603" s="211"/>
      <c r="I603" s="84" t="s">
        <v>273</v>
      </c>
      <c r="J603" s="21"/>
      <c r="K603" s="228"/>
    </row>
    <row r="604" spans="1:19" ht="13.95" hidden="1" customHeight="1" x14ac:dyDescent="0.25">
      <c r="A604" s="61" t="s">
        <v>455</v>
      </c>
      <c r="B604" s="14">
        <v>43565</v>
      </c>
      <c r="C604" s="13">
        <v>282</v>
      </c>
      <c r="D604" s="32" t="s">
        <v>4461</v>
      </c>
      <c r="E604" s="32" t="s">
        <v>958</v>
      </c>
      <c r="F604" s="4">
        <v>500000</v>
      </c>
      <c r="G604" s="86" t="s">
        <v>4460</v>
      </c>
      <c r="H604" s="211"/>
      <c r="I604" s="4" t="s">
        <v>82</v>
      </c>
      <c r="J604" s="21"/>
      <c r="K604" s="228"/>
    </row>
    <row r="605" spans="1:19" ht="13.95" hidden="1" customHeight="1" x14ac:dyDescent="0.25">
      <c r="A605" s="61" t="s">
        <v>310</v>
      </c>
      <c r="B605" s="14">
        <v>43565</v>
      </c>
      <c r="C605" s="13">
        <v>283</v>
      </c>
      <c r="D605" s="32" t="s">
        <v>588</v>
      </c>
      <c r="E605" s="32" t="s">
        <v>958</v>
      </c>
      <c r="F605" s="4">
        <v>567000</v>
      </c>
      <c r="G605" s="86" t="s">
        <v>4450</v>
      </c>
      <c r="H605" s="211"/>
      <c r="I605" s="4" t="s">
        <v>82</v>
      </c>
      <c r="J605" s="21"/>
      <c r="K605" s="228"/>
    </row>
    <row r="606" spans="1:19" s="62" customFormat="1" ht="15" hidden="1" customHeight="1" x14ac:dyDescent="0.25">
      <c r="A606" s="32" t="s">
        <v>310</v>
      </c>
      <c r="B606" s="14">
        <v>43565</v>
      </c>
      <c r="C606" s="13">
        <v>284</v>
      </c>
      <c r="D606" s="13" t="s">
        <v>5044</v>
      </c>
      <c r="E606" s="13" t="s">
        <v>958</v>
      </c>
      <c r="F606" s="37">
        <v>1000000</v>
      </c>
      <c r="G606" s="189" t="s">
        <v>6205</v>
      </c>
      <c r="H606" s="14">
        <v>43555</v>
      </c>
      <c r="I606" s="4" t="s">
        <v>6370</v>
      </c>
      <c r="J606" s="22"/>
      <c r="M606" s="444"/>
      <c r="O606" s="35"/>
      <c r="P606" s="35"/>
      <c r="Q606" s="35"/>
      <c r="R606" s="35"/>
      <c r="S606" s="35"/>
    </row>
    <row r="607" spans="1:19" s="97" customFormat="1" hidden="1" x14ac:dyDescent="0.25">
      <c r="A607" s="61" t="s">
        <v>310</v>
      </c>
      <c r="B607" s="14">
        <v>43565</v>
      </c>
      <c r="C607" s="13">
        <v>285</v>
      </c>
      <c r="D607" s="13" t="s">
        <v>280</v>
      </c>
      <c r="E607" s="13" t="s">
        <v>958</v>
      </c>
      <c r="F607" s="4">
        <v>32800</v>
      </c>
      <c r="G607" s="29" t="s">
        <v>1164</v>
      </c>
      <c r="H607" s="14">
        <v>43535</v>
      </c>
      <c r="I607" s="4" t="s">
        <v>5685</v>
      </c>
      <c r="J607" s="133"/>
      <c r="K607" s="22"/>
      <c r="L607" s="134"/>
    </row>
    <row r="608" spans="1:19" hidden="1" x14ac:dyDescent="0.25">
      <c r="A608" s="61" t="s">
        <v>455</v>
      </c>
      <c r="B608" s="14">
        <v>43565</v>
      </c>
      <c r="C608" s="13">
        <v>286</v>
      </c>
      <c r="D608" s="13" t="s">
        <v>5344</v>
      </c>
      <c r="E608" s="13" t="s">
        <v>958</v>
      </c>
      <c r="F608" s="37">
        <v>224618.56</v>
      </c>
      <c r="G608" s="29" t="s">
        <v>317</v>
      </c>
      <c r="H608" s="14">
        <v>43496</v>
      </c>
      <c r="I608" s="4" t="s">
        <v>4088</v>
      </c>
    </row>
    <row r="609" spans="1:15" hidden="1" x14ac:dyDescent="0.25">
      <c r="A609" s="61" t="s">
        <v>455</v>
      </c>
      <c r="B609" s="14">
        <v>43565</v>
      </c>
      <c r="C609" s="13">
        <v>287</v>
      </c>
      <c r="D609" s="13" t="s">
        <v>5345</v>
      </c>
      <c r="E609" s="13" t="s">
        <v>958</v>
      </c>
      <c r="F609" s="4">
        <f>107800-50000</f>
        <v>57800</v>
      </c>
      <c r="G609" s="28" t="s">
        <v>459</v>
      </c>
      <c r="H609" s="14">
        <v>43524</v>
      </c>
      <c r="I609" s="4" t="s">
        <v>5346</v>
      </c>
    </row>
    <row r="610" spans="1:15" hidden="1" x14ac:dyDescent="0.25">
      <c r="A610" s="61" t="s">
        <v>455</v>
      </c>
      <c r="B610" s="14">
        <v>43565</v>
      </c>
      <c r="C610" s="13">
        <v>288</v>
      </c>
      <c r="D610" s="13" t="s">
        <v>282</v>
      </c>
      <c r="E610" s="13" t="s">
        <v>958</v>
      </c>
      <c r="F610" s="37">
        <v>28600</v>
      </c>
      <c r="G610" s="29" t="s">
        <v>5604</v>
      </c>
      <c r="H610" s="14">
        <v>43538</v>
      </c>
      <c r="I610" s="4" t="s">
        <v>283</v>
      </c>
    </row>
    <row r="611" spans="1:15" hidden="1" x14ac:dyDescent="0.25">
      <c r="A611" s="61" t="s">
        <v>455</v>
      </c>
      <c r="B611" s="14">
        <v>43565</v>
      </c>
      <c r="C611" s="13">
        <v>289</v>
      </c>
      <c r="D611" s="13" t="s">
        <v>2047</v>
      </c>
      <c r="E611" s="13" t="s">
        <v>958</v>
      </c>
      <c r="F611" s="4">
        <v>10200</v>
      </c>
      <c r="G611" s="28" t="s">
        <v>205</v>
      </c>
      <c r="H611" s="14">
        <v>43536</v>
      </c>
      <c r="I611" s="4" t="s">
        <v>95</v>
      </c>
    </row>
    <row r="612" spans="1:15" s="97" customFormat="1" ht="15" hidden="1" customHeight="1" x14ac:dyDescent="0.25">
      <c r="A612" s="32" t="s">
        <v>455</v>
      </c>
      <c r="B612" s="14">
        <v>43565</v>
      </c>
      <c r="C612" s="13">
        <v>290</v>
      </c>
      <c r="D612" s="32" t="s">
        <v>5111</v>
      </c>
      <c r="E612" s="32" t="s">
        <v>958</v>
      </c>
      <c r="F612" s="4">
        <f>264000-100000</f>
        <v>164000</v>
      </c>
      <c r="G612" s="28" t="s">
        <v>5112</v>
      </c>
      <c r="H612" s="14">
        <v>43505</v>
      </c>
      <c r="I612" s="32" t="s">
        <v>4873</v>
      </c>
      <c r="J612" s="442" t="s">
        <v>5010</v>
      </c>
      <c r="K612" s="32" t="s">
        <v>4999</v>
      </c>
      <c r="L612" s="22"/>
      <c r="M612" s="170"/>
      <c r="N612" s="22"/>
      <c r="O612" s="22"/>
    </row>
    <row r="613" spans="1:15" hidden="1" x14ac:dyDescent="0.25">
      <c r="A613" s="13" t="s">
        <v>151</v>
      </c>
      <c r="B613" s="14">
        <v>43565</v>
      </c>
      <c r="C613" s="28" t="s">
        <v>1498</v>
      </c>
      <c r="D613" s="13" t="s">
        <v>3024</v>
      </c>
      <c r="E613" s="13" t="s">
        <v>958</v>
      </c>
      <c r="F613" s="37">
        <v>4500</v>
      </c>
      <c r="G613" s="29" t="s">
        <v>153</v>
      </c>
      <c r="H613" s="14">
        <v>43496</v>
      </c>
      <c r="I613" s="4" t="s">
        <v>6282</v>
      </c>
      <c r="J613" s="128"/>
    </row>
    <row r="614" spans="1:15" hidden="1" x14ac:dyDescent="0.25">
      <c r="A614" s="13" t="s">
        <v>151</v>
      </c>
      <c r="B614" s="14">
        <v>43565</v>
      </c>
      <c r="C614" s="28" t="s">
        <v>1498</v>
      </c>
      <c r="D614" s="13" t="s">
        <v>3024</v>
      </c>
      <c r="E614" s="13" t="s">
        <v>958</v>
      </c>
      <c r="F614" s="37">
        <v>1500</v>
      </c>
      <c r="G614" s="29" t="s">
        <v>3512</v>
      </c>
      <c r="H614" s="14">
        <v>43524</v>
      </c>
      <c r="I614" s="4" t="s">
        <v>3026</v>
      </c>
      <c r="J614" s="128"/>
    </row>
    <row r="615" spans="1:15" hidden="1" x14ac:dyDescent="0.25">
      <c r="A615" s="13" t="s">
        <v>637</v>
      </c>
      <c r="B615" s="126">
        <v>43565</v>
      </c>
      <c r="C615" s="28" t="s">
        <v>3588</v>
      </c>
      <c r="D615" s="32" t="s">
        <v>432</v>
      </c>
      <c r="E615" s="32" t="s">
        <v>691</v>
      </c>
      <c r="F615" s="4">
        <v>55000</v>
      </c>
      <c r="G615" s="69" t="s">
        <v>3256</v>
      </c>
      <c r="H615" s="14"/>
      <c r="I615" s="4" t="s">
        <v>433</v>
      </c>
      <c r="J615" s="21"/>
      <c r="K615" s="228"/>
    </row>
    <row r="616" spans="1:15" hidden="1" x14ac:dyDescent="0.25">
      <c r="A616" s="13" t="s">
        <v>1350</v>
      </c>
      <c r="B616" s="126">
        <v>43565</v>
      </c>
      <c r="C616" s="13">
        <v>259</v>
      </c>
      <c r="D616" s="32" t="s">
        <v>1077</v>
      </c>
      <c r="E616" s="13" t="s">
        <v>691</v>
      </c>
      <c r="F616" s="4">
        <v>640615</v>
      </c>
      <c r="G616" s="29" t="s">
        <v>1697</v>
      </c>
      <c r="H616" s="211"/>
      <c r="I616" s="208" t="s">
        <v>1698</v>
      </c>
      <c r="J616" s="228"/>
      <c r="K616" s="228"/>
    </row>
    <row r="617" spans="1:15" s="97" customFormat="1" hidden="1" x14ac:dyDescent="0.25">
      <c r="A617" s="61" t="s">
        <v>637</v>
      </c>
      <c r="B617" s="126">
        <v>43565</v>
      </c>
      <c r="C617" s="13">
        <v>260</v>
      </c>
      <c r="D617" s="13" t="s">
        <v>740</v>
      </c>
      <c r="E617" s="13" t="s">
        <v>691</v>
      </c>
      <c r="F617" s="4">
        <f>266600</f>
        <v>266600</v>
      </c>
      <c r="G617" s="29" t="s">
        <v>4903</v>
      </c>
      <c r="H617" s="14">
        <v>43490</v>
      </c>
      <c r="I617" s="4" t="s">
        <v>4902</v>
      </c>
      <c r="J617" s="133"/>
      <c r="K617" s="22"/>
      <c r="L617" s="134"/>
    </row>
    <row r="618" spans="1:15" s="97" customFormat="1" hidden="1" x14ac:dyDescent="0.25">
      <c r="A618" s="13" t="s">
        <v>1350</v>
      </c>
      <c r="B618" s="126">
        <v>43565</v>
      </c>
      <c r="C618" s="13">
        <v>261</v>
      </c>
      <c r="D618" s="13" t="s">
        <v>5709</v>
      </c>
      <c r="E618" s="13" t="s">
        <v>691</v>
      </c>
      <c r="F618" s="4">
        <v>53520</v>
      </c>
      <c r="G618" s="29" t="s">
        <v>5710</v>
      </c>
      <c r="H618" s="14">
        <v>43538</v>
      </c>
      <c r="I618" s="4" t="s">
        <v>5048</v>
      </c>
      <c r="J618" s="133"/>
      <c r="K618" s="22"/>
      <c r="L618" s="134"/>
    </row>
    <row r="619" spans="1:15" s="97" customFormat="1" hidden="1" x14ac:dyDescent="0.25">
      <c r="A619" s="61" t="s">
        <v>1350</v>
      </c>
      <c r="B619" s="126">
        <v>43565</v>
      </c>
      <c r="C619" s="13">
        <v>262</v>
      </c>
      <c r="D619" s="13" t="s">
        <v>1065</v>
      </c>
      <c r="E619" s="13" t="s">
        <v>691</v>
      </c>
      <c r="F619" s="4">
        <v>27759.360000000001</v>
      </c>
      <c r="G619" s="29" t="s">
        <v>19</v>
      </c>
      <c r="H619" s="14">
        <v>43535</v>
      </c>
      <c r="I619" s="4" t="s">
        <v>5404</v>
      </c>
      <c r="J619" s="133"/>
      <c r="K619" s="22"/>
      <c r="L619" s="134"/>
    </row>
    <row r="620" spans="1:15" s="97" customFormat="1" hidden="1" x14ac:dyDescent="0.25">
      <c r="A620" s="61" t="s">
        <v>1350</v>
      </c>
      <c r="B620" s="126">
        <v>43565</v>
      </c>
      <c r="C620" s="13">
        <v>263</v>
      </c>
      <c r="D620" s="13" t="s">
        <v>868</v>
      </c>
      <c r="E620" s="13" t="s">
        <v>691</v>
      </c>
      <c r="F620" s="4">
        <v>16440</v>
      </c>
      <c r="G620" s="29" t="s">
        <v>5402</v>
      </c>
      <c r="H620" s="14">
        <v>43531</v>
      </c>
      <c r="I620" s="4" t="s">
        <v>345</v>
      </c>
      <c r="J620" s="133"/>
      <c r="K620" s="22"/>
      <c r="L620" s="134"/>
    </row>
    <row r="621" spans="1:15" s="97" customFormat="1" hidden="1" x14ac:dyDescent="0.25">
      <c r="A621" s="61" t="s">
        <v>637</v>
      </c>
      <c r="B621" s="126">
        <v>43565</v>
      </c>
      <c r="C621" s="13">
        <v>264</v>
      </c>
      <c r="D621" s="13" t="s">
        <v>3438</v>
      </c>
      <c r="E621" s="13" t="s">
        <v>691</v>
      </c>
      <c r="F621" s="4">
        <v>17500</v>
      </c>
      <c r="G621" s="29" t="s">
        <v>5251</v>
      </c>
      <c r="H621" s="14">
        <v>43531</v>
      </c>
      <c r="I621" s="4" t="s">
        <v>718</v>
      </c>
      <c r="J621" s="133"/>
      <c r="K621" s="22"/>
      <c r="L621" s="134"/>
    </row>
    <row r="622" spans="1:15" s="97" customFormat="1" hidden="1" x14ac:dyDescent="0.25">
      <c r="A622" s="32" t="s">
        <v>1350</v>
      </c>
      <c r="B622" s="126">
        <v>43565</v>
      </c>
      <c r="C622" s="13">
        <v>265</v>
      </c>
      <c r="D622" s="13" t="s">
        <v>70</v>
      </c>
      <c r="E622" s="13" t="s">
        <v>691</v>
      </c>
      <c r="F622" s="4">
        <v>17334</v>
      </c>
      <c r="G622" s="28" t="s">
        <v>998</v>
      </c>
      <c r="H622" s="14">
        <v>43530</v>
      </c>
      <c r="I622" s="4" t="s">
        <v>5390</v>
      </c>
      <c r="J622" s="133"/>
      <c r="K622" s="22"/>
      <c r="L622" s="134"/>
    </row>
    <row r="623" spans="1:15" hidden="1" x14ac:dyDescent="0.25">
      <c r="A623" s="61" t="s">
        <v>1350</v>
      </c>
      <c r="B623" s="126">
        <v>43565</v>
      </c>
      <c r="C623" s="13">
        <v>266</v>
      </c>
      <c r="D623" s="13" t="s">
        <v>944</v>
      </c>
      <c r="E623" s="13" t="s">
        <v>691</v>
      </c>
      <c r="F623" s="37">
        <v>20250</v>
      </c>
      <c r="G623" s="29" t="s">
        <v>790</v>
      </c>
      <c r="H623" s="14">
        <v>43528</v>
      </c>
      <c r="I623" s="4" t="s">
        <v>402</v>
      </c>
    </row>
    <row r="624" spans="1:15" hidden="1" x14ac:dyDescent="0.25">
      <c r="A624" s="61" t="s">
        <v>637</v>
      </c>
      <c r="B624" s="126">
        <v>43565</v>
      </c>
      <c r="C624" s="13">
        <v>267</v>
      </c>
      <c r="D624" s="13" t="s">
        <v>282</v>
      </c>
      <c r="E624" s="13" t="s">
        <v>691</v>
      </c>
      <c r="F624" s="4">
        <v>8580</v>
      </c>
      <c r="G624" s="28" t="s">
        <v>5603</v>
      </c>
      <c r="H624" s="14">
        <v>43538</v>
      </c>
      <c r="I624" s="4" t="s">
        <v>283</v>
      </c>
    </row>
    <row r="625" spans="1:19" hidden="1" x14ac:dyDescent="0.25">
      <c r="A625" s="61" t="s">
        <v>1350</v>
      </c>
      <c r="B625" s="126">
        <v>43565</v>
      </c>
      <c r="C625" s="13">
        <v>268</v>
      </c>
      <c r="D625" s="13" t="s">
        <v>1985</v>
      </c>
      <c r="E625" s="13" t="s">
        <v>691</v>
      </c>
      <c r="F625" s="37">
        <v>60000</v>
      </c>
      <c r="G625" s="29" t="s">
        <v>3852</v>
      </c>
      <c r="H625" s="14">
        <v>43524</v>
      </c>
      <c r="I625" s="4" t="s">
        <v>4317</v>
      </c>
    </row>
    <row r="626" spans="1:19" ht="27.6" hidden="1" x14ac:dyDescent="0.25">
      <c r="A626" s="13" t="s">
        <v>55</v>
      </c>
      <c r="B626" s="14">
        <v>43565</v>
      </c>
      <c r="C626" s="13">
        <v>571</v>
      </c>
      <c r="D626" s="32" t="s">
        <v>285</v>
      </c>
      <c r="E626" s="32" t="s">
        <v>1427</v>
      </c>
      <c r="F626" s="4">
        <v>11000000</v>
      </c>
      <c r="G626" s="69" t="s">
        <v>954</v>
      </c>
      <c r="H626" s="14"/>
      <c r="I626" s="41" t="s">
        <v>955</v>
      </c>
      <c r="K626" s="62"/>
    </row>
    <row r="627" spans="1:19" ht="15" hidden="1" customHeight="1" x14ac:dyDescent="0.25">
      <c r="A627" s="68" t="s">
        <v>311</v>
      </c>
      <c r="B627" s="14">
        <v>43565</v>
      </c>
      <c r="C627" s="13">
        <v>194</v>
      </c>
      <c r="D627" s="32" t="s">
        <v>281</v>
      </c>
      <c r="E627" s="32" t="s">
        <v>408</v>
      </c>
      <c r="F627" s="4">
        <v>345716</v>
      </c>
      <c r="G627" s="29" t="s">
        <v>5503</v>
      </c>
      <c r="H627" s="14">
        <v>43536</v>
      </c>
      <c r="I627" s="41" t="s">
        <v>852</v>
      </c>
      <c r="J627" s="35" t="s">
        <v>771</v>
      </c>
      <c r="K627" s="35"/>
      <c r="L627" s="35"/>
    </row>
    <row r="628" spans="1:19" s="115" customFormat="1" ht="15.6" hidden="1" x14ac:dyDescent="0.25">
      <c r="A628" s="61" t="s">
        <v>651</v>
      </c>
      <c r="B628" s="14">
        <v>43565</v>
      </c>
      <c r="C628" s="13">
        <v>383</v>
      </c>
      <c r="D628" s="13" t="s">
        <v>813</v>
      </c>
      <c r="E628" s="13" t="s">
        <v>547</v>
      </c>
      <c r="F628" s="37">
        <v>5000000</v>
      </c>
      <c r="G628" s="29" t="s">
        <v>810</v>
      </c>
      <c r="H628" s="14">
        <v>42340</v>
      </c>
      <c r="I628" s="41" t="s">
        <v>1560</v>
      </c>
      <c r="J628" s="258"/>
      <c r="K628" s="116"/>
      <c r="L628" s="116"/>
      <c r="M628" s="116"/>
      <c r="N628" s="116"/>
      <c r="O628" s="117"/>
      <c r="P628" s="117"/>
      <c r="Q628" s="117"/>
      <c r="R628" s="117"/>
      <c r="S628" s="117"/>
    </row>
    <row r="629" spans="1:19" s="115" customFormat="1" ht="15.6" hidden="1" x14ac:dyDescent="0.25">
      <c r="A629" s="61" t="s">
        <v>166</v>
      </c>
      <c r="B629" s="14">
        <v>43565</v>
      </c>
      <c r="C629" s="13">
        <v>51</v>
      </c>
      <c r="D629" s="13" t="s">
        <v>3530</v>
      </c>
      <c r="E629" s="13" t="s">
        <v>76</v>
      </c>
      <c r="F629" s="4">
        <v>500000</v>
      </c>
      <c r="G629" s="29" t="s">
        <v>3965</v>
      </c>
      <c r="H629" s="14">
        <v>41177</v>
      </c>
      <c r="I629" s="41" t="s">
        <v>818</v>
      </c>
      <c r="J629" s="258"/>
      <c r="K629" s="116"/>
      <c r="L629" s="116"/>
      <c r="M629" s="116"/>
      <c r="N629" s="116"/>
      <c r="O629" s="117"/>
      <c r="P629" s="117"/>
      <c r="Q629" s="117"/>
      <c r="R629" s="117"/>
      <c r="S629" s="117"/>
    </row>
    <row r="630" spans="1:19" s="2" customFormat="1" hidden="1" x14ac:dyDescent="0.25">
      <c r="A630" s="68" t="s">
        <v>741</v>
      </c>
      <c r="B630" s="14">
        <v>43565</v>
      </c>
      <c r="C630" s="13">
        <v>369</v>
      </c>
      <c r="D630" s="13" t="s">
        <v>5629</v>
      </c>
      <c r="E630" s="13" t="s">
        <v>434</v>
      </c>
      <c r="F630" s="4">
        <f>1311694-311694</f>
        <v>1000000</v>
      </c>
      <c r="G630" s="28" t="s">
        <v>27</v>
      </c>
      <c r="H630" s="14">
        <v>43538</v>
      </c>
      <c r="I630" s="4" t="s">
        <v>5630</v>
      </c>
      <c r="J630" s="121"/>
      <c r="K630" s="5"/>
    </row>
    <row r="631" spans="1:19" hidden="1" x14ac:dyDescent="0.25">
      <c r="A631" s="61" t="s">
        <v>460</v>
      </c>
      <c r="B631" s="14">
        <v>43566</v>
      </c>
      <c r="C631" s="13">
        <v>92</v>
      </c>
      <c r="D631" s="14" t="s">
        <v>5287</v>
      </c>
      <c r="E631" s="32" t="s">
        <v>483</v>
      </c>
      <c r="F631" s="4">
        <v>42480</v>
      </c>
      <c r="G631" s="86" t="s">
        <v>5288</v>
      </c>
      <c r="H631" s="211"/>
      <c r="I631" s="326"/>
      <c r="K631" s="62"/>
    </row>
    <row r="632" spans="1:19" hidden="1" x14ac:dyDescent="0.25">
      <c r="A632" s="61" t="s">
        <v>460</v>
      </c>
      <c r="B632" s="14">
        <v>43566</v>
      </c>
      <c r="C632" s="13">
        <v>93</v>
      </c>
      <c r="D632" s="14" t="s">
        <v>5289</v>
      </c>
      <c r="E632" s="32" t="s">
        <v>483</v>
      </c>
      <c r="F632" s="4">
        <v>46900</v>
      </c>
      <c r="G632" s="86" t="s">
        <v>5290</v>
      </c>
      <c r="H632" s="211"/>
      <c r="I632" s="326"/>
      <c r="K632" s="62"/>
    </row>
    <row r="633" spans="1:19" hidden="1" x14ac:dyDescent="0.25">
      <c r="A633" s="61" t="s">
        <v>460</v>
      </c>
      <c r="B633" s="14">
        <v>43566</v>
      </c>
      <c r="C633" s="13">
        <v>94</v>
      </c>
      <c r="D633" s="14" t="s">
        <v>5291</v>
      </c>
      <c r="E633" s="32" t="s">
        <v>483</v>
      </c>
      <c r="F633" s="4">
        <v>47520</v>
      </c>
      <c r="G633" s="86" t="s">
        <v>5292</v>
      </c>
      <c r="H633" s="211"/>
      <c r="I633" s="326"/>
      <c r="K633" s="62"/>
    </row>
    <row r="634" spans="1:19" hidden="1" x14ac:dyDescent="0.25">
      <c r="A634" s="61" t="s">
        <v>460</v>
      </c>
      <c r="B634" s="14">
        <v>43566</v>
      </c>
      <c r="C634" s="13">
        <v>95</v>
      </c>
      <c r="D634" s="14" t="s">
        <v>5295</v>
      </c>
      <c r="E634" s="32" t="s">
        <v>483</v>
      </c>
      <c r="F634" s="4">
        <v>45360</v>
      </c>
      <c r="G634" s="86" t="s">
        <v>5296</v>
      </c>
      <c r="H634" s="211"/>
      <c r="I634" s="326"/>
      <c r="K634" s="62"/>
    </row>
    <row r="635" spans="1:19" hidden="1" x14ac:dyDescent="0.25">
      <c r="A635" s="13" t="s">
        <v>184</v>
      </c>
      <c r="B635" s="14">
        <v>43566</v>
      </c>
      <c r="C635" s="13">
        <v>456</v>
      </c>
      <c r="D635" s="32" t="s">
        <v>747</v>
      </c>
      <c r="E635" s="32" t="s">
        <v>1121</v>
      </c>
      <c r="F635" s="4">
        <v>926750</v>
      </c>
      <c r="G635" s="28" t="s">
        <v>6247</v>
      </c>
      <c r="H635" s="14">
        <v>43550</v>
      </c>
      <c r="I635" s="4" t="s">
        <v>770</v>
      </c>
      <c r="J635" s="76" t="s">
        <v>771</v>
      </c>
    </row>
    <row r="636" spans="1:19" hidden="1" x14ac:dyDescent="0.25">
      <c r="A636" s="13" t="s">
        <v>184</v>
      </c>
      <c r="B636" s="14">
        <v>43566</v>
      </c>
      <c r="C636" s="13">
        <v>456</v>
      </c>
      <c r="D636" s="32" t="s">
        <v>747</v>
      </c>
      <c r="E636" s="32" t="s">
        <v>1121</v>
      </c>
      <c r="F636" s="4">
        <v>544281</v>
      </c>
      <c r="G636" s="28" t="s">
        <v>6248</v>
      </c>
      <c r="H636" s="14">
        <v>43550</v>
      </c>
      <c r="I636" s="4" t="s">
        <v>769</v>
      </c>
      <c r="J636" s="76" t="s">
        <v>771</v>
      </c>
    </row>
    <row r="637" spans="1:19" ht="15" hidden="1" customHeight="1" x14ac:dyDescent="0.25">
      <c r="A637" s="13" t="s">
        <v>184</v>
      </c>
      <c r="B637" s="14">
        <v>43566</v>
      </c>
      <c r="C637" s="13">
        <v>456</v>
      </c>
      <c r="D637" s="32" t="s">
        <v>747</v>
      </c>
      <c r="E637" s="32" t="s">
        <v>1121</v>
      </c>
      <c r="F637" s="4">
        <v>271559</v>
      </c>
      <c r="G637" s="28" t="s">
        <v>6249</v>
      </c>
      <c r="H637" s="14">
        <v>43550</v>
      </c>
      <c r="I637" s="4" t="s">
        <v>363</v>
      </c>
      <c r="J637" s="76" t="s">
        <v>771</v>
      </c>
    </row>
    <row r="638" spans="1:19" ht="15" hidden="1" customHeight="1" x14ac:dyDescent="0.25">
      <c r="A638" s="13" t="s">
        <v>184</v>
      </c>
      <c r="B638" s="14">
        <v>43566</v>
      </c>
      <c r="C638" s="13">
        <v>448</v>
      </c>
      <c r="D638" s="13" t="s">
        <v>348</v>
      </c>
      <c r="E638" s="32" t="s">
        <v>1121</v>
      </c>
      <c r="F638" s="4">
        <v>59892</v>
      </c>
      <c r="G638" s="28" t="s">
        <v>6365</v>
      </c>
      <c r="H638" s="14">
        <v>43545</v>
      </c>
      <c r="I638" s="4" t="s">
        <v>6366</v>
      </c>
      <c r="J638" s="76" t="s">
        <v>6367</v>
      </c>
    </row>
    <row r="639" spans="1:19" ht="15" hidden="1" customHeight="1" x14ac:dyDescent="0.25">
      <c r="A639" s="13" t="s">
        <v>184</v>
      </c>
      <c r="B639" s="14">
        <v>43566</v>
      </c>
      <c r="C639" s="13">
        <v>449</v>
      </c>
      <c r="D639" s="13" t="s">
        <v>171</v>
      </c>
      <c r="E639" s="32" t="s">
        <v>1121</v>
      </c>
      <c r="F639" s="4">
        <v>800000</v>
      </c>
      <c r="G639" s="28" t="s">
        <v>6267</v>
      </c>
      <c r="H639" s="14">
        <v>43553</v>
      </c>
      <c r="I639" s="4" t="s">
        <v>384</v>
      </c>
      <c r="J639" s="125" t="s">
        <v>6268</v>
      </c>
    </row>
    <row r="640" spans="1:19" ht="15" hidden="1" customHeight="1" x14ac:dyDescent="0.25">
      <c r="A640" s="13" t="s">
        <v>184</v>
      </c>
      <c r="B640" s="14">
        <v>43566</v>
      </c>
      <c r="C640" s="13">
        <v>450</v>
      </c>
      <c r="D640" s="13" t="s">
        <v>897</v>
      </c>
      <c r="E640" s="32" t="s">
        <v>1121</v>
      </c>
      <c r="F640" s="4">
        <v>117000</v>
      </c>
      <c r="G640" s="28" t="s">
        <v>6265</v>
      </c>
      <c r="H640" s="14">
        <v>43556</v>
      </c>
      <c r="I640" s="4" t="s">
        <v>6264</v>
      </c>
      <c r="J640" s="76"/>
    </row>
    <row r="641" spans="1:12" ht="15" hidden="1" customHeight="1" x14ac:dyDescent="0.25">
      <c r="A641" s="13" t="s">
        <v>184</v>
      </c>
      <c r="B641" s="14">
        <v>43566</v>
      </c>
      <c r="C641" s="13">
        <v>458</v>
      </c>
      <c r="D641" s="13" t="s">
        <v>47</v>
      </c>
      <c r="E641" s="32" t="s">
        <v>1121</v>
      </c>
      <c r="F641" s="4">
        <v>2780</v>
      </c>
      <c r="G641" s="28" t="s">
        <v>6270</v>
      </c>
      <c r="H641" s="14">
        <v>43556</v>
      </c>
      <c r="I641" s="4" t="s">
        <v>746</v>
      </c>
    </row>
    <row r="642" spans="1:12" ht="15" hidden="1" customHeight="1" x14ac:dyDescent="0.25">
      <c r="A642" s="13" t="s">
        <v>184</v>
      </c>
      <c r="B642" s="14">
        <v>43566</v>
      </c>
      <c r="C642" s="13">
        <v>458</v>
      </c>
      <c r="D642" s="13" t="s">
        <v>47</v>
      </c>
      <c r="E642" s="32" t="s">
        <v>1121</v>
      </c>
      <c r="F642" s="4">
        <v>3180</v>
      </c>
      <c r="G642" s="28" t="s">
        <v>6271</v>
      </c>
      <c r="H642" s="14">
        <v>43558</v>
      </c>
      <c r="I642" s="4" t="s">
        <v>746</v>
      </c>
    </row>
    <row r="643" spans="1:12" hidden="1" x14ac:dyDescent="0.25">
      <c r="A643" s="13" t="s">
        <v>184</v>
      </c>
      <c r="B643" s="14">
        <v>43566</v>
      </c>
      <c r="C643" s="13">
        <v>451</v>
      </c>
      <c r="D643" s="13" t="s">
        <v>662</v>
      </c>
      <c r="E643" s="32" t="s">
        <v>1121</v>
      </c>
      <c r="F643" s="4">
        <v>9960</v>
      </c>
      <c r="G643" s="29" t="s">
        <v>1158</v>
      </c>
      <c r="H643" s="14">
        <v>43557</v>
      </c>
      <c r="I643" s="4" t="s">
        <v>3758</v>
      </c>
      <c r="J643" s="125" t="s">
        <v>5258</v>
      </c>
    </row>
    <row r="644" spans="1:12" ht="15" hidden="1" customHeight="1" x14ac:dyDescent="0.25">
      <c r="A644" s="13" t="s">
        <v>184</v>
      </c>
      <c r="B644" s="14">
        <v>43566</v>
      </c>
      <c r="C644" s="13">
        <v>457</v>
      </c>
      <c r="D644" s="13" t="s">
        <v>1215</v>
      </c>
      <c r="E644" s="32" t="s">
        <v>1121</v>
      </c>
      <c r="F644" s="4">
        <v>367686</v>
      </c>
      <c r="G644" s="28" t="s">
        <v>3601</v>
      </c>
      <c r="H644" s="14">
        <v>43549</v>
      </c>
      <c r="I644" s="4" t="s">
        <v>293</v>
      </c>
      <c r="J644" s="76" t="s">
        <v>771</v>
      </c>
    </row>
    <row r="645" spans="1:12" ht="15" hidden="1" customHeight="1" x14ac:dyDescent="0.25">
      <c r="A645" s="13" t="s">
        <v>184</v>
      </c>
      <c r="B645" s="14">
        <v>43566</v>
      </c>
      <c r="C645" s="13">
        <v>457</v>
      </c>
      <c r="D645" s="13" t="s">
        <v>1215</v>
      </c>
      <c r="E645" s="32" t="s">
        <v>1121</v>
      </c>
      <c r="F645" s="4">
        <v>45900</v>
      </c>
      <c r="G645" s="28" t="s">
        <v>6175</v>
      </c>
      <c r="H645" s="14">
        <v>43549</v>
      </c>
      <c r="I645" s="4" t="s">
        <v>3482</v>
      </c>
      <c r="J645" s="76" t="s">
        <v>771</v>
      </c>
    </row>
    <row r="646" spans="1:12" hidden="1" x14ac:dyDescent="0.25">
      <c r="A646" s="13" t="s">
        <v>184</v>
      </c>
      <c r="B646" s="14">
        <v>43566</v>
      </c>
      <c r="C646" s="13">
        <v>452</v>
      </c>
      <c r="D646" s="13" t="s">
        <v>812</v>
      </c>
      <c r="E646" s="32" t="s">
        <v>1121</v>
      </c>
      <c r="F646" s="4">
        <v>270000</v>
      </c>
      <c r="G646" s="28" t="s">
        <v>6272</v>
      </c>
      <c r="H646" s="14">
        <v>43525</v>
      </c>
      <c r="I646" s="4" t="s">
        <v>1483</v>
      </c>
      <c r="J646" s="125" t="s">
        <v>366</v>
      </c>
    </row>
    <row r="647" spans="1:12" s="192" customFormat="1" hidden="1" x14ac:dyDescent="0.25">
      <c r="A647" s="147" t="s">
        <v>242</v>
      </c>
      <c r="B647" s="14">
        <v>43566</v>
      </c>
      <c r="C647" s="187">
        <v>459</v>
      </c>
      <c r="D647" s="149" t="s">
        <v>388</v>
      </c>
      <c r="E647" s="147" t="s">
        <v>1121</v>
      </c>
      <c r="F647" s="158">
        <v>83921.600000000006</v>
      </c>
      <c r="G647" s="150" t="s">
        <v>4098</v>
      </c>
      <c r="H647" s="148">
        <v>43557</v>
      </c>
      <c r="I647" s="149" t="s">
        <v>143</v>
      </c>
      <c r="J647" s="193"/>
      <c r="K647" s="194"/>
      <c r="L647" s="190"/>
    </row>
    <row r="648" spans="1:12" s="192" customFormat="1" hidden="1" x14ac:dyDescent="0.25">
      <c r="A648" s="147" t="s">
        <v>242</v>
      </c>
      <c r="B648" s="14">
        <v>43566</v>
      </c>
      <c r="C648" s="187">
        <v>459</v>
      </c>
      <c r="D648" s="149" t="s">
        <v>388</v>
      </c>
      <c r="E648" s="147" t="s">
        <v>1121</v>
      </c>
      <c r="F648" s="158">
        <v>221063.04000000001</v>
      </c>
      <c r="G648" s="150" t="s">
        <v>3870</v>
      </c>
      <c r="H648" s="148">
        <v>43557</v>
      </c>
      <c r="I648" s="149" t="s">
        <v>143</v>
      </c>
      <c r="J648" s="193"/>
      <c r="K648" s="194"/>
      <c r="L648" s="190"/>
    </row>
    <row r="649" spans="1:12" s="192" customFormat="1" hidden="1" x14ac:dyDescent="0.25">
      <c r="A649" s="147" t="s">
        <v>242</v>
      </c>
      <c r="B649" s="14">
        <v>43566</v>
      </c>
      <c r="C649" s="187">
        <v>459</v>
      </c>
      <c r="D649" s="149" t="s">
        <v>388</v>
      </c>
      <c r="E649" s="147" t="s">
        <v>1121</v>
      </c>
      <c r="F649" s="158">
        <v>179430.24</v>
      </c>
      <c r="G649" s="150" t="s">
        <v>1154</v>
      </c>
      <c r="H649" s="148">
        <v>43557</v>
      </c>
      <c r="I649" s="149" t="s">
        <v>143</v>
      </c>
      <c r="J649" s="193"/>
      <c r="K649" s="194"/>
      <c r="L649" s="190"/>
    </row>
    <row r="650" spans="1:12" hidden="1" x14ac:dyDescent="0.25">
      <c r="A650" s="32" t="s">
        <v>151</v>
      </c>
      <c r="B650" s="14">
        <v>43566</v>
      </c>
      <c r="C650" s="13">
        <v>453</v>
      </c>
      <c r="D650" s="13" t="s">
        <v>5747</v>
      </c>
      <c r="E650" s="32" t="s">
        <v>1121</v>
      </c>
      <c r="F650" s="4">
        <v>26077.42</v>
      </c>
      <c r="G650" s="28" t="s">
        <v>5748</v>
      </c>
      <c r="H650" s="14">
        <v>43544</v>
      </c>
      <c r="I650" s="4" t="s">
        <v>5749</v>
      </c>
      <c r="J650" s="76"/>
      <c r="K650" s="246"/>
    </row>
    <row r="651" spans="1:12" s="129" customFormat="1" hidden="1" x14ac:dyDescent="0.25">
      <c r="A651" s="13" t="s">
        <v>151</v>
      </c>
      <c r="B651" s="14">
        <v>43566</v>
      </c>
      <c r="C651" s="28" t="s">
        <v>5494</v>
      </c>
      <c r="D651" s="13" t="s">
        <v>711</v>
      </c>
      <c r="E651" s="32" t="s">
        <v>1121</v>
      </c>
      <c r="F651" s="37">
        <v>1100</v>
      </c>
      <c r="G651" s="28" t="s">
        <v>6314</v>
      </c>
      <c r="H651" s="28" t="s">
        <v>6315</v>
      </c>
      <c r="I651" s="4" t="s">
        <v>712</v>
      </c>
      <c r="J651" s="170"/>
      <c r="K651" s="136"/>
    </row>
    <row r="652" spans="1:12" hidden="1" x14ac:dyDescent="0.25">
      <c r="A652" s="32" t="s">
        <v>151</v>
      </c>
      <c r="B652" s="14">
        <v>43566</v>
      </c>
      <c r="C652" s="13">
        <v>455</v>
      </c>
      <c r="D652" s="32" t="s">
        <v>3055</v>
      </c>
      <c r="E652" s="32" t="s">
        <v>1121</v>
      </c>
      <c r="F652" s="4">
        <v>25000</v>
      </c>
      <c r="G652" s="13">
        <v>1999299</v>
      </c>
      <c r="H652" s="14">
        <v>43563</v>
      </c>
      <c r="I652" s="14" t="s">
        <v>3060</v>
      </c>
      <c r="J652" s="170"/>
      <c r="K652" s="167"/>
      <c r="L652" s="35"/>
    </row>
    <row r="653" spans="1:12" s="129" customFormat="1" hidden="1" x14ac:dyDescent="0.25">
      <c r="A653" s="13" t="s">
        <v>151</v>
      </c>
      <c r="B653" s="14">
        <v>43566</v>
      </c>
      <c r="C653" s="28" t="s">
        <v>64</v>
      </c>
      <c r="D653" s="13" t="s">
        <v>1846</v>
      </c>
      <c r="E653" s="13" t="s">
        <v>22</v>
      </c>
      <c r="F653" s="4">
        <v>4948</v>
      </c>
      <c r="G653" s="28" t="s">
        <v>6322</v>
      </c>
      <c r="H653" s="14">
        <v>43560</v>
      </c>
      <c r="I653" s="4" t="s">
        <v>6325</v>
      </c>
      <c r="J653" s="22"/>
      <c r="K653" s="136"/>
    </row>
    <row r="654" spans="1:12" s="129" customFormat="1" hidden="1" x14ac:dyDescent="0.25">
      <c r="A654" s="13" t="s">
        <v>151</v>
      </c>
      <c r="B654" s="14">
        <v>43566</v>
      </c>
      <c r="C654" s="28" t="s">
        <v>64</v>
      </c>
      <c r="D654" s="13" t="s">
        <v>1846</v>
      </c>
      <c r="E654" s="13" t="s">
        <v>22</v>
      </c>
      <c r="F654" s="4">
        <v>25285</v>
      </c>
      <c r="G654" s="28" t="s">
        <v>6323</v>
      </c>
      <c r="H654" s="14">
        <v>43560</v>
      </c>
      <c r="I654" s="4" t="s">
        <v>6324</v>
      </c>
      <c r="J654" s="22"/>
      <c r="K654" s="136"/>
    </row>
    <row r="655" spans="1:12" hidden="1" x14ac:dyDescent="0.25">
      <c r="A655" s="13" t="s">
        <v>151</v>
      </c>
      <c r="B655" s="14">
        <v>43566</v>
      </c>
      <c r="C655" s="13">
        <v>99</v>
      </c>
      <c r="D655" s="13" t="s">
        <v>606</v>
      </c>
      <c r="E655" s="32" t="s">
        <v>22</v>
      </c>
      <c r="F655" s="4">
        <v>4500</v>
      </c>
      <c r="G655" s="28" t="s">
        <v>4840</v>
      </c>
      <c r="H655" s="14">
        <v>43562</v>
      </c>
      <c r="I655" s="4" t="s">
        <v>6330</v>
      </c>
      <c r="J655" s="125"/>
    </row>
    <row r="656" spans="1:12" ht="27.6" hidden="1" x14ac:dyDescent="0.25">
      <c r="A656" s="32" t="s">
        <v>261</v>
      </c>
      <c r="B656" s="14">
        <v>43566</v>
      </c>
      <c r="C656" s="67">
        <v>749</v>
      </c>
      <c r="D656" s="32" t="s">
        <v>595</v>
      </c>
      <c r="E656" s="32" t="s">
        <v>6006</v>
      </c>
      <c r="F656" s="327">
        <f>619952.22-1.2</f>
        <v>619951.02</v>
      </c>
      <c r="G656" s="29" t="s">
        <v>3284</v>
      </c>
      <c r="H656" s="14">
        <v>43445</v>
      </c>
      <c r="I656" s="41" t="s">
        <v>949</v>
      </c>
      <c r="J656" s="35" t="s">
        <v>721</v>
      </c>
      <c r="K656" s="167"/>
      <c r="L656" s="35"/>
    </row>
    <row r="657" spans="1:19" s="31" customFormat="1" ht="13.95" hidden="1" customHeight="1" x14ac:dyDescent="0.25">
      <c r="A657" s="13" t="s">
        <v>310</v>
      </c>
      <c r="B657" s="14">
        <v>43566</v>
      </c>
      <c r="C657" s="13">
        <v>115</v>
      </c>
      <c r="D657" s="13" t="s">
        <v>745</v>
      </c>
      <c r="E657" s="13" t="s">
        <v>314</v>
      </c>
      <c r="F657" s="37">
        <v>100000</v>
      </c>
      <c r="G657" s="29" t="s">
        <v>6278</v>
      </c>
      <c r="H657" s="14">
        <v>43557</v>
      </c>
      <c r="I657" s="4" t="s">
        <v>484</v>
      </c>
      <c r="J657" s="34"/>
      <c r="O657" s="34"/>
      <c r="P657" s="34"/>
      <c r="Q657" s="34"/>
      <c r="R657" s="34"/>
      <c r="S657" s="34"/>
    </row>
    <row r="658" spans="1:19" s="97" customFormat="1" hidden="1" x14ac:dyDescent="0.25">
      <c r="A658" s="13" t="s">
        <v>310</v>
      </c>
      <c r="B658" s="14">
        <v>43566</v>
      </c>
      <c r="C658" s="13">
        <v>116</v>
      </c>
      <c r="D658" s="13" t="s">
        <v>3056</v>
      </c>
      <c r="E658" s="13" t="s">
        <v>314</v>
      </c>
      <c r="F658" s="4">
        <v>6700</v>
      </c>
      <c r="G658" s="29" t="s">
        <v>6288</v>
      </c>
      <c r="H658" s="14">
        <v>43555</v>
      </c>
      <c r="I658" s="4" t="s">
        <v>3057</v>
      </c>
      <c r="J658" s="358"/>
      <c r="K658" s="76"/>
      <c r="L658" s="134"/>
    </row>
    <row r="659" spans="1:19" ht="15" hidden="1" customHeight="1" x14ac:dyDescent="0.25">
      <c r="A659" s="32" t="s">
        <v>1219</v>
      </c>
      <c r="B659" s="14">
        <v>43566</v>
      </c>
      <c r="C659" s="13">
        <v>18</v>
      </c>
      <c r="D659" s="32" t="s">
        <v>1220</v>
      </c>
      <c r="E659" s="32" t="s">
        <v>1221</v>
      </c>
      <c r="F659" s="4">
        <v>90000</v>
      </c>
      <c r="G659" s="28" t="s">
        <v>3273</v>
      </c>
      <c r="H659" s="14">
        <v>43556</v>
      </c>
      <c r="I659" s="41" t="s">
        <v>1325</v>
      </c>
      <c r="J659" s="167" t="s">
        <v>771</v>
      </c>
      <c r="K659" s="167"/>
      <c r="L659" s="35"/>
    </row>
    <row r="660" spans="1:19" ht="15" hidden="1" customHeight="1" x14ac:dyDescent="0.25">
      <c r="A660" s="32" t="s">
        <v>1219</v>
      </c>
      <c r="B660" s="14">
        <v>43566</v>
      </c>
      <c r="C660" s="13">
        <v>18</v>
      </c>
      <c r="D660" s="32" t="s">
        <v>1220</v>
      </c>
      <c r="E660" s="32" t="s">
        <v>1221</v>
      </c>
      <c r="F660" s="4">
        <v>14000</v>
      </c>
      <c r="G660" s="28" t="s">
        <v>173</v>
      </c>
      <c r="H660" s="14">
        <v>43556</v>
      </c>
      <c r="I660" s="41" t="s">
        <v>1950</v>
      </c>
      <c r="J660" s="167" t="s">
        <v>366</v>
      </c>
      <c r="K660" s="167"/>
      <c r="L660" s="35"/>
    </row>
    <row r="661" spans="1:19" ht="27.6" hidden="1" x14ac:dyDescent="0.25">
      <c r="A661" s="68" t="s">
        <v>55</v>
      </c>
      <c r="B661" s="14">
        <v>43566</v>
      </c>
      <c r="C661" s="13">
        <v>573</v>
      </c>
      <c r="D661" s="32" t="s">
        <v>34</v>
      </c>
      <c r="E661" s="32" t="s">
        <v>1427</v>
      </c>
      <c r="F661" s="4">
        <v>175748.73</v>
      </c>
      <c r="G661" s="69" t="s">
        <v>609</v>
      </c>
      <c r="H661" s="14"/>
      <c r="I661" s="41" t="s">
        <v>270</v>
      </c>
      <c r="K661" s="62"/>
    </row>
    <row r="662" spans="1:19" ht="13.95" hidden="1" customHeight="1" x14ac:dyDescent="0.25">
      <c r="A662" s="32" t="s">
        <v>198</v>
      </c>
      <c r="B662" s="14">
        <v>43566</v>
      </c>
      <c r="C662" s="67" t="s">
        <v>6616</v>
      </c>
      <c r="D662" s="32" t="s">
        <v>116</v>
      </c>
      <c r="E662" s="32" t="s">
        <v>195</v>
      </c>
      <c r="F662" s="4">
        <f>492.9+2123.1</f>
        <v>2616</v>
      </c>
      <c r="G662" s="28" t="s">
        <v>6385</v>
      </c>
      <c r="H662" s="14">
        <v>43555</v>
      </c>
      <c r="I662" s="4" t="s">
        <v>118</v>
      </c>
      <c r="J662" s="170"/>
      <c r="K662" s="246"/>
    </row>
    <row r="663" spans="1:19" s="62" customFormat="1" ht="15" hidden="1" customHeight="1" x14ac:dyDescent="0.25">
      <c r="A663" s="13" t="s">
        <v>794</v>
      </c>
      <c r="B663" s="14">
        <v>43566</v>
      </c>
      <c r="C663" s="13">
        <v>104</v>
      </c>
      <c r="D663" s="13" t="s">
        <v>757</v>
      </c>
      <c r="E663" s="13" t="s">
        <v>195</v>
      </c>
      <c r="F663" s="37">
        <v>65976.160000000003</v>
      </c>
      <c r="G663" s="29" t="s">
        <v>843</v>
      </c>
      <c r="H663" s="14">
        <v>42826</v>
      </c>
      <c r="I663" s="4" t="s">
        <v>758</v>
      </c>
      <c r="J663" s="71" t="s">
        <v>366</v>
      </c>
      <c r="O663" s="35"/>
      <c r="P663" s="35"/>
      <c r="Q663" s="35"/>
      <c r="R663" s="35"/>
      <c r="S663" s="35"/>
    </row>
    <row r="664" spans="1:19" ht="14.1" hidden="1" customHeight="1" x14ac:dyDescent="0.25">
      <c r="A664" s="32" t="s">
        <v>236</v>
      </c>
      <c r="B664" s="14">
        <v>43566</v>
      </c>
      <c r="C664" s="13">
        <v>425</v>
      </c>
      <c r="D664" s="32" t="s">
        <v>5454</v>
      </c>
      <c r="E664" s="13" t="s">
        <v>60</v>
      </c>
      <c r="F664" s="4">
        <v>5162000</v>
      </c>
      <c r="G664" s="86" t="s">
        <v>6397</v>
      </c>
      <c r="H664" s="211">
        <v>43564</v>
      </c>
      <c r="I664" s="208" t="s">
        <v>6398</v>
      </c>
      <c r="J664" s="21"/>
      <c r="K664" s="228"/>
    </row>
    <row r="665" spans="1:19" hidden="1" x14ac:dyDescent="0.25">
      <c r="A665" s="13" t="s">
        <v>637</v>
      </c>
      <c r="B665" s="126">
        <v>43566</v>
      </c>
      <c r="C665" s="13">
        <v>269</v>
      </c>
      <c r="D665" s="13" t="s">
        <v>528</v>
      </c>
      <c r="E665" s="13" t="s">
        <v>691</v>
      </c>
      <c r="F665" s="37">
        <v>3000000</v>
      </c>
      <c r="G665" s="29" t="s">
        <v>1649</v>
      </c>
      <c r="H665" s="14"/>
      <c r="I665" s="4" t="s">
        <v>1650</v>
      </c>
      <c r="J665" s="62"/>
      <c r="K665" s="62"/>
      <c r="L665" s="35"/>
      <c r="M665" s="35"/>
      <c r="N665" s="35"/>
      <c r="O665" s="35"/>
      <c r="P665" s="35"/>
    </row>
    <row r="666" spans="1:19" ht="13.95" hidden="1" customHeight="1" x14ac:dyDescent="0.25">
      <c r="A666" s="61" t="s">
        <v>213</v>
      </c>
      <c r="B666" s="14">
        <v>43566</v>
      </c>
      <c r="C666" s="13">
        <v>426</v>
      </c>
      <c r="D666" s="13" t="s">
        <v>289</v>
      </c>
      <c r="E666" s="32" t="s">
        <v>60</v>
      </c>
      <c r="F666" s="4">
        <f>706329-400586.8</f>
        <v>305742.2</v>
      </c>
      <c r="G666" s="86" t="s">
        <v>1018</v>
      </c>
      <c r="H666" s="211"/>
      <c r="I666" s="4" t="s">
        <v>467</v>
      </c>
      <c r="J666" s="21"/>
      <c r="K666" s="228"/>
    </row>
    <row r="667" spans="1:19" ht="13.95" hidden="1" customHeight="1" x14ac:dyDescent="0.25">
      <c r="A667" s="61" t="s">
        <v>260</v>
      </c>
      <c r="B667" s="14">
        <v>43566</v>
      </c>
      <c r="C667" s="13">
        <v>584</v>
      </c>
      <c r="D667" s="13" t="s">
        <v>289</v>
      </c>
      <c r="E667" s="32" t="s">
        <v>130</v>
      </c>
      <c r="F667" s="4">
        <v>144792</v>
      </c>
      <c r="G667" s="86" t="s">
        <v>1852</v>
      </c>
      <c r="H667" s="211"/>
      <c r="I667" s="4" t="s">
        <v>467</v>
      </c>
      <c r="J667" s="21"/>
      <c r="K667" s="228"/>
    </row>
    <row r="668" spans="1:19" ht="13.95" hidden="1" customHeight="1" x14ac:dyDescent="0.25">
      <c r="A668" s="61" t="s">
        <v>213</v>
      </c>
      <c r="B668" s="14">
        <v>43566</v>
      </c>
      <c r="C668" s="13">
        <v>669</v>
      </c>
      <c r="D668" s="13" t="s">
        <v>289</v>
      </c>
      <c r="E668" s="32" t="s">
        <v>808</v>
      </c>
      <c r="F668" s="4">
        <v>86503</v>
      </c>
      <c r="G668" s="86" t="s">
        <v>1107</v>
      </c>
      <c r="H668" s="211"/>
      <c r="I668" s="4" t="s">
        <v>467</v>
      </c>
      <c r="J668" s="21"/>
      <c r="K668" s="228"/>
    </row>
    <row r="669" spans="1:19" ht="13.95" hidden="1" customHeight="1" x14ac:dyDescent="0.25">
      <c r="A669" s="61" t="s">
        <v>261</v>
      </c>
      <c r="B669" s="14">
        <v>43566</v>
      </c>
      <c r="C669" s="13">
        <v>670</v>
      </c>
      <c r="D669" s="13" t="s">
        <v>289</v>
      </c>
      <c r="E669" s="32" t="s">
        <v>808</v>
      </c>
      <c r="F669" s="4">
        <v>293093</v>
      </c>
      <c r="G669" s="86" t="s">
        <v>1769</v>
      </c>
      <c r="H669" s="211"/>
      <c r="I669" s="4" t="s">
        <v>467</v>
      </c>
      <c r="J669" s="21"/>
      <c r="K669" s="228"/>
    </row>
    <row r="670" spans="1:19" hidden="1" x14ac:dyDescent="0.25">
      <c r="A670" s="13" t="s">
        <v>964</v>
      </c>
      <c r="B670" s="14">
        <v>43566</v>
      </c>
      <c r="C670" s="13">
        <v>447</v>
      </c>
      <c r="D670" s="13" t="s">
        <v>5530</v>
      </c>
      <c r="E670" s="32" t="s">
        <v>1121</v>
      </c>
      <c r="F670" s="4">
        <v>30000</v>
      </c>
      <c r="G670" s="28" t="s">
        <v>299</v>
      </c>
      <c r="H670" s="14">
        <v>43564</v>
      </c>
      <c r="I670" s="4" t="s">
        <v>6384</v>
      </c>
      <c r="J670" s="76"/>
    </row>
    <row r="671" spans="1:19" hidden="1" x14ac:dyDescent="0.25">
      <c r="A671" s="32" t="s">
        <v>311</v>
      </c>
      <c r="B671" s="14">
        <v>43566</v>
      </c>
      <c r="C671" s="13">
        <v>195</v>
      </c>
      <c r="D671" s="32" t="s">
        <v>485</v>
      </c>
      <c r="E671" s="32" t="s">
        <v>408</v>
      </c>
      <c r="F671" s="4">
        <v>45855.58</v>
      </c>
      <c r="G671" s="29" t="s">
        <v>6405</v>
      </c>
      <c r="H671" s="14">
        <v>43563</v>
      </c>
      <c r="I671" s="41" t="s">
        <v>546</v>
      </c>
      <c r="J671" s="22" t="s">
        <v>366</v>
      </c>
      <c r="K671" s="22"/>
      <c r="L671" s="63"/>
      <c r="M671" s="62"/>
    </row>
    <row r="672" spans="1:19" s="115" customFormat="1" ht="15.6" hidden="1" x14ac:dyDescent="0.25">
      <c r="A672" s="13" t="s">
        <v>311</v>
      </c>
      <c r="B672" s="14">
        <v>43566</v>
      </c>
      <c r="C672" s="13">
        <v>196</v>
      </c>
      <c r="D672" s="13" t="s">
        <v>873</v>
      </c>
      <c r="E672" s="13" t="s">
        <v>408</v>
      </c>
      <c r="F672" s="4">
        <v>51850</v>
      </c>
      <c r="G672" s="13" t="s">
        <v>5855</v>
      </c>
      <c r="H672" s="126">
        <v>43546</v>
      </c>
      <c r="I672" s="29" t="s">
        <v>875</v>
      </c>
      <c r="J672" s="385"/>
      <c r="K672" s="116"/>
      <c r="L672" s="116"/>
      <c r="M672" s="116"/>
      <c r="N672" s="116"/>
      <c r="O672" s="117"/>
      <c r="P672" s="117"/>
      <c r="Q672" s="117"/>
      <c r="R672" s="117"/>
      <c r="S672" s="117"/>
    </row>
    <row r="673" spans="1:19" hidden="1" x14ac:dyDescent="0.25">
      <c r="A673" s="32" t="s">
        <v>311</v>
      </c>
      <c r="B673" s="14">
        <v>43566</v>
      </c>
      <c r="C673" s="13">
        <v>606</v>
      </c>
      <c r="D673" s="32" t="s">
        <v>390</v>
      </c>
      <c r="E673" s="32" t="s">
        <v>130</v>
      </c>
      <c r="F673" s="4">
        <v>155580.29999999999</v>
      </c>
      <c r="G673" s="29" t="s">
        <v>6403</v>
      </c>
      <c r="H673" s="14">
        <v>43564</v>
      </c>
      <c r="I673" s="41" t="s">
        <v>6404</v>
      </c>
      <c r="K673" s="22"/>
      <c r="L673" s="63"/>
      <c r="M673" s="62"/>
    </row>
    <row r="674" spans="1:19" s="62" customFormat="1" ht="13.95" hidden="1" customHeight="1" x14ac:dyDescent="0.25">
      <c r="A674" s="13" t="s">
        <v>311</v>
      </c>
      <c r="B674" s="14">
        <v>43566</v>
      </c>
      <c r="C674" s="13">
        <v>607</v>
      </c>
      <c r="D674" s="13" t="s">
        <v>133</v>
      </c>
      <c r="E674" s="13" t="s">
        <v>130</v>
      </c>
      <c r="F674" s="37">
        <v>141600</v>
      </c>
      <c r="G674" s="29" t="s">
        <v>6041</v>
      </c>
      <c r="H674" s="14">
        <v>43493</v>
      </c>
      <c r="I674" s="4" t="s">
        <v>1134</v>
      </c>
      <c r="J674" s="71" t="s">
        <v>6042</v>
      </c>
      <c r="O674" s="35"/>
      <c r="P674" s="35"/>
      <c r="Q674" s="35"/>
      <c r="R674" s="35"/>
      <c r="S674" s="35"/>
    </row>
    <row r="675" spans="1:19" hidden="1" x14ac:dyDescent="0.25">
      <c r="A675" s="61" t="s">
        <v>311</v>
      </c>
      <c r="B675" s="14">
        <v>43566</v>
      </c>
      <c r="C675" s="13">
        <v>608</v>
      </c>
      <c r="D675" s="13" t="s">
        <v>1430</v>
      </c>
      <c r="E675" s="13" t="s">
        <v>130</v>
      </c>
      <c r="F675" s="4">
        <v>361800</v>
      </c>
      <c r="G675" s="28" t="s">
        <v>6086</v>
      </c>
      <c r="H675" s="14">
        <v>43555</v>
      </c>
      <c r="I675" s="4" t="s">
        <v>182</v>
      </c>
    </row>
    <row r="676" spans="1:19" ht="13.95" hidden="1" customHeight="1" x14ac:dyDescent="0.25">
      <c r="A676" s="13" t="s">
        <v>311</v>
      </c>
      <c r="B676" s="14">
        <v>43566</v>
      </c>
      <c r="C676" s="13">
        <v>301</v>
      </c>
      <c r="D676" s="32" t="s">
        <v>4465</v>
      </c>
      <c r="E676" s="32" t="s">
        <v>958</v>
      </c>
      <c r="F676" s="4">
        <v>3605000</v>
      </c>
      <c r="G676" s="69" t="s">
        <v>4464</v>
      </c>
      <c r="H676" s="14"/>
      <c r="I676" s="41" t="s">
        <v>1647</v>
      </c>
      <c r="K676" s="62"/>
    </row>
    <row r="677" spans="1:19" hidden="1" x14ac:dyDescent="0.25">
      <c r="A677" s="61" t="s">
        <v>311</v>
      </c>
      <c r="B677" s="14">
        <v>43566</v>
      </c>
      <c r="C677" s="13">
        <v>321</v>
      </c>
      <c r="D677" s="13" t="s">
        <v>5006</v>
      </c>
      <c r="E677" s="13" t="s">
        <v>958</v>
      </c>
      <c r="F677" s="37">
        <v>725628.8</v>
      </c>
      <c r="G677" s="29" t="s">
        <v>5007</v>
      </c>
      <c r="H677" s="14"/>
      <c r="I677" s="4" t="s">
        <v>1244</v>
      </c>
      <c r="L677" s="21"/>
      <c r="M677" s="21"/>
      <c r="N677" s="21"/>
      <c r="O677" s="21"/>
    </row>
    <row r="678" spans="1:19" hidden="1" x14ac:dyDescent="0.25">
      <c r="A678" s="61" t="s">
        <v>311</v>
      </c>
      <c r="B678" s="14">
        <v>43566</v>
      </c>
      <c r="C678" s="28" t="s">
        <v>6617</v>
      </c>
      <c r="D678" s="13" t="s">
        <v>6350</v>
      </c>
      <c r="E678" s="13" t="s">
        <v>958</v>
      </c>
      <c r="F678" s="37">
        <v>67218.75</v>
      </c>
      <c r="G678" s="29" t="s">
        <v>6364</v>
      </c>
      <c r="H678" s="14">
        <v>43559</v>
      </c>
      <c r="I678" s="4" t="s">
        <v>6352</v>
      </c>
      <c r="J678" s="128"/>
    </row>
    <row r="679" spans="1:19" s="97" customFormat="1" hidden="1" x14ac:dyDescent="0.25">
      <c r="A679" s="61" t="s">
        <v>311</v>
      </c>
      <c r="B679" s="14">
        <v>43566</v>
      </c>
      <c r="C679" s="13">
        <v>303</v>
      </c>
      <c r="D679" s="13" t="s">
        <v>6276</v>
      </c>
      <c r="E679" s="13" t="s">
        <v>958</v>
      </c>
      <c r="F679" s="37">
        <v>156982.14000000001</v>
      </c>
      <c r="G679" s="210" t="s">
        <v>4076</v>
      </c>
      <c r="H679" s="211">
        <v>43515</v>
      </c>
      <c r="I679" s="208" t="s">
        <v>1314</v>
      </c>
      <c r="J679" s="133"/>
      <c r="K679" s="22"/>
      <c r="L679" s="134"/>
    </row>
    <row r="680" spans="1:19" hidden="1" x14ac:dyDescent="0.25">
      <c r="A680" s="61" t="s">
        <v>311</v>
      </c>
      <c r="B680" s="14">
        <v>43566</v>
      </c>
      <c r="C680" s="13">
        <v>304</v>
      </c>
      <c r="D680" s="13" t="s">
        <v>5000</v>
      </c>
      <c r="E680" s="13" t="s">
        <v>958</v>
      </c>
      <c r="F680" s="37">
        <v>21429.38</v>
      </c>
      <c r="G680" s="29" t="s">
        <v>36</v>
      </c>
      <c r="H680" s="14">
        <v>43495</v>
      </c>
      <c r="I680" s="4" t="s">
        <v>5003</v>
      </c>
      <c r="L680" s="21"/>
      <c r="M680" s="21"/>
      <c r="N680" s="21"/>
      <c r="O680" s="21"/>
    </row>
    <row r="681" spans="1:19" hidden="1" x14ac:dyDescent="0.25">
      <c r="A681" s="61" t="s">
        <v>311</v>
      </c>
      <c r="B681" s="14">
        <v>43566</v>
      </c>
      <c r="C681" s="13">
        <v>305</v>
      </c>
      <c r="D681" s="13" t="s">
        <v>6311</v>
      </c>
      <c r="E681" s="13" t="s">
        <v>958</v>
      </c>
      <c r="F681" s="101">
        <v>155603.37</v>
      </c>
      <c r="G681" s="29" t="s">
        <v>6383</v>
      </c>
      <c r="H681" s="14">
        <v>43523</v>
      </c>
      <c r="I681" s="4" t="s">
        <v>572</v>
      </c>
      <c r="L681" s="21"/>
      <c r="M681" s="21"/>
      <c r="N681" s="21"/>
      <c r="O681" s="21"/>
    </row>
    <row r="682" spans="1:19" s="62" customFormat="1" ht="15" hidden="1" customHeight="1" x14ac:dyDescent="0.25">
      <c r="A682" s="61" t="s">
        <v>311</v>
      </c>
      <c r="B682" s="14">
        <v>43566</v>
      </c>
      <c r="C682" s="13">
        <v>315</v>
      </c>
      <c r="D682" s="32" t="s">
        <v>157</v>
      </c>
      <c r="E682" s="32" t="s">
        <v>958</v>
      </c>
      <c r="F682" s="4">
        <v>36644.800000000003</v>
      </c>
      <c r="G682" s="28" t="s">
        <v>5022</v>
      </c>
      <c r="H682" s="14">
        <v>43510</v>
      </c>
      <c r="I682" s="32" t="s">
        <v>4997</v>
      </c>
      <c r="J682" s="22"/>
      <c r="K682" s="21"/>
      <c r="L682" s="443"/>
      <c r="M682" s="472"/>
      <c r="O682" s="35"/>
      <c r="P682" s="35"/>
      <c r="Q682" s="35"/>
      <c r="R682" s="35"/>
      <c r="S682" s="35"/>
    </row>
    <row r="683" spans="1:19" s="62" customFormat="1" ht="15" hidden="1" customHeight="1" x14ac:dyDescent="0.25">
      <c r="A683" s="61" t="s">
        <v>311</v>
      </c>
      <c r="B683" s="14">
        <v>43566</v>
      </c>
      <c r="C683" s="13">
        <v>315</v>
      </c>
      <c r="D683" s="32" t="s">
        <v>157</v>
      </c>
      <c r="E683" s="32" t="s">
        <v>958</v>
      </c>
      <c r="F683" s="4">
        <v>4814.8</v>
      </c>
      <c r="G683" s="28" t="s">
        <v>5023</v>
      </c>
      <c r="H683" s="14">
        <v>43518</v>
      </c>
      <c r="I683" s="32" t="s">
        <v>5024</v>
      </c>
      <c r="J683" s="22"/>
      <c r="K683" s="21"/>
      <c r="L683" s="443"/>
      <c r="M683" s="472"/>
      <c r="O683" s="35"/>
      <c r="P683" s="35"/>
      <c r="Q683" s="35"/>
      <c r="R683" s="35"/>
      <c r="S683" s="35"/>
    </row>
    <row r="684" spans="1:19" s="62" customFormat="1" ht="15" hidden="1" customHeight="1" x14ac:dyDescent="0.25">
      <c r="A684" s="61" t="s">
        <v>311</v>
      </c>
      <c r="B684" s="14">
        <v>43566</v>
      </c>
      <c r="C684" s="13">
        <v>315</v>
      </c>
      <c r="D684" s="32" t="s">
        <v>157</v>
      </c>
      <c r="E684" s="32" t="s">
        <v>958</v>
      </c>
      <c r="F684" s="4">
        <v>17692.8</v>
      </c>
      <c r="G684" s="28" t="s">
        <v>5025</v>
      </c>
      <c r="H684" s="14">
        <v>43502</v>
      </c>
      <c r="I684" s="32" t="s">
        <v>4997</v>
      </c>
      <c r="J684" s="22"/>
      <c r="K684" s="21"/>
      <c r="L684" s="443"/>
      <c r="M684" s="472"/>
      <c r="O684" s="35"/>
      <c r="P684" s="35"/>
      <c r="Q684" s="35"/>
      <c r="R684" s="35"/>
      <c r="S684" s="35"/>
    </row>
    <row r="685" spans="1:19" hidden="1" x14ac:dyDescent="0.25">
      <c r="A685" s="61" t="s">
        <v>311</v>
      </c>
      <c r="B685" s="14">
        <v>43566</v>
      </c>
      <c r="C685" s="13">
        <v>315</v>
      </c>
      <c r="D685" s="218" t="s">
        <v>157</v>
      </c>
      <c r="E685" s="218" t="s">
        <v>958</v>
      </c>
      <c r="F685" s="224">
        <v>13490.8</v>
      </c>
      <c r="G685" s="70" t="s">
        <v>6382</v>
      </c>
      <c r="H685" s="211">
        <v>43522</v>
      </c>
      <c r="I685" s="32" t="s">
        <v>5692</v>
      </c>
    </row>
    <row r="686" spans="1:19" s="97" customFormat="1" hidden="1" x14ac:dyDescent="0.25">
      <c r="A686" s="61" t="s">
        <v>311</v>
      </c>
      <c r="B686" s="14">
        <v>43566</v>
      </c>
      <c r="C686" s="13">
        <v>318</v>
      </c>
      <c r="D686" s="13" t="s">
        <v>1032</v>
      </c>
      <c r="E686" s="13" t="s">
        <v>958</v>
      </c>
      <c r="F686" s="4">
        <v>250950</v>
      </c>
      <c r="G686" s="29" t="s">
        <v>5701</v>
      </c>
      <c r="H686" s="14">
        <v>43536</v>
      </c>
      <c r="I686" s="4" t="s">
        <v>1270</v>
      </c>
      <c r="J686" s="133"/>
      <c r="K686" s="22"/>
      <c r="L686" s="134"/>
    </row>
    <row r="687" spans="1:19" s="97" customFormat="1" hidden="1" x14ac:dyDescent="0.25">
      <c r="A687" s="61" t="s">
        <v>311</v>
      </c>
      <c r="B687" s="14">
        <v>43566</v>
      </c>
      <c r="C687" s="13">
        <v>318</v>
      </c>
      <c r="D687" s="13" t="s">
        <v>1032</v>
      </c>
      <c r="E687" s="13" t="s">
        <v>958</v>
      </c>
      <c r="F687" s="4">
        <v>213150</v>
      </c>
      <c r="G687" s="29" t="s">
        <v>5702</v>
      </c>
      <c r="H687" s="14">
        <v>43536</v>
      </c>
      <c r="I687" s="4" t="s">
        <v>142</v>
      </c>
      <c r="J687" s="133"/>
      <c r="K687" s="22"/>
      <c r="L687" s="134"/>
    </row>
    <row r="688" spans="1:19" s="97" customFormat="1" hidden="1" x14ac:dyDescent="0.25">
      <c r="A688" s="61" t="s">
        <v>311</v>
      </c>
      <c r="B688" s="14">
        <v>43566</v>
      </c>
      <c r="C688" s="13">
        <v>306</v>
      </c>
      <c r="D688" s="13" t="s">
        <v>868</v>
      </c>
      <c r="E688" s="13" t="s">
        <v>958</v>
      </c>
      <c r="F688" s="4">
        <v>22800</v>
      </c>
      <c r="G688" s="29" t="s">
        <v>5691</v>
      </c>
      <c r="H688" s="14">
        <v>43539</v>
      </c>
      <c r="I688" s="4" t="s">
        <v>5692</v>
      </c>
      <c r="J688" s="133"/>
      <c r="K688" s="22"/>
      <c r="L688" s="134"/>
    </row>
    <row r="689" spans="1:12" s="97" customFormat="1" hidden="1" x14ac:dyDescent="0.25">
      <c r="A689" s="61" t="s">
        <v>311</v>
      </c>
      <c r="B689" s="14">
        <v>43566</v>
      </c>
      <c r="C689" s="13">
        <v>317</v>
      </c>
      <c r="D689" s="13" t="s">
        <v>280</v>
      </c>
      <c r="E689" s="13" t="s">
        <v>958</v>
      </c>
      <c r="F689" s="4">
        <v>12500</v>
      </c>
      <c r="G689" s="29" t="s">
        <v>1211</v>
      </c>
      <c r="H689" s="14">
        <v>43539</v>
      </c>
      <c r="I689" s="4" t="s">
        <v>5397</v>
      </c>
      <c r="J689" s="133"/>
      <c r="K689" s="22"/>
      <c r="L689" s="134"/>
    </row>
    <row r="690" spans="1:12" s="97" customFormat="1" hidden="1" x14ac:dyDescent="0.25">
      <c r="A690" s="61" t="s">
        <v>311</v>
      </c>
      <c r="B690" s="14">
        <v>43566</v>
      </c>
      <c r="C690" s="13">
        <v>317</v>
      </c>
      <c r="D690" s="13" t="s">
        <v>280</v>
      </c>
      <c r="E690" s="13" t="s">
        <v>958</v>
      </c>
      <c r="F690" s="4">
        <v>16375</v>
      </c>
      <c r="G690" s="29" t="s">
        <v>3403</v>
      </c>
      <c r="H690" s="14">
        <v>43539</v>
      </c>
      <c r="I690" s="4" t="s">
        <v>5690</v>
      </c>
      <c r="J690" s="133"/>
      <c r="K690" s="22"/>
      <c r="L690" s="134"/>
    </row>
    <row r="691" spans="1:12" s="97" customFormat="1" hidden="1" x14ac:dyDescent="0.25">
      <c r="A691" s="61" t="s">
        <v>311</v>
      </c>
      <c r="B691" s="14">
        <v>43566</v>
      </c>
      <c r="C691" s="13">
        <v>307</v>
      </c>
      <c r="D691" s="13" t="s">
        <v>4936</v>
      </c>
      <c r="E691" s="13" t="s">
        <v>958</v>
      </c>
      <c r="F691" s="4">
        <v>187796.96</v>
      </c>
      <c r="G691" s="29" t="s">
        <v>1126</v>
      </c>
      <c r="H691" s="14">
        <v>43539</v>
      </c>
      <c r="I691" s="4" t="s">
        <v>572</v>
      </c>
      <c r="J691" s="133"/>
      <c r="K691" s="22"/>
      <c r="L691" s="134"/>
    </row>
    <row r="692" spans="1:12" hidden="1" x14ac:dyDescent="0.25">
      <c r="A692" s="61" t="s">
        <v>311</v>
      </c>
      <c r="B692" s="14">
        <v>43566</v>
      </c>
      <c r="C692" s="13">
        <v>308</v>
      </c>
      <c r="D692" s="13" t="s">
        <v>4870</v>
      </c>
      <c r="E692" s="13" t="s">
        <v>958</v>
      </c>
      <c r="F692" s="37">
        <v>1000000</v>
      </c>
      <c r="G692" s="29" t="s">
        <v>6407</v>
      </c>
      <c r="H692" s="14">
        <v>43525</v>
      </c>
      <c r="I692" s="4" t="s">
        <v>6283</v>
      </c>
    </row>
    <row r="693" spans="1:12" hidden="1" x14ac:dyDescent="0.25">
      <c r="A693" s="61" t="s">
        <v>311</v>
      </c>
      <c r="B693" s="14">
        <v>43566</v>
      </c>
      <c r="C693" s="13">
        <v>320</v>
      </c>
      <c r="D693" s="13" t="s">
        <v>1395</v>
      </c>
      <c r="E693" s="13" t="s">
        <v>958</v>
      </c>
      <c r="F693" s="37">
        <v>15000</v>
      </c>
      <c r="G693" s="29" t="s">
        <v>1344</v>
      </c>
      <c r="H693" s="14">
        <v>43524</v>
      </c>
      <c r="I693" s="4" t="s">
        <v>4855</v>
      </c>
    </row>
    <row r="694" spans="1:12" hidden="1" x14ac:dyDescent="0.25">
      <c r="A694" s="61" t="s">
        <v>311</v>
      </c>
      <c r="B694" s="14">
        <v>43566</v>
      </c>
      <c r="C694" s="13">
        <v>320</v>
      </c>
      <c r="D694" s="13" t="s">
        <v>1395</v>
      </c>
      <c r="E694" s="13" t="s">
        <v>958</v>
      </c>
      <c r="F694" s="37">
        <v>21600</v>
      </c>
      <c r="G694" s="29" t="s">
        <v>4857</v>
      </c>
      <c r="H694" s="14">
        <v>43525</v>
      </c>
      <c r="I694" s="4" t="s">
        <v>4856</v>
      </c>
    </row>
    <row r="695" spans="1:12" hidden="1" x14ac:dyDescent="0.25">
      <c r="A695" s="61" t="s">
        <v>311</v>
      </c>
      <c r="B695" s="14">
        <v>43566</v>
      </c>
      <c r="C695" s="13">
        <v>320</v>
      </c>
      <c r="D695" s="13" t="s">
        <v>1395</v>
      </c>
      <c r="E695" s="13" t="s">
        <v>958</v>
      </c>
      <c r="F695" s="37">
        <v>15000</v>
      </c>
      <c r="G695" s="29" t="s">
        <v>4858</v>
      </c>
      <c r="H695" s="14">
        <v>43528</v>
      </c>
      <c r="I695" s="4" t="s">
        <v>4859</v>
      </c>
    </row>
    <row r="696" spans="1:12" hidden="1" x14ac:dyDescent="0.25">
      <c r="A696" s="61" t="s">
        <v>311</v>
      </c>
      <c r="B696" s="14">
        <v>43566</v>
      </c>
      <c r="C696" s="13">
        <v>320</v>
      </c>
      <c r="D696" s="13" t="s">
        <v>1395</v>
      </c>
      <c r="E696" s="13" t="s">
        <v>958</v>
      </c>
      <c r="F696" s="37">
        <v>43200</v>
      </c>
      <c r="G696" s="29" t="s">
        <v>4860</v>
      </c>
      <c r="H696" s="14">
        <v>43528</v>
      </c>
      <c r="I696" s="4" t="s">
        <v>4861</v>
      </c>
    </row>
    <row r="697" spans="1:12" hidden="1" x14ac:dyDescent="0.25">
      <c r="A697" s="61" t="s">
        <v>311</v>
      </c>
      <c r="B697" s="14">
        <v>43566</v>
      </c>
      <c r="C697" s="13">
        <v>320</v>
      </c>
      <c r="D697" s="13" t="s">
        <v>1395</v>
      </c>
      <c r="E697" s="13" t="s">
        <v>958</v>
      </c>
      <c r="F697" s="37">
        <v>32400</v>
      </c>
      <c r="G697" s="29" t="s">
        <v>4863</v>
      </c>
      <c r="H697" s="14">
        <v>43529</v>
      </c>
      <c r="I697" s="4" t="s">
        <v>4862</v>
      </c>
    </row>
    <row r="698" spans="1:12" hidden="1" x14ac:dyDescent="0.25">
      <c r="A698" s="13" t="s">
        <v>311</v>
      </c>
      <c r="B698" s="14">
        <v>43566</v>
      </c>
      <c r="C698" s="13">
        <v>320</v>
      </c>
      <c r="D698" s="13" t="s">
        <v>1395</v>
      </c>
      <c r="E698" s="13" t="s">
        <v>958</v>
      </c>
      <c r="F698" s="37">
        <v>15000</v>
      </c>
      <c r="G698" s="29" t="s">
        <v>5356</v>
      </c>
      <c r="H698" s="14">
        <v>43530</v>
      </c>
      <c r="I698" s="4" t="s">
        <v>5357</v>
      </c>
    </row>
    <row r="699" spans="1:12" hidden="1" x14ac:dyDescent="0.25">
      <c r="A699" s="61" t="s">
        <v>311</v>
      </c>
      <c r="B699" s="14">
        <v>43566</v>
      </c>
      <c r="C699" s="13">
        <v>320</v>
      </c>
      <c r="D699" s="13" t="s">
        <v>1395</v>
      </c>
      <c r="E699" s="13" t="s">
        <v>958</v>
      </c>
      <c r="F699" s="37">
        <v>15000</v>
      </c>
      <c r="G699" s="29" t="s">
        <v>5358</v>
      </c>
      <c r="H699" s="14">
        <v>43531</v>
      </c>
      <c r="I699" s="4" t="s">
        <v>5359</v>
      </c>
    </row>
    <row r="700" spans="1:12" hidden="1" x14ac:dyDescent="0.25">
      <c r="A700" s="61" t="s">
        <v>311</v>
      </c>
      <c r="B700" s="14">
        <v>43566</v>
      </c>
      <c r="C700" s="13">
        <v>320</v>
      </c>
      <c r="D700" s="13" t="s">
        <v>1395</v>
      </c>
      <c r="E700" s="13" t="s">
        <v>958</v>
      </c>
      <c r="F700" s="37">
        <v>15000</v>
      </c>
      <c r="G700" s="29" t="s">
        <v>3824</v>
      </c>
      <c r="H700" s="14">
        <v>43531</v>
      </c>
      <c r="I700" s="4" t="s">
        <v>5361</v>
      </c>
    </row>
    <row r="701" spans="1:12" hidden="1" x14ac:dyDescent="0.25">
      <c r="A701" s="61" t="s">
        <v>311</v>
      </c>
      <c r="B701" s="14">
        <v>43566</v>
      </c>
      <c r="C701" s="13">
        <v>320</v>
      </c>
      <c r="D701" s="13" t="s">
        <v>1395</v>
      </c>
      <c r="E701" s="13" t="s">
        <v>958</v>
      </c>
      <c r="F701" s="4">
        <v>24300</v>
      </c>
      <c r="G701" s="28" t="s">
        <v>5609</v>
      </c>
      <c r="H701" s="14">
        <v>43539</v>
      </c>
      <c r="I701" s="4" t="s">
        <v>5610</v>
      </c>
    </row>
    <row r="702" spans="1:12" hidden="1" x14ac:dyDescent="0.25">
      <c r="A702" s="61" t="s">
        <v>311</v>
      </c>
      <c r="B702" s="14">
        <v>43566</v>
      </c>
      <c r="C702" s="13">
        <v>320</v>
      </c>
      <c r="D702" s="13" t="s">
        <v>1395</v>
      </c>
      <c r="E702" s="13" t="s">
        <v>958</v>
      </c>
      <c r="F702" s="37">
        <v>15000</v>
      </c>
      <c r="G702" s="29" t="s">
        <v>5881</v>
      </c>
      <c r="H702" s="14">
        <v>43544</v>
      </c>
      <c r="I702" s="4" t="s">
        <v>5882</v>
      </c>
    </row>
    <row r="703" spans="1:12" hidden="1" x14ac:dyDescent="0.25">
      <c r="A703" s="61" t="s">
        <v>311</v>
      </c>
      <c r="B703" s="14">
        <v>43566</v>
      </c>
      <c r="C703" s="13">
        <v>320</v>
      </c>
      <c r="D703" s="13" t="s">
        <v>1395</v>
      </c>
      <c r="E703" s="13" t="s">
        <v>958</v>
      </c>
      <c r="F703" s="37">
        <v>15000</v>
      </c>
      <c r="G703" s="29" t="s">
        <v>2003</v>
      </c>
      <c r="H703" s="14">
        <v>43552</v>
      </c>
      <c r="I703" s="4" t="s">
        <v>6088</v>
      </c>
    </row>
    <row r="704" spans="1:12" hidden="1" x14ac:dyDescent="0.25">
      <c r="A704" s="61" t="s">
        <v>311</v>
      </c>
      <c r="B704" s="14">
        <v>43566</v>
      </c>
      <c r="C704" s="13">
        <v>319</v>
      </c>
      <c r="D704" s="13" t="s">
        <v>250</v>
      </c>
      <c r="E704" s="13" t="s">
        <v>958</v>
      </c>
      <c r="F704" s="37">
        <v>38250</v>
      </c>
      <c r="G704" s="29" t="s">
        <v>6092</v>
      </c>
      <c r="H704" s="14">
        <v>43546</v>
      </c>
      <c r="I704" s="4" t="s">
        <v>402</v>
      </c>
    </row>
    <row r="705" spans="1:9" hidden="1" x14ac:dyDescent="0.25">
      <c r="A705" s="61" t="s">
        <v>311</v>
      </c>
      <c r="B705" s="14">
        <v>43566</v>
      </c>
      <c r="C705" s="13">
        <v>319</v>
      </c>
      <c r="D705" s="13" t="s">
        <v>250</v>
      </c>
      <c r="E705" s="13" t="s">
        <v>958</v>
      </c>
      <c r="F705" s="37">
        <v>49500</v>
      </c>
      <c r="G705" s="29" t="s">
        <v>6093</v>
      </c>
      <c r="H705" s="14">
        <v>43551</v>
      </c>
      <c r="I705" s="4" t="s">
        <v>337</v>
      </c>
    </row>
    <row r="706" spans="1:9" hidden="1" x14ac:dyDescent="0.25">
      <c r="A706" s="61" t="s">
        <v>311</v>
      </c>
      <c r="B706" s="14">
        <v>43566</v>
      </c>
      <c r="C706" s="13">
        <v>319</v>
      </c>
      <c r="D706" s="13" t="s">
        <v>250</v>
      </c>
      <c r="E706" s="13" t="s">
        <v>958</v>
      </c>
      <c r="F706" s="37">
        <v>12375</v>
      </c>
      <c r="G706" s="29" t="s">
        <v>6094</v>
      </c>
      <c r="H706" s="14">
        <v>43552</v>
      </c>
      <c r="I706" s="4" t="s">
        <v>337</v>
      </c>
    </row>
    <row r="707" spans="1:9" hidden="1" x14ac:dyDescent="0.25">
      <c r="A707" s="61" t="s">
        <v>311</v>
      </c>
      <c r="B707" s="14">
        <v>43566</v>
      </c>
      <c r="C707" s="13">
        <v>316</v>
      </c>
      <c r="D707" s="13" t="s">
        <v>4870</v>
      </c>
      <c r="E707" s="13" t="s">
        <v>958</v>
      </c>
      <c r="F707" s="37">
        <v>81600</v>
      </c>
      <c r="G707" s="29" t="s">
        <v>5366</v>
      </c>
      <c r="H707" s="14">
        <v>43524</v>
      </c>
      <c r="I707" s="4" t="s">
        <v>164</v>
      </c>
    </row>
    <row r="708" spans="1:9" hidden="1" x14ac:dyDescent="0.25">
      <c r="A708" s="61" t="s">
        <v>311</v>
      </c>
      <c r="B708" s="14">
        <v>43566</v>
      </c>
      <c r="C708" s="13">
        <v>316</v>
      </c>
      <c r="D708" s="13" t="s">
        <v>4870</v>
      </c>
      <c r="E708" s="13" t="s">
        <v>958</v>
      </c>
      <c r="F708" s="37">
        <v>19200</v>
      </c>
      <c r="G708" s="29" t="s">
        <v>5367</v>
      </c>
      <c r="H708" s="14">
        <v>43526</v>
      </c>
      <c r="I708" s="4" t="s">
        <v>164</v>
      </c>
    </row>
    <row r="709" spans="1:9" hidden="1" x14ac:dyDescent="0.25">
      <c r="A709" s="61" t="s">
        <v>311</v>
      </c>
      <c r="B709" s="14">
        <v>43566</v>
      </c>
      <c r="C709" s="13">
        <v>309</v>
      </c>
      <c r="D709" s="13" t="s">
        <v>4871</v>
      </c>
      <c r="E709" s="13" t="s">
        <v>958</v>
      </c>
      <c r="F709" s="37">
        <v>66000</v>
      </c>
      <c r="G709" s="29" t="s">
        <v>5371</v>
      </c>
      <c r="H709" s="14">
        <v>43496</v>
      </c>
      <c r="I709" s="4" t="s">
        <v>4873</v>
      </c>
    </row>
    <row r="710" spans="1:9" hidden="1" x14ac:dyDescent="0.25">
      <c r="A710" s="61" t="s">
        <v>311</v>
      </c>
      <c r="B710" s="14">
        <v>43566</v>
      </c>
      <c r="C710" s="13">
        <v>310</v>
      </c>
      <c r="D710" s="13" t="s">
        <v>4874</v>
      </c>
      <c r="E710" s="13" t="s">
        <v>958</v>
      </c>
      <c r="F710" s="37">
        <v>38400</v>
      </c>
      <c r="G710" s="29" t="s">
        <v>4755</v>
      </c>
      <c r="H710" s="14">
        <v>43496</v>
      </c>
      <c r="I710" s="4" t="s">
        <v>95</v>
      </c>
    </row>
    <row r="711" spans="1:9" hidden="1" x14ac:dyDescent="0.25">
      <c r="A711" s="61" t="s">
        <v>311</v>
      </c>
      <c r="B711" s="14">
        <v>43566</v>
      </c>
      <c r="C711" s="13">
        <v>310</v>
      </c>
      <c r="D711" s="13" t="s">
        <v>4874</v>
      </c>
      <c r="E711" s="13" t="s">
        <v>958</v>
      </c>
      <c r="F711" s="37">
        <v>89600</v>
      </c>
      <c r="G711" s="29" t="s">
        <v>1201</v>
      </c>
      <c r="H711" s="14">
        <v>43524</v>
      </c>
      <c r="I711" s="4" t="s">
        <v>95</v>
      </c>
    </row>
    <row r="712" spans="1:9" hidden="1" x14ac:dyDescent="0.25">
      <c r="A712" s="61" t="s">
        <v>311</v>
      </c>
      <c r="B712" s="14">
        <v>43566</v>
      </c>
      <c r="C712" s="13">
        <v>310</v>
      </c>
      <c r="D712" s="13" t="s">
        <v>4874</v>
      </c>
      <c r="E712" s="13" t="s">
        <v>958</v>
      </c>
      <c r="F712" s="37">
        <v>388000</v>
      </c>
      <c r="G712" s="29" t="s">
        <v>5890</v>
      </c>
      <c r="H712" s="14">
        <v>43524</v>
      </c>
      <c r="I712" s="4" t="s">
        <v>419</v>
      </c>
    </row>
    <row r="713" spans="1:9" hidden="1" x14ac:dyDescent="0.25">
      <c r="A713" s="61" t="s">
        <v>311</v>
      </c>
      <c r="B713" s="14">
        <v>43566</v>
      </c>
      <c r="C713" s="13">
        <v>310</v>
      </c>
      <c r="D713" s="13" t="s">
        <v>4874</v>
      </c>
      <c r="E713" s="13" t="s">
        <v>958</v>
      </c>
      <c r="F713" s="37">
        <v>374400</v>
      </c>
      <c r="G713" s="29" t="s">
        <v>1272</v>
      </c>
      <c r="H713" s="14">
        <v>43550</v>
      </c>
      <c r="I713" s="4" t="s">
        <v>95</v>
      </c>
    </row>
    <row r="714" spans="1:9" hidden="1" x14ac:dyDescent="0.25">
      <c r="A714" s="61" t="s">
        <v>311</v>
      </c>
      <c r="B714" s="14">
        <v>43566</v>
      </c>
      <c r="C714" s="13">
        <v>310</v>
      </c>
      <c r="D714" s="13" t="s">
        <v>4874</v>
      </c>
      <c r="E714" s="13" t="s">
        <v>958</v>
      </c>
      <c r="F714" s="37">
        <v>113600</v>
      </c>
      <c r="G714" s="29" t="s">
        <v>1527</v>
      </c>
      <c r="H714" s="14">
        <v>43557</v>
      </c>
      <c r="I714" s="4" t="s">
        <v>95</v>
      </c>
    </row>
    <row r="715" spans="1:9" hidden="1" x14ac:dyDescent="0.25">
      <c r="A715" s="32" t="s">
        <v>311</v>
      </c>
      <c r="B715" s="14">
        <v>43566</v>
      </c>
      <c r="C715" s="13">
        <v>311</v>
      </c>
      <c r="D715" s="13" t="s">
        <v>431</v>
      </c>
      <c r="E715" s="13" t="s">
        <v>958</v>
      </c>
      <c r="F715" s="4">
        <v>10200</v>
      </c>
      <c r="G715" s="28" t="s">
        <v>3375</v>
      </c>
      <c r="H715" s="14">
        <v>43519</v>
      </c>
      <c r="I715" s="4" t="s">
        <v>95</v>
      </c>
    </row>
    <row r="716" spans="1:9" hidden="1" x14ac:dyDescent="0.25">
      <c r="A716" s="61" t="s">
        <v>311</v>
      </c>
      <c r="B716" s="14">
        <v>43566</v>
      </c>
      <c r="C716" s="13">
        <v>312</v>
      </c>
      <c r="D716" s="13" t="s">
        <v>862</v>
      </c>
      <c r="E716" s="13" t="s">
        <v>958</v>
      </c>
      <c r="F716" s="4">
        <v>36250</v>
      </c>
      <c r="G716" s="28" t="s">
        <v>792</v>
      </c>
      <c r="H716" s="14">
        <v>43518</v>
      </c>
      <c r="I716" s="4" t="s">
        <v>3393</v>
      </c>
    </row>
    <row r="717" spans="1:9" hidden="1" x14ac:dyDescent="0.25">
      <c r="A717" s="61" t="s">
        <v>311</v>
      </c>
      <c r="B717" s="14">
        <v>43566</v>
      </c>
      <c r="C717" s="13">
        <v>313</v>
      </c>
      <c r="D717" s="13" t="s">
        <v>149</v>
      </c>
      <c r="E717" s="13" t="s">
        <v>958</v>
      </c>
      <c r="F717" s="37">
        <v>17500</v>
      </c>
      <c r="G717" s="29" t="s">
        <v>486</v>
      </c>
      <c r="H717" s="14">
        <v>43496</v>
      </c>
      <c r="I717" s="4" t="s">
        <v>4884</v>
      </c>
    </row>
    <row r="718" spans="1:9" hidden="1" x14ac:dyDescent="0.25">
      <c r="A718" s="61" t="s">
        <v>311</v>
      </c>
      <c r="B718" s="14">
        <v>43566</v>
      </c>
      <c r="C718" s="13">
        <v>313</v>
      </c>
      <c r="D718" s="13" t="s">
        <v>149</v>
      </c>
      <c r="E718" s="13" t="s">
        <v>958</v>
      </c>
      <c r="F718" s="37">
        <v>17500</v>
      </c>
      <c r="G718" s="29" t="s">
        <v>5895</v>
      </c>
      <c r="H718" s="14">
        <v>43524</v>
      </c>
      <c r="I718" s="4" t="s">
        <v>5891</v>
      </c>
    </row>
    <row r="719" spans="1:9" hidden="1" x14ac:dyDescent="0.25">
      <c r="A719" s="61" t="s">
        <v>311</v>
      </c>
      <c r="B719" s="14">
        <v>43566</v>
      </c>
      <c r="C719" s="13">
        <v>314</v>
      </c>
      <c r="D719" s="13" t="s">
        <v>149</v>
      </c>
      <c r="E719" s="13" t="s">
        <v>958</v>
      </c>
      <c r="F719" s="37">
        <v>1000</v>
      </c>
      <c r="G719" s="29" t="s">
        <v>3724</v>
      </c>
      <c r="H719" s="14">
        <v>43514</v>
      </c>
      <c r="I719" s="4" t="s">
        <v>4887</v>
      </c>
    </row>
    <row r="720" spans="1:9" hidden="1" x14ac:dyDescent="0.25">
      <c r="A720" s="13" t="s">
        <v>311</v>
      </c>
      <c r="B720" s="14">
        <v>43566</v>
      </c>
      <c r="C720" s="13">
        <v>314</v>
      </c>
      <c r="D720" s="13" t="s">
        <v>149</v>
      </c>
      <c r="E720" s="13" t="s">
        <v>958</v>
      </c>
      <c r="F720" s="37">
        <v>4000</v>
      </c>
      <c r="G720" s="29" t="s">
        <v>1715</v>
      </c>
      <c r="H720" s="14">
        <v>43542</v>
      </c>
      <c r="I720" s="4" t="s">
        <v>5899</v>
      </c>
    </row>
    <row r="721" spans="1:19" hidden="1" x14ac:dyDescent="0.25">
      <c r="A721" s="61" t="s">
        <v>6</v>
      </c>
      <c r="B721" s="14">
        <v>43566</v>
      </c>
      <c r="C721" s="13">
        <v>169</v>
      </c>
      <c r="D721" s="13" t="s">
        <v>1708</v>
      </c>
      <c r="E721" s="13" t="s">
        <v>183</v>
      </c>
      <c r="F721" s="37">
        <v>30000</v>
      </c>
      <c r="G721" s="29" t="s">
        <v>111</v>
      </c>
      <c r="H721" s="14">
        <v>43552</v>
      </c>
      <c r="I721" s="4" t="s">
        <v>6307</v>
      </c>
      <c r="J721" s="71"/>
      <c r="K721" s="62"/>
      <c r="L721" s="62"/>
      <c r="M721" s="35"/>
      <c r="N721" s="35"/>
      <c r="O721" s="35"/>
      <c r="P721" s="35"/>
      <c r="Q721" s="35"/>
    </row>
    <row r="722" spans="1:19" s="2" customFormat="1" ht="15" hidden="1" customHeight="1" x14ac:dyDescent="0.25">
      <c r="A722" s="13" t="s">
        <v>6</v>
      </c>
      <c r="B722" s="14">
        <v>43566</v>
      </c>
      <c r="C722" s="13">
        <v>170</v>
      </c>
      <c r="D722" s="13" t="s">
        <v>896</v>
      </c>
      <c r="E722" s="13" t="s">
        <v>183</v>
      </c>
      <c r="F722" s="4">
        <v>60687.5</v>
      </c>
      <c r="G722" s="29" t="s">
        <v>6306</v>
      </c>
      <c r="H722" s="14">
        <v>43531</v>
      </c>
      <c r="I722" s="4" t="s">
        <v>208</v>
      </c>
      <c r="J722" s="341"/>
      <c r="K722" s="31"/>
      <c r="L722" s="31"/>
      <c r="M722" s="31"/>
      <c r="N722" s="31"/>
      <c r="O722" s="34"/>
      <c r="P722" s="34"/>
      <c r="Q722" s="34"/>
      <c r="R722" s="34"/>
      <c r="S722" s="34"/>
    </row>
    <row r="723" spans="1:19" s="2" customFormat="1" ht="15" hidden="1" customHeight="1" x14ac:dyDescent="0.25">
      <c r="A723" s="13" t="s">
        <v>6</v>
      </c>
      <c r="B723" s="14">
        <v>43566</v>
      </c>
      <c r="C723" s="13">
        <v>171</v>
      </c>
      <c r="D723" s="32" t="s">
        <v>863</v>
      </c>
      <c r="E723" s="13" t="s">
        <v>183</v>
      </c>
      <c r="F723" s="4">
        <v>69120</v>
      </c>
      <c r="G723" s="29" t="s">
        <v>6422</v>
      </c>
      <c r="H723" s="14">
        <v>43550</v>
      </c>
      <c r="I723" s="4" t="s">
        <v>354</v>
      </c>
      <c r="J723" s="341"/>
      <c r="K723" s="31"/>
      <c r="L723" s="31"/>
      <c r="M723" s="31"/>
      <c r="N723" s="31"/>
      <c r="O723" s="34"/>
      <c r="P723" s="34"/>
      <c r="Q723" s="34"/>
      <c r="R723" s="34"/>
      <c r="S723" s="34"/>
    </row>
    <row r="724" spans="1:19" s="2" customFormat="1" hidden="1" x14ac:dyDescent="0.25">
      <c r="A724" s="13" t="s">
        <v>6</v>
      </c>
      <c r="B724" s="14">
        <v>43566</v>
      </c>
      <c r="C724" s="13">
        <v>172</v>
      </c>
      <c r="D724" s="32" t="s">
        <v>94</v>
      </c>
      <c r="E724" s="13" t="s">
        <v>183</v>
      </c>
      <c r="F724" s="4">
        <v>10441.68</v>
      </c>
      <c r="G724" s="29" t="s">
        <v>6308</v>
      </c>
      <c r="H724" s="14">
        <v>43560</v>
      </c>
      <c r="I724" s="4" t="s">
        <v>6309</v>
      </c>
      <c r="J724" s="341"/>
      <c r="K724" s="31"/>
      <c r="L724" s="31"/>
      <c r="M724" s="31"/>
      <c r="N724" s="31"/>
      <c r="O724" s="34"/>
      <c r="P724" s="34"/>
      <c r="Q724" s="34"/>
      <c r="R724" s="34"/>
      <c r="S724" s="34"/>
    </row>
    <row r="725" spans="1:19" s="2" customFormat="1" hidden="1" x14ac:dyDescent="0.25">
      <c r="A725" s="13" t="s">
        <v>6</v>
      </c>
      <c r="B725" s="14">
        <v>43566</v>
      </c>
      <c r="C725" s="13">
        <v>173</v>
      </c>
      <c r="D725" s="13" t="s">
        <v>768</v>
      </c>
      <c r="E725" s="13" t="s">
        <v>183</v>
      </c>
      <c r="F725" s="4">
        <v>170000</v>
      </c>
      <c r="G725" s="29" t="s">
        <v>2819</v>
      </c>
      <c r="H725" s="14">
        <v>43563</v>
      </c>
      <c r="I725" s="4" t="s">
        <v>6399</v>
      </c>
      <c r="J725" s="341"/>
      <c r="K725" s="31"/>
      <c r="L725" s="31"/>
      <c r="M725" s="31"/>
      <c r="N725" s="31"/>
      <c r="O725" s="34"/>
      <c r="P725" s="34"/>
      <c r="Q725" s="34"/>
      <c r="R725" s="34"/>
      <c r="S725" s="34"/>
    </row>
    <row r="726" spans="1:19" s="2" customFormat="1" ht="15" hidden="1" customHeight="1" x14ac:dyDescent="0.25">
      <c r="A726" s="13" t="s">
        <v>6</v>
      </c>
      <c r="B726" s="14">
        <v>43566</v>
      </c>
      <c r="C726" s="13">
        <v>174</v>
      </c>
      <c r="D726" s="13" t="s">
        <v>6423</v>
      </c>
      <c r="E726" s="13" t="s">
        <v>183</v>
      </c>
      <c r="F726" s="4">
        <v>7000</v>
      </c>
      <c r="G726" s="29" t="s">
        <v>169</v>
      </c>
      <c r="H726" s="14">
        <v>43565</v>
      </c>
      <c r="I726" s="4" t="s">
        <v>6424</v>
      </c>
      <c r="J726" s="341"/>
      <c r="K726" s="31"/>
      <c r="L726" s="31"/>
      <c r="M726" s="31"/>
      <c r="N726" s="31"/>
      <c r="O726" s="34"/>
      <c r="P726" s="34"/>
      <c r="Q726" s="34"/>
      <c r="R726" s="34"/>
      <c r="S726" s="34"/>
    </row>
    <row r="727" spans="1:19" s="2" customFormat="1" ht="15" hidden="1" customHeight="1" x14ac:dyDescent="0.25">
      <c r="A727" s="13" t="s">
        <v>6</v>
      </c>
      <c r="B727" s="14">
        <v>43566</v>
      </c>
      <c r="C727" s="13">
        <v>175</v>
      </c>
      <c r="D727" s="13" t="s">
        <v>464</v>
      </c>
      <c r="E727" s="13" t="s">
        <v>183</v>
      </c>
      <c r="F727" s="4">
        <v>20115</v>
      </c>
      <c r="G727" s="29" t="s">
        <v>4127</v>
      </c>
      <c r="H727" s="14">
        <v>43553</v>
      </c>
      <c r="I727" s="4" t="s">
        <v>4815</v>
      </c>
      <c r="J727" s="341"/>
      <c r="K727" s="31"/>
      <c r="L727" s="31"/>
      <c r="M727" s="31"/>
      <c r="N727" s="31"/>
      <c r="O727" s="34"/>
      <c r="P727" s="34"/>
      <c r="Q727" s="34"/>
      <c r="R727" s="34"/>
      <c r="S727" s="34"/>
    </row>
    <row r="728" spans="1:19" s="97" customFormat="1" hidden="1" x14ac:dyDescent="0.25">
      <c r="A728" s="13" t="s">
        <v>6</v>
      </c>
      <c r="B728" s="14">
        <v>43566</v>
      </c>
      <c r="C728" s="67">
        <v>176</v>
      </c>
      <c r="D728" s="13" t="s">
        <v>2050</v>
      </c>
      <c r="E728" s="13" t="s">
        <v>183</v>
      </c>
      <c r="F728" s="4">
        <v>10000</v>
      </c>
      <c r="G728" s="29" t="s">
        <v>88</v>
      </c>
      <c r="H728" s="14">
        <v>43543</v>
      </c>
      <c r="I728" s="4" t="s">
        <v>1251</v>
      </c>
      <c r="J728" s="22" t="s">
        <v>366</v>
      </c>
      <c r="K728" s="22"/>
      <c r="L728" s="134"/>
    </row>
    <row r="729" spans="1:19" s="2" customFormat="1" ht="15" hidden="1" customHeight="1" x14ac:dyDescent="0.25">
      <c r="A729" s="13" t="s">
        <v>6</v>
      </c>
      <c r="B729" s="14">
        <v>43566</v>
      </c>
      <c r="C729" s="13">
        <v>168</v>
      </c>
      <c r="D729" s="13" t="s">
        <v>3103</v>
      </c>
      <c r="E729" s="13" t="s">
        <v>183</v>
      </c>
      <c r="F729" s="4">
        <v>4750</v>
      </c>
      <c r="G729" s="29" t="s">
        <v>1495</v>
      </c>
      <c r="H729" s="14">
        <v>43566</v>
      </c>
      <c r="I729" s="4" t="s">
        <v>6602</v>
      </c>
      <c r="J729" s="341"/>
      <c r="K729" s="31"/>
      <c r="L729" s="31"/>
      <c r="M729" s="31"/>
      <c r="N729" s="31"/>
      <c r="O729" s="34"/>
      <c r="P729" s="34"/>
      <c r="Q729" s="34"/>
      <c r="R729" s="34"/>
      <c r="S729" s="34"/>
    </row>
    <row r="730" spans="1:19" ht="15" hidden="1" customHeight="1" x14ac:dyDescent="0.25">
      <c r="A730" s="13" t="s">
        <v>184</v>
      </c>
      <c r="B730" s="14">
        <v>43566</v>
      </c>
      <c r="C730" s="67">
        <v>461</v>
      </c>
      <c r="D730" s="13" t="s">
        <v>238</v>
      </c>
      <c r="E730" s="32" t="s">
        <v>1121</v>
      </c>
      <c r="F730" s="4">
        <v>410</v>
      </c>
      <c r="G730" s="28" t="s">
        <v>1402</v>
      </c>
      <c r="H730" s="14">
        <v>43518</v>
      </c>
      <c r="I730" s="4" t="s">
        <v>179</v>
      </c>
      <c r="J730" s="125"/>
    </row>
    <row r="731" spans="1:19" ht="15" hidden="1" customHeight="1" x14ac:dyDescent="0.25">
      <c r="A731" s="13" t="s">
        <v>184</v>
      </c>
      <c r="B731" s="14">
        <v>43566</v>
      </c>
      <c r="C731" s="67">
        <v>461</v>
      </c>
      <c r="D731" s="13" t="s">
        <v>238</v>
      </c>
      <c r="E731" s="32" t="s">
        <v>1121</v>
      </c>
      <c r="F731" s="4">
        <v>1056</v>
      </c>
      <c r="G731" s="28" t="s">
        <v>3383</v>
      </c>
      <c r="H731" s="14">
        <v>43542</v>
      </c>
      <c r="I731" s="4" t="s">
        <v>179</v>
      </c>
      <c r="J731" s="125"/>
    </row>
    <row r="732" spans="1:19" ht="15" hidden="1" customHeight="1" x14ac:dyDescent="0.25">
      <c r="A732" s="13" t="s">
        <v>184</v>
      </c>
      <c r="B732" s="14">
        <v>43566</v>
      </c>
      <c r="C732" s="67">
        <v>461</v>
      </c>
      <c r="D732" s="13" t="s">
        <v>238</v>
      </c>
      <c r="E732" s="32" t="s">
        <v>1121</v>
      </c>
      <c r="F732" s="4">
        <v>7650</v>
      </c>
      <c r="G732" s="28" t="s">
        <v>0</v>
      </c>
      <c r="H732" s="14">
        <v>43558</v>
      </c>
      <c r="I732" s="4" t="s">
        <v>179</v>
      </c>
      <c r="J732" s="125"/>
    </row>
    <row r="733" spans="1:19" hidden="1" x14ac:dyDescent="0.25">
      <c r="A733" s="13" t="s">
        <v>184</v>
      </c>
      <c r="B733" s="14">
        <v>43566</v>
      </c>
      <c r="C733" s="13">
        <v>462</v>
      </c>
      <c r="D733" s="13" t="s">
        <v>6568</v>
      </c>
      <c r="E733" s="32" t="s">
        <v>1121</v>
      </c>
      <c r="F733" s="4">
        <v>24000</v>
      </c>
      <c r="G733" s="28" t="s">
        <v>6569</v>
      </c>
      <c r="H733" s="14">
        <v>43563</v>
      </c>
      <c r="I733" s="4" t="s">
        <v>6570</v>
      </c>
      <c r="J733" s="76"/>
    </row>
    <row r="734" spans="1:19" s="62" customFormat="1" ht="13.95" hidden="1" customHeight="1" x14ac:dyDescent="0.25">
      <c r="A734" s="61" t="s">
        <v>151</v>
      </c>
      <c r="B734" s="14">
        <v>43566</v>
      </c>
      <c r="C734" s="13">
        <v>308</v>
      </c>
      <c r="D734" s="13" t="s">
        <v>6414</v>
      </c>
      <c r="E734" s="13" t="s">
        <v>144</v>
      </c>
      <c r="F734" s="37">
        <v>8500</v>
      </c>
      <c r="G734" s="29" t="s">
        <v>3142</v>
      </c>
      <c r="H734" s="14">
        <v>43564</v>
      </c>
      <c r="I734" s="4" t="s">
        <v>6415</v>
      </c>
      <c r="J734" s="71"/>
      <c r="O734" s="35"/>
      <c r="P734" s="35"/>
      <c r="Q734" s="35"/>
      <c r="R734" s="35"/>
      <c r="S734" s="35"/>
    </row>
    <row r="735" spans="1:19" hidden="1" x14ac:dyDescent="0.25">
      <c r="A735" s="13" t="s">
        <v>151</v>
      </c>
      <c r="B735" s="14">
        <v>43566</v>
      </c>
      <c r="C735" s="13">
        <v>100</v>
      </c>
      <c r="D735" s="13" t="s">
        <v>596</v>
      </c>
      <c r="E735" s="32" t="s">
        <v>22</v>
      </c>
      <c r="F735" s="4">
        <f>4620+880</f>
        <v>5500</v>
      </c>
      <c r="G735" s="28" t="s">
        <v>6406</v>
      </c>
      <c r="H735" s="14">
        <v>43565</v>
      </c>
      <c r="I735" s="4" t="s">
        <v>1</v>
      </c>
      <c r="J735" s="125"/>
    </row>
    <row r="736" spans="1:19" ht="13.95" hidden="1" customHeight="1" x14ac:dyDescent="0.25">
      <c r="A736" s="13" t="s">
        <v>213</v>
      </c>
      <c r="B736" s="14">
        <v>43566</v>
      </c>
      <c r="C736" s="13">
        <v>620</v>
      </c>
      <c r="D736" s="32" t="s">
        <v>285</v>
      </c>
      <c r="E736" s="32" t="s">
        <v>130</v>
      </c>
      <c r="F736" s="4">
        <v>10000000</v>
      </c>
      <c r="G736" s="69" t="s">
        <v>6284</v>
      </c>
      <c r="H736" s="14"/>
      <c r="I736" s="41" t="s">
        <v>6285</v>
      </c>
      <c r="K736" s="62"/>
    </row>
    <row r="737" spans="1:19" ht="13.95" hidden="1" customHeight="1" x14ac:dyDescent="0.25">
      <c r="A737" s="13" t="s">
        <v>91</v>
      </c>
      <c r="B737" s="14">
        <v>43566</v>
      </c>
      <c r="C737" s="13">
        <v>619</v>
      </c>
      <c r="D737" s="32" t="s">
        <v>1907</v>
      </c>
      <c r="E737" s="32" t="s">
        <v>130</v>
      </c>
      <c r="F737" s="4">
        <v>5000000</v>
      </c>
      <c r="G737" s="86" t="s">
        <v>2797</v>
      </c>
      <c r="H737" s="14"/>
      <c r="I737" s="41" t="s">
        <v>1834</v>
      </c>
      <c r="J737" s="21"/>
      <c r="K737" s="228"/>
    </row>
    <row r="738" spans="1:19" ht="13.95" hidden="1" customHeight="1" x14ac:dyDescent="0.25">
      <c r="A738" s="13" t="s">
        <v>311</v>
      </c>
      <c r="B738" s="14">
        <v>43566</v>
      </c>
      <c r="C738" s="13">
        <v>292</v>
      </c>
      <c r="D738" s="32" t="s">
        <v>667</v>
      </c>
      <c r="E738" s="32" t="s">
        <v>958</v>
      </c>
      <c r="F738" s="4">
        <v>654656.70262697525</v>
      </c>
      <c r="G738" s="69" t="s">
        <v>4484</v>
      </c>
      <c r="H738" s="14"/>
      <c r="I738" s="41" t="s">
        <v>4483</v>
      </c>
      <c r="J738" s="22" t="s">
        <v>6392</v>
      </c>
      <c r="K738" s="62"/>
    </row>
    <row r="739" spans="1:19" ht="14.1" hidden="1" customHeight="1" x14ac:dyDescent="0.25">
      <c r="A739" s="32" t="s">
        <v>311</v>
      </c>
      <c r="B739" s="14">
        <v>43566</v>
      </c>
      <c r="C739" s="13">
        <v>293</v>
      </c>
      <c r="D739" s="32" t="s">
        <v>541</v>
      </c>
      <c r="E739" s="13" t="s">
        <v>958</v>
      </c>
      <c r="F739" s="4">
        <v>1709080</v>
      </c>
      <c r="G739" s="86" t="s">
        <v>4478</v>
      </c>
      <c r="H739" s="211"/>
      <c r="I739" s="208" t="s">
        <v>297</v>
      </c>
      <c r="J739" s="22" t="s">
        <v>6392</v>
      </c>
      <c r="K739" s="228"/>
    </row>
    <row r="740" spans="1:19" ht="13.95" hidden="1" customHeight="1" x14ac:dyDescent="0.25">
      <c r="A740" s="68" t="s">
        <v>311</v>
      </c>
      <c r="B740" s="14">
        <v>43566</v>
      </c>
      <c r="C740" s="13">
        <v>294</v>
      </c>
      <c r="D740" s="32" t="s">
        <v>1077</v>
      </c>
      <c r="E740" s="32" t="s">
        <v>958</v>
      </c>
      <c r="F740" s="4">
        <v>4121800</v>
      </c>
      <c r="G740" s="86" t="s">
        <v>4456</v>
      </c>
      <c r="H740" s="211"/>
      <c r="I740" s="208" t="s">
        <v>4455</v>
      </c>
      <c r="J740" s="22" t="s">
        <v>6392</v>
      </c>
      <c r="K740" s="228"/>
    </row>
    <row r="741" spans="1:19" ht="13.95" hidden="1" customHeight="1" x14ac:dyDescent="0.25">
      <c r="A741" s="13" t="s">
        <v>311</v>
      </c>
      <c r="B741" s="14">
        <v>43566</v>
      </c>
      <c r="C741" s="13">
        <v>295</v>
      </c>
      <c r="D741" s="32" t="s">
        <v>194</v>
      </c>
      <c r="E741" s="32" t="s">
        <v>958</v>
      </c>
      <c r="F741" s="37">
        <v>3500000</v>
      </c>
      <c r="G741" s="69" t="s">
        <v>4447</v>
      </c>
      <c r="H741" s="14"/>
      <c r="I741" s="41" t="s">
        <v>202</v>
      </c>
      <c r="J741" s="22" t="s">
        <v>6392</v>
      </c>
      <c r="K741" s="62"/>
      <c r="L741" s="62"/>
      <c r="M741" s="35"/>
      <c r="N741" s="35"/>
      <c r="O741" s="35"/>
      <c r="P741" s="35"/>
      <c r="Q741" s="35"/>
    </row>
    <row r="742" spans="1:19" ht="13.95" hidden="1" customHeight="1" x14ac:dyDescent="0.25">
      <c r="A742" s="13" t="s">
        <v>311</v>
      </c>
      <c r="B742" s="14">
        <v>43566</v>
      </c>
      <c r="C742" s="13">
        <v>296</v>
      </c>
      <c r="D742" s="32" t="s">
        <v>194</v>
      </c>
      <c r="E742" s="32" t="s">
        <v>958</v>
      </c>
      <c r="F742" s="37">
        <v>3280002.4</v>
      </c>
      <c r="G742" s="69" t="s">
        <v>4447</v>
      </c>
      <c r="H742" s="14"/>
      <c r="I742" s="41" t="s">
        <v>202</v>
      </c>
      <c r="J742" s="22" t="s">
        <v>6392</v>
      </c>
      <c r="K742" s="62"/>
      <c r="L742" s="62"/>
      <c r="M742" s="35"/>
      <c r="N742" s="35"/>
      <c r="O742" s="35"/>
      <c r="P742" s="35"/>
      <c r="Q742" s="35"/>
    </row>
    <row r="743" spans="1:19" ht="13.95" hidden="1" customHeight="1" x14ac:dyDescent="0.25">
      <c r="A743" s="68" t="s">
        <v>311</v>
      </c>
      <c r="B743" s="14">
        <v>43566</v>
      </c>
      <c r="C743" s="13">
        <v>297</v>
      </c>
      <c r="D743" s="32" t="s">
        <v>1736</v>
      </c>
      <c r="E743" s="32" t="s">
        <v>958</v>
      </c>
      <c r="F743" s="4">
        <v>13293941.699999999</v>
      </c>
      <c r="G743" s="86" t="s">
        <v>4439</v>
      </c>
      <c r="H743" s="211"/>
      <c r="I743" s="41" t="s">
        <v>24</v>
      </c>
      <c r="J743" s="22" t="s">
        <v>6392</v>
      </c>
      <c r="K743" s="228"/>
    </row>
    <row r="744" spans="1:19" ht="13.95" hidden="1" customHeight="1" x14ac:dyDescent="0.25">
      <c r="A744" s="68" t="s">
        <v>311</v>
      </c>
      <c r="B744" s="14">
        <v>43566</v>
      </c>
      <c r="C744" s="13">
        <v>298</v>
      </c>
      <c r="D744" s="32" t="s">
        <v>1664</v>
      </c>
      <c r="E744" s="32" t="s">
        <v>958</v>
      </c>
      <c r="F744" s="4">
        <v>41294024</v>
      </c>
      <c r="G744" s="86" t="s">
        <v>4472</v>
      </c>
      <c r="H744" s="211"/>
      <c r="I744" s="208" t="s">
        <v>16</v>
      </c>
      <c r="J744" s="22" t="s">
        <v>6392</v>
      </c>
      <c r="K744" s="228"/>
    </row>
    <row r="745" spans="1:19" ht="13.95" hidden="1" customHeight="1" x14ac:dyDescent="0.25">
      <c r="A745" s="68" t="s">
        <v>311</v>
      </c>
      <c r="B745" s="14">
        <v>43566</v>
      </c>
      <c r="C745" s="13">
        <v>299</v>
      </c>
      <c r="D745" s="32" t="s">
        <v>272</v>
      </c>
      <c r="E745" s="32" t="s">
        <v>958</v>
      </c>
      <c r="F745" s="4">
        <v>5496967.9000000004</v>
      </c>
      <c r="G745" s="86" t="s">
        <v>4485</v>
      </c>
      <c r="H745" s="211"/>
      <c r="I745" s="84" t="s">
        <v>273</v>
      </c>
      <c r="J745" s="22" t="s">
        <v>6392</v>
      </c>
      <c r="K745" s="228"/>
    </row>
    <row r="746" spans="1:19" ht="13.95" hidden="1" customHeight="1" x14ac:dyDescent="0.25">
      <c r="A746" s="68" t="s">
        <v>311</v>
      </c>
      <c r="B746" s="14">
        <v>43566</v>
      </c>
      <c r="C746" s="13">
        <v>300</v>
      </c>
      <c r="D746" s="32" t="s">
        <v>272</v>
      </c>
      <c r="E746" s="32" t="s">
        <v>958</v>
      </c>
      <c r="F746" s="4">
        <v>1289412.22</v>
      </c>
      <c r="G746" s="86" t="s">
        <v>4485</v>
      </c>
      <c r="H746" s="211"/>
      <c r="I746" s="84" t="s">
        <v>273</v>
      </c>
      <c r="J746" s="22" t="s">
        <v>6392</v>
      </c>
      <c r="K746" s="228"/>
    </row>
    <row r="747" spans="1:19" ht="27.6" hidden="1" x14ac:dyDescent="0.25">
      <c r="A747" s="61" t="s">
        <v>460</v>
      </c>
      <c r="B747" s="14">
        <v>43567</v>
      </c>
      <c r="C747" s="13">
        <v>672</v>
      </c>
      <c r="D747" s="14" t="s">
        <v>6416</v>
      </c>
      <c r="E747" s="32" t="s">
        <v>3340</v>
      </c>
      <c r="F747" s="4">
        <v>35972</v>
      </c>
      <c r="G747" s="86" t="s">
        <v>6417</v>
      </c>
      <c r="H747" s="211"/>
      <c r="I747" s="326"/>
      <c r="K747" s="62"/>
    </row>
    <row r="748" spans="1:19" s="115" customFormat="1" ht="15" hidden="1" customHeight="1" x14ac:dyDescent="0.25">
      <c r="A748" s="13" t="s">
        <v>2320</v>
      </c>
      <c r="B748" s="14">
        <v>43567</v>
      </c>
      <c r="C748" s="13">
        <v>364</v>
      </c>
      <c r="D748" s="13" t="s">
        <v>2615</v>
      </c>
      <c r="E748" s="13" t="s">
        <v>136</v>
      </c>
      <c r="F748" s="4">
        <v>305084.75</v>
      </c>
      <c r="G748" s="265" t="s">
        <v>2616</v>
      </c>
      <c r="H748" s="126">
        <v>43374</v>
      </c>
      <c r="I748" s="4" t="s">
        <v>2617</v>
      </c>
      <c r="J748" s="21" t="s">
        <v>771</v>
      </c>
      <c r="K748" s="116"/>
      <c r="L748" s="116"/>
      <c r="M748" s="116"/>
      <c r="N748" s="116"/>
      <c r="O748" s="117"/>
      <c r="P748" s="117"/>
      <c r="Q748" s="117"/>
      <c r="R748" s="117"/>
      <c r="S748" s="117"/>
    </row>
    <row r="749" spans="1:19" ht="13.95" hidden="1" customHeight="1" x14ac:dyDescent="0.25">
      <c r="A749" s="68" t="s">
        <v>442</v>
      </c>
      <c r="B749" s="14">
        <v>43567</v>
      </c>
      <c r="C749" s="13">
        <v>699</v>
      </c>
      <c r="D749" s="13" t="s">
        <v>4590</v>
      </c>
      <c r="E749" s="32" t="s">
        <v>494</v>
      </c>
      <c r="F749" s="4">
        <v>354838.71</v>
      </c>
      <c r="G749" s="210" t="s">
        <v>199</v>
      </c>
      <c r="H749" s="211">
        <v>43465</v>
      </c>
      <c r="I749" s="208" t="s">
        <v>4591</v>
      </c>
      <c r="J749" s="21"/>
      <c r="K749" s="228"/>
    </row>
    <row r="750" spans="1:19" ht="13.95" hidden="1" customHeight="1" x14ac:dyDescent="0.25">
      <c r="A750" s="68" t="s">
        <v>442</v>
      </c>
      <c r="B750" s="14">
        <v>43567</v>
      </c>
      <c r="C750" s="13">
        <v>700</v>
      </c>
      <c r="D750" s="13" t="s">
        <v>4590</v>
      </c>
      <c r="E750" s="32" t="s">
        <v>494</v>
      </c>
      <c r="F750" s="4">
        <v>500000</v>
      </c>
      <c r="G750" s="210" t="s">
        <v>728</v>
      </c>
      <c r="H750" s="211">
        <v>43496</v>
      </c>
      <c r="I750" s="208" t="s">
        <v>4591</v>
      </c>
      <c r="J750" s="21"/>
      <c r="K750" s="228"/>
    </row>
    <row r="751" spans="1:19" ht="13.95" hidden="1" customHeight="1" x14ac:dyDescent="0.25">
      <c r="A751" s="68" t="s">
        <v>442</v>
      </c>
      <c r="B751" s="14">
        <v>43567</v>
      </c>
      <c r="C751" s="13">
        <v>701</v>
      </c>
      <c r="D751" s="13" t="s">
        <v>4590</v>
      </c>
      <c r="E751" s="32" t="s">
        <v>494</v>
      </c>
      <c r="F751" s="4">
        <v>267857.15000000002</v>
      </c>
      <c r="G751" s="210" t="s">
        <v>3143</v>
      </c>
      <c r="H751" s="211">
        <v>43511</v>
      </c>
      <c r="I751" s="208" t="s">
        <v>4591</v>
      </c>
      <c r="J751" s="21"/>
      <c r="K751" s="228"/>
    </row>
    <row r="752" spans="1:19" ht="13.95" hidden="1" customHeight="1" x14ac:dyDescent="0.25">
      <c r="A752" s="68" t="s">
        <v>455</v>
      </c>
      <c r="B752" s="14">
        <v>43567</v>
      </c>
      <c r="C752" s="13">
        <v>272</v>
      </c>
      <c r="D752" s="13" t="s">
        <v>4590</v>
      </c>
      <c r="E752" s="32" t="s">
        <v>440</v>
      </c>
      <c r="F752" s="4">
        <v>354838.71</v>
      </c>
      <c r="G752" s="210" t="s">
        <v>3142</v>
      </c>
      <c r="H752" s="211">
        <v>43465</v>
      </c>
      <c r="I752" s="208" t="s">
        <v>4591</v>
      </c>
      <c r="J752" s="21"/>
      <c r="K752" s="228"/>
    </row>
    <row r="753" spans="1:19" ht="13.95" hidden="1" customHeight="1" x14ac:dyDescent="0.25">
      <c r="A753" s="68" t="s">
        <v>455</v>
      </c>
      <c r="B753" s="14">
        <v>43567</v>
      </c>
      <c r="C753" s="13">
        <v>273</v>
      </c>
      <c r="D753" s="13" t="s">
        <v>4590</v>
      </c>
      <c r="E753" s="32" t="s">
        <v>440</v>
      </c>
      <c r="F753" s="4">
        <v>500000</v>
      </c>
      <c r="G753" s="210" t="s">
        <v>300</v>
      </c>
      <c r="H753" s="211">
        <v>43496</v>
      </c>
      <c r="I753" s="208" t="s">
        <v>4591</v>
      </c>
      <c r="J753" s="21"/>
      <c r="K753" s="228"/>
    </row>
    <row r="754" spans="1:19" ht="13.95" hidden="1" customHeight="1" x14ac:dyDescent="0.25">
      <c r="A754" s="68" t="s">
        <v>455</v>
      </c>
      <c r="B754" s="14">
        <v>43567</v>
      </c>
      <c r="C754" s="13">
        <v>274</v>
      </c>
      <c r="D754" s="13" t="s">
        <v>4590</v>
      </c>
      <c r="E754" s="32" t="s">
        <v>440</v>
      </c>
      <c r="F754" s="4">
        <v>267857.15000000002</v>
      </c>
      <c r="G754" s="210" t="s">
        <v>199</v>
      </c>
      <c r="H754" s="211">
        <v>43511</v>
      </c>
      <c r="I754" s="208" t="s">
        <v>4591</v>
      </c>
      <c r="J754" s="21"/>
      <c r="K754" s="228"/>
    </row>
    <row r="755" spans="1:19" ht="13.95" hidden="1" customHeight="1" x14ac:dyDescent="0.25">
      <c r="A755" s="68" t="s">
        <v>638</v>
      </c>
      <c r="B755" s="14">
        <v>43567</v>
      </c>
      <c r="C755" s="13" t="s">
        <v>6658</v>
      </c>
      <c r="D755" s="13" t="s">
        <v>4590</v>
      </c>
      <c r="E755" s="32" t="s">
        <v>547</v>
      </c>
      <c r="F755" s="4">
        <v>354838.71</v>
      </c>
      <c r="G755" s="210" t="s">
        <v>3104</v>
      </c>
      <c r="H755" s="211">
        <v>43465</v>
      </c>
      <c r="I755" s="208" t="s">
        <v>4591</v>
      </c>
      <c r="J755" s="21"/>
      <c r="K755" s="228"/>
    </row>
    <row r="756" spans="1:19" ht="13.95" hidden="1" customHeight="1" x14ac:dyDescent="0.25">
      <c r="A756" s="68" t="s">
        <v>638</v>
      </c>
      <c r="B756" s="14">
        <v>43567</v>
      </c>
      <c r="C756" s="13" t="s">
        <v>6659</v>
      </c>
      <c r="D756" s="13" t="s">
        <v>4590</v>
      </c>
      <c r="E756" s="32" t="s">
        <v>547</v>
      </c>
      <c r="F756" s="4">
        <v>500000</v>
      </c>
      <c r="G756" s="210" t="s">
        <v>459</v>
      </c>
      <c r="H756" s="211">
        <v>43496</v>
      </c>
      <c r="I756" s="208" t="s">
        <v>4591</v>
      </c>
      <c r="J756" s="21"/>
      <c r="K756" s="228"/>
    </row>
    <row r="757" spans="1:19" ht="13.95" hidden="1" customHeight="1" x14ac:dyDescent="0.25">
      <c r="A757" s="68" t="s">
        <v>638</v>
      </c>
      <c r="B757" s="14">
        <v>43567</v>
      </c>
      <c r="C757" s="13" t="s">
        <v>6660</v>
      </c>
      <c r="D757" s="13" t="s">
        <v>4590</v>
      </c>
      <c r="E757" s="32" t="s">
        <v>547</v>
      </c>
      <c r="F757" s="4">
        <v>267857.15000000002</v>
      </c>
      <c r="G757" s="210" t="s">
        <v>3142</v>
      </c>
      <c r="H757" s="211">
        <v>43511</v>
      </c>
      <c r="I757" s="208" t="s">
        <v>4591</v>
      </c>
      <c r="J757" s="21"/>
      <c r="K757" s="228"/>
    </row>
    <row r="758" spans="1:19" ht="13.95" hidden="1" customHeight="1" x14ac:dyDescent="0.25">
      <c r="A758" s="68" t="s">
        <v>639</v>
      </c>
      <c r="B758" s="14">
        <v>43567</v>
      </c>
      <c r="C758" s="13">
        <v>437</v>
      </c>
      <c r="D758" s="32" t="s">
        <v>905</v>
      </c>
      <c r="E758" s="32" t="s">
        <v>60</v>
      </c>
      <c r="F758" s="4">
        <v>5000000</v>
      </c>
      <c r="G758" s="86" t="s">
        <v>1120</v>
      </c>
      <c r="H758" s="211"/>
      <c r="I758" s="208" t="s">
        <v>1119</v>
      </c>
      <c r="J758" s="21"/>
      <c r="K758" s="228"/>
    </row>
    <row r="759" spans="1:19" ht="13.95" hidden="1" customHeight="1" x14ac:dyDescent="0.25">
      <c r="A759" s="13" t="s">
        <v>91</v>
      </c>
      <c r="B759" s="14">
        <v>43567</v>
      </c>
      <c r="C759" s="13">
        <v>662</v>
      </c>
      <c r="D759" s="32" t="s">
        <v>559</v>
      </c>
      <c r="E759" s="32" t="s">
        <v>62</v>
      </c>
      <c r="F759" s="4">
        <v>1110310.3</v>
      </c>
      <c r="G759" s="86" t="s">
        <v>1025</v>
      </c>
      <c r="H759" s="211"/>
      <c r="I759" s="41" t="s">
        <v>463</v>
      </c>
      <c r="J759" s="21"/>
      <c r="K759" s="228"/>
    </row>
    <row r="760" spans="1:19" ht="13.95" hidden="1" customHeight="1" x14ac:dyDescent="0.25">
      <c r="A760" s="13" t="s">
        <v>91</v>
      </c>
      <c r="B760" s="14">
        <v>43567</v>
      </c>
      <c r="C760" s="13">
        <v>663</v>
      </c>
      <c r="D760" s="32" t="s">
        <v>559</v>
      </c>
      <c r="E760" s="32" t="s">
        <v>62</v>
      </c>
      <c r="F760" s="4">
        <v>270413.40000000002</v>
      </c>
      <c r="G760" s="86" t="s">
        <v>1024</v>
      </c>
      <c r="H760" s="211"/>
      <c r="I760" s="41" t="s">
        <v>579</v>
      </c>
      <c r="J760" s="21"/>
      <c r="K760" s="228"/>
    </row>
    <row r="761" spans="1:19" ht="13.95" hidden="1" customHeight="1" x14ac:dyDescent="0.25">
      <c r="A761" s="32" t="s">
        <v>358</v>
      </c>
      <c r="B761" s="14">
        <v>43567</v>
      </c>
      <c r="C761" s="13">
        <v>664</v>
      </c>
      <c r="D761" s="13" t="s">
        <v>632</v>
      </c>
      <c r="E761" s="32" t="s">
        <v>62</v>
      </c>
      <c r="F761" s="4">
        <v>1155000</v>
      </c>
      <c r="G761" s="86" t="s">
        <v>6605</v>
      </c>
      <c r="H761" s="211"/>
      <c r="I761" s="4" t="s">
        <v>1918</v>
      </c>
      <c r="J761" s="21"/>
      <c r="K761" s="228"/>
    </row>
    <row r="762" spans="1:19" ht="13.95" hidden="1" customHeight="1" x14ac:dyDescent="0.25">
      <c r="A762" s="61" t="s">
        <v>358</v>
      </c>
      <c r="B762" s="14">
        <v>43567</v>
      </c>
      <c r="C762" s="13">
        <v>665</v>
      </c>
      <c r="D762" s="13" t="s">
        <v>204</v>
      </c>
      <c r="E762" s="32" t="s">
        <v>62</v>
      </c>
      <c r="F762" s="4">
        <v>2000000</v>
      </c>
      <c r="G762" s="86" t="s">
        <v>6603</v>
      </c>
      <c r="H762" s="211"/>
      <c r="I762" s="4" t="s">
        <v>6604</v>
      </c>
      <c r="J762" s="21"/>
      <c r="K762" s="228"/>
    </row>
    <row r="763" spans="1:19" ht="13.95" hidden="1" customHeight="1" x14ac:dyDescent="0.25">
      <c r="A763" s="13" t="s">
        <v>1222</v>
      </c>
      <c r="B763" s="14">
        <v>43567</v>
      </c>
      <c r="C763" s="13">
        <v>666</v>
      </c>
      <c r="D763" s="32" t="s">
        <v>391</v>
      </c>
      <c r="E763" s="32" t="s">
        <v>62</v>
      </c>
      <c r="F763" s="4">
        <v>429619.75</v>
      </c>
      <c r="G763" s="69" t="s">
        <v>1584</v>
      </c>
      <c r="H763" s="14"/>
      <c r="I763" s="41" t="s">
        <v>252</v>
      </c>
      <c r="K763" s="62"/>
    </row>
    <row r="764" spans="1:19" ht="13.95" hidden="1" customHeight="1" x14ac:dyDescent="0.25">
      <c r="A764" s="13" t="s">
        <v>1291</v>
      </c>
      <c r="B764" s="14">
        <v>43567</v>
      </c>
      <c r="C764" s="13">
        <v>667</v>
      </c>
      <c r="D764" s="32" t="s">
        <v>391</v>
      </c>
      <c r="E764" s="32" t="s">
        <v>62</v>
      </c>
      <c r="F764" s="4">
        <v>570380.25</v>
      </c>
      <c r="G764" s="69" t="s">
        <v>1585</v>
      </c>
      <c r="H764" s="14"/>
      <c r="I764" s="41" t="s">
        <v>252</v>
      </c>
      <c r="K764" s="62"/>
    </row>
    <row r="765" spans="1:19" ht="14.1" hidden="1" customHeight="1" x14ac:dyDescent="0.25">
      <c r="A765" s="32" t="s">
        <v>310</v>
      </c>
      <c r="B765" s="14">
        <v>43567</v>
      </c>
      <c r="C765" s="13">
        <v>327</v>
      </c>
      <c r="D765" s="32" t="s">
        <v>541</v>
      </c>
      <c r="E765" s="13" t="s">
        <v>958</v>
      </c>
      <c r="F765" s="4">
        <v>1000000</v>
      </c>
      <c r="G765" s="86" t="s">
        <v>4474</v>
      </c>
      <c r="H765" s="211"/>
      <c r="I765" s="208" t="s">
        <v>4473</v>
      </c>
      <c r="J765" s="21"/>
      <c r="K765" s="228"/>
    </row>
    <row r="766" spans="1:19" s="62" customFormat="1" ht="13.95" hidden="1" customHeight="1" x14ac:dyDescent="0.25">
      <c r="A766" s="61" t="s">
        <v>311</v>
      </c>
      <c r="B766" s="14">
        <v>43567</v>
      </c>
      <c r="C766" s="13">
        <v>328</v>
      </c>
      <c r="D766" s="13" t="s">
        <v>112</v>
      </c>
      <c r="E766" s="13" t="s">
        <v>958</v>
      </c>
      <c r="F766" s="37">
        <v>14000</v>
      </c>
      <c r="G766" s="29" t="s">
        <v>723</v>
      </c>
      <c r="H766" s="14">
        <v>43563</v>
      </c>
      <c r="I766" s="4" t="s">
        <v>6550</v>
      </c>
      <c r="J766" s="71"/>
      <c r="O766" s="35"/>
      <c r="P766" s="35"/>
      <c r="Q766" s="35"/>
      <c r="R766" s="35"/>
      <c r="S766" s="35"/>
    </row>
    <row r="767" spans="1:19" s="62" customFormat="1" ht="13.95" hidden="1" customHeight="1" x14ac:dyDescent="0.25">
      <c r="A767" s="61" t="s">
        <v>92</v>
      </c>
      <c r="B767" s="14">
        <v>43567</v>
      </c>
      <c r="C767" s="13">
        <v>751</v>
      </c>
      <c r="D767" s="13" t="s">
        <v>6614</v>
      </c>
      <c r="E767" s="13" t="s">
        <v>140</v>
      </c>
      <c r="F767" s="37">
        <v>4580.4399999999996</v>
      </c>
      <c r="G767" s="29" t="s">
        <v>113</v>
      </c>
      <c r="H767" s="14">
        <v>43564</v>
      </c>
      <c r="I767" s="4" t="s">
        <v>6615</v>
      </c>
      <c r="J767" s="71"/>
      <c r="O767" s="35"/>
      <c r="P767" s="35"/>
      <c r="Q767" s="35"/>
      <c r="R767" s="35"/>
      <c r="S767" s="35"/>
    </row>
    <row r="768" spans="1:19" s="129" customFormat="1" ht="27.6" hidden="1" x14ac:dyDescent="0.25">
      <c r="A768" s="13" t="s">
        <v>151</v>
      </c>
      <c r="B768" s="14">
        <v>43567</v>
      </c>
      <c r="C768" s="28" t="s">
        <v>6657</v>
      </c>
      <c r="D768" s="13" t="s">
        <v>711</v>
      </c>
      <c r="E768" s="32" t="s">
        <v>1121</v>
      </c>
      <c r="F768" s="37">
        <f>1900+300+5200+2050+1500+1500</f>
        <v>12450</v>
      </c>
      <c r="G768" s="28" t="s">
        <v>6620</v>
      </c>
      <c r="H768" s="28" t="s">
        <v>6621</v>
      </c>
      <c r="I768" s="4" t="s">
        <v>712</v>
      </c>
      <c r="J768" s="170"/>
      <c r="K768" s="474"/>
    </row>
    <row r="769" spans="1:19" ht="16.5" hidden="1" customHeight="1" x14ac:dyDescent="0.25">
      <c r="A769" s="13" t="s">
        <v>184</v>
      </c>
      <c r="B769" s="14">
        <v>43567</v>
      </c>
      <c r="C769" s="67">
        <v>310</v>
      </c>
      <c r="D769" s="32" t="s">
        <v>2147</v>
      </c>
      <c r="E769" s="32" t="s">
        <v>144</v>
      </c>
      <c r="F769" s="4">
        <f>89250-5999.96</f>
        <v>83250.039999999994</v>
      </c>
      <c r="G769" s="28" t="s">
        <v>730</v>
      </c>
      <c r="H769" s="14">
        <v>43557</v>
      </c>
      <c r="I769" s="4" t="s">
        <v>2148</v>
      </c>
      <c r="J769" s="263"/>
      <c r="K769" s="71"/>
      <c r="L769" s="62"/>
    </row>
    <row r="770" spans="1:19" s="62" customFormat="1" ht="13.95" hidden="1" customHeight="1" x14ac:dyDescent="0.25">
      <c r="A770" s="61" t="s">
        <v>151</v>
      </c>
      <c r="B770" s="14">
        <v>43567</v>
      </c>
      <c r="C770" s="13">
        <v>309</v>
      </c>
      <c r="D770" s="13" t="s">
        <v>6412</v>
      </c>
      <c r="E770" s="13" t="s">
        <v>144</v>
      </c>
      <c r="F770" s="37">
        <v>43200</v>
      </c>
      <c r="G770" s="29" t="s">
        <v>177</v>
      </c>
      <c r="H770" s="14">
        <v>43563</v>
      </c>
      <c r="I770" s="4" t="s">
        <v>6413</v>
      </c>
      <c r="J770" s="71"/>
      <c r="O770" s="35"/>
      <c r="P770" s="35"/>
      <c r="Q770" s="35"/>
      <c r="R770" s="35"/>
      <c r="S770" s="35"/>
    </row>
    <row r="771" spans="1:19" ht="16.5" hidden="1" customHeight="1" x14ac:dyDescent="0.25">
      <c r="A771" s="13" t="s">
        <v>184</v>
      </c>
      <c r="B771" s="14">
        <v>43567</v>
      </c>
      <c r="C771" s="67">
        <v>464</v>
      </c>
      <c r="D771" s="32" t="s">
        <v>1359</v>
      </c>
      <c r="E771" s="32" t="s">
        <v>1121</v>
      </c>
      <c r="F771" s="208">
        <v>245291.04</v>
      </c>
      <c r="G771" s="25" t="s">
        <v>6571</v>
      </c>
      <c r="H771" s="212">
        <v>43563</v>
      </c>
      <c r="I771" s="208" t="s">
        <v>6572</v>
      </c>
      <c r="J771" s="76" t="s">
        <v>1386</v>
      </c>
      <c r="K771" s="74"/>
      <c r="L771" s="62"/>
    </row>
    <row r="772" spans="1:19" hidden="1" x14ac:dyDescent="0.25">
      <c r="A772" s="13" t="s">
        <v>184</v>
      </c>
      <c r="B772" s="14">
        <v>43567</v>
      </c>
      <c r="C772" s="13">
        <v>465</v>
      </c>
      <c r="D772" s="13" t="s">
        <v>6568</v>
      </c>
      <c r="E772" s="32" t="s">
        <v>1121</v>
      </c>
      <c r="F772" s="4">
        <v>915000</v>
      </c>
      <c r="G772" s="28" t="s">
        <v>6573</v>
      </c>
      <c r="H772" s="14">
        <v>43563</v>
      </c>
      <c r="I772" s="4" t="s">
        <v>6574</v>
      </c>
      <c r="J772" s="76" t="s">
        <v>6575</v>
      </c>
      <c r="K772" s="71"/>
    </row>
    <row r="773" spans="1:19" s="62" customFormat="1" ht="13.95" hidden="1" customHeight="1" x14ac:dyDescent="0.25">
      <c r="A773" s="61" t="s">
        <v>151</v>
      </c>
      <c r="B773" s="14">
        <v>43567</v>
      </c>
      <c r="C773" s="13">
        <v>466</v>
      </c>
      <c r="D773" s="13" t="s">
        <v>592</v>
      </c>
      <c r="E773" s="13" t="s">
        <v>1121</v>
      </c>
      <c r="F773" s="37">
        <v>1600</v>
      </c>
      <c r="G773" s="29" t="s">
        <v>6544</v>
      </c>
      <c r="H773" s="14">
        <v>43536</v>
      </c>
      <c r="I773" s="4" t="s">
        <v>6411</v>
      </c>
      <c r="J773" s="71"/>
      <c r="O773" s="35"/>
      <c r="P773" s="35"/>
      <c r="Q773" s="35"/>
      <c r="R773" s="35"/>
      <c r="S773" s="35"/>
    </row>
    <row r="774" spans="1:19" s="192" customFormat="1" hidden="1" x14ac:dyDescent="0.25">
      <c r="A774" s="147" t="s">
        <v>242</v>
      </c>
      <c r="B774" s="164">
        <v>43567</v>
      </c>
      <c r="C774" s="195">
        <v>314</v>
      </c>
      <c r="D774" s="149" t="s">
        <v>784</v>
      </c>
      <c r="E774" s="147" t="s">
        <v>144</v>
      </c>
      <c r="F774" s="158">
        <v>1042528.9</v>
      </c>
      <c r="G774" s="150" t="s">
        <v>141</v>
      </c>
      <c r="H774" s="148">
        <v>43567</v>
      </c>
      <c r="I774" s="149" t="s">
        <v>143</v>
      </c>
      <c r="J774" s="193"/>
      <c r="K774" s="194"/>
      <c r="L774" s="190"/>
    </row>
    <row r="775" spans="1:19" ht="27.6" hidden="1" x14ac:dyDescent="0.25">
      <c r="A775" s="13" t="s">
        <v>55</v>
      </c>
      <c r="B775" s="14">
        <v>43567</v>
      </c>
      <c r="C775" s="13">
        <v>627</v>
      </c>
      <c r="D775" s="13" t="s">
        <v>6548</v>
      </c>
      <c r="E775" s="13" t="s">
        <v>1427</v>
      </c>
      <c r="F775" s="4">
        <v>33000</v>
      </c>
      <c r="G775" s="28" t="s">
        <v>196</v>
      </c>
      <c r="H775" s="14">
        <v>43564</v>
      </c>
      <c r="I775" s="4" t="s">
        <v>6549</v>
      </c>
      <c r="J775" s="343"/>
      <c r="K775" s="71"/>
    </row>
    <row r="776" spans="1:19" ht="27.6" hidden="1" x14ac:dyDescent="0.25">
      <c r="A776" s="13" t="s">
        <v>55</v>
      </c>
      <c r="B776" s="14">
        <v>43567</v>
      </c>
      <c r="C776" s="13">
        <v>628</v>
      </c>
      <c r="D776" s="13" t="s">
        <v>4279</v>
      </c>
      <c r="E776" s="13" t="s">
        <v>1427</v>
      </c>
      <c r="F776" s="4">
        <v>90000</v>
      </c>
      <c r="G776" s="28" t="s">
        <v>6542</v>
      </c>
      <c r="H776" s="14">
        <v>43564</v>
      </c>
      <c r="I776" s="4" t="s">
        <v>6543</v>
      </c>
      <c r="J776" s="343"/>
      <c r="K776" s="71"/>
    </row>
    <row r="777" spans="1:19" ht="27.6" hidden="1" x14ac:dyDescent="0.25">
      <c r="A777" s="13" t="s">
        <v>55</v>
      </c>
      <c r="B777" s="14">
        <v>43567</v>
      </c>
      <c r="C777" s="13">
        <v>628</v>
      </c>
      <c r="D777" s="13" t="s">
        <v>4279</v>
      </c>
      <c r="E777" s="13" t="s">
        <v>1427</v>
      </c>
      <c r="F777" s="4">
        <v>45000</v>
      </c>
      <c r="G777" s="28" t="s">
        <v>6545</v>
      </c>
      <c r="H777" s="14">
        <v>43564</v>
      </c>
      <c r="I777" s="4" t="s">
        <v>6546</v>
      </c>
      <c r="J777" s="343"/>
      <c r="K777" s="71"/>
    </row>
    <row r="778" spans="1:19" hidden="1" x14ac:dyDescent="0.25">
      <c r="A778" s="32" t="s">
        <v>550</v>
      </c>
      <c r="B778" s="14">
        <v>43567</v>
      </c>
      <c r="C778" s="67">
        <v>312</v>
      </c>
      <c r="D778" s="32" t="s">
        <v>373</v>
      </c>
      <c r="E778" s="32" t="s">
        <v>891</v>
      </c>
      <c r="F778" s="4">
        <v>1538755.99</v>
      </c>
      <c r="G778" s="28" t="s">
        <v>5573</v>
      </c>
      <c r="H778" s="14">
        <v>43459</v>
      </c>
      <c r="I778" s="4" t="s">
        <v>362</v>
      </c>
      <c r="J778" s="166" t="s">
        <v>239</v>
      </c>
      <c r="K778" s="167"/>
      <c r="L778" s="35"/>
    </row>
    <row r="779" spans="1:19" ht="27.6" hidden="1" x14ac:dyDescent="0.25">
      <c r="A779" s="13" t="s">
        <v>55</v>
      </c>
      <c r="B779" s="14">
        <v>43567</v>
      </c>
      <c r="C779" s="13">
        <v>313</v>
      </c>
      <c r="D779" s="13" t="s">
        <v>4279</v>
      </c>
      <c r="E779" s="13" t="s">
        <v>1335</v>
      </c>
      <c r="F779" s="4">
        <v>60000</v>
      </c>
      <c r="G779" s="28" t="s">
        <v>6547</v>
      </c>
      <c r="H779" s="14">
        <v>43564</v>
      </c>
      <c r="I779" s="4" t="s">
        <v>4280</v>
      </c>
      <c r="J779" s="343"/>
      <c r="K779" s="71"/>
    </row>
    <row r="780" spans="1:19" hidden="1" x14ac:dyDescent="0.25">
      <c r="A780" s="13" t="s">
        <v>213</v>
      </c>
      <c r="B780" s="14">
        <v>43567</v>
      </c>
      <c r="C780" s="13">
        <v>363</v>
      </c>
      <c r="D780" s="13" t="s">
        <v>5272</v>
      </c>
      <c r="E780" s="13" t="s">
        <v>136</v>
      </c>
      <c r="F780" s="37">
        <v>584</v>
      </c>
      <c r="G780" s="29" t="s">
        <v>6629</v>
      </c>
      <c r="H780" s="14">
        <v>43563</v>
      </c>
      <c r="I780" s="4" t="s">
        <v>6630</v>
      </c>
      <c r="K780" s="71"/>
    </row>
    <row r="781" spans="1:19" hidden="1" x14ac:dyDescent="0.25">
      <c r="A781" s="13" t="s">
        <v>213</v>
      </c>
      <c r="B781" s="14">
        <v>43567</v>
      </c>
      <c r="C781" s="13">
        <v>365</v>
      </c>
      <c r="D781" s="13" t="s">
        <v>210</v>
      </c>
      <c r="E781" s="13" t="s">
        <v>136</v>
      </c>
      <c r="F781" s="37">
        <v>65882.42</v>
      </c>
      <c r="G781" s="29" t="s">
        <v>6594</v>
      </c>
      <c r="H781" s="14">
        <v>43563</v>
      </c>
      <c r="I781" s="4" t="s">
        <v>426</v>
      </c>
      <c r="J781" s="22" t="s">
        <v>366</v>
      </c>
      <c r="K781" s="71"/>
    </row>
    <row r="782" spans="1:19" s="129" customFormat="1" hidden="1" x14ac:dyDescent="0.25">
      <c r="A782" s="13" t="s">
        <v>213</v>
      </c>
      <c r="B782" s="14">
        <v>43567</v>
      </c>
      <c r="C782" s="13">
        <v>366</v>
      </c>
      <c r="D782" s="13" t="s">
        <v>210</v>
      </c>
      <c r="E782" s="13" t="s">
        <v>136</v>
      </c>
      <c r="F782" s="37">
        <v>66917.86</v>
      </c>
      <c r="G782" s="29" t="s">
        <v>6595</v>
      </c>
      <c r="H782" s="14">
        <v>43563</v>
      </c>
      <c r="I782" s="4" t="s">
        <v>546</v>
      </c>
      <c r="J782" s="35" t="s">
        <v>366</v>
      </c>
      <c r="K782" s="474"/>
    </row>
    <row r="783" spans="1:19" s="97" customFormat="1" hidden="1" x14ac:dyDescent="0.25">
      <c r="A783" s="13" t="s">
        <v>92</v>
      </c>
      <c r="B783" s="164">
        <v>43567</v>
      </c>
      <c r="C783" s="13">
        <v>752</v>
      </c>
      <c r="D783" s="13" t="s">
        <v>3056</v>
      </c>
      <c r="E783" s="13" t="s">
        <v>140</v>
      </c>
      <c r="F783" s="4">
        <v>27900</v>
      </c>
      <c r="G783" s="29" t="s">
        <v>6371</v>
      </c>
      <c r="H783" s="14">
        <v>43555</v>
      </c>
      <c r="I783" s="4" t="s">
        <v>3057</v>
      </c>
      <c r="J783" s="358"/>
      <c r="K783" s="473"/>
      <c r="L783" s="134"/>
    </row>
    <row r="784" spans="1:19" s="97" customFormat="1" hidden="1" x14ac:dyDescent="0.25">
      <c r="A784" s="32" t="s">
        <v>455</v>
      </c>
      <c r="B784" s="14">
        <v>43567</v>
      </c>
      <c r="C784" s="13">
        <v>275</v>
      </c>
      <c r="D784" s="13" t="s">
        <v>3056</v>
      </c>
      <c r="E784" s="13" t="s">
        <v>440</v>
      </c>
      <c r="F784" s="4">
        <v>121200</v>
      </c>
      <c r="G784" s="29" t="s">
        <v>4381</v>
      </c>
      <c r="H784" s="14">
        <v>43524</v>
      </c>
      <c r="I784" s="4" t="s">
        <v>3057</v>
      </c>
      <c r="J784" s="22"/>
      <c r="K784" s="473"/>
      <c r="L784" s="134"/>
    </row>
    <row r="785" spans="1:19" s="97" customFormat="1" hidden="1" x14ac:dyDescent="0.25">
      <c r="A785" s="32" t="s">
        <v>455</v>
      </c>
      <c r="B785" s="14">
        <v>43567</v>
      </c>
      <c r="C785" s="13">
        <v>276</v>
      </c>
      <c r="D785" s="13" t="s">
        <v>3056</v>
      </c>
      <c r="E785" s="13" t="s">
        <v>440</v>
      </c>
      <c r="F785" s="4">
        <v>13400</v>
      </c>
      <c r="G785" s="29" t="s">
        <v>6372</v>
      </c>
      <c r="H785" s="14">
        <v>43555</v>
      </c>
      <c r="I785" s="4" t="s">
        <v>3057</v>
      </c>
      <c r="J785" s="22"/>
      <c r="K785" s="473"/>
      <c r="L785" s="134"/>
    </row>
    <row r="786" spans="1:19" hidden="1" x14ac:dyDescent="0.25">
      <c r="A786" s="68" t="s">
        <v>455</v>
      </c>
      <c r="B786" s="14">
        <v>43567</v>
      </c>
      <c r="C786" s="13">
        <v>277</v>
      </c>
      <c r="D786" s="32" t="s">
        <v>485</v>
      </c>
      <c r="E786" s="32" t="s">
        <v>440</v>
      </c>
      <c r="F786" s="4">
        <v>45877.3</v>
      </c>
      <c r="G786" s="29" t="s">
        <v>6310</v>
      </c>
      <c r="H786" s="14">
        <v>43559</v>
      </c>
      <c r="I786" s="41" t="s">
        <v>546</v>
      </c>
      <c r="J786" s="22" t="s">
        <v>366</v>
      </c>
      <c r="K786" s="170"/>
      <c r="L786" s="63"/>
      <c r="M786" s="62"/>
    </row>
    <row r="787" spans="1:19" hidden="1" x14ac:dyDescent="0.25">
      <c r="A787" s="32" t="s">
        <v>349</v>
      </c>
      <c r="B787" s="14">
        <v>43567</v>
      </c>
      <c r="C787" s="13">
        <v>626</v>
      </c>
      <c r="D787" s="32" t="s">
        <v>1805</v>
      </c>
      <c r="E787" s="32" t="s">
        <v>130</v>
      </c>
      <c r="F787" s="4">
        <v>125000</v>
      </c>
      <c r="G787" s="69" t="s">
        <v>6540</v>
      </c>
      <c r="H787" s="14"/>
      <c r="I787" s="4" t="s">
        <v>7596</v>
      </c>
      <c r="J787" s="21"/>
      <c r="K787" s="35"/>
    </row>
    <row r="788" spans="1:19" ht="13.8" hidden="1" customHeight="1" x14ac:dyDescent="0.25">
      <c r="A788" s="32" t="s">
        <v>442</v>
      </c>
      <c r="B788" s="14">
        <v>43567</v>
      </c>
      <c r="C788" s="13">
        <v>659</v>
      </c>
      <c r="D788" s="32" t="s">
        <v>181</v>
      </c>
      <c r="E788" s="32" t="s">
        <v>62</v>
      </c>
      <c r="F788" s="4">
        <v>46320</v>
      </c>
      <c r="G788" s="29" t="s">
        <v>4852</v>
      </c>
      <c r="H788" s="14">
        <v>43558</v>
      </c>
      <c r="I788" s="4" t="s">
        <v>102</v>
      </c>
      <c r="J788" s="21"/>
      <c r="K788" s="35"/>
    </row>
    <row r="789" spans="1:19" s="62" customFormat="1" ht="15" hidden="1" customHeight="1" x14ac:dyDescent="0.25">
      <c r="A789" s="13" t="s">
        <v>358</v>
      </c>
      <c r="B789" s="14">
        <v>43567</v>
      </c>
      <c r="C789" s="28" t="s">
        <v>4860</v>
      </c>
      <c r="D789" s="13" t="s">
        <v>1555</v>
      </c>
      <c r="E789" s="32" t="s">
        <v>62</v>
      </c>
      <c r="F789" s="37">
        <v>14400</v>
      </c>
      <c r="G789" s="29" t="s">
        <v>6565</v>
      </c>
      <c r="H789" s="14">
        <v>43555</v>
      </c>
      <c r="I789" s="4" t="s">
        <v>118</v>
      </c>
      <c r="J789" s="71" t="s">
        <v>771</v>
      </c>
      <c r="O789" s="35"/>
      <c r="P789" s="35"/>
      <c r="Q789" s="35"/>
      <c r="R789" s="35"/>
      <c r="S789" s="35"/>
    </row>
    <row r="790" spans="1:19" s="97" customFormat="1" hidden="1" x14ac:dyDescent="0.25">
      <c r="A790" s="13" t="s">
        <v>6553</v>
      </c>
      <c r="B790" s="14">
        <v>43567</v>
      </c>
      <c r="C790" s="13">
        <v>661</v>
      </c>
      <c r="D790" s="13" t="s">
        <v>6551</v>
      </c>
      <c r="E790" s="13" t="s">
        <v>62</v>
      </c>
      <c r="F790" s="4">
        <v>3000</v>
      </c>
      <c r="G790" s="29" t="s">
        <v>3424</v>
      </c>
      <c r="H790" s="14">
        <v>43536</v>
      </c>
      <c r="I790" s="4" t="s">
        <v>6554</v>
      </c>
      <c r="J790" s="358"/>
      <c r="K790" s="473"/>
      <c r="L790" s="134"/>
    </row>
    <row r="791" spans="1:19" s="62" customFormat="1" ht="15" hidden="1" customHeight="1" x14ac:dyDescent="0.25">
      <c r="A791" s="13" t="s">
        <v>455</v>
      </c>
      <c r="B791" s="14">
        <v>43567</v>
      </c>
      <c r="C791" s="28" t="s">
        <v>4339</v>
      </c>
      <c r="D791" s="13" t="s">
        <v>1555</v>
      </c>
      <c r="E791" s="32" t="s">
        <v>958</v>
      </c>
      <c r="F791" s="37">
        <v>8400</v>
      </c>
      <c r="G791" s="29" t="s">
        <v>6563</v>
      </c>
      <c r="H791" s="14">
        <v>43555</v>
      </c>
      <c r="I791" s="4" t="s">
        <v>118</v>
      </c>
      <c r="J791" s="71" t="s">
        <v>771</v>
      </c>
      <c r="O791" s="35"/>
      <c r="P791" s="35"/>
      <c r="Q791" s="35"/>
      <c r="R791" s="35"/>
      <c r="S791" s="35"/>
    </row>
    <row r="792" spans="1:19" s="129" customFormat="1" ht="15" hidden="1" customHeight="1" x14ac:dyDescent="0.25">
      <c r="A792" s="13" t="s">
        <v>151</v>
      </c>
      <c r="B792" s="14">
        <v>43567</v>
      </c>
      <c r="C792" s="28" t="s">
        <v>5849</v>
      </c>
      <c r="D792" s="13" t="s">
        <v>401</v>
      </c>
      <c r="E792" s="32" t="s">
        <v>958</v>
      </c>
      <c r="F792" s="37">
        <v>2100</v>
      </c>
      <c r="G792" s="28" t="s">
        <v>6606</v>
      </c>
      <c r="H792" s="14">
        <v>43529</v>
      </c>
      <c r="I792" s="4" t="s">
        <v>6607</v>
      </c>
      <c r="J792" s="22"/>
      <c r="K792" s="474"/>
    </row>
    <row r="793" spans="1:19" s="129" customFormat="1" hidden="1" x14ac:dyDescent="0.25">
      <c r="A793" s="328" t="s">
        <v>151</v>
      </c>
      <c r="B793" s="102">
        <v>43567</v>
      </c>
      <c r="C793" s="355" t="s">
        <v>5849</v>
      </c>
      <c r="D793" s="328" t="s">
        <v>401</v>
      </c>
      <c r="E793" s="340" t="s">
        <v>958</v>
      </c>
      <c r="F793" s="101">
        <f>23400-4320</f>
        <v>19080</v>
      </c>
      <c r="G793" s="355" t="s">
        <v>5191</v>
      </c>
      <c r="H793" s="102">
        <v>43528</v>
      </c>
      <c r="I793" s="327" t="s">
        <v>6608</v>
      </c>
      <c r="J793" s="144"/>
      <c r="K793" s="474"/>
    </row>
    <row r="794" spans="1:19" s="129" customFormat="1" hidden="1" x14ac:dyDescent="0.25">
      <c r="A794" s="13" t="s">
        <v>151</v>
      </c>
      <c r="B794" s="14">
        <v>43567</v>
      </c>
      <c r="C794" s="28" t="s">
        <v>5849</v>
      </c>
      <c r="D794" s="13" t="s">
        <v>401</v>
      </c>
      <c r="E794" s="32" t="s">
        <v>958</v>
      </c>
      <c r="F794" s="37">
        <v>4320</v>
      </c>
      <c r="G794" s="28" t="s">
        <v>8916</v>
      </c>
      <c r="H794" s="14">
        <v>43616</v>
      </c>
      <c r="I794" s="4" t="s">
        <v>8537</v>
      </c>
      <c r="J794" s="22"/>
      <c r="K794" s="474"/>
    </row>
    <row r="795" spans="1:19" s="62" customFormat="1" ht="15" hidden="1" customHeight="1" x14ac:dyDescent="0.25">
      <c r="A795" s="13" t="s">
        <v>1316</v>
      </c>
      <c r="B795" s="14">
        <v>43567</v>
      </c>
      <c r="C795" s="28" t="s">
        <v>4096</v>
      </c>
      <c r="D795" s="13" t="s">
        <v>1555</v>
      </c>
      <c r="E795" s="32" t="s">
        <v>808</v>
      </c>
      <c r="F795" s="37">
        <v>18840</v>
      </c>
      <c r="G795" s="29" t="s">
        <v>6564</v>
      </c>
      <c r="H795" s="14">
        <v>43555</v>
      </c>
      <c r="I795" s="4" t="s">
        <v>118</v>
      </c>
      <c r="J795" s="71" t="s">
        <v>771</v>
      </c>
      <c r="O795" s="35"/>
      <c r="P795" s="35"/>
      <c r="Q795" s="35"/>
      <c r="R795" s="35"/>
      <c r="S795" s="35"/>
    </row>
    <row r="796" spans="1:19" s="115" customFormat="1" ht="15.6" hidden="1" x14ac:dyDescent="0.25">
      <c r="A796" s="61" t="s">
        <v>651</v>
      </c>
      <c r="B796" s="14">
        <v>43567</v>
      </c>
      <c r="C796" s="13">
        <v>404</v>
      </c>
      <c r="D796" s="13" t="s">
        <v>813</v>
      </c>
      <c r="E796" s="13" t="s">
        <v>547</v>
      </c>
      <c r="F796" s="37">
        <v>3000000</v>
      </c>
      <c r="G796" s="29" t="s">
        <v>810</v>
      </c>
      <c r="H796" s="14">
        <v>42340</v>
      </c>
      <c r="I796" s="41" t="s">
        <v>1560</v>
      </c>
      <c r="J796" s="258"/>
      <c r="K796" s="116"/>
      <c r="L796" s="116"/>
      <c r="M796" s="116"/>
      <c r="N796" s="116"/>
      <c r="O796" s="117"/>
      <c r="P796" s="117"/>
      <c r="Q796" s="117"/>
      <c r="R796" s="117"/>
      <c r="S796" s="117"/>
    </row>
    <row r="797" spans="1:19" hidden="1" x14ac:dyDescent="0.25">
      <c r="A797" s="68" t="s">
        <v>151</v>
      </c>
      <c r="B797" s="14">
        <v>43567</v>
      </c>
      <c r="C797" s="13">
        <v>334</v>
      </c>
      <c r="D797" s="32" t="s">
        <v>4047</v>
      </c>
      <c r="E797" s="32" t="s">
        <v>958</v>
      </c>
      <c r="F797" s="209">
        <v>30000</v>
      </c>
      <c r="G797" s="210" t="s">
        <v>500</v>
      </c>
      <c r="H797" s="211">
        <v>43539</v>
      </c>
      <c r="I797" s="208" t="s">
        <v>6380</v>
      </c>
      <c r="J797" s="21"/>
      <c r="K797" s="228"/>
    </row>
    <row r="798" spans="1:19" hidden="1" x14ac:dyDescent="0.25">
      <c r="A798" s="68" t="s">
        <v>151</v>
      </c>
      <c r="B798" s="14">
        <v>43567</v>
      </c>
      <c r="C798" s="13">
        <v>629</v>
      </c>
      <c r="D798" s="32" t="s">
        <v>4047</v>
      </c>
      <c r="E798" s="32" t="s">
        <v>130</v>
      </c>
      <c r="F798" s="209">
        <v>42000</v>
      </c>
      <c r="G798" s="210" t="s">
        <v>6661</v>
      </c>
      <c r="H798" s="211">
        <v>43539</v>
      </c>
      <c r="I798" s="208" t="s">
        <v>6380</v>
      </c>
      <c r="J798" s="21"/>
      <c r="K798" s="228"/>
    </row>
    <row r="799" spans="1:19" hidden="1" x14ac:dyDescent="0.25">
      <c r="A799" s="68" t="s">
        <v>209</v>
      </c>
      <c r="B799" s="14">
        <v>43567</v>
      </c>
      <c r="C799" s="13">
        <v>78</v>
      </c>
      <c r="D799" s="32" t="s">
        <v>5737</v>
      </c>
      <c r="E799" s="32" t="s">
        <v>134</v>
      </c>
      <c r="F799" s="209">
        <v>14000</v>
      </c>
      <c r="G799" s="210" t="s">
        <v>6662</v>
      </c>
      <c r="H799" s="211">
        <v>43566</v>
      </c>
      <c r="I799" s="208" t="s">
        <v>484</v>
      </c>
      <c r="J799" s="21"/>
      <c r="K799" s="228"/>
    </row>
    <row r="800" spans="1:19" ht="13.95" hidden="1" customHeight="1" x14ac:dyDescent="0.25">
      <c r="A800" s="68" t="s">
        <v>358</v>
      </c>
      <c r="B800" s="14">
        <v>43570</v>
      </c>
      <c r="C800" s="13">
        <v>520</v>
      </c>
      <c r="D800" s="32" t="s">
        <v>1077</v>
      </c>
      <c r="E800" s="32" t="s">
        <v>38</v>
      </c>
      <c r="F800" s="4">
        <v>10000000</v>
      </c>
      <c r="G800" s="86" t="s">
        <v>410</v>
      </c>
      <c r="H800" s="211"/>
      <c r="I800" s="208" t="s">
        <v>581</v>
      </c>
      <c r="J800" s="21"/>
      <c r="K800" s="35"/>
    </row>
    <row r="801" spans="1:19" ht="13.95" hidden="1" customHeight="1" x14ac:dyDescent="0.25">
      <c r="A801" s="32" t="s">
        <v>35</v>
      </c>
      <c r="B801" s="14">
        <v>43570</v>
      </c>
      <c r="C801" s="13">
        <v>445</v>
      </c>
      <c r="D801" s="32" t="s">
        <v>39</v>
      </c>
      <c r="E801" s="32" t="s">
        <v>963</v>
      </c>
      <c r="F801" s="4">
        <v>10000000</v>
      </c>
      <c r="G801" s="86" t="s">
        <v>1019</v>
      </c>
      <c r="H801" s="211"/>
      <c r="I801" s="41" t="s">
        <v>97</v>
      </c>
      <c r="J801" s="21"/>
      <c r="K801" s="35"/>
    </row>
    <row r="802" spans="1:19" s="129" customFormat="1" hidden="1" x14ac:dyDescent="0.25">
      <c r="A802" s="13" t="s">
        <v>151</v>
      </c>
      <c r="B802" s="14">
        <v>43570</v>
      </c>
      <c r="C802" s="28" t="s">
        <v>3209</v>
      </c>
      <c r="D802" s="13" t="s">
        <v>372</v>
      </c>
      <c r="E802" s="13" t="s">
        <v>22</v>
      </c>
      <c r="F802" s="37">
        <v>276270.46000000002</v>
      </c>
      <c r="G802" s="28" t="s">
        <v>6386</v>
      </c>
      <c r="H802" s="14">
        <v>43564</v>
      </c>
      <c r="I802" s="4" t="s">
        <v>836</v>
      </c>
      <c r="J802" s="133"/>
      <c r="K802" s="475"/>
    </row>
    <row r="803" spans="1:19" s="97" customFormat="1" hidden="1" x14ac:dyDescent="0.25">
      <c r="A803" s="13" t="s">
        <v>151</v>
      </c>
      <c r="B803" s="14">
        <v>43570</v>
      </c>
      <c r="C803" s="13">
        <v>105</v>
      </c>
      <c r="D803" s="13" t="s">
        <v>6551</v>
      </c>
      <c r="E803" s="13" t="s">
        <v>22</v>
      </c>
      <c r="F803" s="4">
        <v>5400</v>
      </c>
      <c r="G803" s="29" t="s">
        <v>2961</v>
      </c>
      <c r="H803" s="14">
        <v>43551</v>
      </c>
      <c r="I803" s="4" t="s">
        <v>6555</v>
      </c>
      <c r="J803" s="358"/>
      <c r="K803" s="473"/>
      <c r="L803" s="134"/>
    </row>
    <row r="804" spans="1:19" s="97" customFormat="1" hidden="1" x14ac:dyDescent="0.25">
      <c r="A804" s="13" t="s">
        <v>151</v>
      </c>
      <c r="B804" s="14">
        <v>43570</v>
      </c>
      <c r="C804" s="13">
        <v>102</v>
      </c>
      <c r="D804" s="13" t="s">
        <v>6551</v>
      </c>
      <c r="E804" s="13" t="s">
        <v>22</v>
      </c>
      <c r="F804" s="4">
        <v>18600</v>
      </c>
      <c r="G804" s="29" t="s">
        <v>3212</v>
      </c>
      <c r="H804" s="14">
        <v>43542</v>
      </c>
      <c r="I804" s="4" t="s">
        <v>6601</v>
      </c>
      <c r="J804" s="358"/>
      <c r="K804" s="473"/>
      <c r="L804" s="134"/>
    </row>
    <row r="805" spans="1:19" s="129" customFormat="1" hidden="1" x14ac:dyDescent="0.25">
      <c r="A805" s="13" t="s">
        <v>151</v>
      </c>
      <c r="B805" s="14">
        <v>43570</v>
      </c>
      <c r="C805" s="28" t="s">
        <v>3218</v>
      </c>
      <c r="D805" s="13" t="s">
        <v>6670</v>
      </c>
      <c r="E805" s="32" t="s">
        <v>22</v>
      </c>
      <c r="F805" s="4">
        <v>13720</v>
      </c>
      <c r="G805" s="28" t="s">
        <v>6671</v>
      </c>
      <c r="H805" s="14">
        <v>43567</v>
      </c>
      <c r="I805" s="4" t="s">
        <v>6672</v>
      </c>
      <c r="J805" s="22"/>
      <c r="K805" s="136"/>
    </row>
    <row r="806" spans="1:19" hidden="1" x14ac:dyDescent="0.25">
      <c r="A806" s="68" t="s">
        <v>151</v>
      </c>
      <c r="B806" s="14">
        <v>43570</v>
      </c>
      <c r="C806" s="13">
        <v>244</v>
      </c>
      <c r="D806" s="32" t="s">
        <v>4047</v>
      </c>
      <c r="E806" s="32" t="s">
        <v>481</v>
      </c>
      <c r="F806" s="209">
        <v>24000</v>
      </c>
      <c r="G806" s="210" t="s">
        <v>6712</v>
      </c>
      <c r="H806" s="211">
        <v>43542</v>
      </c>
      <c r="I806" s="208" t="s">
        <v>6380</v>
      </c>
      <c r="J806" s="21"/>
      <c r="K806" s="228"/>
    </row>
    <row r="807" spans="1:19" hidden="1" x14ac:dyDescent="0.25">
      <c r="A807" s="68" t="s">
        <v>151</v>
      </c>
      <c r="B807" s="14">
        <v>43570</v>
      </c>
      <c r="C807" s="13">
        <v>446</v>
      </c>
      <c r="D807" s="32" t="s">
        <v>4047</v>
      </c>
      <c r="E807" s="32" t="s">
        <v>60</v>
      </c>
      <c r="F807" s="209">
        <v>42000</v>
      </c>
      <c r="G807" s="210" t="s">
        <v>984</v>
      </c>
      <c r="H807" s="211">
        <v>43539</v>
      </c>
      <c r="I807" s="208" t="s">
        <v>6380</v>
      </c>
      <c r="J807" s="21"/>
      <c r="K807" s="228"/>
    </row>
    <row r="808" spans="1:19" hidden="1" x14ac:dyDescent="0.25">
      <c r="A808" s="68" t="s">
        <v>151</v>
      </c>
      <c r="B808" s="14">
        <v>43570</v>
      </c>
      <c r="C808" s="13">
        <v>1</v>
      </c>
      <c r="D808" s="32" t="s">
        <v>1169</v>
      </c>
      <c r="E808" s="32" t="s">
        <v>6713</v>
      </c>
      <c r="F808" s="4">
        <v>30000</v>
      </c>
      <c r="G808" s="210" t="s">
        <v>3964</v>
      </c>
      <c r="H808" s="211">
        <v>43522</v>
      </c>
      <c r="I808" s="208" t="s">
        <v>4625</v>
      </c>
      <c r="J808" s="21"/>
      <c r="K808" s="228"/>
    </row>
    <row r="809" spans="1:19" hidden="1" x14ac:dyDescent="0.25">
      <c r="A809" s="68" t="s">
        <v>151</v>
      </c>
      <c r="B809" s="14">
        <v>43570</v>
      </c>
      <c r="C809" s="13">
        <v>1</v>
      </c>
      <c r="D809" s="32" t="s">
        <v>1169</v>
      </c>
      <c r="E809" s="32" t="s">
        <v>6714</v>
      </c>
      <c r="F809" s="4">
        <v>30000</v>
      </c>
      <c r="G809" s="210" t="s">
        <v>3852</v>
      </c>
      <c r="H809" s="211">
        <v>43522</v>
      </c>
      <c r="I809" s="208" t="s">
        <v>4625</v>
      </c>
      <c r="J809" s="21"/>
      <c r="K809" s="228"/>
    </row>
    <row r="810" spans="1:19" hidden="1" x14ac:dyDescent="0.25">
      <c r="A810" s="68" t="s">
        <v>151</v>
      </c>
      <c r="B810" s="14">
        <v>43570</v>
      </c>
      <c r="C810" s="13">
        <v>1</v>
      </c>
      <c r="D810" s="32" t="s">
        <v>1169</v>
      </c>
      <c r="E810" s="32" t="s">
        <v>6715</v>
      </c>
      <c r="F810" s="4">
        <v>30000</v>
      </c>
      <c r="G810" s="210" t="s">
        <v>730</v>
      </c>
      <c r="H810" s="211">
        <v>43522</v>
      </c>
      <c r="I810" s="208" t="s">
        <v>4625</v>
      </c>
      <c r="J810" s="21"/>
      <c r="K810" s="228"/>
    </row>
    <row r="811" spans="1:19" s="2" customFormat="1" ht="27.6" hidden="1" x14ac:dyDescent="0.25">
      <c r="A811" s="13" t="s">
        <v>6</v>
      </c>
      <c r="B811" s="14">
        <v>43571</v>
      </c>
      <c r="C811" s="13">
        <v>188</v>
      </c>
      <c r="D811" s="13" t="s">
        <v>1526</v>
      </c>
      <c r="E811" s="13" t="s">
        <v>183</v>
      </c>
      <c r="F811" s="4">
        <v>11850</v>
      </c>
      <c r="G811" s="29" t="s">
        <v>6701</v>
      </c>
      <c r="H811" s="14">
        <v>43553</v>
      </c>
      <c r="I811" s="4" t="s">
        <v>6702</v>
      </c>
      <c r="J811" s="341"/>
      <c r="K811" s="31"/>
      <c r="L811" s="31"/>
      <c r="M811" s="31"/>
      <c r="N811" s="31"/>
      <c r="O811" s="34"/>
      <c r="P811" s="34"/>
      <c r="Q811" s="34"/>
      <c r="R811" s="34"/>
      <c r="S811" s="34"/>
    </row>
    <row r="812" spans="1:19" s="2" customFormat="1" ht="15" hidden="1" customHeight="1" x14ac:dyDescent="0.25">
      <c r="A812" s="13" t="s">
        <v>6</v>
      </c>
      <c r="B812" s="14">
        <v>43571</v>
      </c>
      <c r="C812" s="13">
        <v>189</v>
      </c>
      <c r="D812" s="13" t="s">
        <v>258</v>
      </c>
      <c r="E812" s="13" t="s">
        <v>183</v>
      </c>
      <c r="F812" s="4">
        <v>130255.58</v>
      </c>
      <c r="G812" s="29" t="s">
        <v>4369</v>
      </c>
      <c r="H812" s="14">
        <v>43566</v>
      </c>
      <c r="I812" s="4" t="s">
        <v>187</v>
      </c>
      <c r="J812" s="341"/>
      <c r="K812" s="31"/>
      <c r="L812" s="31"/>
      <c r="M812" s="31"/>
      <c r="N812" s="31"/>
      <c r="O812" s="34"/>
      <c r="P812" s="34"/>
      <c r="Q812" s="34"/>
      <c r="R812" s="34"/>
      <c r="S812" s="34"/>
    </row>
    <row r="813" spans="1:19" s="2" customFormat="1" ht="15" hidden="1" customHeight="1" x14ac:dyDescent="0.25">
      <c r="A813" s="13" t="s">
        <v>6</v>
      </c>
      <c r="B813" s="14">
        <v>43571</v>
      </c>
      <c r="C813" s="13">
        <v>190</v>
      </c>
      <c r="D813" s="13" t="s">
        <v>2051</v>
      </c>
      <c r="E813" s="13" t="s">
        <v>183</v>
      </c>
      <c r="F813" s="4">
        <v>74800</v>
      </c>
      <c r="G813" s="29" t="s">
        <v>6613</v>
      </c>
      <c r="H813" s="14">
        <v>43566</v>
      </c>
      <c r="I813" s="4" t="s">
        <v>2052</v>
      </c>
      <c r="J813" s="341"/>
      <c r="K813" s="31"/>
      <c r="L813" s="31"/>
      <c r="M813" s="31"/>
      <c r="N813" s="31"/>
      <c r="O813" s="34"/>
      <c r="P813" s="34"/>
      <c r="Q813" s="34"/>
      <c r="R813" s="34"/>
      <c r="S813" s="34"/>
    </row>
    <row r="814" spans="1:19" s="2" customFormat="1" ht="15" hidden="1" customHeight="1" x14ac:dyDescent="0.25">
      <c r="A814" s="13" t="s">
        <v>6</v>
      </c>
      <c r="B814" s="14">
        <v>43571</v>
      </c>
      <c r="C814" s="13">
        <v>191</v>
      </c>
      <c r="D814" s="13" t="s">
        <v>6699</v>
      </c>
      <c r="E814" s="13" t="s">
        <v>183</v>
      </c>
      <c r="F814" s="4">
        <v>60960</v>
      </c>
      <c r="G814" s="29" t="s">
        <v>5495</v>
      </c>
      <c r="H814" s="14">
        <v>43570</v>
      </c>
      <c r="I814" s="4" t="s">
        <v>6700</v>
      </c>
      <c r="J814" s="341"/>
      <c r="K814" s="31"/>
      <c r="L814" s="31"/>
      <c r="M814" s="31"/>
      <c r="N814" s="31"/>
      <c r="O814" s="34"/>
      <c r="P814" s="34"/>
      <c r="Q814" s="34"/>
      <c r="R814" s="34"/>
      <c r="S814" s="34"/>
    </row>
    <row r="815" spans="1:19" s="2" customFormat="1" ht="15" hidden="1" customHeight="1" x14ac:dyDescent="0.25">
      <c r="A815" s="13" t="s">
        <v>6</v>
      </c>
      <c r="B815" s="14">
        <v>43571</v>
      </c>
      <c r="C815" s="13">
        <v>192</v>
      </c>
      <c r="D815" s="32" t="s">
        <v>841</v>
      </c>
      <c r="E815" s="13" t="s">
        <v>183</v>
      </c>
      <c r="F815" s="4">
        <v>52500</v>
      </c>
      <c r="G815" s="29" t="s">
        <v>1875</v>
      </c>
      <c r="H815" s="14">
        <v>43530</v>
      </c>
      <c r="I815" s="4" t="s">
        <v>263</v>
      </c>
      <c r="J815" s="341"/>
      <c r="K815" s="31"/>
      <c r="L815" s="31"/>
      <c r="M815" s="31"/>
      <c r="N815" s="31"/>
      <c r="O815" s="34"/>
      <c r="P815" s="34"/>
      <c r="Q815" s="34"/>
      <c r="R815" s="34"/>
      <c r="S815" s="34"/>
    </row>
    <row r="816" spans="1:19" s="2" customFormat="1" ht="15" hidden="1" customHeight="1" x14ac:dyDescent="0.25">
      <c r="A816" s="13" t="s">
        <v>6</v>
      </c>
      <c r="B816" s="14">
        <v>43571</v>
      </c>
      <c r="C816" s="13">
        <v>192</v>
      </c>
      <c r="D816" s="32" t="s">
        <v>841</v>
      </c>
      <c r="E816" s="13" t="s">
        <v>183</v>
      </c>
      <c r="F816" s="4">
        <v>98075</v>
      </c>
      <c r="G816" s="29" t="s">
        <v>6612</v>
      </c>
      <c r="H816" s="14">
        <v>43551</v>
      </c>
      <c r="I816" s="4" t="s">
        <v>263</v>
      </c>
      <c r="J816" s="341"/>
      <c r="K816" s="31"/>
      <c r="L816" s="31"/>
      <c r="M816" s="31"/>
      <c r="N816" s="31"/>
      <c r="O816" s="34"/>
      <c r="P816" s="34"/>
      <c r="Q816" s="34"/>
      <c r="R816" s="34"/>
      <c r="S816" s="34"/>
    </row>
    <row r="817" spans="1:19" s="2" customFormat="1" ht="15" hidden="1" customHeight="1" x14ac:dyDescent="0.25">
      <c r="A817" s="13" t="s">
        <v>6</v>
      </c>
      <c r="B817" s="14">
        <v>43571</v>
      </c>
      <c r="C817" s="13">
        <v>193</v>
      </c>
      <c r="D817" s="32" t="s">
        <v>6703</v>
      </c>
      <c r="E817" s="13" t="s">
        <v>183</v>
      </c>
      <c r="F817" s="4">
        <v>78731.61</v>
      </c>
      <c r="G817" s="29" t="s">
        <v>27</v>
      </c>
      <c r="H817" s="14">
        <v>43565</v>
      </c>
      <c r="I817" s="4" t="s">
        <v>6704</v>
      </c>
      <c r="J817" s="341"/>
      <c r="K817" s="31"/>
      <c r="L817" s="31"/>
      <c r="M817" s="31"/>
      <c r="N817" s="31"/>
      <c r="O817" s="34"/>
      <c r="P817" s="34"/>
      <c r="Q817" s="34"/>
      <c r="R817" s="34"/>
      <c r="S817" s="34"/>
    </row>
    <row r="818" spans="1:19" hidden="1" x14ac:dyDescent="0.25">
      <c r="A818" s="61" t="s">
        <v>460</v>
      </c>
      <c r="B818" s="14">
        <v>43571</v>
      </c>
      <c r="C818" s="13">
        <v>54</v>
      </c>
      <c r="D818" s="32" t="s">
        <v>4733</v>
      </c>
      <c r="E818" s="32" t="s">
        <v>742</v>
      </c>
      <c r="F818" s="4">
        <v>1329570</v>
      </c>
      <c r="G818" s="86" t="s">
        <v>4734</v>
      </c>
      <c r="H818" s="14">
        <v>43523</v>
      </c>
      <c r="I818" s="326"/>
      <c r="K818" s="62"/>
    </row>
    <row r="819" spans="1:19" hidden="1" x14ac:dyDescent="0.25">
      <c r="A819" s="61" t="s">
        <v>460</v>
      </c>
      <c r="B819" s="14">
        <v>43571</v>
      </c>
      <c r="C819" s="13">
        <v>101</v>
      </c>
      <c r="D819" s="14" t="s">
        <v>5179</v>
      </c>
      <c r="E819" s="32" t="s">
        <v>483</v>
      </c>
      <c r="F819" s="4">
        <v>40851</v>
      </c>
      <c r="G819" s="86" t="s">
        <v>5180</v>
      </c>
      <c r="H819" s="211"/>
      <c r="I819" s="326"/>
      <c r="K819" s="62"/>
    </row>
    <row r="820" spans="1:19" hidden="1" x14ac:dyDescent="0.25">
      <c r="A820" s="61" t="s">
        <v>460</v>
      </c>
      <c r="B820" s="14">
        <v>43571</v>
      </c>
      <c r="C820" s="13">
        <v>102</v>
      </c>
      <c r="D820" s="14" t="s">
        <v>5297</v>
      </c>
      <c r="E820" s="32" t="s">
        <v>483</v>
      </c>
      <c r="F820" s="4">
        <v>43861</v>
      </c>
      <c r="G820" s="86" t="s">
        <v>5298</v>
      </c>
      <c r="H820" s="211"/>
      <c r="I820" s="326"/>
      <c r="K820" s="62"/>
    </row>
    <row r="821" spans="1:19" hidden="1" x14ac:dyDescent="0.25">
      <c r="A821" s="61" t="s">
        <v>460</v>
      </c>
      <c r="B821" s="14">
        <v>43571</v>
      </c>
      <c r="C821" s="13">
        <v>103</v>
      </c>
      <c r="D821" s="14" t="s">
        <v>5299</v>
      </c>
      <c r="E821" s="32" t="s">
        <v>483</v>
      </c>
      <c r="F821" s="4">
        <v>49640</v>
      </c>
      <c r="G821" s="86" t="s">
        <v>5300</v>
      </c>
      <c r="H821" s="211"/>
      <c r="I821" s="326"/>
      <c r="K821" s="62"/>
    </row>
    <row r="822" spans="1:19" hidden="1" x14ac:dyDescent="0.25">
      <c r="A822" s="61" t="s">
        <v>460</v>
      </c>
      <c r="B822" s="14">
        <v>43571</v>
      </c>
      <c r="C822" s="13">
        <v>104</v>
      </c>
      <c r="D822" s="14" t="s">
        <v>5305</v>
      </c>
      <c r="E822" s="32" t="s">
        <v>483</v>
      </c>
      <c r="F822" s="4">
        <v>38372</v>
      </c>
      <c r="G822" s="86" t="s">
        <v>5306</v>
      </c>
      <c r="H822" s="211"/>
      <c r="I822" s="326"/>
      <c r="K822" s="62"/>
    </row>
    <row r="823" spans="1:19" hidden="1" x14ac:dyDescent="0.25">
      <c r="A823" s="61" t="s">
        <v>460</v>
      </c>
      <c r="B823" s="14">
        <v>43571</v>
      </c>
      <c r="C823" s="13">
        <v>105</v>
      </c>
      <c r="D823" s="14" t="s">
        <v>5307</v>
      </c>
      <c r="E823" s="32" t="s">
        <v>483</v>
      </c>
      <c r="F823" s="4">
        <v>47758</v>
      </c>
      <c r="G823" s="86" t="s">
        <v>5308</v>
      </c>
      <c r="H823" s="211"/>
      <c r="I823" s="326"/>
      <c r="K823" s="62"/>
    </row>
    <row r="824" spans="1:19" s="129" customFormat="1" ht="27.6" hidden="1" x14ac:dyDescent="0.25">
      <c r="A824" s="13" t="s">
        <v>151</v>
      </c>
      <c r="B824" s="14">
        <v>43571</v>
      </c>
      <c r="C824" s="28" t="s">
        <v>6737</v>
      </c>
      <c r="D824" s="13" t="s">
        <v>1945</v>
      </c>
      <c r="E824" s="13" t="s">
        <v>1427</v>
      </c>
      <c r="F824" s="37">
        <v>14196</v>
      </c>
      <c r="G824" s="28" t="s">
        <v>2186</v>
      </c>
      <c r="H824" s="14">
        <v>43370</v>
      </c>
      <c r="I824" s="4" t="s">
        <v>1835</v>
      </c>
      <c r="J824" s="22" t="s">
        <v>771</v>
      </c>
      <c r="K824" s="136"/>
    </row>
    <row r="825" spans="1:19" s="129" customFormat="1" ht="27.6" hidden="1" x14ac:dyDescent="0.25">
      <c r="A825" s="13" t="s">
        <v>55</v>
      </c>
      <c r="B825" s="14">
        <v>43571</v>
      </c>
      <c r="C825" s="13">
        <v>635</v>
      </c>
      <c r="D825" s="13" t="s">
        <v>1392</v>
      </c>
      <c r="E825" s="13" t="s">
        <v>1427</v>
      </c>
      <c r="F825" s="37">
        <v>232111.54</v>
      </c>
      <c r="G825" s="29" t="s">
        <v>6101</v>
      </c>
      <c r="H825" s="14">
        <v>43555</v>
      </c>
      <c r="I825" s="4" t="s">
        <v>618</v>
      </c>
      <c r="J825" s="35" t="s">
        <v>366</v>
      </c>
      <c r="K825" s="136"/>
    </row>
    <row r="826" spans="1:19" ht="15" hidden="1" customHeight="1" x14ac:dyDescent="0.25">
      <c r="A826" s="13" t="s">
        <v>184</v>
      </c>
      <c r="B826" s="14">
        <v>43571</v>
      </c>
      <c r="C826" s="13">
        <v>471</v>
      </c>
      <c r="D826" s="13" t="s">
        <v>897</v>
      </c>
      <c r="E826" s="32" t="s">
        <v>1121</v>
      </c>
      <c r="F826" s="4">
        <v>58900</v>
      </c>
      <c r="G826" s="28" t="s">
        <v>6663</v>
      </c>
      <c r="H826" s="14">
        <v>43567</v>
      </c>
      <c r="I826" s="4" t="s">
        <v>6664</v>
      </c>
      <c r="J826" s="76"/>
    </row>
    <row r="827" spans="1:19" hidden="1" x14ac:dyDescent="0.25">
      <c r="A827" s="13" t="s">
        <v>184</v>
      </c>
      <c r="B827" s="14">
        <v>43571</v>
      </c>
      <c r="C827" s="13">
        <v>489</v>
      </c>
      <c r="D827" s="13" t="s">
        <v>6568</v>
      </c>
      <c r="E827" s="32" t="s">
        <v>1121</v>
      </c>
      <c r="F827" s="4">
        <f>1830000-915000</f>
        <v>915000</v>
      </c>
      <c r="G827" s="28" t="s">
        <v>6573</v>
      </c>
      <c r="H827" s="14">
        <v>43563</v>
      </c>
      <c r="I827" s="4" t="s">
        <v>6574</v>
      </c>
      <c r="J827" s="76" t="s">
        <v>6575</v>
      </c>
    </row>
    <row r="828" spans="1:19" hidden="1" x14ac:dyDescent="0.25">
      <c r="A828" s="13" t="s">
        <v>184</v>
      </c>
      <c r="B828" s="14">
        <v>43571</v>
      </c>
      <c r="C828" s="13">
        <v>472</v>
      </c>
      <c r="D828" s="13" t="s">
        <v>197</v>
      </c>
      <c r="E828" s="32" t="s">
        <v>1121</v>
      </c>
      <c r="F828" s="4">
        <v>195294</v>
      </c>
      <c r="G828" s="28" t="s">
        <v>6435</v>
      </c>
      <c r="H828" s="14">
        <v>43544</v>
      </c>
      <c r="I828" s="4" t="s">
        <v>1181</v>
      </c>
      <c r="J828" s="76" t="s">
        <v>771</v>
      </c>
    </row>
    <row r="829" spans="1:19" ht="15" hidden="1" customHeight="1" x14ac:dyDescent="0.25">
      <c r="A829" s="13" t="s">
        <v>184</v>
      </c>
      <c r="B829" s="14">
        <v>43571</v>
      </c>
      <c r="C829" s="13">
        <v>468</v>
      </c>
      <c r="D829" s="32" t="s">
        <v>747</v>
      </c>
      <c r="E829" s="32" t="s">
        <v>1121</v>
      </c>
      <c r="F829" s="4">
        <v>355859</v>
      </c>
      <c r="G829" s="28" t="s">
        <v>6250</v>
      </c>
      <c r="H829" s="14">
        <v>43550</v>
      </c>
      <c r="I829" s="4" t="s">
        <v>424</v>
      </c>
      <c r="J829" s="76" t="s">
        <v>771</v>
      </c>
    </row>
    <row r="830" spans="1:19" ht="15" hidden="1" customHeight="1" x14ac:dyDescent="0.25">
      <c r="A830" s="13" t="s">
        <v>184</v>
      </c>
      <c r="B830" s="14">
        <v>43571</v>
      </c>
      <c r="C830" s="13">
        <v>468</v>
      </c>
      <c r="D830" s="32" t="s">
        <v>747</v>
      </c>
      <c r="E830" s="32" t="s">
        <v>1121</v>
      </c>
      <c r="F830" s="4">
        <v>53333</v>
      </c>
      <c r="G830" s="28" t="s">
        <v>6251</v>
      </c>
      <c r="H830" s="14">
        <v>43550</v>
      </c>
      <c r="I830" s="4" t="s">
        <v>749</v>
      </c>
      <c r="J830" s="76" t="s">
        <v>771</v>
      </c>
    </row>
    <row r="831" spans="1:19" hidden="1" x14ac:dyDescent="0.25">
      <c r="A831" s="13" t="s">
        <v>184</v>
      </c>
      <c r="B831" s="14">
        <v>43571</v>
      </c>
      <c r="C831" s="13">
        <v>468</v>
      </c>
      <c r="D831" s="32" t="s">
        <v>747</v>
      </c>
      <c r="E831" s="32" t="s">
        <v>1121</v>
      </c>
      <c r="F831" s="4">
        <v>44400</v>
      </c>
      <c r="G831" s="28" t="s">
        <v>6252</v>
      </c>
      <c r="H831" s="14">
        <v>43550</v>
      </c>
      <c r="I831" s="4" t="s">
        <v>750</v>
      </c>
      <c r="J831" s="76" t="s">
        <v>771</v>
      </c>
    </row>
    <row r="832" spans="1:19" ht="15" hidden="1" customHeight="1" x14ac:dyDescent="0.25">
      <c r="A832" s="13" t="s">
        <v>184</v>
      </c>
      <c r="B832" s="14">
        <v>43571</v>
      </c>
      <c r="C832" s="13">
        <v>468</v>
      </c>
      <c r="D832" s="32" t="s">
        <v>747</v>
      </c>
      <c r="E832" s="32" t="s">
        <v>1121</v>
      </c>
      <c r="F832" s="4">
        <v>102913</v>
      </c>
      <c r="G832" s="28" t="s">
        <v>6253</v>
      </c>
      <c r="H832" s="14">
        <v>43550</v>
      </c>
      <c r="I832" s="4" t="s">
        <v>658</v>
      </c>
      <c r="J832" s="76" t="s">
        <v>771</v>
      </c>
    </row>
    <row r="833" spans="1:10" ht="15" hidden="1" customHeight="1" x14ac:dyDescent="0.25">
      <c r="A833" s="13" t="s">
        <v>184</v>
      </c>
      <c r="B833" s="14">
        <v>43571</v>
      </c>
      <c r="C833" s="13">
        <v>468</v>
      </c>
      <c r="D833" s="32" t="s">
        <v>747</v>
      </c>
      <c r="E833" s="32" t="s">
        <v>1121</v>
      </c>
      <c r="F833" s="4">
        <v>60316</v>
      </c>
      <c r="G833" s="28" t="s">
        <v>6254</v>
      </c>
      <c r="H833" s="14">
        <v>43550</v>
      </c>
      <c r="I833" s="4" t="s">
        <v>1139</v>
      </c>
      <c r="J833" s="76" t="s">
        <v>771</v>
      </c>
    </row>
    <row r="834" spans="1:10" ht="15" hidden="1" customHeight="1" x14ac:dyDescent="0.25">
      <c r="A834" s="13" t="s">
        <v>184</v>
      </c>
      <c r="B834" s="14">
        <v>43571</v>
      </c>
      <c r="C834" s="13">
        <v>469</v>
      </c>
      <c r="D834" s="32" t="s">
        <v>747</v>
      </c>
      <c r="E834" s="32" t="s">
        <v>1121</v>
      </c>
      <c r="F834" s="4">
        <v>95292</v>
      </c>
      <c r="G834" s="28" t="s">
        <v>6255</v>
      </c>
      <c r="H834" s="14">
        <v>43550</v>
      </c>
      <c r="I834" s="4" t="s">
        <v>3783</v>
      </c>
      <c r="J834" s="76" t="s">
        <v>771</v>
      </c>
    </row>
    <row r="835" spans="1:10" ht="15" hidden="1" customHeight="1" x14ac:dyDescent="0.25">
      <c r="A835" s="13" t="s">
        <v>184</v>
      </c>
      <c r="B835" s="14">
        <v>43571</v>
      </c>
      <c r="C835" s="13">
        <v>469</v>
      </c>
      <c r="D835" s="32" t="s">
        <v>747</v>
      </c>
      <c r="E835" s="32" t="s">
        <v>1121</v>
      </c>
      <c r="F835" s="4">
        <v>55001</v>
      </c>
      <c r="G835" s="28" t="s">
        <v>6256</v>
      </c>
      <c r="H835" s="14">
        <v>43550</v>
      </c>
      <c r="I835" s="4" t="s">
        <v>748</v>
      </c>
      <c r="J835" s="76" t="s">
        <v>771</v>
      </c>
    </row>
    <row r="836" spans="1:10" ht="15" hidden="1" customHeight="1" x14ac:dyDescent="0.25">
      <c r="A836" s="13" t="s">
        <v>184</v>
      </c>
      <c r="B836" s="14">
        <v>43571</v>
      </c>
      <c r="C836" s="13">
        <v>469</v>
      </c>
      <c r="D836" s="32" t="s">
        <v>747</v>
      </c>
      <c r="E836" s="32" t="s">
        <v>1121</v>
      </c>
      <c r="F836" s="4">
        <v>45863</v>
      </c>
      <c r="G836" s="28" t="s">
        <v>6257</v>
      </c>
      <c r="H836" s="14">
        <v>43550</v>
      </c>
      <c r="I836" s="4" t="s">
        <v>357</v>
      </c>
      <c r="J836" s="76" t="s">
        <v>771</v>
      </c>
    </row>
    <row r="837" spans="1:10" hidden="1" x14ac:dyDescent="0.25">
      <c r="A837" s="13" t="s">
        <v>184</v>
      </c>
      <c r="B837" s="14">
        <v>43571</v>
      </c>
      <c r="C837" s="13">
        <v>469</v>
      </c>
      <c r="D837" s="32" t="s">
        <v>747</v>
      </c>
      <c r="E837" s="32" t="s">
        <v>1121</v>
      </c>
      <c r="F837" s="4">
        <v>51311</v>
      </c>
      <c r="G837" s="28" t="s">
        <v>6258</v>
      </c>
      <c r="H837" s="14">
        <v>43550</v>
      </c>
      <c r="I837" s="4" t="s">
        <v>425</v>
      </c>
      <c r="J837" s="76" t="s">
        <v>771</v>
      </c>
    </row>
    <row r="838" spans="1:10" ht="15" hidden="1" customHeight="1" x14ac:dyDescent="0.25">
      <c r="A838" s="13" t="s">
        <v>184</v>
      </c>
      <c r="B838" s="14">
        <v>43571</v>
      </c>
      <c r="C838" s="13">
        <v>469</v>
      </c>
      <c r="D838" s="32" t="s">
        <v>747</v>
      </c>
      <c r="E838" s="32" t="s">
        <v>1121</v>
      </c>
      <c r="F838" s="4">
        <v>51834</v>
      </c>
      <c r="G838" s="28" t="s">
        <v>6259</v>
      </c>
      <c r="H838" s="14">
        <v>43550</v>
      </c>
      <c r="I838" s="4" t="s">
        <v>492</v>
      </c>
      <c r="J838" s="76" t="s">
        <v>771</v>
      </c>
    </row>
    <row r="839" spans="1:10" ht="15" hidden="1" customHeight="1" x14ac:dyDescent="0.25">
      <c r="A839" s="13" t="s">
        <v>184</v>
      </c>
      <c r="B839" s="14">
        <v>43571</v>
      </c>
      <c r="C839" s="13">
        <v>470</v>
      </c>
      <c r="D839" s="32" t="s">
        <v>747</v>
      </c>
      <c r="E839" s="32" t="s">
        <v>1121</v>
      </c>
      <c r="F839" s="4">
        <v>66373</v>
      </c>
      <c r="G839" s="28" t="s">
        <v>6246</v>
      </c>
      <c r="H839" s="14">
        <v>43550</v>
      </c>
      <c r="I839" s="28">
        <v>78</v>
      </c>
      <c r="J839" s="76" t="s">
        <v>771</v>
      </c>
    </row>
    <row r="840" spans="1:10" ht="15" hidden="1" customHeight="1" x14ac:dyDescent="0.25">
      <c r="A840" s="13" t="s">
        <v>184</v>
      </c>
      <c r="B840" s="14">
        <v>43571</v>
      </c>
      <c r="C840" s="13">
        <v>470</v>
      </c>
      <c r="D840" s="32" t="s">
        <v>747</v>
      </c>
      <c r="E840" s="32" t="s">
        <v>1121</v>
      </c>
      <c r="F840" s="4">
        <v>133954.56</v>
      </c>
      <c r="G840" s="28" t="s">
        <v>6260</v>
      </c>
      <c r="H840" s="14">
        <v>43553</v>
      </c>
      <c r="I840" s="4" t="s">
        <v>6261</v>
      </c>
      <c r="J840" s="76" t="s">
        <v>771</v>
      </c>
    </row>
    <row r="841" spans="1:10" ht="15" hidden="1" customHeight="1" x14ac:dyDescent="0.25">
      <c r="A841" s="13" t="s">
        <v>184</v>
      </c>
      <c r="B841" s="14">
        <v>43571</v>
      </c>
      <c r="C841" s="13">
        <v>473</v>
      </c>
      <c r="D841" s="13" t="s">
        <v>348</v>
      </c>
      <c r="E841" s="32" t="s">
        <v>1121</v>
      </c>
      <c r="F841" s="4">
        <f>222156-216284.6</f>
        <v>5871.3999999999942</v>
      </c>
      <c r="G841" s="28" t="s">
        <v>3614</v>
      </c>
      <c r="H841" s="14">
        <v>43556</v>
      </c>
      <c r="I841" s="4" t="s">
        <v>6578</v>
      </c>
      <c r="J841" s="76" t="s">
        <v>771</v>
      </c>
    </row>
    <row r="842" spans="1:10" ht="15" hidden="1" customHeight="1" x14ac:dyDescent="0.25">
      <c r="A842" s="13" t="s">
        <v>184</v>
      </c>
      <c r="B842" s="14">
        <v>43571</v>
      </c>
      <c r="C842" s="13">
        <v>474</v>
      </c>
      <c r="D842" s="13" t="s">
        <v>348</v>
      </c>
      <c r="E842" s="32" t="s">
        <v>1121</v>
      </c>
      <c r="F842" s="4">
        <f>532620-82800</f>
        <v>449820</v>
      </c>
      <c r="G842" s="28" t="s">
        <v>6236</v>
      </c>
      <c r="H842" s="14">
        <v>43550</v>
      </c>
      <c r="I842" s="4" t="s">
        <v>6262</v>
      </c>
      <c r="J842" s="76" t="s">
        <v>6263</v>
      </c>
    </row>
    <row r="843" spans="1:10" hidden="1" x14ac:dyDescent="0.25">
      <c r="A843" s="13" t="s">
        <v>184</v>
      </c>
      <c r="B843" s="14">
        <v>43571</v>
      </c>
      <c r="C843" s="13">
        <v>475</v>
      </c>
      <c r="D843" s="13" t="s">
        <v>5567</v>
      </c>
      <c r="E843" s="32" t="s">
        <v>1121</v>
      </c>
      <c r="F843" s="4">
        <v>50000</v>
      </c>
      <c r="G843" s="28" t="s">
        <v>6593</v>
      </c>
      <c r="H843" s="14">
        <v>43564</v>
      </c>
      <c r="I843" s="4" t="s">
        <v>5569</v>
      </c>
      <c r="J843" s="125"/>
    </row>
    <row r="844" spans="1:10" ht="15" hidden="1" customHeight="1" x14ac:dyDescent="0.25">
      <c r="A844" s="13" t="s">
        <v>184</v>
      </c>
      <c r="B844" s="14">
        <v>43571</v>
      </c>
      <c r="C844" s="13">
        <v>476</v>
      </c>
      <c r="D844" s="13" t="s">
        <v>47</v>
      </c>
      <c r="E844" s="32" t="s">
        <v>1121</v>
      </c>
      <c r="F844" s="4">
        <v>2690</v>
      </c>
      <c r="G844" s="28" t="s">
        <v>6590</v>
      </c>
      <c r="H844" s="14">
        <v>43560</v>
      </c>
      <c r="I844" s="4" t="s">
        <v>746</v>
      </c>
    </row>
    <row r="845" spans="1:10" hidden="1" x14ac:dyDescent="0.25">
      <c r="A845" s="13" t="s">
        <v>184</v>
      </c>
      <c r="B845" s="14">
        <v>43571</v>
      </c>
      <c r="C845" s="13">
        <v>477</v>
      </c>
      <c r="D845" s="13" t="s">
        <v>2651</v>
      </c>
      <c r="E845" s="32" t="s">
        <v>1121</v>
      </c>
      <c r="F845" s="4">
        <v>5000</v>
      </c>
      <c r="G845" s="29" t="s">
        <v>6591</v>
      </c>
      <c r="H845" s="14">
        <v>43563</v>
      </c>
      <c r="I845" s="4" t="s">
        <v>6592</v>
      </c>
      <c r="J845" s="125" t="s">
        <v>651</v>
      </c>
    </row>
    <row r="846" spans="1:10" hidden="1" x14ac:dyDescent="0.25">
      <c r="A846" s="13" t="s">
        <v>184</v>
      </c>
      <c r="B846" s="14">
        <v>43571</v>
      </c>
      <c r="C846" s="13">
        <v>478</v>
      </c>
      <c r="D846" s="13" t="s">
        <v>394</v>
      </c>
      <c r="E846" s="32" t="s">
        <v>1121</v>
      </c>
      <c r="F846" s="4">
        <v>2300</v>
      </c>
      <c r="G846" s="28" t="s">
        <v>6582</v>
      </c>
      <c r="H846" s="14">
        <v>43555</v>
      </c>
      <c r="I846" s="4" t="s">
        <v>295</v>
      </c>
      <c r="J846" s="76"/>
    </row>
    <row r="847" spans="1:10" ht="15" hidden="1" customHeight="1" x14ac:dyDescent="0.25">
      <c r="A847" s="13" t="s">
        <v>184</v>
      </c>
      <c r="B847" s="14">
        <v>43571</v>
      </c>
      <c r="C847" s="13">
        <v>479</v>
      </c>
      <c r="D847" s="13" t="s">
        <v>531</v>
      </c>
      <c r="E847" s="32" t="s">
        <v>1121</v>
      </c>
      <c r="F847" s="4">
        <v>36300</v>
      </c>
      <c r="G847" s="28" t="s">
        <v>6266</v>
      </c>
      <c r="H847" s="14">
        <v>43553</v>
      </c>
      <c r="I847" s="4" t="s">
        <v>532</v>
      </c>
      <c r="J847" s="125">
        <v>43565</v>
      </c>
    </row>
    <row r="848" spans="1:10" ht="15" hidden="1" customHeight="1" x14ac:dyDescent="0.25">
      <c r="A848" s="13" t="s">
        <v>184</v>
      </c>
      <c r="B848" s="14">
        <v>43571</v>
      </c>
      <c r="C848" s="13">
        <v>480</v>
      </c>
      <c r="D848" s="13" t="s">
        <v>6666</v>
      </c>
      <c r="E848" s="32" t="s">
        <v>1121</v>
      </c>
      <c r="F848" s="4">
        <v>17000</v>
      </c>
      <c r="G848" s="28" t="s">
        <v>1794</v>
      </c>
      <c r="H848" s="14">
        <v>43566</v>
      </c>
      <c r="I848" s="4" t="s">
        <v>6667</v>
      </c>
      <c r="J848" s="76"/>
    </row>
    <row r="849" spans="1:19" hidden="1" x14ac:dyDescent="0.25">
      <c r="A849" s="13" t="s">
        <v>184</v>
      </c>
      <c r="B849" s="14">
        <v>43571</v>
      </c>
      <c r="C849" s="13">
        <v>481</v>
      </c>
      <c r="D849" s="13" t="s">
        <v>163</v>
      </c>
      <c r="E849" s="32" t="s">
        <v>1121</v>
      </c>
      <c r="F849" s="4">
        <v>51200</v>
      </c>
      <c r="G849" s="28" t="s">
        <v>727</v>
      </c>
      <c r="H849" s="14">
        <v>43558</v>
      </c>
      <c r="I849" s="4" t="s">
        <v>6581</v>
      </c>
      <c r="J849" s="76"/>
    </row>
    <row r="850" spans="1:19" hidden="1" x14ac:dyDescent="0.25">
      <c r="A850" s="13" t="s">
        <v>964</v>
      </c>
      <c r="B850" s="14">
        <v>43571</v>
      </c>
      <c r="C850" s="13">
        <v>482</v>
      </c>
      <c r="D850" s="13" t="s">
        <v>5530</v>
      </c>
      <c r="E850" s="32" t="s">
        <v>1121</v>
      </c>
      <c r="F850" s="4">
        <v>30000</v>
      </c>
      <c r="G850" s="28" t="s">
        <v>196</v>
      </c>
      <c r="H850" s="14">
        <v>43570</v>
      </c>
      <c r="I850" s="4" t="s">
        <v>6705</v>
      </c>
      <c r="J850" s="76"/>
    </row>
    <row r="851" spans="1:19" ht="15" hidden="1" customHeight="1" x14ac:dyDescent="0.25">
      <c r="A851" s="13" t="s">
        <v>964</v>
      </c>
      <c r="B851" s="14">
        <v>43571</v>
      </c>
      <c r="C851" s="13">
        <v>483</v>
      </c>
      <c r="D851" s="13" t="s">
        <v>321</v>
      </c>
      <c r="E851" s="32" t="s">
        <v>1121</v>
      </c>
      <c r="F851" s="4">
        <v>40000</v>
      </c>
      <c r="G851" s="28" t="s">
        <v>85</v>
      </c>
      <c r="H851" s="14">
        <v>43553</v>
      </c>
      <c r="I851" s="4" t="s">
        <v>3670</v>
      </c>
      <c r="J851" s="76" t="s">
        <v>366</v>
      </c>
      <c r="L851" s="76"/>
    </row>
    <row r="852" spans="1:19" s="192" customFormat="1" hidden="1" x14ac:dyDescent="0.25">
      <c r="A852" s="147" t="s">
        <v>242</v>
      </c>
      <c r="B852" s="14">
        <v>43571</v>
      </c>
      <c r="C852" s="195">
        <v>488</v>
      </c>
      <c r="D852" s="149" t="s">
        <v>784</v>
      </c>
      <c r="E852" s="147" t="s">
        <v>1121</v>
      </c>
      <c r="F852" s="158">
        <v>119515.2</v>
      </c>
      <c r="G852" s="150" t="s">
        <v>152</v>
      </c>
      <c r="H852" s="148">
        <v>43567</v>
      </c>
      <c r="I852" s="149" t="s">
        <v>143</v>
      </c>
      <c r="J852" s="193"/>
      <c r="K852" s="194"/>
      <c r="L852" s="190"/>
    </row>
    <row r="853" spans="1:19" s="192" customFormat="1" hidden="1" x14ac:dyDescent="0.25">
      <c r="A853" s="147" t="s">
        <v>242</v>
      </c>
      <c r="B853" s="14">
        <v>43571</v>
      </c>
      <c r="C853" s="195">
        <v>488</v>
      </c>
      <c r="D853" s="149" t="s">
        <v>784</v>
      </c>
      <c r="E853" s="147" t="s">
        <v>1121</v>
      </c>
      <c r="F853" s="158">
        <v>212893.2</v>
      </c>
      <c r="G853" s="150" t="s">
        <v>150</v>
      </c>
      <c r="H853" s="148">
        <v>43567</v>
      </c>
      <c r="I853" s="149" t="s">
        <v>143</v>
      </c>
      <c r="J853" s="193"/>
      <c r="K853" s="194"/>
      <c r="L853" s="190"/>
    </row>
    <row r="854" spans="1:19" s="129" customFormat="1" hidden="1" x14ac:dyDescent="0.25">
      <c r="A854" s="13" t="s">
        <v>151</v>
      </c>
      <c r="B854" s="14">
        <v>43571</v>
      </c>
      <c r="C854" s="28" t="s">
        <v>6735</v>
      </c>
      <c r="D854" s="13" t="s">
        <v>711</v>
      </c>
      <c r="E854" s="32" t="s">
        <v>1121</v>
      </c>
      <c r="F854" s="37">
        <v>2300</v>
      </c>
      <c r="G854" s="28" t="s">
        <v>6652</v>
      </c>
      <c r="H854" s="28" t="s">
        <v>6653</v>
      </c>
      <c r="I854" s="4" t="s">
        <v>712</v>
      </c>
      <c r="J854" s="170"/>
      <c r="K854" s="136"/>
    </row>
    <row r="855" spans="1:19" s="62" customFormat="1" ht="13.95" hidden="1" customHeight="1" x14ac:dyDescent="0.25">
      <c r="A855" s="61" t="s">
        <v>151</v>
      </c>
      <c r="B855" s="14">
        <v>43571</v>
      </c>
      <c r="C855" s="13">
        <v>490</v>
      </c>
      <c r="D855" s="13" t="s">
        <v>592</v>
      </c>
      <c r="E855" s="13" t="s">
        <v>1121</v>
      </c>
      <c r="F855" s="37">
        <v>4366</v>
      </c>
      <c r="G855" s="29" t="s">
        <v>4249</v>
      </c>
      <c r="H855" s="14">
        <v>42005</v>
      </c>
      <c r="I855" s="4" t="s">
        <v>565</v>
      </c>
      <c r="J855" s="71" t="s">
        <v>1386</v>
      </c>
      <c r="O855" s="35"/>
      <c r="P855" s="35"/>
      <c r="Q855" s="35"/>
      <c r="R855" s="35"/>
      <c r="S855" s="35"/>
    </row>
    <row r="856" spans="1:19" s="62" customFormat="1" ht="13.95" hidden="1" customHeight="1" x14ac:dyDescent="0.25">
      <c r="A856" s="13" t="s">
        <v>151</v>
      </c>
      <c r="B856" s="14">
        <v>43571</v>
      </c>
      <c r="C856" s="13">
        <v>491</v>
      </c>
      <c r="D856" s="13" t="s">
        <v>593</v>
      </c>
      <c r="E856" s="13" t="s">
        <v>1121</v>
      </c>
      <c r="F856" s="37">
        <v>1735</v>
      </c>
      <c r="G856" s="29" t="s">
        <v>4250</v>
      </c>
      <c r="H856" s="14">
        <v>42024</v>
      </c>
      <c r="I856" s="4" t="s">
        <v>594</v>
      </c>
      <c r="J856" s="22" t="s">
        <v>1386</v>
      </c>
      <c r="O856" s="35"/>
      <c r="P856" s="35"/>
      <c r="Q856" s="35"/>
      <c r="R856" s="35"/>
      <c r="S856" s="35"/>
    </row>
    <row r="857" spans="1:19" s="62" customFormat="1" ht="13.95" hidden="1" customHeight="1" x14ac:dyDescent="0.25">
      <c r="A857" s="61" t="s">
        <v>151</v>
      </c>
      <c r="B857" s="14">
        <v>43571</v>
      </c>
      <c r="C857" s="13">
        <v>492</v>
      </c>
      <c r="D857" s="13" t="s">
        <v>593</v>
      </c>
      <c r="E857" s="13" t="s">
        <v>1121</v>
      </c>
      <c r="F857" s="37">
        <v>1070</v>
      </c>
      <c r="G857" s="29" t="s">
        <v>2614</v>
      </c>
      <c r="H857" s="14">
        <v>43466</v>
      </c>
      <c r="I857" s="4" t="s">
        <v>1796</v>
      </c>
      <c r="J857" s="71" t="s">
        <v>1386</v>
      </c>
      <c r="O857" s="35"/>
      <c r="P857" s="35"/>
      <c r="Q857" s="35"/>
      <c r="R857" s="35"/>
      <c r="S857" s="35"/>
    </row>
    <row r="858" spans="1:19" s="129" customFormat="1" hidden="1" x14ac:dyDescent="0.25">
      <c r="A858" s="13" t="s">
        <v>151</v>
      </c>
      <c r="B858" s="14">
        <v>43571</v>
      </c>
      <c r="C858" s="28" t="s">
        <v>1515</v>
      </c>
      <c r="D858" s="13" t="s">
        <v>1846</v>
      </c>
      <c r="E858" s="32" t="s">
        <v>1121</v>
      </c>
      <c r="F858" s="4">
        <v>89434</v>
      </c>
      <c r="G858" s="28" t="s">
        <v>6650</v>
      </c>
      <c r="H858" s="14">
        <v>43567</v>
      </c>
      <c r="I858" s="4" t="s">
        <v>6651</v>
      </c>
      <c r="J858" s="22"/>
      <c r="K858" s="136"/>
    </row>
    <row r="859" spans="1:19" s="62" customFormat="1" ht="15" hidden="1" customHeight="1" x14ac:dyDescent="0.25">
      <c r="A859" s="13" t="s">
        <v>151</v>
      </c>
      <c r="B859" s="14">
        <v>43571</v>
      </c>
      <c r="C859" s="67">
        <v>486</v>
      </c>
      <c r="D859" s="13" t="s">
        <v>43</v>
      </c>
      <c r="E859" s="32" t="s">
        <v>1121</v>
      </c>
      <c r="F859" s="37">
        <v>57097.2</v>
      </c>
      <c r="G859" s="29" t="s">
        <v>6245</v>
      </c>
      <c r="H859" s="14">
        <v>43555</v>
      </c>
      <c r="I859" s="4" t="s">
        <v>3277</v>
      </c>
      <c r="J859" s="71" t="s">
        <v>366</v>
      </c>
      <c r="O859" s="35"/>
      <c r="P859" s="35"/>
      <c r="Q859" s="35"/>
      <c r="R859" s="35"/>
      <c r="S859" s="35"/>
    </row>
    <row r="860" spans="1:19" s="62" customFormat="1" ht="15" hidden="1" customHeight="1" x14ac:dyDescent="0.25">
      <c r="A860" s="13" t="s">
        <v>151</v>
      </c>
      <c r="B860" s="14">
        <v>43571</v>
      </c>
      <c r="C860" s="28" t="s">
        <v>6736</v>
      </c>
      <c r="D860" s="13" t="s">
        <v>1555</v>
      </c>
      <c r="E860" s="32" t="s">
        <v>1121</v>
      </c>
      <c r="F860" s="37">
        <v>52090.559999999998</v>
      </c>
      <c r="G860" s="29" t="s">
        <v>6567</v>
      </c>
      <c r="H860" s="14">
        <v>43555</v>
      </c>
      <c r="I860" s="4" t="s">
        <v>3277</v>
      </c>
      <c r="J860" s="71" t="s">
        <v>771</v>
      </c>
      <c r="O860" s="35"/>
      <c r="P860" s="35"/>
      <c r="Q860" s="35"/>
      <c r="R860" s="35"/>
      <c r="S860" s="35"/>
    </row>
    <row r="861" spans="1:19" ht="27.6" hidden="1" x14ac:dyDescent="0.25">
      <c r="A861" s="13" t="s">
        <v>151</v>
      </c>
      <c r="B861" s="14">
        <v>43571</v>
      </c>
      <c r="C861" s="13">
        <v>493</v>
      </c>
      <c r="D861" s="13" t="s">
        <v>1075</v>
      </c>
      <c r="E861" s="13" t="s">
        <v>1121</v>
      </c>
      <c r="F861" s="37">
        <v>10900</v>
      </c>
      <c r="G861" s="29" t="s">
        <v>886</v>
      </c>
      <c r="H861" s="14">
        <v>43059</v>
      </c>
      <c r="I861" s="4" t="s">
        <v>1076</v>
      </c>
      <c r="J861" s="22" t="s">
        <v>771</v>
      </c>
      <c r="K861" s="62"/>
    </row>
    <row r="862" spans="1:19" s="192" customFormat="1" hidden="1" x14ac:dyDescent="0.25">
      <c r="A862" s="147" t="s">
        <v>242</v>
      </c>
      <c r="B862" s="164">
        <v>43571</v>
      </c>
      <c r="C862" s="195">
        <v>319</v>
      </c>
      <c r="D862" s="149" t="s">
        <v>490</v>
      </c>
      <c r="E862" s="147" t="s">
        <v>144</v>
      </c>
      <c r="F862" s="158">
        <v>550703.80000000005</v>
      </c>
      <c r="G862" s="150" t="s">
        <v>6622</v>
      </c>
      <c r="H862" s="148">
        <v>43558</v>
      </c>
      <c r="I862" s="149" t="s">
        <v>143</v>
      </c>
      <c r="J862" s="193"/>
      <c r="K862" s="194"/>
      <c r="L862" s="190"/>
    </row>
    <row r="863" spans="1:19" s="192" customFormat="1" hidden="1" x14ac:dyDescent="0.25">
      <c r="A863" s="147" t="s">
        <v>242</v>
      </c>
      <c r="B863" s="164">
        <v>43571</v>
      </c>
      <c r="C863" s="195">
        <v>319</v>
      </c>
      <c r="D863" s="149" t="s">
        <v>490</v>
      </c>
      <c r="E863" s="147" t="s">
        <v>144</v>
      </c>
      <c r="F863" s="158">
        <v>224462.7</v>
      </c>
      <c r="G863" s="150" t="s">
        <v>6623</v>
      </c>
      <c r="H863" s="148">
        <v>43558</v>
      </c>
      <c r="I863" s="149" t="s">
        <v>143</v>
      </c>
      <c r="J863" s="193"/>
      <c r="K863" s="194"/>
      <c r="L863" s="190"/>
    </row>
    <row r="864" spans="1:19" s="192" customFormat="1" hidden="1" x14ac:dyDescent="0.25">
      <c r="A864" s="147" t="s">
        <v>242</v>
      </c>
      <c r="B864" s="164">
        <v>43571</v>
      </c>
      <c r="C864" s="195">
        <v>320</v>
      </c>
      <c r="D864" s="149" t="s">
        <v>784</v>
      </c>
      <c r="E864" s="147" t="s">
        <v>144</v>
      </c>
      <c r="F864" s="158">
        <v>121842.5</v>
      </c>
      <c r="G864" s="150" t="s">
        <v>2911</v>
      </c>
      <c r="H864" s="148">
        <v>43567</v>
      </c>
      <c r="I864" s="149" t="s">
        <v>143</v>
      </c>
      <c r="J864" s="193"/>
      <c r="K864" s="194"/>
      <c r="L864" s="190"/>
    </row>
    <row r="865" spans="1:12" s="192" customFormat="1" ht="14.85" hidden="1" customHeight="1" x14ac:dyDescent="0.25">
      <c r="A865" s="147" t="s">
        <v>242</v>
      </c>
      <c r="B865" s="164">
        <v>43571</v>
      </c>
      <c r="C865" s="195">
        <v>321</v>
      </c>
      <c r="D865" s="149" t="s">
        <v>1816</v>
      </c>
      <c r="E865" s="147" t="s">
        <v>144</v>
      </c>
      <c r="F865" s="158">
        <v>71428</v>
      </c>
      <c r="G865" s="150" t="s">
        <v>320</v>
      </c>
      <c r="H865" s="148">
        <v>43567</v>
      </c>
      <c r="I865" s="149" t="s">
        <v>143</v>
      </c>
      <c r="J865" s="190"/>
    </row>
    <row r="866" spans="1:12" ht="27.6" hidden="1" customHeight="1" x14ac:dyDescent="0.25">
      <c r="A866" s="32" t="s">
        <v>151</v>
      </c>
      <c r="B866" s="164">
        <v>43571</v>
      </c>
      <c r="C866" s="13">
        <v>322</v>
      </c>
      <c r="D866" s="32" t="s">
        <v>412</v>
      </c>
      <c r="E866" s="32" t="s">
        <v>144</v>
      </c>
      <c r="F866" s="4">
        <v>90000</v>
      </c>
      <c r="G866" s="13">
        <v>26</v>
      </c>
      <c r="H866" s="14">
        <v>43556</v>
      </c>
      <c r="I866" s="4" t="s">
        <v>3969</v>
      </c>
      <c r="J866" s="22" t="s">
        <v>771</v>
      </c>
      <c r="K866" s="245"/>
    </row>
    <row r="867" spans="1:12" s="129" customFormat="1" hidden="1" x14ac:dyDescent="0.25">
      <c r="A867" s="13" t="s">
        <v>151</v>
      </c>
      <c r="B867" s="14">
        <v>43571</v>
      </c>
      <c r="C867" s="28" t="s">
        <v>1529</v>
      </c>
      <c r="D867" s="13" t="s">
        <v>6697</v>
      </c>
      <c r="E867" s="32" t="s">
        <v>22</v>
      </c>
      <c r="F867" s="4">
        <v>8960</v>
      </c>
      <c r="G867" s="28" t="s">
        <v>865</v>
      </c>
      <c r="H867" s="14">
        <v>43560</v>
      </c>
      <c r="I867" s="4" t="s">
        <v>6698</v>
      </c>
      <c r="J867" s="22"/>
      <c r="K867" s="136"/>
    </row>
    <row r="868" spans="1:12" s="129" customFormat="1" hidden="1" x14ac:dyDescent="0.25">
      <c r="A868" s="13" t="s">
        <v>151</v>
      </c>
      <c r="B868" s="14">
        <v>43571</v>
      </c>
      <c r="C868" s="28" t="s">
        <v>1493</v>
      </c>
      <c r="D868" s="13" t="s">
        <v>6654</v>
      </c>
      <c r="E868" s="32" t="s">
        <v>22</v>
      </c>
      <c r="F868" s="4">
        <v>14920</v>
      </c>
      <c r="G868" s="28" t="s">
        <v>6655</v>
      </c>
      <c r="H868" s="14">
        <v>43566</v>
      </c>
      <c r="I868" s="4" t="s">
        <v>6656</v>
      </c>
      <c r="J868" s="22"/>
      <c r="K868" s="136"/>
    </row>
    <row r="869" spans="1:12" s="129" customFormat="1" ht="27.6" hidden="1" x14ac:dyDescent="0.25">
      <c r="A869" s="13" t="s">
        <v>151</v>
      </c>
      <c r="B869" s="14">
        <v>43571</v>
      </c>
      <c r="C869" s="28" t="s">
        <v>5251</v>
      </c>
      <c r="D869" s="13" t="s">
        <v>6695</v>
      </c>
      <c r="E869" s="32" t="s">
        <v>22</v>
      </c>
      <c r="F869" s="4">
        <v>4750</v>
      </c>
      <c r="G869" s="28" t="s">
        <v>1210</v>
      </c>
      <c r="H869" s="14">
        <v>43570</v>
      </c>
      <c r="I869" s="4" t="s">
        <v>6696</v>
      </c>
      <c r="J869" s="22"/>
      <c r="K869" s="136"/>
    </row>
    <row r="870" spans="1:12" s="192" customFormat="1" ht="14.85" hidden="1" customHeight="1" x14ac:dyDescent="0.25">
      <c r="A870" s="147" t="s">
        <v>242</v>
      </c>
      <c r="B870" s="164">
        <v>43571</v>
      </c>
      <c r="C870" s="195">
        <v>755</v>
      </c>
      <c r="D870" s="149" t="s">
        <v>840</v>
      </c>
      <c r="E870" s="147" t="s">
        <v>140</v>
      </c>
      <c r="F870" s="158">
        <v>271088.03999999998</v>
      </c>
      <c r="G870" s="150" t="s">
        <v>6626</v>
      </c>
      <c r="H870" s="148">
        <v>43559</v>
      </c>
      <c r="I870" s="149" t="s">
        <v>143</v>
      </c>
      <c r="J870" s="193"/>
      <c r="K870" s="194"/>
      <c r="L870" s="190"/>
    </row>
    <row r="871" spans="1:12" s="192" customFormat="1" ht="14.85" hidden="1" customHeight="1" x14ac:dyDescent="0.25">
      <c r="A871" s="147" t="s">
        <v>242</v>
      </c>
      <c r="B871" s="164">
        <v>43571</v>
      </c>
      <c r="C871" s="195">
        <v>755</v>
      </c>
      <c r="D871" s="149" t="s">
        <v>840</v>
      </c>
      <c r="E871" s="147" t="s">
        <v>140</v>
      </c>
      <c r="F871" s="158">
        <v>370608.16</v>
      </c>
      <c r="G871" s="150" t="s">
        <v>6625</v>
      </c>
      <c r="H871" s="148">
        <v>43559</v>
      </c>
      <c r="I871" s="149" t="s">
        <v>143</v>
      </c>
      <c r="J871" s="193"/>
      <c r="K871" s="194"/>
      <c r="L871" s="190"/>
    </row>
    <row r="872" spans="1:12" s="192" customFormat="1" ht="14.85" hidden="1" customHeight="1" x14ac:dyDescent="0.25">
      <c r="A872" s="147" t="s">
        <v>242</v>
      </c>
      <c r="B872" s="164">
        <v>43571</v>
      </c>
      <c r="C872" s="195">
        <v>755</v>
      </c>
      <c r="D872" s="149" t="s">
        <v>840</v>
      </c>
      <c r="E872" s="147" t="s">
        <v>140</v>
      </c>
      <c r="F872" s="158">
        <v>251441</v>
      </c>
      <c r="G872" s="150" t="s">
        <v>6624</v>
      </c>
      <c r="H872" s="148">
        <v>43559</v>
      </c>
      <c r="I872" s="149" t="s">
        <v>143</v>
      </c>
      <c r="J872" s="193"/>
      <c r="K872" s="194"/>
      <c r="L872" s="190"/>
    </row>
    <row r="873" spans="1:12" s="192" customFormat="1" hidden="1" x14ac:dyDescent="0.25">
      <c r="A873" s="147" t="s">
        <v>242</v>
      </c>
      <c r="B873" s="164">
        <v>43571</v>
      </c>
      <c r="C873" s="195">
        <v>756</v>
      </c>
      <c r="D873" s="233" t="s">
        <v>784</v>
      </c>
      <c r="E873" s="147" t="s">
        <v>140</v>
      </c>
      <c r="F873" s="158">
        <v>463825.35</v>
      </c>
      <c r="G873" s="150" t="s">
        <v>26</v>
      </c>
      <c r="H873" s="148">
        <v>43567</v>
      </c>
      <c r="I873" s="233" t="s">
        <v>143</v>
      </c>
      <c r="J873" s="193"/>
      <c r="K873" s="194"/>
      <c r="L873" s="190"/>
    </row>
    <row r="874" spans="1:12" s="97" customFormat="1" hidden="1" x14ac:dyDescent="0.25">
      <c r="A874" s="32" t="s">
        <v>442</v>
      </c>
      <c r="B874" s="14">
        <v>43571</v>
      </c>
      <c r="C874" s="13">
        <v>707</v>
      </c>
      <c r="D874" s="13" t="s">
        <v>3056</v>
      </c>
      <c r="E874" s="13" t="s">
        <v>494</v>
      </c>
      <c r="F874" s="37">
        <v>183000</v>
      </c>
      <c r="G874" s="29" t="s">
        <v>6388</v>
      </c>
      <c r="H874" s="14">
        <v>43524</v>
      </c>
      <c r="I874" s="4" t="s">
        <v>3057</v>
      </c>
      <c r="J874" s="22"/>
      <c r="K874" s="76"/>
      <c r="L874" s="134"/>
    </row>
    <row r="875" spans="1:12" s="97" customFormat="1" hidden="1" x14ac:dyDescent="0.25">
      <c r="A875" s="32" t="s">
        <v>442</v>
      </c>
      <c r="B875" s="14">
        <v>43571</v>
      </c>
      <c r="C875" s="13">
        <v>708</v>
      </c>
      <c r="D875" s="13" t="s">
        <v>3056</v>
      </c>
      <c r="E875" s="13" t="s">
        <v>494</v>
      </c>
      <c r="F875" s="37">
        <v>55700</v>
      </c>
      <c r="G875" s="29" t="s">
        <v>6389</v>
      </c>
      <c r="H875" s="14">
        <v>43555</v>
      </c>
      <c r="I875" s="4" t="s">
        <v>3057</v>
      </c>
      <c r="J875" s="22"/>
      <c r="K875" s="76"/>
      <c r="L875" s="134"/>
    </row>
    <row r="876" spans="1:12" s="97" customFormat="1" hidden="1" x14ac:dyDescent="0.25">
      <c r="A876" s="13" t="s">
        <v>637</v>
      </c>
      <c r="B876" s="14">
        <v>43571</v>
      </c>
      <c r="C876" s="13">
        <v>415</v>
      </c>
      <c r="D876" s="13" t="s">
        <v>3056</v>
      </c>
      <c r="E876" s="13" t="s">
        <v>547</v>
      </c>
      <c r="F876" s="4">
        <v>9800</v>
      </c>
      <c r="G876" s="29" t="s">
        <v>6286</v>
      </c>
      <c r="H876" s="14">
        <v>43555</v>
      </c>
      <c r="I876" s="4" t="s">
        <v>3057</v>
      </c>
      <c r="J876" s="358"/>
      <c r="K876" s="76"/>
      <c r="L876" s="134"/>
    </row>
    <row r="877" spans="1:12" s="97" customFormat="1" hidden="1" x14ac:dyDescent="0.25">
      <c r="A877" s="13" t="s">
        <v>639</v>
      </c>
      <c r="B877" s="14">
        <v>43571</v>
      </c>
      <c r="C877" s="13">
        <v>416</v>
      </c>
      <c r="D877" s="13" t="s">
        <v>3056</v>
      </c>
      <c r="E877" s="13" t="s">
        <v>547</v>
      </c>
      <c r="F877" s="4">
        <v>28900</v>
      </c>
      <c r="G877" s="29" t="s">
        <v>6286</v>
      </c>
      <c r="H877" s="14">
        <v>43555</v>
      </c>
      <c r="I877" s="4" t="s">
        <v>3057</v>
      </c>
      <c r="J877" s="358"/>
      <c r="K877" s="76"/>
      <c r="L877" s="134"/>
    </row>
    <row r="878" spans="1:12" s="129" customFormat="1" ht="27.6" hidden="1" x14ac:dyDescent="0.25">
      <c r="A878" s="13" t="s">
        <v>151</v>
      </c>
      <c r="B878" s="14">
        <v>43571</v>
      </c>
      <c r="C878" s="28" t="s">
        <v>3224</v>
      </c>
      <c r="D878" s="13" t="s">
        <v>1945</v>
      </c>
      <c r="E878" s="32" t="s">
        <v>2021</v>
      </c>
      <c r="F878" s="37">
        <v>15912</v>
      </c>
      <c r="G878" s="28" t="s">
        <v>2187</v>
      </c>
      <c r="H878" s="14">
        <v>43370</v>
      </c>
      <c r="I878" s="4" t="s">
        <v>1835</v>
      </c>
      <c r="J878" s="22" t="s">
        <v>771</v>
      </c>
      <c r="K878" s="136"/>
    </row>
    <row r="879" spans="1:12" ht="27.6" hidden="1" x14ac:dyDescent="0.25">
      <c r="A879" s="32" t="s">
        <v>534</v>
      </c>
      <c r="B879" s="14">
        <v>43571</v>
      </c>
      <c r="C879" s="67">
        <v>317</v>
      </c>
      <c r="D879" s="32" t="s">
        <v>373</v>
      </c>
      <c r="E879" s="32" t="s">
        <v>2021</v>
      </c>
      <c r="F879" s="4">
        <v>1398466.83</v>
      </c>
      <c r="G879" s="28" t="s">
        <v>5574</v>
      </c>
      <c r="H879" s="14">
        <v>43459</v>
      </c>
      <c r="I879" s="4" t="s">
        <v>362</v>
      </c>
      <c r="J879" s="166" t="s">
        <v>239</v>
      </c>
      <c r="K879" s="167"/>
      <c r="L879" s="35"/>
    </row>
    <row r="880" spans="1:12" ht="15" hidden="1" customHeight="1" x14ac:dyDescent="0.25">
      <c r="A880" s="68" t="s">
        <v>455</v>
      </c>
      <c r="B880" s="14">
        <v>43571</v>
      </c>
      <c r="C880" s="13">
        <v>284</v>
      </c>
      <c r="D880" s="32" t="s">
        <v>281</v>
      </c>
      <c r="E880" s="32" t="s">
        <v>440</v>
      </c>
      <c r="F880" s="4">
        <v>134167.23000000001</v>
      </c>
      <c r="G880" s="29" t="s">
        <v>6689</v>
      </c>
      <c r="H880" s="14">
        <v>43570</v>
      </c>
      <c r="I880" s="41" t="s">
        <v>362</v>
      </c>
      <c r="J880" s="35" t="s">
        <v>366</v>
      </c>
      <c r="K880" s="35"/>
      <c r="L880" s="35"/>
    </row>
    <row r="881" spans="1:19" ht="15" hidden="1" customHeight="1" x14ac:dyDescent="0.25">
      <c r="A881" s="68" t="s">
        <v>206</v>
      </c>
      <c r="B881" s="14">
        <v>43571</v>
      </c>
      <c r="C881" s="67">
        <v>69</v>
      </c>
      <c r="D881" s="32" t="s">
        <v>156</v>
      </c>
      <c r="E881" s="32" t="s">
        <v>178</v>
      </c>
      <c r="F881" s="4">
        <f>791528.67-485073.51</f>
        <v>306455.16000000003</v>
      </c>
      <c r="G881" s="28" t="s">
        <v>4520</v>
      </c>
      <c r="H881" s="14">
        <v>43501</v>
      </c>
      <c r="I881" s="4" t="s">
        <v>362</v>
      </c>
      <c r="J881" s="166" t="s">
        <v>239</v>
      </c>
      <c r="K881" s="167"/>
      <c r="L881" s="35"/>
    </row>
    <row r="882" spans="1:19" s="115" customFormat="1" ht="15" hidden="1" customHeight="1" x14ac:dyDescent="0.25">
      <c r="A882" s="13" t="s">
        <v>311</v>
      </c>
      <c r="B882" s="14">
        <v>43571</v>
      </c>
      <c r="C882" s="13">
        <v>203</v>
      </c>
      <c r="D882" s="13" t="s">
        <v>253</v>
      </c>
      <c r="E882" s="13" t="s">
        <v>408</v>
      </c>
      <c r="F882" s="37">
        <v>4686.96</v>
      </c>
      <c r="G882" s="29" t="s">
        <v>6634</v>
      </c>
      <c r="H882" s="14">
        <v>43555</v>
      </c>
      <c r="I882" s="4" t="s">
        <v>6635</v>
      </c>
      <c r="J882" s="71" t="s">
        <v>366</v>
      </c>
      <c r="K882" s="116"/>
      <c r="L882" s="116"/>
      <c r="M882" s="116"/>
      <c r="N882" s="116"/>
      <c r="O882" s="117"/>
      <c r="P882" s="117"/>
      <c r="Q882" s="117"/>
      <c r="R882" s="117"/>
      <c r="S882" s="117"/>
    </row>
    <row r="883" spans="1:19" ht="15" hidden="1" customHeight="1" x14ac:dyDescent="0.25">
      <c r="A883" s="32" t="s">
        <v>311</v>
      </c>
      <c r="B883" s="14">
        <v>43571</v>
      </c>
      <c r="C883" s="13">
        <v>204</v>
      </c>
      <c r="D883" s="32" t="s">
        <v>281</v>
      </c>
      <c r="E883" s="32" t="s">
        <v>408</v>
      </c>
      <c r="F883" s="4">
        <v>89013.79</v>
      </c>
      <c r="G883" s="29" t="s">
        <v>6678</v>
      </c>
      <c r="H883" s="14">
        <v>43567</v>
      </c>
      <c r="I883" s="41" t="s">
        <v>362</v>
      </c>
      <c r="J883" s="35" t="s">
        <v>366</v>
      </c>
      <c r="K883" s="35"/>
      <c r="L883" s="35"/>
    </row>
    <row r="884" spans="1:19" s="97" customFormat="1" hidden="1" x14ac:dyDescent="0.25">
      <c r="A884" s="61" t="s">
        <v>311</v>
      </c>
      <c r="B884" s="14">
        <v>43571</v>
      </c>
      <c r="C884" s="13">
        <v>335</v>
      </c>
      <c r="D884" s="13" t="s">
        <v>276</v>
      </c>
      <c r="E884" s="13" t="s">
        <v>958</v>
      </c>
      <c r="F884" s="4">
        <v>5500</v>
      </c>
      <c r="G884" s="29" t="s">
        <v>1429</v>
      </c>
      <c r="H884" s="14">
        <v>43530</v>
      </c>
      <c r="I884" s="4" t="s">
        <v>4919</v>
      </c>
      <c r="J884" s="133"/>
      <c r="K884" s="22"/>
      <c r="L884" s="134"/>
    </row>
    <row r="885" spans="1:19" s="97" customFormat="1" hidden="1" x14ac:dyDescent="0.25">
      <c r="A885" s="61" t="s">
        <v>358</v>
      </c>
      <c r="B885" s="14">
        <v>43571</v>
      </c>
      <c r="C885" s="13">
        <v>670</v>
      </c>
      <c r="D885" s="13" t="s">
        <v>740</v>
      </c>
      <c r="E885" s="13" t="s">
        <v>62</v>
      </c>
      <c r="F885" s="37">
        <v>24255</v>
      </c>
      <c r="G885" s="29" t="s">
        <v>6469</v>
      </c>
      <c r="H885" s="14">
        <v>43390</v>
      </c>
      <c r="I885" s="4" t="s">
        <v>1207</v>
      </c>
      <c r="J885" s="133"/>
      <c r="K885" s="22"/>
      <c r="L885" s="134"/>
    </row>
    <row r="886" spans="1:19" s="97" customFormat="1" hidden="1" x14ac:dyDescent="0.25">
      <c r="A886" s="61" t="s">
        <v>442</v>
      </c>
      <c r="B886" s="14">
        <v>43571</v>
      </c>
      <c r="C886" s="13">
        <v>674</v>
      </c>
      <c r="D886" s="13" t="s">
        <v>740</v>
      </c>
      <c r="E886" s="13" t="s">
        <v>62</v>
      </c>
      <c r="F886" s="4">
        <v>160750</v>
      </c>
      <c r="G886" s="29" t="s">
        <v>4914</v>
      </c>
      <c r="H886" s="14">
        <v>43514</v>
      </c>
      <c r="I886" s="4" t="s">
        <v>4915</v>
      </c>
      <c r="J886" s="133"/>
      <c r="K886" s="22"/>
      <c r="L886" s="134"/>
    </row>
    <row r="887" spans="1:19" s="97" customFormat="1" hidden="1" x14ac:dyDescent="0.25">
      <c r="A887" s="61" t="s">
        <v>442</v>
      </c>
      <c r="B887" s="14">
        <v>43571</v>
      </c>
      <c r="C887" s="13">
        <v>674</v>
      </c>
      <c r="D887" s="13" t="s">
        <v>740</v>
      </c>
      <c r="E887" s="13" t="s">
        <v>62</v>
      </c>
      <c r="F887" s="4">
        <v>253500</v>
      </c>
      <c r="G887" s="28" t="s">
        <v>6474</v>
      </c>
      <c r="H887" s="14">
        <v>43539</v>
      </c>
      <c r="I887" s="4" t="s">
        <v>1691</v>
      </c>
      <c r="J887" s="133"/>
      <c r="K887" s="22"/>
      <c r="L887" s="134"/>
    </row>
    <row r="888" spans="1:19" s="97" customFormat="1" hidden="1" x14ac:dyDescent="0.25">
      <c r="A888" s="61" t="s">
        <v>442</v>
      </c>
      <c r="B888" s="14">
        <v>43571</v>
      </c>
      <c r="C888" s="13">
        <v>674</v>
      </c>
      <c r="D888" s="13" t="s">
        <v>740</v>
      </c>
      <c r="E888" s="13" t="s">
        <v>62</v>
      </c>
      <c r="F888" s="4">
        <v>86300</v>
      </c>
      <c r="G888" s="28" t="s">
        <v>6476</v>
      </c>
      <c r="H888" s="14">
        <v>43545</v>
      </c>
      <c r="I888" s="4" t="s">
        <v>6477</v>
      </c>
      <c r="J888" s="133"/>
      <c r="K888" s="22"/>
      <c r="L888" s="134"/>
    </row>
    <row r="889" spans="1:19" s="97" customFormat="1" x14ac:dyDescent="0.25">
      <c r="A889" s="61" t="s">
        <v>442</v>
      </c>
      <c r="B889" s="14">
        <v>43571</v>
      </c>
      <c r="C889" s="13">
        <v>671</v>
      </c>
      <c r="D889" s="13" t="s">
        <v>243</v>
      </c>
      <c r="E889" s="13" t="s">
        <v>62</v>
      </c>
      <c r="F889" s="4">
        <v>663525.44999999995</v>
      </c>
      <c r="G889" s="210" t="s">
        <v>146</v>
      </c>
      <c r="H889" s="211">
        <v>43517</v>
      </c>
      <c r="I889" s="4" t="s">
        <v>4694</v>
      </c>
      <c r="J889" s="133"/>
      <c r="K889" s="22"/>
      <c r="L889" s="134"/>
    </row>
    <row r="890" spans="1:19" s="97" customFormat="1" x14ac:dyDescent="0.25">
      <c r="A890" s="61" t="s">
        <v>442</v>
      </c>
      <c r="B890" s="14">
        <v>43571</v>
      </c>
      <c r="C890" s="13">
        <v>671</v>
      </c>
      <c r="D890" s="13" t="s">
        <v>243</v>
      </c>
      <c r="E890" s="13" t="s">
        <v>62</v>
      </c>
      <c r="F890" s="4">
        <v>226192.5</v>
      </c>
      <c r="G890" s="210" t="s">
        <v>462</v>
      </c>
      <c r="H890" s="211">
        <v>43521</v>
      </c>
      <c r="I890" s="4" t="s">
        <v>1207</v>
      </c>
      <c r="J890" s="133"/>
      <c r="K890" s="22"/>
      <c r="L890" s="134"/>
    </row>
    <row r="891" spans="1:19" s="97" customFormat="1" x14ac:dyDescent="0.25">
      <c r="A891" s="61" t="s">
        <v>442</v>
      </c>
      <c r="B891" s="14">
        <v>43571</v>
      </c>
      <c r="C891" s="13">
        <v>671</v>
      </c>
      <c r="D891" s="13" t="s">
        <v>243</v>
      </c>
      <c r="E891" s="13" t="s">
        <v>62</v>
      </c>
      <c r="F891" s="4">
        <v>829634.22</v>
      </c>
      <c r="G891" s="29" t="s">
        <v>0</v>
      </c>
      <c r="H891" s="14">
        <v>43522</v>
      </c>
      <c r="I891" s="4" t="s">
        <v>423</v>
      </c>
      <c r="J891" s="133"/>
      <c r="K891" s="22"/>
      <c r="L891" s="134"/>
    </row>
    <row r="892" spans="1:19" s="97" customFormat="1" hidden="1" x14ac:dyDescent="0.25">
      <c r="A892" s="61" t="s">
        <v>442</v>
      </c>
      <c r="B892" s="14">
        <v>43571</v>
      </c>
      <c r="C892" s="13">
        <v>672</v>
      </c>
      <c r="D892" s="13" t="s">
        <v>5709</v>
      </c>
      <c r="E892" s="13" t="s">
        <v>62</v>
      </c>
      <c r="F892" s="37">
        <v>250000</v>
      </c>
      <c r="G892" s="29" t="s">
        <v>6610</v>
      </c>
      <c r="H892" s="14">
        <v>43544</v>
      </c>
      <c r="I892" s="4" t="s">
        <v>6611</v>
      </c>
      <c r="J892" s="133"/>
      <c r="K892" s="170"/>
      <c r="L892" s="134"/>
    </row>
    <row r="893" spans="1:19" s="97" customFormat="1" hidden="1" x14ac:dyDescent="0.25">
      <c r="A893" s="13" t="s">
        <v>358</v>
      </c>
      <c r="B893" s="14">
        <v>43571</v>
      </c>
      <c r="C893" s="13">
        <v>673</v>
      </c>
      <c r="D893" s="13" t="s">
        <v>6551</v>
      </c>
      <c r="E893" s="13" t="s">
        <v>62</v>
      </c>
      <c r="F893" s="4">
        <v>8200</v>
      </c>
      <c r="G893" s="29" t="s">
        <v>2955</v>
      </c>
      <c r="H893" s="14">
        <v>43542</v>
      </c>
      <c r="I893" s="4" t="s">
        <v>6552</v>
      </c>
      <c r="J893" s="358"/>
      <c r="K893" s="76"/>
      <c r="L893" s="134"/>
    </row>
    <row r="894" spans="1:19" s="115" customFormat="1" ht="15.6" hidden="1" x14ac:dyDescent="0.25">
      <c r="A894" s="61" t="s">
        <v>166</v>
      </c>
      <c r="B894" s="14">
        <v>43571</v>
      </c>
      <c r="C894" s="13">
        <v>53</v>
      </c>
      <c r="D894" s="13" t="s">
        <v>3530</v>
      </c>
      <c r="E894" s="13" t="s">
        <v>76</v>
      </c>
      <c r="F894" s="4">
        <v>500000</v>
      </c>
      <c r="G894" s="29" t="s">
        <v>3965</v>
      </c>
      <c r="H894" s="14">
        <v>41177</v>
      </c>
      <c r="I894" s="41" t="s">
        <v>818</v>
      </c>
      <c r="J894" s="258"/>
      <c r="K894" s="116"/>
      <c r="L894" s="116"/>
      <c r="M894" s="116"/>
      <c r="N894" s="116"/>
      <c r="O894" s="117"/>
      <c r="P894" s="117"/>
      <c r="Q894" s="117"/>
      <c r="R894" s="117"/>
      <c r="S894" s="117"/>
    </row>
    <row r="895" spans="1:19" hidden="1" x14ac:dyDescent="0.25">
      <c r="A895" s="68" t="s">
        <v>151</v>
      </c>
      <c r="B895" s="14">
        <v>43571</v>
      </c>
      <c r="C895" s="13">
        <v>270</v>
      </c>
      <c r="D895" s="32" t="s">
        <v>4047</v>
      </c>
      <c r="E895" s="32" t="s">
        <v>691</v>
      </c>
      <c r="F895" s="209">
        <v>30000</v>
      </c>
      <c r="G895" s="210" t="s">
        <v>6674</v>
      </c>
      <c r="H895" s="211">
        <v>43542</v>
      </c>
      <c r="I895" s="208" t="s">
        <v>6747</v>
      </c>
      <c r="J895" s="21"/>
      <c r="K895" s="228"/>
    </row>
    <row r="896" spans="1:19" ht="27.6" hidden="1" x14ac:dyDescent="0.25">
      <c r="A896" s="61" t="s">
        <v>460</v>
      </c>
      <c r="B896" s="14">
        <v>43571</v>
      </c>
      <c r="C896" s="13">
        <v>318</v>
      </c>
      <c r="D896" s="32" t="s">
        <v>5719</v>
      </c>
      <c r="E896" s="32" t="s">
        <v>1335</v>
      </c>
      <c r="F896" s="4">
        <v>590.16999999999996</v>
      </c>
      <c r="G896" s="86" t="s">
        <v>6738</v>
      </c>
      <c r="H896" s="14"/>
      <c r="I896" s="477" t="s">
        <v>6739</v>
      </c>
      <c r="K896" s="62"/>
    </row>
    <row r="897" spans="1:19" ht="13.95" hidden="1" customHeight="1" x14ac:dyDescent="0.25">
      <c r="A897" s="32" t="s">
        <v>198</v>
      </c>
      <c r="B897" s="14">
        <v>43572</v>
      </c>
      <c r="C897" s="67">
        <v>107</v>
      </c>
      <c r="D897" s="32" t="s">
        <v>227</v>
      </c>
      <c r="E897" s="32" t="s">
        <v>195</v>
      </c>
      <c r="F897" s="4">
        <v>1656</v>
      </c>
      <c r="G897" s="28" t="s">
        <v>3499</v>
      </c>
      <c r="H897" s="14">
        <v>43525</v>
      </c>
      <c r="I897" s="4" t="s">
        <v>367</v>
      </c>
      <c r="J897" s="71" t="s">
        <v>366</v>
      </c>
      <c r="K897" s="246"/>
    </row>
    <row r="898" spans="1:19" ht="13.95" hidden="1" customHeight="1" x14ac:dyDescent="0.25">
      <c r="A898" s="32" t="s">
        <v>198</v>
      </c>
      <c r="B898" s="14">
        <v>43572</v>
      </c>
      <c r="C898" s="67">
        <v>107</v>
      </c>
      <c r="D898" s="32" t="s">
        <v>227</v>
      </c>
      <c r="E898" s="32" t="s">
        <v>195</v>
      </c>
      <c r="F898" s="4">
        <v>1656</v>
      </c>
      <c r="G898" s="28" t="s">
        <v>3132</v>
      </c>
      <c r="H898" s="14">
        <v>43556</v>
      </c>
      <c r="I898" s="4" t="s">
        <v>367</v>
      </c>
      <c r="J898" s="71" t="s">
        <v>771</v>
      </c>
      <c r="K898" s="246"/>
    </row>
    <row r="899" spans="1:19" ht="13.95" hidden="1" customHeight="1" x14ac:dyDescent="0.25">
      <c r="A899" s="32" t="s">
        <v>198</v>
      </c>
      <c r="B899" s="14">
        <v>43572</v>
      </c>
      <c r="C899" s="67">
        <v>107</v>
      </c>
      <c r="D899" s="32" t="s">
        <v>227</v>
      </c>
      <c r="E899" s="32" t="s">
        <v>195</v>
      </c>
      <c r="F899" s="4">
        <v>12312</v>
      </c>
      <c r="G899" s="28" t="s">
        <v>2072</v>
      </c>
      <c r="H899" s="14">
        <v>43560</v>
      </c>
      <c r="I899" s="4" t="s">
        <v>368</v>
      </c>
      <c r="J899" s="71" t="s">
        <v>6600</v>
      </c>
      <c r="K899" s="246"/>
    </row>
    <row r="900" spans="1:19" ht="13.95" hidden="1" customHeight="1" x14ac:dyDescent="0.25">
      <c r="A900" s="32" t="s">
        <v>198</v>
      </c>
      <c r="B900" s="14">
        <v>43572</v>
      </c>
      <c r="C900" s="13">
        <v>108</v>
      </c>
      <c r="D900" s="32" t="s">
        <v>369</v>
      </c>
      <c r="E900" s="32" t="s">
        <v>195</v>
      </c>
      <c r="F900" s="4">
        <v>7500</v>
      </c>
      <c r="G900" s="13">
        <v>23</v>
      </c>
      <c r="H900" s="14">
        <v>43555</v>
      </c>
      <c r="I900" s="4" t="s">
        <v>328</v>
      </c>
      <c r="J900" s="170" t="s">
        <v>366</v>
      </c>
      <c r="K900" s="246"/>
    </row>
    <row r="901" spans="1:19" s="428" customFormat="1" hidden="1" x14ac:dyDescent="0.25">
      <c r="A901" s="32" t="s">
        <v>198</v>
      </c>
      <c r="B901" s="14">
        <v>43572</v>
      </c>
      <c r="C901" s="13">
        <v>109</v>
      </c>
      <c r="D901" s="32" t="s">
        <v>1003</v>
      </c>
      <c r="E901" s="32" t="s">
        <v>195</v>
      </c>
      <c r="F901" s="4">
        <v>10000</v>
      </c>
      <c r="G901" s="28" t="s">
        <v>6596</v>
      </c>
      <c r="H901" s="14">
        <v>43556</v>
      </c>
      <c r="I901" s="4" t="s">
        <v>326</v>
      </c>
      <c r="J901" s="170" t="s">
        <v>771</v>
      </c>
      <c r="K901" s="248"/>
    </row>
    <row r="902" spans="1:19" s="93" customFormat="1" ht="13.95" hidden="1" customHeight="1" x14ac:dyDescent="0.25">
      <c r="A902" s="32" t="s">
        <v>198</v>
      </c>
      <c r="B902" s="14">
        <v>43572</v>
      </c>
      <c r="C902" s="13">
        <v>110</v>
      </c>
      <c r="D902" s="32" t="s">
        <v>329</v>
      </c>
      <c r="E902" s="32" t="s">
        <v>195</v>
      </c>
      <c r="F902" s="4">
        <v>3500</v>
      </c>
      <c r="G902" s="28" t="s">
        <v>11</v>
      </c>
      <c r="H902" s="14">
        <v>43555</v>
      </c>
      <c r="I902" s="4" t="s">
        <v>330</v>
      </c>
      <c r="J902" s="170" t="s">
        <v>366</v>
      </c>
      <c r="K902" s="249"/>
    </row>
    <row r="903" spans="1:19" s="93" customFormat="1" hidden="1" x14ac:dyDescent="0.25">
      <c r="A903" s="68" t="s">
        <v>198</v>
      </c>
      <c r="B903" s="14">
        <v>43572</v>
      </c>
      <c r="C903" s="13">
        <v>111</v>
      </c>
      <c r="D903" s="32" t="s">
        <v>73</v>
      </c>
      <c r="E903" s="32" t="s">
        <v>195</v>
      </c>
      <c r="F903" s="4">
        <v>15318.72</v>
      </c>
      <c r="G903" s="28" t="s">
        <v>6599</v>
      </c>
      <c r="H903" s="14">
        <v>43556</v>
      </c>
      <c r="I903" s="4" t="s">
        <v>1556</v>
      </c>
      <c r="J903" s="170" t="s">
        <v>6598</v>
      </c>
      <c r="K903" s="249"/>
    </row>
    <row r="904" spans="1:19" s="93" customFormat="1" ht="13.95" hidden="1" customHeight="1" x14ac:dyDescent="0.25">
      <c r="A904" s="68" t="s">
        <v>198</v>
      </c>
      <c r="B904" s="14">
        <v>43572</v>
      </c>
      <c r="C904" s="13">
        <v>111</v>
      </c>
      <c r="D904" s="32" t="s">
        <v>73</v>
      </c>
      <c r="E904" s="32" t="s">
        <v>195</v>
      </c>
      <c r="F904" s="4">
        <v>4042.5</v>
      </c>
      <c r="G904" s="28" t="s">
        <v>6597</v>
      </c>
      <c r="H904" s="14">
        <v>43557</v>
      </c>
      <c r="I904" s="4" t="s">
        <v>332</v>
      </c>
      <c r="J904" s="170" t="s">
        <v>771</v>
      </c>
      <c r="K904" s="249"/>
    </row>
    <row r="905" spans="1:19" s="93" customFormat="1" ht="13.95" hidden="1" customHeight="1" x14ac:dyDescent="0.25">
      <c r="A905" s="68" t="s">
        <v>198</v>
      </c>
      <c r="B905" s="14">
        <v>43572</v>
      </c>
      <c r="C905" s="13">
        <v>112</v>
      </c>
      <c r="D905" s="32" t="s">
        <v>73</v>
      </c>
      <c r="E905" s="32" t="s">
        <v>195</v>
      </c>
      <c r="F905" s="4">
        <v>5197.5</v>
      </c>
      <c r="G905" s="28" t="s">
        <v>2588</v>
      </c>
      <c r="H905" s="14">
        <v>43557</v>
      </c>
      <c r="I905" s="4" t="s">
        <v>331</v>
      </c>
      <c r="J905" s="170" t="s">
        <v>771</v>
      </c>
      <c r="K905" s="249"/>
    </row>
    <row r="906" spans="1:19" hidden="1" x14ac:dyDescent="0.25">
      <c r="A906" s="61" t="s">
        <v>455</v>
      </c>
      <c r="B906" s="242">
        <v>43572</v>
      </c>
      <c r="C906" s="13">
        <v>336</v>
      </c>
      <c r="D906" s="13" t="s">
        <v>5443</v>
      </c>
      <c r="E906" s="13" t="s">
        <v>958</v>
      </c>
      <c r="F906" s="37">
        <v>85000</v>
      </c>
      <c r="G906" s="29" t="s">
        <v>5444</v>
      </c>
      <c r="H906" s="14">
        <v>43191</v>
      </c>
      <c r="I906" s="4" t="s">
        <v>78</v>
      </c>
    </row>
    <row r="907" spans="1:19" s="62" customFormat="1" hidden="1" x14ac:dyDescent="0.25">
      <c r="A907" s="32" t="s">
        <v>455</v>
      </c>
      <c r="B907" s="242">
        <v>43572</v>
      </c>
      <c r="C907" s="13">
        <v>337</v>
      </c>
      <c r="D907" s="13" t="s">
        <v>1082</v>
      </c>
      <c r="E907" s="13" t="s">
        <v>958</v>
      </c>
      <c r="F907" s="37">
        <v>841281.08</v>
      </c>
      <c r="G907" s="189" t="s">
        <v>3141</v>
      </c>
      <c r="H907" s="14">
        <v>43515</v>
      </c>
      <c r="I907" s="4" t="s">
        <v>5041</v>
      </c>
      <c r="J907" s="261" t="s">
        <v>3665</v>
      </c>
      <c r="K907" s="4" t="s">
        <v>4999</v>
      </c>
      <c r="L907" s="71"/>
      <c r="M907" s="170"/>
      <c r="N907" s="71"/>
      <c r="O907" s="71"/>
      <c r="P907" s="35"/>
      <c r="Q907" s="35"/>
      <c r="R907" s="35"/>
      <c r="S907" s="35"/>
    </row>
    <row r="908" spans="1:19" s="62" customFormat="1" hidden="1" x14ac:dyDescent="0.25">
      <c r="A908" s="32" t="s">
        <v>455</v>
      </c>
      <c r="B908" s="242">
        <v>43572</v>
      </c>
      <c r="C908" s="13">
        <v>337</v>
      </c>
      <c r="D908" s="13" t="s">
        <v>1082</v>
      </c>
      <c r="E908" s="13" t="s">
        <v>958</v>
      </c>
      <c r="F908" s="37">
        <v>860279.09</v>
      </c>
      <c r="G908" s="189" t="s">
        <v>3104</v>
      </c>
      <c r="H908" s="14">
        <v>43514</v>
      </c>
      <c r="I908" s="4" t="s">
        <v>5041</v>
      </c>
      <c r="J908" s="261" t="s">
        <v>3665</v>
      </c>
      <c r="K908" s="4" t="s">
        <v>4999</v>
      </c>
      <c r="L908" s="71"/>
      <c r="M908" s="170"/>
      <c r="N908" s="71"/>
      <c r="O908" s="71"/>
      <c r="P908" s="35"/>
      <c r="Q908" s="35"/>
      <c r="R908" s="35"/>
      <c r="S908" s="35"/>
    </row>
    <row r="909" spans="1:19" s="62" customFormat="1" hidden="1" x14ac:dyDescent="0.25">
      <c r="A909" s="32" t="s">
        <v>455</v>
      </c>
      <c r="B909" s="242">
        <v>43572</v>
      </c>
      <c r="C909" s="13">
        <v>337</v>
      </c>
      <c r="D909" s="13" t="s">
        <v>1082</v>
      </c>
      <c r="E909" s="13" t="s">
        <v>958</v>
      </c>
      <c r="F909" s="37">
        <v>826000.08</v>
      </c>
      <c r="G909" s="189" t="s">
        <v>1158</v>
      </c>
      <c r="H909" s="14">
        <v>43514</v>
      </c>
      <c r="I909" s="4" t="s">
        <v>5041</v>
      </c>
      <c r="J909" s="261" t="s">
        <v>3665</v>
      </c>
      <c r="K909" s="4" t="s">
        <v>4999</v>
      </c>
      <c r="L909" s="71"/>
      <c r="M909" s="170"/>
      <c r="N909" s="71"/>
      <c r="O909" s="71"/>
      <c r="P909" s="35"/>
      <c r="Q909" s="35"/>
      <c r="R909" s="35"/>
      <c r="S909" s="35"/>
    </row>
    <row r="910" spans="1:19" s="97" customFormat="1" hidden="1" x14ac:dyDescent="0.25">
      <c r="A910" s="61" t="s">
        <v>637</v>
      </c>
      <c r="B910" s="14">
        <v>43572</v>
      </c>
      <c r="C910" s="13">
        <v>271</v>
      </c>
      <c r="D910" s="13" t="s">
        <v>740</v>
      </c>
      <c r="E910" s="13" t="s">
        <v>691</v>
      </c>
      <c r="F910" s="4">
        <v>296550</v>
      </c>
      <c r="G910" s="29" t="s">
        <v>4904</v>
      </c>
      <c r="H910" s="14">
        <v>43493</v>
      </c>
      <c r="I910" s="4" t="s">
        <v>4902</v>
      </c>
      <c r="J910" s="133"/>
      <c r="K910" s="22"/>
      <c r="L910" s="134"/>
    </row>
    <row r="911" spans="1:19" s="97" customFormat="1" hidden="1" x14ac:dyDescent="0.25">
      <c r="A911" s="61" t="s">
        <v>637</v>
      </c>
      <c r="B911" s="14">
        <v>43572</v>
      </c>
      <c r="C911" s="13">
        <v>271</v>
      </c>
      <c r="D911" s="13" t="s">
        <v>740</v>
      </c>
      <c r="E911" s="13" t="s">
        <v>691</v>
      </c>
      <c r="F911" s="4">
        <v>299550</v>
      </c>
      <c r="G911" s="29" t="s">
        <v>4905</v>
      </c>
      <c r="H911" s="14">
        <v>43493</v>
      </c>
      <c r="I911" s="4" t="s">
        <v>4902</v>
      </c>
      <c r="J911" s="133"/>
      <c r="K911" s="22"/>
      <c r="L911" s="134"/>
    </row>
    <row r="912" spans="1:19" s="97" customFormat="1" hidden="1" x14ac:dyDescent="0.25">
      <c r="A912" s="61" t="s">
        <v>1350</v>
      </c>
      <c r="B912" s="14">
        <v>43572</v>
      </c>
      <c r="C912" s="13">
        <v>271</v>
      </c>
      <c r="D912" s="13" t="s">
        <v>740</v>
      </c>
      <c r="E912" s="13" t="s">
        <v>691</v>
      </c>
      <c r="F912" s="4">
        <v>204500</v>
      </c>
      <c r="G912" s="29" t="s">
        <v>4908</v>
      </c>
      <c r="H912" s="14">
        <v>43503</v>
      </c>
      <c r="I912" s="4" t="s">
        <v>4909</v>
      </c>
      <c r="J912" s="133"/>
      <c r="K912" s="22"/>
      <c r="L912" s="134"/>
    </row>
    <row r="913" spans="1:12" s="97" customFormat="1" hidden="1" x14ac:dyDescent="0.25">
      <c r="A913" s="61" t="s">
        <v>1350</v>
      </c>
      <c r="B913" s="14">
        <v>43572</v>
      </c>
      <c r="C913" s="13">
        <v>271</v>
      </c>
      <c r="D913" s="13" t="s">
        <v>740</v>
      </c>
      <c r="E913" s="13" t="s">
        <v>691</v>
      </c>
      <c r="F913" s="4">
        <v>284500</v>
      </c>
      <c r="G913" s="29" t="s">
        <v>4910</v>
      </c>
      <c r="H913" s="14">
        <v>43510</v>
      </c>
      <c r="I913" s="4" t="s">
        <v>4909</v>
      </c>
      <c r="J913" s="133"/>
      <c r="K913" s="22"/>
      <c r="L913" s="134"/>
    </row>
    <row r="914" spans="1:12" s="97" customFormat="1" hidden="1" x14ac:dyDescent="0.25">
      <c r="A914" s="61" t="s">
        <v>1350</v>
      </c>
      <c r="B914" s="14">
        <v>43572</v>
      </c>
      <c r="C914" s="13">
        <v>271</v>
      </c>
      <c r="D914" s="13" t="s">
        <v>740</v>
      </c>
      <c r="E914" s="13" t="s">
        <v>691</v>
      </c>
      <c r="F914" s="4">
        <v>203000</v>
      </c>
      <c r="G914" s="29" t="s">
        <v>4911</v>
      </c>
      <c r="H914" s="14">
        <v>43510</v>
      </c>
      <c r="I914" s="4" t="s">
        <v>4909</v>
      </c>
      <c r="J914" s="133"/>
      <c r="K914" s="22"/>
      <c r="L914" s="134"/>
    </row>
    <row r="915" spans="1:12" s="97" customFormat="1" hidden="1" x14ac:dyDescent="0.25">
      <c r="A915" s="61" t="s">
        <v>1350</v>
      </c>
      <c r="B915" s="14">
        <v>43572</v>
      </c>
      <c r="C915" s="13">
        <v>271</v>
      </c>
      <c r="D915" s="13" t="s">
        <v>740</v>
      </c>
      <c r="E915" s="13" t="s">
        <v>691</v>
      </c>
      <c r="F915" s="4">
        <v>243000</v>
      </c>
      <c r="G915" s="29" t="s">
        <v>4912</v>
      </c>
      <c r="H915" s="14">
        <v>43510</v>
      </c>
      <c r="I915" s="4" t="s">
        <v>4909</v>
      </c>
      <c r="J915" s="133"/>
      <c r="K915" s="22"/>
      <c r="L915" s="134"/>
    </row>
    <row r="916" spans="1:12" s="97" customFormat="1" hidden="1" x14ac:dyDescent="0.25">
      <c r="A916" s="61" t="s">
        <v>1350</v>
      </c>
      <c r="B916" s="14">
        <v>43572</v>
      </c>
      <c r="C916" s="13">
        <v>271</v>
      </c>
      <c r="D916" s="13" t="s">
        <v>740</v>
      </c>
      <c r="E916" s="13" t="s">
        <v>691</v>
      </c>
      <c r="F916" s="4">
        <v>243000</v>
      </c>
      <c r="G916" s="29" t="s">
        <v>4913</v>
      </c>
      <c r="H916" s="14">
        <v>43510</v>
      </c>
      <c r="I916" s="4" t="s">
        <v>4909</v>
      </c>
      <c r="J916" s="133"/>
      <c r="K916" s="22"/>
      <c r="L916" s="134"/>
    </row>
    <row r="917" spans="1:12" s="97" customFormat="1" hidden="1" x14ac:dyDescent="0.25">
      <c r="A917" s="32" t="s">
        <v>1350</v>
      </c>
      <c r="B917" s="14">
        <v>43572</v>
      </c>
      <c r="C917" s="13">
        <v>272</v>
      </c>
      <c r="D917" s="13" t="s">
        <v>539</v>
      </c>
      <c r="E917" s="13" t="s">
        <v>691</v>
      </c>
      <c r="F917" s="4">
        <v>795832.2</v>
      </c>
      <c r="G917" s="28" t="s">
        <v>5640</v>
      </c>
      <c r="H917" s="14">
        <v>43544</v>
      </c>
      <c r="I917" s="4" t="s">
        <v>443</v>
      </c>
      <c r="J917" s="133"/>
      <c r="K917" s="22"/>
      <c r="L917" s="134"/>
    </row>
    <row r="918" spans="1:12" s="97" customFormat="1" hidden="1" x14ac:dyDescent="0.25">
      <c r="A918" s="32" t="s">
        <v>1350</v>
      </c>
      <c r="B918" s="14">
        <v>43572</v>
      </c>
      <c r="C918" s="13">
        <v>273</v>
      </c>
      <c r="D918" s="13" t="s">
        <v>276</v>
      </c>
      <c r="E918" s="13" t="s">
        <v>691</v>
      </c>
      <c r="F918" s="4">
        <v>459500</v>
      </c>
      <c r="G918" s="29" t="s">
        <v>199</v>
      </c>
      <c r="H918" s="14">
        <v>43511</v>
      </c>
      <c r="I918" s="4" t="s">
        <v>4340</v>
      </c>
      <c r="J918" s="133"/>
      <c r="K918" s="22"/>
      <c r="L918" s="134"/>
    </row>
    <row r="919" spans="1:12" s="97" customFormat="1" hidden="1" x14ac:dyDescent="0.25">
      <c r="A919" s="32" t="s">
        <v>1350</v>
      </c>
      <c r="B919" s="14">
        <v>43572</v>
      </c>
      <c r="C919" s="13">
        <v>273</v>
      </c>
      <c r="D919" s="13" t="s">
        <v>276</v>
      </c>
      <c r="E919" s="13" t="s">
        <v>691</v>
      </c>
      <c r="F919" s="4">
        <v>345250</v>
      </c>
      <c r="G919" s="29" t="s">
        <v>3143</v>
      </c>
      <c r="H919" s="14">
        <v>43511</v>
      </c>
      <c r="I919" s="4" t="s">
        <v>1876</v>
      </c>
      <c r="J919" s="133"/>
      <c r="K919" s="22"/>
      <c r="L919" s="134"/>
    </row>
    <row r="920" spans="1:12" s="97" customFormat="1" hidden="1" x14ac:dyDescent="0.25">
      <c r="A920" s="32" t="s">
        <v>1350</v>
      </c>
      <c r="B920" s="14">
        <v>43572</v>
      </c>
      <c r="C920" s="13">
        <v>273</v>
      </c>
      <c r="D920" s="13" t="s">
        <v>276</v>
      </c>
      <c r="E920" s="13" t="s">
        <v>691</v>
      </c>
      <c r="F920" s="4">
        <v>56250</v>
      </c>
      <c r="G920" s="29" t="s">
        <v>111</v>
      </c>
      <c r="H920" s="14">
        <v>43509</v>
      </c>
      <c r="I920" s="4" t="s">
        <v>1876</v>
      </c>
      <c r="J920" s="133"/>
      <c r="K920" s="22"/>
      <c r="L920" s="134"/>
    </row>
    <row r="921" spans="1:12" s="97" customFormat="1" hidden="1" x14ac:dyDescent="0.25">
      <c r="A921" s="32" t="s">
        <v>1350</v>
      </c>
      <c r="B921" s="14">
        <v>43572</v>
      </c>
      <c r="C921" s="13">
        <v>273</v>
      </c>
      <c r="D921" s="13" t="s">
        <v>276</v>
      </c>
      <c r="E921" s="13" t="s">
        <v>691</v>
      </c>
      <c r="F921" s="4">
        <v>146250</v>
      </c>
      <c r="G921" s="29" t="s">
        <v>66</v>
      </c>
      <c r="H921" s="14">
        <v>43514</v>
      </c>
      <c r="I921" s="4" t="s">
        <v>1876</v>
      </c>
      <c r="J921" s="133"/>
      <c r="K921" s="22"/>
      <c r="L921" s="134"/>
    </row>
    <row r="922" spans="1:12" s="97" customFormat="1" hidden="1" x14ac:dyDescent="0.25">
      <c r="A922" s="32" t="s">
        <v>1350</v>
      </c>
      <c r="B922" s="14">
        <v>43572</v>
      </c>
      <c r="C922" s="13">
        <v>273</v>
      </c>
      <c r="D922" s="13" t="s">
        <v>276</v>
      </c>
      <c r="E922" s="13" t="s">
        <v>691</v>
      </c>
      <c r="F922" s="4">
        <v>179295</v>
      </c>
      <c r="G922" s="28" t="s">
        <v>301</v>
      </c>
      <c r="H922" s="14">
        <v>43518</v>
      </c>
      <c r="I922" s="4" t="s">
        <v>1876</v>
      </c>
      <c r="J922" s="133"/>
      <c r="K922" s="22"/>
      <c r="L922" s="134"/>
    </row>
    <row r="923" spans="1:12" s="97" customFormat="1" hidden="1" x14ac:dyDescent="0.25">
      <c r="A923" s="32" t="s">
        <v>1350</v>
      </c>
      <c r="B923" s="14">
        <v>43572</v>
      </c>
      <c r="C923" s="13">
        <v>273</v>
      </c>
      <c r="D923" s="13" t="s">
        <v>276</v>
      </c>
      <c r="E923" s="13" t="s">
        <v>691</v>
      </c>
      <c r="F923" s="4">
        <v>44230</v>
      </c>
      <c r="G923" s="29" t="s">
        <v>33</v>
      </c>
      <c r="H923" s="14">
        <v>43521</v>
      </c>
      <c r="I923" s="4" t="s">
        <v>4105</v>
      </c>
      <c r="J923" s="133"/>
      <c r="K923" s="22"/>
      <c r="L923" s="134"/>
    </row>
    <row r="924" spans="1:12" s="97" customFormat="1" hidden="1" x14ac:dyDescent="0.25">
      <c r="A924" s="32" t="s">
        <v>1350</v>
      </c>
      <c r="B924" s="14">
        <v>43572</v>
      </c>
      <c r="C924" s="13">
        <v>273</v>
      </c>
      <c r="D924" s="13" t="s">
        <v>276</v>
      </c>
      <c r="E924" s="13" t="s">
        <v>691</v>
      </c>
      <c r="F924" s="4">
        <v>28600</v>
      </c>
      <c r="G924" s="29" t="s">
        <v>724</v>
      </c>
      <c r="H924" s="14">
        <v>43521</v>
      </c>
      <c r="I924" s="4" t="s">
        <v>4105</v>
      </c>
      <c r="J924" s="133"/>
      <c r="K924" s="22"/>
      <c r="L924" s="134"/>
    </row>
    <row r="925" spans="1:12" s="97" customFormat="1" hidden="1" x14ac:dyDescent="0.25">
      <c r="A925" s="32" t="s">
        <v>1350</v>
      </c>
      <c r="B925" s="14">
        <v>43572</v>
      </c>
      <c r="C925" s="13">
        <v>273</v>
      </c>
      <c r="D925" s="13" t="s">
        <v>276</v>
      </c>
      <c r="E925" s="13" t="s">
        <v>691</v>
      </c>
      <c r="F925" s="4">
        <v>28300</v>
      </c>
      <c r="G925" s="29" t="s">
        <v>299</v>
      </c>
      <c r="H925" s="14">
        <v>43521</v>
      </c>
      <c r="I925" s="4" t="s">
        <v>4105</v>
      </c>
      <c r="J925" s="133"/>
      <c r="K925" s="22"/>
      <c r="L925" s="134"/>
    </row>
    <row r="926" spans="1:12" s="97" customFormat="1" hidden="1" x14ac:dyDescent="0.25">
      <c r="A926" s="32" t="s">
        <v>1350</v>
      </c>
      <c r="B926" s="14">
        <v>43572</v>
      </c>
      <c r="C926" s="13">
        <v>273</v>
      </c>
      <c r="D926" s="13" t="s">
        <v>276</v>
      </c>
      <c r="E926" s="13" t="s">
        <v>691</v>
      </c>
      <c r="F926" s="4">
        <v>28950</v>
      </c>
      <c r="G926" s="29" t="s">
        <v>4</v>
      </c>
      <c r="H926" s="14">
        <v>43521</v>
      </c>
      <c r="I926" s="4" t="s">
        <v>4105</v>
      </c>
      <c r="J926" s="133"/>
      <c r="K926" s="22"/>
      <c r="L926" s="134"/>
    </row>
    <row r="927" spans="1:12" s="97" customFormat="1" hidden="1" x14ac:dyDescent="0.25">
      <c r="A927" s="32" t="s">
        <v>1350</v>
      </c>
      <c r="B927" s="14">
        <v>43572</v>
      </c>
      <c r="C927" s="13">
        <v>273</v>
      </c>
      <c r="D927" s="13" t="s">
        <v>276</v>
      </c>
      <c r="E927" s="13" t="s">
        <v>691</v>
      </c>
      <c r="F927" s="4">
        <v>28950</v>
      </c>
      <c r="G927" s="29" t="s">
        <v>302</v>
      </c>
      <c r="H927" s="14">
        <v>43521</v>
      </c>
      <c r="I927" s="4" t="s">
        <v>4105</v>
      </c>
      <c r="J927" s="133"/>
      <c r="K927" s="22"/>
      <c r="L927" s="134"/>
    </row>
    <row r="928" spans="1:12" s="97" customFormat="1" hidden="1" x14ac:dyDescent="0.25">
      <c r="A928" s="61" t="s">
        <v>1350</v>
      </c>
      <c r="B928" s="14">
        <v>43572</v>
      </c>
      <c r="C928" s="13">
        <v>273</v>
      </c>
      <c r="D928" s="13" t="s">
        <v>276</v>
      </c>
      <c r="E928" s="13" t="s">
        <v>691</v>
      </c>
      <c r="F928" s="4">
        <v>80290</v>
      </c>
      <c r="G928" s="210" t="s">
        <v>196</v>
      </c>
      <c r="H928" s="211">
        <v>43454</v>
      </c>
      <c r="I928" s="4" t="s">
        <v>449</v>
      </c>
      <c r="J928" s="133"/>
      <c r="K928" s="22"/>
      <c r="L928" s="134"/>
    </row>
    <row r="929" spans="1:12" s="97" customFormat="1" hidden="1" x14ac:dyDescent="0.25">
      <c r="A929" s="32" t="s">
        <v>1350</v>
      </c>
      <c r="B929" s="14">
        <v>43572</v>
      </c>
      <c r="C929" s="13">
        <v>273</v>
      </c>
      <c r="D929" s="13" t="s">
        <v>276</v>
      </c>
      <c r="E929" s="13" t="s">
        <v>691</v>
      </c>
      <c r="F929" s="4">
        <v>563280</v>
      </c>
      <c r="G929" s="29" t="s">
        <v>4696</v>
      </c>
      <c r="H929" s="14">
        <v>43523</v>
      </c>
      <c r="I929" s="4" t="s">
        <v>1876</v>
      </c>
      <c r="J929" s="133"/>
      <c r="K929" s="22"/>
      <c r="L929" s="134"/>
    </row>
    <row r="930" spans="1:12" s="97" customFormat="1" hidden="1" x14ac:dyDescent="0.25">
      <c r="A930" s="61" t="s">
        <v>1350</v>
      </c>
      <c r="B930" s="14">
        <v>43572</v>
      </c>
      <c r="C930" s="13">
        <v>273</v>
      </c>
      <c r="D930" s="13" t="s">
        <v>276</v>
      </c>
      <c r="E930" s="13" t="s">
        <v>691</v>
      </c>
      <c r="F930" s="4">
        <v>454965</v>
      </c>
      <c r="G930" s="29" t="s">
        <v>317</v>
      </c>
      <c r="H930" s="14">
        <v>43531</v>
      </c>
      <c r="I930" s="4" t="s">
        <v>1876</v>
      </c>
      <c r="J930" s="133"/>
      <c r="K930" s="22"/>
      <c r="L930" s="134"/>
    </row>
    <row r="931" spans="1:12" s="97" customFormat="1" hidden="1" x14ac:dyDescent="0.25">
      <c r="A931" s="61" t="s">
        <v>1350</v>
      </c>
      <c r="B931" s="14">
        <v>43572</v>
      </c>
      <c r="C931" s="13">
        <v>274</v>
      </c>
      <c r="D931" s="13" t="s">
        <v>254</v>
      </c>
      <c r="E931" s="13" t="s">
        <v>691</v>
      </c>
      <c r="F931" s="4">
        <v>837259.95</v>
      </c>
      <c r="G931" s="29" t="s">
        <v>5930</v>
      </c>
      <c r="H931" s="14">
        <v>43544</v>
      </c>
      <c r="I931" s="4" t="s">
        <v>5931</v>
      </c>
      <c r="J931" s="133"/>
      <c r="K931" s="22"/>
      <c r="L931" s="134"/>
    </row>
    <row r="932" spans="1:12" s="97" customFormat="1" hidden="1" x14ac:dyDescent="0.25">
      <c r="A932" s="32" t="s">
        <v>1350</v>
      </c>
      <c r="B932" s="14">
        <v>43572</v>
      </c>
      <c r="C932" s="13">
        <v>275</v>
      </c>
      <c r="D932" s="13" t="s">
        <v>589</v>
      </c>
      <c r="E932" s="13" t="s">
        <v>691</v>
      </c>
      <c r="F932" s="4">
        <v>840790</v>
      </c>
      <c r="G932" s="28" t="s">
        <v>4691</v>
      </c>
      <c r="H932" s="14">
        <v>43516</v>
      </c>
      <c r="I932" s="4" t="s">
        <v>443</v>
      </c>
      <c r="J932" s="133"/>
      <c r="K932" s="22"/>
      <c r="L932" s="134"/>
    </row>
    <row r="933" spans="1:12" s="97" customFormat="1" hidden="1" x14ac:dyDescent="0.25">
      <c r="A933" s="61" t="s">
        <v>637</v>
      </c>
      <c r="B933" s="14">
        <v>43572</v>
      </c>
      <c r="C933" s="13">
        <v>275</v>
      </c>
      <c r="D933" s="13" t="s">
        <v>589</v>
      </c>
      <c r="E933" s="13" t="s">
        <v>691</v>
      </c>
      <c r="F933" s="4">
        <v>22650</v>
      </c>
      <c r="G933" s="29" t="s">
        <v>4692</v>
      </c>
      <c r="H933" s="14">
        <v>43518</v>
      </c>
      <c r="I933" s="4" t="s">
        <v>900</v>
      </c>
      <c r="J933" s="133"/>
      <c r="K933" s="22"/>
      <c r="L933" s="134"/>
    </row>
    <row r="934" spans="1:12" s="97" customFormat="1" hidden="1" x14ac:dyDescent="0.25">
      <c r="A934" s="61" t="s">
        <v>1350</v>
      </c>
      <c r="B934" s="14">
        <v>43572</v>
      </c>
      <c r="C934" s="13">
        <v>275</v>
      </c>
      <c r="D934" s="13" t="s">
        <v>589</v>
      </c>
      <c r="E934" s="13" t="s">
        <v>691</v>
      </c>
      <c r="F934" s="4">
        <v>877750</v>
      </c>
      <c r="G934" s="210" t="s">
        <v>4693</v>
      </c>
      <c r="H934" s="211">
        <v>43518</v>
      </c>
      <c r="I934" s="4" t="s">
        <v>735</v>
      </c>
      <c r="J934" s="133"/>
      <c r="K934" s="22"/>
      <c r="L934" s="134"/>
    </row>
    <row r="935" spans="1:12" s="97" customFormat="1" hidden="1" x14ac:dyDescent="0.25">
      <c r="A935" s="61" t="s">
        <v>1350</v>
      </c>
      <c r="B935" s="14">
        <v>43572</v>
      </c>
      <c r="C935" s="13">
        <v>276</v>
      </c>
      <c r="D935" s="13" t="s">
        <v>1827</v>
      </c>
      <c r="E935" s="13" t="s">
        <v>691</v>
      </c>
      <c r="F935" s="4">
        <f>912400-200000</f>
        <v>712400</v>
      </c>
      <c r="G935" s="29" t="s">
        <v>728</v>
      </c>
      <c r="H935" s="14">
        <v>43515</v>
      </c>
      <c r="I935" s="4" t="s">
        <v>4351</v>
      </c>
      <c r="J935" s="133"/>
      <c r="K935" s="22"/>
      <c r="L935" s="134"/>
    </row>
    <row r="936" spans="1:12" s="97" customFormat="1" hidden="1" x14ac:dyDescent="0.25">
      <c r="A936" s="61" t="s">
        <v>1148</v>
      </c>
      <c r="B936" s="14">
        <v>43572</v>
      </c>
      <c r="C936" s="13">
        <v>679</v>
      </c>
      <c r="D936" s="13" t="s">
        <v>740</v>
      </c>
      <c r="E936" s="13" t="s">
        <v>808</v>
      </c>
      <c r="F936" s="4">
        <v>46500</v>
      </c>
      <c r="G936" s="28" t="s">
        <v>6475</v>
      </c>
      <c r="H936" s="14">
        <v>43539</v>
      </c>
      <c r="I936" s="4" t="s">
        <v>245</v>
      </c>
      <c r="J936" s="133"/>
      <c r="K936" s="22"/>
      <c r="L936" s="134"/>
    </row>
    <row r="937" spans="1:12" s="97" customFormat="1" hidden="1" x14ac:dyDescent="0.25">
      <c r="A937" s="32" t="s">
        <v>1147</v>
      </c>
      <c r="B937" s="14">
        <v>43572</v>
      </c>
      <c r="C937" s="13">
        <v>680</v>
      </c>
      <c r="D937" s="13" t="s">
        <v>1377</v>
      </c>
      <c r="E937" s="13" t="s">
        <v>808</v>
      </c>
      <c r="F937" s="4">
        <f>900000-300000</f>
        <v>600000</v>
      </c>
      <c r="G937" s="28" t="s">
        <v>2955</v>
      </c>
      <c r="H937" s="14">
        <v>43507</v>
      </c>
      <c r="I937" s="4" t="s">
        <v>1207</v>
      </c>
      <c r="J937" s="133"/>
      <c r="K937" s="22"/>
      <c r="L937" s="134"/>
    </row>
    <row r="938" spans="1:12" s="97" customFormat="1" hidden="1" x14ac:dyDescent="0.25">
      <c r="A938" s="32" t="s">
        <v>1148</v>
      </c>
      <c r="B938" s="14">
        <v>43572</v>
      </c>
      <c r="C938" s="13">
        <v>680</v>
      </c>
      <c r="D938" s="13" t="s">
        <v>1377</v>
      </c>
      <c r="E938" s="13" t="s">
        <v>808</v>
      </c>
      <c r="F938" s="4">
        <v>840000</v>
      </c>
      <c r="G938" s="28" t="s">
        <v>3211</v>
      </c>
      <c r="H938" s="14">
        <v>43509</v>
      </c>
      <c r="I938" s="4" t="s">
        <v>421</v>
      </c>
      <c r="J938" s="133"/>
      <c r="K938" s="22"/>
      <c r="L938" s="134"/>
    </row>
    <row r="939" spans="1:12" s="97" customFormat="1" hidden="1" x14ac:dyDescent="0.25">
      <c r="A939" s="32" t="s">
        <v>1148</v>
      </c>
      <c r="B939" s="14">
        <v>43572</v>
      </c>
      <c r="C939" s="13">
        <v>680</v>
      </c>
      <c r="D939" s="13" t="s">
        <v>1377</v>
      </c>
      <c r="E939" s="13" t="s">
        <v>808</v>
      </c>
      <c r="F939" s="4">
        <v>860000</v>
      </c>
      <c r="G939" s="28" t="s">
        <v>300</v>
      </c>
      <c r="H939" s="14">
        <v>43515</v>
      </c>
      <c r="I939" s="4" t="s">
        <v>1349</v>
      </c>
      <c r="J939" s="133"/>
      <c r="K939" s="22"/>
      <c r="L939" s="134"/>
    </row>
    <row r="940" spans="1:12" s="97" customFormat="1" hidden="1" x14ac:dyDescent="0.25">
      <c r="A940" s="61" t="s">
        <v>1147</v>
      </c>
      <c r="B940" s="14">
        <v>43572</v>
      </c>
      <c r="C940" s="13">
        <v>681</v>
      </c>
      <c r="D940" s="13" t="s">
        <v>539</v>
      </c>
      <c r="E940" s="13" t="s">
        <v>808</v>
      </c>
      <c r="F940" s="4">
        <v>823470</v>
      </c>
      <c r="G940" s="29" t="s">
        <v>4705</v>
      </c>
      <c r="H940" s="14">
        <v>43552</v>
      </c>
      <c r="I940" s="4" t="s">
        <v>5931</v>
      </c>
      <c r="J940" s="133"/>
      <c r="K940" s="22"/>
      <c r="L940" s="134"/>
    </row>
    <row r="941" spans="1:12" s="97" customFormat="1" hidden="1" x14ac:dyDescent="0.25">
      <c r="A941" s="32" t="s">
        <v>659</v>
      </c>
      <c r="B941" s="14">
        <v>43572</v>
      </c>
      <c r="C941" s="13">
        <v>682</v>
      </c>
      <c r="D941" s="13" t="s">
        <v>1206</v>
      </c>
      <c r="E941" s="13" t="s">
        <v>808</v>
      </c>
      <c r="F941" s="4">
        <v>864150</v>
      </c>
      <c r="G941" s="28" t="s">
        <v>5641</v>
      </c>
      <c r="H941" s="14">
        <v>43538</v>
      </c>
      <c r="I941" s="4" t="s">
        <v>5642</v>
      </c>
      <c r="J941" s="133"/>
      <c r="K941" s="22"/>
      <c r="L941" s="134"/>
    </row>
    <row r="942" spans="1:12" s="97" customFormat="1" hidden="1" x14ac:dyDescent="0.25">
      <c r="A942" s="32" t="s">
        <v>659</v>
      </c>
      <c r="B942" s="14">
        <v>43572</v>
      </c>
      <c r="C942" s="13">
        <v>689</v>
      </c>
      <c r="D942" s="13" t="s">
        <v>276</v>
      </c>
      <c r="E942" s="13" t="s">
        <v>808</v>
      </c>
      <c r="F942" s="4">
        <v>376400</v>
      </c>
      <c r="G942" s="29" t="s">
        <v>2819</v>
      </c>
      <c r="H942" s="14">
        <v>43509</v>
      </c>
      <c r="I942" s="4" t="s">
        <v>4341</v>
      </c>
      <c r="J942" s="133"/>
      <c r="K942" s="22"/>
      <c r="L942" s="134"/>
    </row>
    <row r="943" spans="1:12" s="97" customFormat="1" hidden="1" x14ac:dyDescent="0.25">
      <c r="A943" s="61" t="s">
        <v>659</v>
      </c>
      <c r="B943" s="14">
        <v>43572</v>
      </c>
      <c r="C943" s="13">
        <v>689</v>
      </c>
      <c r="D943" s="13" t="s">
        <v>276</v>
      </c>
      <c r="E943" s="13" t="s">
        <v>808</v>
      </c>
      <c r="F943" s="4">
        <v>100200</v>
      </c>
      <c r="G943" s="29" t="s">
        <v>1191</v>
      </c>
      <c r="H943" s="14">
        <v>43514</v>
      </c>
      <c r="I943" s="4" t="s">
        <v>1876</v>
      </c>
      <c r="J943" s="133"/>
      <c r="K943" s="22"/>
      <c r="L943" s="134"/>
    </row>
    <row r="944" spans="1:12" s="97" customFormat="1" hidden="1" x14ac:dyDescent="0.25">
      <c r="A944" s="32" t="s">
        <v>1147</v>
      </c>
      <c r="B944" s="14">
        <v>43572</v>
      </c>
      <c r="C944" s="13">
        <v>689</v>
      </c>
      <c r="D944" s="13" t="s">
        <v>276</v>
      </c>
      <c r="E944" s="13" t="s">
        <v>808</v>
      </c>
      <c r="F944" s="4">
        <v>886000</v>
      </c>
      <c r="G944" s="28" t="s">
        <v>5928</v>
      </c>
      <c r="H944" s="14">
        <v>43537</v>
      </c>
      <c r="I944" s="4" t="s">
        <v>1349</v>
      </c>
      <c r="J944" s="133"/>
      <c r="K944" s="22"/>
      <c r="L944" s="134"/>
    </row>
    <row r="945" spans="1:12" s="97" customFormat="1" hidden="1" x14ac:dyDescent="0.25">
      <c r="A945" s="61" t="s">
        <v>1316</v>
      </c>
      <c r="B945" s="14">
        <v>43572</v>
      </c>
      <c r="C945" s="13">
        <v>683</v>
      </c>
      <c r="D945" s="13" t="s">
        <v>254</v>
      </c>
      <c r="E945" s="13" t="s">
        <v>808</v>
      </c>
      <c r="F945" s="4">
        <v>856000.08</v>
      </c>
      <c r="G945" s="29" t="s">
        <v>5929</v>
      </c>
      <c r="H945" s="14">
        <v>43543</v>
      </c>
      <c r="I945" s="4" t="s">
        <v>443</v>
      </c>
      <c r="J945" s="133"/>
      <c r="K945" s="22"/>
      <c r="L945" s="134"/>
    </row>
    <row r="946" spans="1:12" s="97" customFormat="1" hidden="1" x14ac:dyDescent="0.25">
      <c r="A946" s="61" t="s">
        <v>1148</v>
      </c>
      <c r="B946" s="14">
        <v>43572</v>
      </c>
      <c r="C946" s="13">
        <v>684</v>
      </c>
      <c r="D946" s="13" t="s">
        <v>589</v>
      </c>
      <c r="E946" s="13" t="s">
        <v>808</v>
      </c>
      <c r="F946" s="4">
        <v>814776</v>
      </c>
      <c r="G946" s="29" t="s">
        <v>4922</v>
      </c>
      <c r="H946" s="14">
        <v>43524</v>
      </c>
      <c r="I946" s="4" t="s">
        <v>4921</v>
      </c>
      <c r="J946" s="133"/>
      <c r="K946" s="22"/>
      <c r="L946" s="134"/>
    </row>
    <row r="947" spans="1:12" s="97" customFormat="1" hidden="1" x14ac:dyDescent="0.25">
      <c r="A947" s="61" t="s">
        <v>1148</v>
      </c>
      <c r="B947" s="14">
        <v>43572</v>
      </c>
      <c r="C947" s="13">
        <v>684</v>
      </c>
      <c r="D947" s="13" t="s">
        <v>589</v>
      </c>
      <c r="E947" s="13" t="s">
        <v>808</v>
      </c>
      <c r="F947" s="4">
        <v>844427</v>
      </c>
      <c r="G947" s="29" t="s">
        <v>4923</v>
      </c>
      <c r="H947" s="14">
        <v>43525</v>
      </c>
      <c r="I947" s="4" t="s">
        <v>4924</v>
      </c>
      <c r="J947" s="133"/>
      <c r="K947" s="22"/>
      <c r="L947" s="134"/>
    </row>
    <row r="948" spans="1:12" s="97" customFormat="1" hidden="1" x14ac:dyDescent="0.25">
      <c r="A948" s="32" t="s">
        <v>1148</v>
      </c>
      <c r="B948" s="14">
        <v>43572</v>
      </c>
      <c r="C948" s="13">
        <v>685</v>
      </c>
      <c r="D948" s="13" t="s">
        <v>1827</v>
      </c>
      <c r="E948" s="13" t="s">
        <v>808</v>
      </c>
      <c r="F948" s="4">
        <v>900000</v>
      </c>
      <c r="G948" s="28" t="s">
        <v>86</v>
      </c>
      <c r="H948" s="14">
        <v>43522</v>
      </c>
      <c r="I948" s="4" t="s">
        <v>4695</v>
      </c>
      <c r="J948" s="133"/>
      <c r="K948" s="22"/>
      <c r="L948" s="134"/>
    </row>
    <row r="949" spans="1:12" s="97" customFormat="1" x14ac:dyDescent="0.25">
      <c r="A949" s="61" t="s">
        <v>1148</v>
      </c>
      <c r="B949" s="14">
        <v>43572</v>
      </c>
      <c r="C949" s="13">
        <v>690</v>
      </c>
      <c r="D949" s="13" t="s">
        <v>243</v>
      </c>
      <c r="E949" s="13" t="s">
        <v>808</v>
      </c>
      <c r="F949" s="4">
        <v>821598.12</v>
      </c>
      <c r="G949" s="210" t="s">
        <v>96</v>
      </c>
      <c r="H949" s="211">
        <v>43516</v>
      </c>
      <c r="I949" s="4" t="s">
        <v>2717</v>
      </c>
      <c r="J949" s="133"/>
      <c r="K949" s="22"/>
      <c r="L949" s="134"/>
    </row>
    <row r="950" spans="1:12" s="97" customFormat="1" x14ac:dyDescent="0.25">
      <c r="A950" s="61" t="s">
        <v>1316</v>
      </c>
      <c r="B950" s="14">
        <v>43572</v>
      </c>
      <c r="C950" s="13">
        <v>690</v>
      </c>
      <c r="D950" s="13" t="s">
        <v>243</v>
      </c>
      <c r="E950" s="13" t="s">
        <v>808</v>
      </c>
      <c r="F950" s="4">
        <v>849391.8</v>
      </c>
      <c r="G950" s="29" t="s">
        <v>700</v>
      </c>
      <c r="H950" s="14">
        <v>43535</v>
      </c>
      <c r="I950" s="4" t="s">
        <v>2068</v>
      </c>
      <c r="J950" s="133"/>
      <c r="K950" s="22"/>
      <c r="L950" s="134"/>
    </row>
    <row r="951" spans="1:12" s="97" customFormat="1" hidden="1" x14ac:dyDescent="0.25">
      <c r="A951" s="32" t="s">
        <v>1147</v>
      </c>
      <c r="B951" s="14">
        <v>43572</v>
      </c>
      <c r="C951" s="13">
        <v>686</v>
      </c>
      <c r="D951" s="13" t="s">
        <v>249</v>
      </c>
      <c r="E951" s="13" t="s">
        <v>808</v>
      </c>
      <c r="F951" s="4">
        <v>839633.09</v>
      </c>
      <c r="G951" s="29" t="s">
        <v>6793</v>
      </c>
      <c r="H951" s="14">
        <v>43565</v>
      </c>
      <c r="I951" s="4" t="s">
        <v>4694</v>
      </c>
      <c r="J951" s="133"/>
      <c r="K951" s="22"/>
      <c r="L951" s="134"/>
    </row>
    <row r="952" spans="1:12" s="97" customFormat="1" hidden="1" x14ac:dyDescent="0.25">
      <c r="A952" s="32" t="s">
        <v>1148</v>
      </c>
      <c r="B952" s="14">
        <v>43572</v>
      </c>
      <c r="C952" s="13">
        <v>686</v>
      </c>
      <c r="D952" s="13" t="s">
        <v>249</v>
      </c>
      <c r="E952" s="13" t="s">
        <v>808</v>
      </c>
      <c r="F952" s="4">
        <v>810189</v>
      </c>
      <c r="G952" s="28" t="s">
        <v>4265</v>
      </c>
      <c r="H952" s="14">
        <v>43560</v>
      </c>
      <c r="I952" s="4" t="s">
        <v>423</v>
      </c>
      <c r="J952" s="133"/>
      <c r="K952" s="22"/>
      <c r="L952" s="134"/>
    </row>
    <row r="953" spans="1:12" s="97" customFormat="1" ht="27.6" hidden="1" x14ac:dyDescent="0.25">
      <c r="A953" s="32" t="s">
        <v>2046</v>
      </c>
      <c r="B953" s="14">
        <v>43572</v>
      </c>
      <c r="C953" s="13">
        <v>686</v>
      </c>
      <c r="D953" s="13" t="s">
        <v>249</v>
      </c>
      <c r="E953" s="13" t="s">
        <v>808</v>
      </c>
      <c r="F953" s="4">
        <v>499320</v>
      </c>
      <c r="G953" s="29" t="s">
        <v>3589</v>
      </c>
      <c r="H953" s="14">
        <v>43552</v>
      </c>
      <c r="I953" s="4" t="s">
        <v>6717</v>
      </c>
      <c r="J953" s="133"/>
      <c r="K953" s="22"/>
      <c r="L953" s="134"/>
    </row>
    <row r="954" spans="1:12" s="97" customFormat="1" hidden="1" x14ac:dyDescent="0.25">
      <c r="A954" s="32" t="s">
        <v>659</v>
      </c>
      <c r="B954" s="14">
        <v>43572</v>
      </c>
      <c r="C954" s="13">
        <v>686</v>
      </c>
      <c r="D954" s="13" t="s">
        <v>249</v>
      </c>
      <c r="E954" s="13" t="s">
        <v>808</v>
      </c>
      <c r="F954" s="4">
        <v>826084.34</v>
      </c>
      <c r="G954" s="29" t="s">
        <v>3519</v>
      </c>
      <c r="H954" s="14">
        <v>43553</v>
      </c>
      <c r="I954" s="4" t="s">
        <v>6716</v>
      </c>
      <c r="J954" s="133"/>
      <c r="K954" s="22"/>
      <c r="L954" s="134"/>
    </row>
    <row r="955" spans="1:12" s="97" customFormat="1" hidden="1" x14ac:dyDescent="0.25">
      <c r="A955" s="61" t="s">
        <v>1148</v>
      </c>
      <c r="B955" s="14">
        <v>43572</v>
      </c>
      <c r="C955" s="13">
        <v>688</v>
      </c>
      <c r="D955" s="13" t="s">
        <v>1082</v>
      </c>
      <c r="E955" s="13" t="s">
        <v>808</v>
      </c>
      <c r="F955" s="4">
        <v>810300</v>
      </c>
      <c r="G955" s="29" t="s">
        <v>3143</v>
      </c>
      <c r="H955" s="14">
        <v>43523</v>
      </c>
      <c r="I955" s="4" t="s">
        <v>421</v>
      </c>
      <c r="J955" s="133"/>
      <c r="K955" s="22"/>
      <c r="L955" s="134"/>
    </row>
    <row r="956" spans="1:12" s="97" customFormat="1" hidden="1" x14ac:dyDescent="0.25">
      <c r="A956" s="61" t="s">
        <v>1148</v>
      </c>
      <c r="B956" s="14">
        <v>43572</v>
      </c>
      <c r="C956" s="13">
        <v>688</v>
      </c>
      <c r="D956" s="13" t="s">
        <v>1082</v>
      </c>
      <c r="E956" s="13" t="s">
        <v>808</v>
      </c>
      <c r="F956" s="4">
        <v>876000</v>
      </c>
      <c r="G956" s="29" t="s">
        <v>111</v>
      </c>
      <c r="H956" s="14">
        <v>43524</v>
      </c>
      <c r="I956" s="4" t="s">
        <v>421</v>
      </c>
      <c r="J956" s="133"/>
      <c r="K956" s="22"/>
      <c r="L956" s="134"/>
    </row>
    <row r="957" spans="1:12" s="97" customFormat="1" hidden="1" x14ac:dyDescent="0.25">
      <c r="A957" s="32" t="s">
        <v>1148</v>
      </c>
      <c r="B957" s="14">
        <v>43572</v>
      </c>
      <c r="C957" s="13">
        <v>688</v>
      </c>
      <c r="D957" s="13" t="s">
        <v>1082</v>
      </c>
      <c r="E957" s="13" t="s">
        <v>808</v>
      </c>
      <c r="F957" s="4">
        <v>876000</v>
      </c>
      <c r="G957" s="28" t="s">
        <v>2819</v>
      </c>
      <c r="H957" s="14">
        <v>43528</v>
      </c>
      <c r="I957" s="4" t="s">
        <v>421</v>
      </c>
      <c r="J957" s="133"/>
      <c r="K957" s="22"/>
      <c r="L957" s="134"/>
    </row>
    <row r="958" spans="1:12" s="97" customFormat="1" hidden="1" x14ac:dyDescent="0.25">
      <c r="A958" s="32" t="s">
        <v>1149</v>
      </c>
      <c r="B958" s="14">
        <v>43572</v>
      </c>
      <c r="C958" s="13">
        <v>688</v>
      </c>
      <c r="D958" s="13" t="s">
        <v>1082</v>
      </c>
      <c r="E958" s="13" t="s">
        <v>808</v>
      </c>
      <c r="F958" s="4">
        <v>889999.92</v>
      </c>
      <c r="G958" s="29" t="s">
        <v>1191</v>
      </c>
      <c r="H958" s="14">
        <v>43535</v>
      </c>
      <c r="I958" s="4" t="s">
        <v>423</v>
      </c>
      <c r="J958" s="133"/>
      <c r="K958" s="22"/>
      <c r="L958" s="134"/>
    </row>
    <row r="959" spans="1:12" ht="13.8" hidden="1" customHeight="1" x14ac:dyDescent="0.25">
      <c r="A959" s="32" t="s">
        <v>6632</v>
      </c>
      <c r="B959" s="14">
        <v>43572</v>
      </c>
      <c r="C959" s="13">
        <v>687</v>
      </c>
      <c r="D959" s="32" t="s">
        <v>2439</v>
      </c>
      <c r="E959" s="32" t="s">
        <v>808</v>
      </c>
      <c r="F959" s="4">
        <v>68580</v>
      </c>
      <c r="G959" s="29" t="s">
        <v>6633</v>
      </c>
      <c r="H959" s="14">
        <v>43567</v>
      </c>
      <c r="I959" s="4" t="s">
        <v>5986</v>
      </c>
      <c r="J959" s="21"/>
      <c r="K959" s="228"/>
    </row>
    <row r="960" spans="1:12" ht="13.95" hidden="1" customHeight="1" x14ac:dyDescent="0.25">
      <c r="A960" s="68" t="s">
        <v>209</v>
      </c>
      <c r="B960" s="14">
        <v>43572</v>
      </c>
      <c r="C960" s="67">
        <v>79</v>
      </c>
      <c r="D960" s="32" t="s">
        <v>595</v>
      </c>
      <c r="E960" s="32" t="s">
        <v>134</v>
      </c>
      <c r="F960" s="4">
        <f>1868638.85-843096.79</f>
        <v>1025542.06</v>
      </c>
      <c r="G960" s="28" t="s">
        <v>772</v>
      </c>
      <c r="H960" s="14">
        <v>43524</v>
      </c>
      <c r="I960" s="41" t="s">
        <v>949</v>
      </c>
      <c r="J960" s="166" t="s">
        <v>721</v>
      </c>
      <c r="K960" s="167"/>
      <c r="L960" s="35"/>
    </row>
    <row r="961" spans="1:12" hidden="1" x14ac:dyDescent="0.25">
      <c r="A961" s="61" t="s">
        <v>455</v>
      </c>
      <c r="B961" s="14">
        <v>43572</v>
      </c>
      <c r="C961" s="13">
        <v>288</v>
      </c>
      <c r="D961" s="13" t="s">
        <v>6408</v>
      </c>
      <c r="E961" s="13" t="s">
        <v>440</v>
      </c>
      <c r="F961" s="256">
        <f>6001960</f>
        <v>6001960</v>
      </c>
      <c r="G961" s="29" t="s">
        <v>6409</v>
      </c>
      <c r="H961" s="14">
        <v>43293</v>
      </c>
      <c r="I961" s="4" t="s">
        <v>6410</v>
      </c>
      <c r="J961" s="169"/>
    </row>
    <row r="962" spans="1:12" ht="13.95" hidden="1" customHeight="1" x14ac:dyDescent="0.25">
      <c r="A962" s="68" t="s">
        <v>55</v>
      </c>
      <c r="B962" s="14">
        <v>43572</v>
      </c>
      <c r="C962" s="13">
        <v>640</v>
      </c>
      <c r="D962" s="32" t="s">
        <v>1029</v>
      </c>
      <c r="E962" s="32" t="s">
        <v>1427</v>
      </c>
      <c r="F962" s="4">
        <v>501820.80000000005</v>
      </c>
      <c r="G962" s="69" t="s">
        <v>986</v>
      </c>
      <c r="H962" s="14"/>
      <c r="I962" s="41" t="s">
        <v>270</v>
      </c>
      <c r="J962" s="21"/>
      <c r="K962" s="228"/>
    </row>
    <row r="963" spans="1:12" ht="27.6" hidden="1" x14ac:dyDescent="0.25">
      <c r="A963" s="68" t="s">
        <v>55</v>
      </c>
      <c r="B963" s="14">
        <v>43572</v>
      </c>
      <c r="C963" s="13">
        <v>639</v>
      </c>
      <c r="D963" s="13" t="s">
        <v>275</v>
      </c>
      <c r="E963" s="32" t="s">
        <v>1427</v>
      </c>
      <c r="F963" s="4">
        <v>791254.16000000015</v>
      </c>
      <c r="G963" s="69" t="s">
        <v>473</v>
      </c>
      <c r="H963" s="14"/>
      <c r="I963" s="41" t="s">
        <v>270</v>
      </c>
      <c r="J963" s="21"/>
      <c r="K963" s="228"/>
    </row>
    <row r="964" spans="1:12" hidden="1" x14ac:dyDescent="0.25">
      <c r="A964" s="32" t="s">
        <v>103</v>
      </c>
      <c r="B964" s="14">
        <v>43572</v>
      </c>
      <c r="C964" s="13">
        <v>676</v>
      </c>
      <c r="D964" s="13" t="s">
        <v>5911</v>
      </c>
      <c r="E964" s="13" t="s">
        <v>62</v>
      </c>
      <c r="F964" s="37">
        <v>19900</v>
      </c>
      <c r="G964" s="29" t="s">
        <v>33</v>
      </c>
      <c r="H964" s="14">
        <v>43549</v>
      </c>
      <c r="I964" s="4" t="s">
        <v>5912</v>
      </c>
    </row>
    <row r="965" spans="1:12" s="2" customFormat="1" hidden="1" x14ac:dyDescent="0.25">
      <c r="A965" s="32" t="s">
        <v>103</v>
      </c>
      <c r="B965" s="14">
        <v>43572</v>
      </c>
      <c r="C965" s="13">
        <v>677</v>
      </c>
      <c r="D965" s="13" t="s">
        <v>6126</v>
      </c>
      <c r="E965" s="13" t="s">
        <v>62</v>
      </c>
      <c r="F965" s="37">
        <v>115490</v>
      </c>
      <c r="G965" s="29" t="s">
        <v>6127</v>
      </c>
      <c r="H965" s="14">
        <v>43553</v>
      </c>
      <c r="I965" s="4" t="s">
        <v>187</v>
      </c>
      <c r="J965" s="121"/>
      <c r="K965" s="5"/>
    </row>
    <row r="966" spans="1:12" s="2" customFormat="1" hidden="1" x14ac:dyDescent="0.25">
      <c r="A966" s="32" t="s">
        <v>103</v>
      </c>
      <c r="B966" s="14">
        <v>43572</v>
      </c>
      <c r="C966" s="13">
        <v>678</v>
      </c>
      <c r="D966" s="13" t="s">
        <v>381</v>
      </c>
      <c r="E966" s="13" t="s">
        <v>62</v>
      </c>
      <c r="F966" s="37">
        <v>6900</v>
      </c>
      <c r="G966" s="29" t="s">
        <v>4</v>
      </c>
      <c r="H966" s="14">
        <v>43557</v>
      </c>
      <c r="I966" s="4" t="s">
        <v>6459</v>
      </c>
      <c r="J966" s="121"/>
      <c r="K966" s="5"/>
    </row>
    <row r="967" spans="1:12" s="2" customFormat="1" hidden="1" x14ac:dyDescent="0.25">
      <c r="A967" s="32" t="s">
        <v>103</v>
      </c>
      <c r="B967" s="14">
        <v>43572</v>
      </c>
      <c r="C967" s="13">
        <v>679</v>
      </c>
      <c r="D967" s="13" t="s">
        <v>262</v>
      </c>
      <c r="E967" s="13" t="s">
        <v>62</v>
      </c>
      <c r="F967" s="4">
        <v>80000</v>
      </c>
      <c r="G967" s="28" t="s">
        <v>3432</v>
      </c>
      <c r="H967" s="14">
        <v>43539</v>
      </c>
      <c r="I967" s="4" t="s">
        <v>155</v>
      </c>
      <c r="J967" s="121"/>
      <c r="K967" s="5"/>
    </row>
    <row r="968" spans="1:12" s="2" customFormat="1" hidden="1" x14ac:dyDescent="0.25">
      <c r="A968" s="32" t="s">
        <v>103</v>
      </c>
      <c r="B968" s="14">
        <v>43572</v>
      </c>
      <c r="C968" s="13">
        <v>679</v>
      </c>
      <c r="D968" s="13" t="s">
        <v>262</v>
      </c>
      <c r="E968" s="13" t="s">
        <v>62</v>
      </c>
      <c r="F968" s="37">
        <v>20000</v>
      </c>
      <c r="G968" s="29" t="s">
        <v>1510</v>
      </c>
      <c r="H968" s="14">
        <v>43585</v>
      </c>
      <c r="I968" s="4" t="s">
        <v>155</v>
      </c>
      <c r="J968" s="121"/>
      <c r="K968" s="5"/>
    </row>
    <row r="969" spans="1:12" s="2" customFormat="1" hidden="1" x14ac:dyDescent="0.25">
      <c r="A969" s="32" t="s">
        <v>103</v>
      </c>
      <c r="B969" s="14">
        <v>43572</v>
      </c>
      <c r="C969" s="13">
        <v>680</v>
      </c>
      <c r="D969" s="13" t="s">
        <v>6721</v>
      </c>
      <c r="E969" s="13" t="s">
        <v>62</v>
      </c>
      <c r="F969" s="37">
        <v>8968</v>
      </c>
      <c r="G969" s="29" t="s">
        <v>6722</v>
      </c>
      <c r="H969" s="14">
        <v>43549</v>
      </c>
      <c r="I969" s="4" t="s">
        <v>6723</v>
      </c>
      <c r="J969" s="121"/>
      <c r="K969" s="5"/>
    </row>
    <row r="970" spans="1:12" s="2" customFormat="1" hidden="1" x14ac:dyDescent="0.25">
      <c r="A970" s="32" t="s">
        <v>103</v>
      </c>
      <c r="B970" s="14">
        <v>43572</v>
      </c>
      <c r="C970" s="13">
        <v>681</v>
      </c>
      <c r="D970" s="13" t="s">
        <v>4025</v>
      </c>
      <c r="E970" s="13" t="s">
        <v>62</v>
      </c>
      <c r="F970" s="37">
        <v>49400</v>
      </c>
      <c r="G970" s="29" t="s">
        <v>317</v>
      </c>
      <c r="H970" s="14">
        <v>43557</v>
      </c>
      <c r="I970" s="4" t="s">
        <v>6720</v>
      </c>
      <c r="J970" s="121"/>
      <c r="K970" s="5"/>
    </row>
    <row r="971" spans="1:12" s="2" customFormat="1" hidden="1" x14ac:dyDescent="0.25">
      <c r="A971" s="32" t="s">
        <v>103</v>
      </c>
      <c r="B971" s="14">
        <v>43572</v>
      </c>
      <c r="C971" s="13">
        <v>682</v>
      </c>
      <c r="D971" s="13" t="s">
        <v>3901</v>
      </c>
      <c r="E971" s="13" t="s">
        <v>62</v>
      </c>
      <c r="F971" s="37">
        <v>19340</v>
      </c>
      <c r="G971" s="29" t="s">
        <v>4342</v>
      </c>
      <c r="H971" s="14">
        <v>43567</v>
      </c>
      <c r="I971" s="4" t="s">
        <v>1590</v>
      </c>
      <c r="J971" s="121"/>
      <c r="K971" s="5"/>
    </row>
    <row r="972" spans="1:12" ht="13.95" hidden="1" customHeight="1" x14ac:dyDescent="0.25">
      <c r="A972" s="61" t="s">
        <v>91</v>
      </c>
      <c r="B972" s="14">
        <v>43572</v>
      </c>
      <c r="C972" s="13">
        <v>683</v>
      </c>
      <c r="D972" s="13" t="s">
        <v>1029</v>
      </c>
      <c r="E972" s="32" t="s">
        <v>62</v>
      </c>
      <c r="F972" s="4">
        <v>800000</v>
      </c>
      <c r="G972" s="86" t="s">
        <v>786</v>
      </c>
      <c r="H972" s="211"/>
      <c r="I972" s="4" t="s">
        <v>20</v>
      </c>
      <c r="J972" s="21"/>
      <c r="K972" s="228"/>
    </row>
    <row r="973" spans="1:12" ht="13.95" hidden="1" customHeight="1" x14ac:dyDescent="0.25">
      <c r="A973" s="68" t="s">
        <v>92</v>
      </c>
      <c r="B973" s="14">
        <v>43572</v>
      </c>
      <c r="C973" s="13">
        <v>684</v>
      </c>
      <c r="D973" s="32" t="s">
        <v>1736</v>
      </c>
      <c r="E973" s="32" t="s">
        <v>62</v>
      </c>
      <c r="F973" s="4">
        <v>209100.15</v>
      </c>
      <c r="G973" s="86" t="s">
        <v>1737</v>
      </c>
      <c r="H973" s="211"/>
      <c r="I973" s="41" t="s">
        <v>1738</v>
      </c>
      <c r="J973" s="21"/>
      <c r="K973" s="228"/>
    </row>
    <row r="974" spans="1:12" ht="13.95" hidden="1" customHeight="1" x14ac:dyDescent="0.25">
      <c r="A974" s="68" t="s">
        <v>92</v>
      </c>
      <c r="B974" s="14">
        <v>43572</v>
      </c>
      <c r="C974" s="13">
        <v>685</v>
      </c>
      <c r="D974" s="32" t="s">
        <v>1736</v>
      </c>
      <c r="E974" s="32" t="s">
        <v>62</v>
      </c>
      <c r="F974" s="4">
        <v>266735</v>
      </c>
      <c r="G974" s="86" t="s">
        <v>1737</v>
      </c>
      <c r="H974" s="211"/>
      <c r="I974" s="41" t="s">
        <v>1738</v>
      </c>
      <c r="J974" s="21"/>
      <c r="K974" s="228"/>
    </row>
    <row r="975" spans="1:12" s="97" customFormat="1" hidden="1" x14ac:dyDescent="0.25">
      <c r="A975" s="61" t="s">
        <v>442</v>
      </c>
      <c r="B975" s="14">
        <v>43572</v>
      </c>
      <c r="C975" s="13">
        <v>686</v>
      </c>
      <c r="D975" s="13" t="s">
        <v>100</v>
      </c>
      <c r="E975" s="13" t="s">
        <v>62</v>
      </c>
      <c r="F975" s="4">
        <v>15629.33</v>
      </c>
      <c r="G975" s="29" t="s">
        <v>5698</v>
      </c>
      <c r="H975" s="14">
        <v>43539</v>
      </c>
      <c r="I975" s="4" t="s">
        <v>572</v>
      </c>
      <c r="J975" s="133"/>
      <c r="K975" s="22"/>
      <c r="L975" s="134"/>
    </row>
    <row r="976" spans="1:12" s="97" customFormat="1" hidden="1" x14ac:dyDescent="0.25">
      <c r="A976" s="61" t="s">
        <v>358</v>
      </c>
      <c r="B976" s="14">
        <v>43572</v>
      </c>
      <c r="C976" s="13">
        <v>686</v>
      </c>
      <c r="D976" s="13" t="s">
        <v>100</v>
      </c>
      <c r="E976" s="13" t="s">
        <v>62</v>
      </c>
      <c r="F976" s="4">
        <v>34524</v>
      </c>
      <c r="G976" s="29" t="s">
        <v>5699</v>
      </c>
      <c r="H976" s="14">
        <v>43543</v>
      </c>
      <c r="I976" s="4" t="s">
        <v>572</v>
      </c>
      <c r="J976" s="133"/>
      <c r="K976" s="22"/>
      <c r="L976" s="134"/>
    </row>
    <row r="977" spans="1:12" s="97" customFormat="1" hidden="1" x14ac:dyDescent="0.25">
      <c r="A977" s="32" t="s">
        <v>92</v>
      </c>
      <c r="B977" s="14">
        <v>43572</v>
      </c>
      <c r="C977" s="13">
        <v>687</v>
      </c>
      <c r="D977" s="13" t="s">
        <v>1065</v>
      </c>
      <c r="E977" s="13" t="s">
        <v>62</v>
      </c>
      <c r="F977" s="4">
        <v>20714.52</v>
      </c>
      <c r="G977" s="28" t="s">
        <v>1271</v>
      </c>
      <c r="H977" s="14">
        <v>43536</v>
      </c>
      <c r="I977" s="4" t="s">
        <v>5695</v>
      </c>
      <c r="J977" s="133"/>
      <c r="K977" s="22"/>
      <c r="L977" s="134"/>
    </row>
    <row r="978" spans="1:12" s="97" customFormat="1" hidden="1" x14ac:dyDescent="0.25">
      <c r="A978" s="61" t="s">
        <v>358</v>
      </c>
      <c r="B978" s="14">
        <v>43572</v>
      </c>
      <c r="C978" s="13">
        <v>688</v>
      </c>
      <c r="D978" s="13" t="s">
        <v>280</v>
      </c>
      <c r="E978" s="13" t="s">
        <v>62</v>
      </c>
      <c r="F978" s="4">
        <v>18460</v>
      </c>
      <c r="G978" s="29" t="s">
        <v>790</v>
      </c>
      <c r="H978" s="14">
        <v>43537</v>
      </c>
      <c r="I978" s="4" t="s">
        <v>5687</v>
      </c>
      <c r="J978" s="133"/>
      <c r="K978" s="22"/>
      <c r="L978" s="134"/>
    </row>
    <row r="979" spans="1:12" s="97" customFormat="1" hidden="1" x14ac:dyDescent="0.25">
      <c r="A979" s="61" t="s">
        <v>442</v>
      </c>
      <c r="B979" s="14">
        <v>43572</v>
      </c>
      <c r="C979" s="13">
        <v>688</v>
      </c>
      <c r="D979" s="13" t="s">
        <v>280</v>
      </c>
      <c r="E979" s="13" t="s">
        <v>62</v>
      </c>
      <c r="F979" s="4">
        <v>18088</v>
      </c>
      <c r="G979" s="29" t="s">
        <v>205</v>
      </c>
      <c r="H979" s="14">
        <v>43539</v>
      </c>
      <c r="I979" s="4" t="s">
        <v>5689</v>
      </c>
      <c r="J979" s="133"/>
      <c r="K979" s="22"/>
      <c r="L979" s="134"/>
    </row>
    <row r="980" spans="1:12" s="97" customFormat="1" hidden="1" x14ac:dyDescent="0.25">
      <c r="A980" s="32" t="s">
        <v>442</v>
      </c>
      <c r="B980" s="14">
        <v>43572</v>
      </c>
      <c r="C980" s="13">
        <v>689</v>
      </c>
      <c r="D980" s="13" t="s">
        <v>814</v>
      </c>
      <c r="E980" s="13" t="s">
        <v>62</v>
      </c>
      <c r="F980" s="4">
        <v>15463.84</v>
      </c>
      <c r="G980" s="29" t="s">
        <v>5680</v>
      </c>
      <c r="H980" s="14">
        <v>43539</v>
      </c>
      <c r="I980" s="4" t="s">
        <v>5681</v>
      </c>
      <c r="J980" s="133"/>
      <c r="K980" s="22"/>
      <c r="L980" s="134"/>
    </row>
    <row r="981" spans="1:12" s="97" customFormat="1" hidden="1" x14ac:dyDescent="0.25">
      <c r="A981" s="61" t="s">
        <v>358</v>
      </c>
      <c r="B981" s="14">
        <v>43572</v>
      </c>
      <c r="C981" s="13">
        <v>689</v>
      </c>
      <c r="D981" s="13" t="s">
        <v>814</v>
      </c>
      <c r="E981" s="13" t="s">
        <v>62</v>
      </c>
      <c r="F981" s="4">
        <v>32695.78</v>
      </c>
      <c r="G981" s="29" t="s">
        <v>3204</v>
      </c>
      <c r="H981" s="14">
        <v>43543</v>
      </c>
      <c r="I981" s="4" t="s">
        <v>5682</v>
      </c>
      <c r="J981" s="133"/>
      <c r="K981" s="22"/>
      <c r="L981" s="134"/>
    </row>
    <row r="982" spans="1:12" s="97" customFormat="1" hidden="1" x14ac:dyDescent="0.25">
      <c r="A982" s="61" t="s">
        <v>92</v>
      </c>
      <c r="B982" s="14">
        <v>43572</v>
      </c>
      <c r="C982" s="13">
        <v>689</v>
      </c>
      <c r="D982" s="13" t="s">
        <v>814</v>
      </c>
      <c r="E982" s="13" t="s">
        <v>62</v>
      </c>
      <c r="F982" s="4">
        <v>17648</v>
      </c>
      <c r="G982" s="29" t="s">
        <v>5683</v>
      </c>
      <c r="H982" s="14">
        <v>43543</v>
      </c>
      <c r="I982" s="4" t="s">
        <v>45</v>
      </c>
      <c r="J982" s="133"/>
      <c r="K982" s="22"/>
      <c r="L982" s="134"/>
    </row>
    <row r="983" spans="1:12" s="97" customFormat="1" hidden="1" x14ac:dyDescent="0.25">
      <c r="A983" s="32" t="s">
        <v>91</v>
      </c>
      <c r="B983" s="14">
        <v>43572</v>
      </c>
      <c r="C983" s="13">
        <v>690</v>
      </c>
      <c r="D983" s="13" t="s">
        <v>304</v>
      </c>
      <c r="E983" s="13" t="s">
        <v>62</v>
      </c>
      <c r="F983" s="4">
        <v>22356</v>
      </c>
      <c r="G983" s="29" t="s">
        <v>5672</v>
      </c>
      <c r="H983" s="14">
        <v>43538</v>
      </c>
      <c r="I983" s="4" t="s">
        <v>5673</v>
      </c>
      <c r="J983" s="133"/>
      <c r="K983" s="22"/>
      <c r="L983" s="134"/>
    </row>
    <row r="984" spans="1:12" s="97" customFormat="1" hidden="1" x14ac:dyDescent="0.25">
      <c r="A984" s="32" t="s">
        <v>91</v>
      </c>
      <c r="B984" s="14">
        <v>43572</v>
      </c>
      <c r="C984" s="13">
        <v>691</v>
      </c>
      <c r="D984" s="13" t="s">
        <v>304</v>
      </c>
      <c r="E984" s="13" t="s">
        <v>62</v>
      </c>
      <c r="F984" s="4">
        <v>55048</v>
      </c>
      <c r="G984" s="29" t="s">
        <v>5674</v>
      </c>
      <c r="H984" s="14">
        <v>43538</v>
      </c>
      <c r="I984" s="4" t="s">
        <v>5675</v>
      </c>
      <c r="J984" s="133"/>
      <c r="K984" s="22"/>
      <c r="L984" s="134"/>
    </row>
    <row r="985" spans="1:12" s="97" customFormat="1" hidden="1" x14ac:dyDescent="0.25">
      <c r="A985" s="32" t="s">
        <v>442</v>
      </c>
      <c r="B985" s="14">
        <v>43572</v>
      </c>
      <c r="C985" s="13">
        <v>691</v>
      </c>
      <c r="D985" s="13" t="s">
        <v>304</v>
      </c>
      <c r="E985" s="13" t="s">
        <v>62</v>
      </c>
      <c r="F985" s="4">
        <v>28377.919999999998</v>
      </c>
      <c r="G985" s="29" t="s">
        <v>5678</v>
      </c>
      <c r="H985" s="14">
        <v>43539</v>
      </c>
      <c r="I985" s="4" t="s">
        <v>5679</v>
      </c>
      <c r="J985" s="133"/>
      <c r="K985" s="22"/>
      <c r="L985" s="134"/>
    </row>
    <row r="986" spans="1:12" s="97" customFormat="1" hidden="1" x14ac:dyDescent="0.25">
      <c r="A986" s="32" t="s">
        <v>92</v>
      </c>
      <c r="B986" s="14">
        <v>43572</v>
      </c>
      <c r="C986" s="13">
        <v>692</v>
      </c>
      <c r="D986" s="13" t="s">
        <v>72</v>
      </c>
      <c r="E986" s="13" t="s">
        <v>62</v>
      </c>
      <c r="F986" s="4">
        <v>10132</v>
      </c>
      <c r="G986" s="28" t="s">
        <v>5668</v>
      </c>
      <c r="H986" s="14">
        <v>43542</v>
      </c>
      <c r="I986" s="4" t="s">
        <v>5397</v>
      </c>
      <c r="J986" s="133"/>
      <c r="K986" s="22"/>
      <c r="L986" s="134"/>
    </row>
    <row r="987" spans="1:12" s="97" customFormat="1" hidden="1" x14ac:dyDescent="0.25">
      <c r="A987" s="61" t="s">
        <v>442</v>
      </c>
      <c r="B987" s="14">
        <v>43572</v>
      </c>
      <c r="C987" s="13">
        <v>692</v>
      </c>
      <c r="D987" s="13" t="s">
        <v>72</v>
      </c>
      <c r="E987" s="13" t="s">
        <v>62</v>
      </c>
      <c r="F987" s="4">
        <v>36299.75</v>
      </c>
      <c r="G987" s="29" t="s">
        <v>5939</v>
      </c>
      <c r="H987" s="14">
        <v>43544</v>
      </c>
      <c r="I987" s="4" t="s">
        <v>5940</v>
      </c>
      <c r="J987" s="133"/>
      <c r="K987" s="22"/>
      <c r="L987" s="134"/>
    </row>
    <row r="988" spans="1:12" s="97" customFormat="1" hidden="1" x14ac:dyDescent="0.25">
      <c r="A988" s="61" t="s">
        <v>358</v>
      </c>
      <c r="B988" s="14">
        <v>43572</v>
      </c>
      <c r="C988" s="13">
        <v>692</v>
      </c>
      <c r="D988" s="13" t="s">
        <v>72</v>
      </c>
      <c r="E988" s="13" t="s">
        <v>62</v>
      </c>
      <c r="F988" s="4">
        <v>6651.5</v>
      </c>
      <c r="G988" s="29" t="s">
        <v>5941</v>
      </c>
      <c r="H988" s="14">
        <v>43545</v>
      </c>
      <c r="I988" s="4" t="s">
        <v>5103</v>
      </c>
      <c r="J988" s="133"/>
      <c r="K988" s="22"/>
      <c r="L988" s="134"/>
    </row>
    <row r="989" spans="1:12" s="97" customFormat="1" hidden="1" x14ac:dyDescent="0.25">
      <c r="A989" s="32" t="s">
        <v>442</v>
      </c>
      <c r="B989" s="14">
        <v>43572</v>
      </c>
      <c r="C989" s="13">
        <v>693</v>
      </c>
      <c r="D989" s="13" t="s">
        <v>203</v>
      </c>
      <c r="E989" s="13" t="s">
        <v>62</v>
      </c>
      <c r="F989" s="4">
        <v>54326.400000000001</v>
      </c>
      <c r="G989" s="28" t="s">
        <v>5666</v>
      </c>
      <c r="H989" s="14">
        <v>43530</v>
      </c>
      <c r="I989" s="4" t="s">
        <v>5667</v>
      </c>
      <c r="J989" s="133"/>
      <c r="K989" s="22"/>
      <c r="L989" s="134"/>
    </row>
    <row r="990" spans="1:12" s="97" customFormat="1" hidden="1" x14ac:dyDescent="0.25">
      <c r="A990" s="13" t="s">
        <v>91</v>
      </c>
      <c r="B990" s="14">
        <v>43572</v>
      </c>
      <c r="C990" s="13">
        <v>694</v>
      </c>
      <c r="D990" s="13" t="s">
        <v>157</v>
      </c>
      <c r="E990" s="13" t="s">
        <v>62</v>
      </c>
      <c r="F990" s="4">
        <v>25944.799999999999</v>
      </c>
      <c r="G990" s="29" t="s">
        <v>5664</v>
      </c>
      <c r="H990" s="14">
        <v>43539</v>
      </c>
      <c r="I990" s="4" t="s">
        <v>5665</v>
      </c>
      <c r="J990" s="133"/>
      <c r="K990" s="22"/>
      <c r="L990" s="134"/>
    </row>
    <row r="991" spans="1:12" hidden="1" x14ac:dyDescent="0.25">
      <c r="A991" s="61" t="s">
        <v>103</v>
      </c>
      <c r="B991" s="14">
        <v>43572</v>
      </c>
      <c r="C991" s="13">
        <v>695</v>
      </c>
      <c r="D991" s="13" t="s">
        <v>944</v>
      </c>
      <c r="E991" s="13" t="s">
        <v>62</v>
      </c>
      <c r="F991" s="37">
        <v>13500</v>
      </c>
      <c r="G991" s="29" t="s">
        <v>88</v>
      </c>
      <c r="H991" s="14">
        <v>43546</v>
      </c>
      <c r="I991" s="4" t="s">
        <v>337</v>
      </c>
    </row>
    <row r="992" spans="1:12" hidden="1" x14ac:dyDescent="0.25">
      <c r="A992" s="61" t="s">
        <v>91</v>
      </c>
      <c r="B992" s="14">
        <v>43572</v>
      </c>
      <c r="C992" s="13">
        <v>696</v>
      </c>
      <c r="D992" s="13" t="s">
        <v>282</v>
      </c>
      <c r="E992" s="13" t="s">
        <v>62</v>
      </c>
      <c r="F992" s="37">
        <v>28600</v>
      </c>
      <c r="G992" s="29" t="s">
        <v>5874</v>
      </c>
      <c r="H992" s="14">
        <v>43545</v>
      </c>
      <c r="I992" s="4" t="s">
        <v>283</v>
      </c>
    </row>
    <row r="993" spans="1:12" hidden="1" x14ac:dyDescent="0.25">
      <c r="A993" s="61" t="s">
        <v>92</v>
      </c>
      <c r="B993" s="14">
        <v>43572</v>
      </c>
      <c r="C993" s="13">
        <v>696</v>
      </c>
      <c r="D993" s="13" t="s">
        <v>282</v>
      </c>
      <c r="E993" s="13" t="s">
        <v>62</v>
      </c>
      <c r="F993" s="37">
        <v>15730</v>
      </c>
      <c r="G993" s="29" t="s">
        <v>5875</v>
      </c>
      <c r="H993" s="14">
        <v>43545</v>
      </c>
      <c r="I993" s="4" t="s">
        <v>283</v>
      </c>
    </row>
    <row r="994" spans="1:12" hidden="1" x14ac:dyDescent="0.25">
      <c r="A994" s="61" t="s">
        <v>442</v>
      </c>
      <c r="B994" s="14">
        <v>43572</v>
      </c>
      <c r="C994" s="13">
        <v>696</v>
      </c>
      <c r="D994" s="13" t="s">
        <v>282</v>
      </c>
      <c r="E994" s="13" t="s">
        <v>62</v>
      </c>
      <c r="F994" s="37">
        <v>23595</v>
      </c>
      <c r="G994" s="29" t="s">
        <v>5876</v>
      </c>
      <c r="H994" s="14">
        <v>43545</v>
      </c>
      <c r="I994" s="4" t="s">
        <v>283</v>
      </c>
    </row>
    <row r="995" spans="1:12" hidden="1" x14ac:dyDescent="0.25">
      <c r="A995" s="61" t="s">
        <v>358</v>
      </c>
      <c r="B995" s="14">
        <v>43572</v>
      </c>
      <c r="C995" s="13">
        <v>696</v>
      </c>
      <c r="D995" s="13" t="s">
        <v>282</v>
      </c>
      <c r="E995" s="13" t="s">
        <v>62</v>
      </c>
      <c r="F995" s="37">
        <v>2860</v>
      </c>
      <c r="G995" s="29" t="s">
        <v>5877</v>
      </c>
      <c r="H995" s="14">
        <v>43545</v>
      </c>
      <c r="I995" s="4" t="s">
        <v>283</v>
      </c>
    </row>
    <row r="996" spans="1:12" hidden="1" x14ac:dyDescent="0.25">
      <c r="A996" s="61" t="s">
        <v>55</v>
      </c>
      <c r="B996" s="14">
        <v>43572</v>
      </c>
      <c r="C996" s="13">
        <v>696</v>
      </c>
      <c r="D996" s="13" t="s">
        <v>282</v>
      </c>
      <c r="E996" s="13" t="s">
        <v>62</v>
      </c>
      <c r="F996" s="37">
        <v>715</v>
      </c>
      <c r="G996" s="29" t="s">
        <v>5878</v>
      </c>
      <c r="H996" s="14">
        <v>43545</v>
      </c>
      <c r="I996" s="4" t="s">
        <v>283</v>
      </c>
    </row>
    <row r="997" spans="1:12" hidden="1" x14ac:dyDescent="0.25">
      <c r="A997" s="61" t="s">
        <v>442</v>
      </c>
      <c r="B997" s="14">
        <v>43572</v>
      </c>
      <c r="C997" s="13">
        <v>697</v>
      </c>
      <c r="D997" s="13" t="s">
        <v>2047</v>
      </c>
      <c r="E997" s="13" t="s">
        <v>62</v>
      </c>
      <c r="F997" s="4">
        <v>13600</v>
      </c>
      <c r="G997" s="28" t="s">
        <v>167</v>
      </c>
      <c r="H997" s="14">
        <v>43530</v>
      </c>
      <c r="I997" s="4" t="s">
        <v>95</v>
      </c>
    </row>
    <row r="998" spans="1:12" hidden="1" x14ac:dyDescent="0.25">
      <c r="A998" s="32" t="s">
        <v>442</v>
      </c>
      <c r="B998" s="14">
        <v>43572</v>
      </c>
      <c r="C998" s="13">
        <v>698</v>
      </c>
      <c r="D998" s="13" t="s">
        <v>692</v>
      </c>
      <c r="E998" s="13" t="s">
        <v>62</v>
      </c>
      <c r="F998" s="4">
        <v>133375</v>
      </c>
      <c r="G998" s="28" t="s">
        <v>1402</v>
      </c>
      <c r="H998" s="14">
        <v>43532</v>
      </c>
      <c r="I998" s="4" t="s">
        <v>419</v>
      </c>
    </row>
    <row r="999" spans="1:12" hidden="1" x14ac:dyDescent="0.25">
      <c r="A999" s="61" t="s">
        <v>55</v>
      </c>
      <c r="B999" s="14">
        <v>43572</v>
      </c>
      <c r="C999" s="13">
        <v>699</v>
      </c>
      <c r="D999" s="13" t="s">
        <v>149</v>
      </c>
      <c r="E999" s="13" t="s">
        <v>62</v>
      </c>
      <c r="F999" s="37">
        <v>3000</v>
      </c>
      <c r="G999" s="29" t="s">
        <v>6106</v>
      </c>
      <c r="H999" s="14">
        <v>43417</v>
      </c>
      <c r="I999" s="4" t="s">
        <v>6107</v>
      </c>
    </row>
    <row r="1000" spans="1:12" hidden="1" x14ac:dyDescent="0.25">
      <c r="A1000" s="61" t="s">
        <v>55</v>
      </c>
      <c r="B1000" s="14">
        <v>43572</v>
      </c>
      <c r="C1000" s="13">
        <v>699</v>
      </c>
      <c r="D1000" s="13" t="s">
        <v>149</v>
      </c>
      <c r="E1000" s="13" t="s">
        <v>62</v>
      </c>
      <c r="F1000" s="37">
        <v>3000</v>
      </c>
      <c r="G1000" s="29" t="s">
        <v>6109</v>
      </c>
      <c r="H1000" s="14">
        <v>43446</v>
      </c>
      <c r="I1000" s="4" t="s">
        <v>6110</v>
      </c>
    </row>
    <row r="1001" spans="1:12" hidden="1" x14ac:dyDescent="0.25">
      <c r="A1001" s="32" t="s">
        <v>442</v>
      </c>
      <c r="B1001" s="14">
        <v>43572</v>
      </c>
      <c r="C1001" s="13">
        <v>699</v>
      </c>
      <c r="D1001" s="13" t="s">
        <v>149</v>
      </c>
      <c r="E1001" s="13" t="s">
        <v>62</v>
      </c>
      <c r="F1001" s="4">
        <v>28000</v>
      </c>
      <c r="G1001" s="28" t="s">
        <v>6111</v>
      </c>
      <c r="H1001" s="14">
        <v>43417</v>
      </c>
      <c r="I1001" s="4" t="s">
        <v>6112</v>
      </c>
    </row>
    <row r="1002" spans="1:12" hidden="1" x14ac:dyDescent="0.25">
      <c r="A1002" s="61" t="s">
        <v>55</v>
      </c>
      <c r="B1002" s="14">
        <v>43572</v>
      </c>
      <c r="C1002" s="13">
        <v>699</v>
      </c>
      <c r="D1002" s="13" t="s">
        <v>149</v>
      </c>
      <c r="E1002" s="13" t="s">
        <v>62</v>
      </c>
      <c r="F1002" s="4">
        <v>1695</v>
      </c>
      <c r="G1002" s="28" t="s">
        <v>1320</v>
      </c>
      <c r="H1002" s="14">
        <v>43480</v>
      </c>
      <c r="I1002" s="4" t="s">
        <v>6114</v>
      </c>
    </row>
    <row r="1003" spans="1:12" hidden="1" x14ac:dyDescent="0.25">
      <c r="A1003" s="68" t="s">
        <v>151</v>
      </c>
      <c r="B1003" s="14">
        <v>43572</v>
      </c>
      <c r="C1003" s="13">
        <v>60</v>
      </c>
      <c r="D1003" s="32" t="s">
        <v>1169</v>
      </c>
      <c r="E1003" s="32" t="s">
        <v>6879</v>
      </c>
      <c r="F1003" s="4">
        <v>40000</v>
      </c>
      <c r="G1003" s="210" t="s">
        <v>3339</v>
      </c>
      <c r="H1003" s="211">
        <v>43522</v>
      </c>
      <c r="I1003" s="208" t="s">
        <v>4625</v>
      </c>
      <c r="J1003" s="21"/>
      <c r="K1003" s="228"/>
    </row>
    <row r="1004" spans="1:12" ht="13.95" hidden="1" customHeight="1" x14ac:dyDescent="0.25">
      <c r="A1004" s="68" t="s">
        <v>904</v>
      </c>
      <c r="B1004" s="14">
        <v>43572</v>
      </c>
      <c r="C1004" s="13">
        <v>523</v>
      </c>
      <c r="D1004" s="32" t="s">
        <v>905</v>
      </c>
      <c r="E1004" s="32" t="s">
        <v>38</v>
      </c>
      <c r="F1004" s="4">
        <v>2000000</v>
      </c>
      <c r="G1004" s="86" t="s">
        <v>906</v>
      </c>
      <c r="H1004" s="211"/>
      <c r="I1004" s="208" t="s">
        <v>581</v>
      </c>
      <c r="J1004" s="21"/>
      <c r="K1004" s="228"/>
    </row>
    <row r="1005" spans="1:12" ht="41.4" hidden="1" x14ac:dyDescent="0.25">
      <c r="A1005" s="32" t="s">
        <v>2020</v>
      </c>
      <c r="B1005" s="14">
        <v>43572</v>
      </c>
      <c r="C1005" s="13">
        <v>168</v>
      </c>
      <c r="D1005" s="32" t="s">
        <v>392</v>
      </c>
      <c r="E1005" s="32" t="s">
        <v>6889</v>
      </c>
      <c r="F1005" s="4">
        <v>1000000</v>
      </c>
      <c r="G1005" s="28" t="s">
        <v>4076</v>
      </c>
      <c r="H1005" s="14">
        <v>43556</v>
      </c>
      <c r="I1005" s="41" t="s">
        <v>620</v>
      </c>
      <c r="J1005" s="35" t="s">
        <v>366</v>
      </c>
      <c r="K1005" s="167"/>
      <c r="L1005" s="35"/>
    </row>
    <row r="1006" spans="1:12" ht="27.6" hidden="1" x14ac:dyDescent="0.25">
      <c r="A1006" s="68" t="s">
        <v>55</v>
      </c>
      <c r="B1006" s="14">
        <v>43573</v>
      </c>
      <c r="C1006" s="13">
        <v>660</v>
      </c>
      <c r="D1006" s="32" t="s">
        <v>1029</v>
      </c>
      <c r="E1006" s="32" t="s">
        <v>1427</v>
      </c>
      <c r="F1006" s="4">
        <v>709015.59999999963</v>
      </c>
      <c r="G1006" s="69" t="s">
        <v>472</v>
      </c>
      <c r="H1006" s="14"/>
      <c r="I1006" s="41" t="s">
        <v>270</v>
      </c>
      <c r="J1006" s="21"/>
      <c r="K1006" s="228"/>
    </row>
    <row r="1007" spans="1:12" ht="15" hidden="1" customHeight="1" x14ac:dyDescent="0.25">
      <c r="A1007" s="68" t="s">
        <v>310</v>
      </c>
      <c r="B1007" s="14">
        <v>43573</v>
      </c>
      <c r="C1007" s="13">
        <v>120</v>
      </c>
      <c r="D1007" s="32" t="s">
        <v>281</v>
      </c>
      <c r="E1007" s="32" t="s">
        <v>314</v>
      </c>
      <c r="F1007" s="4">
        <v>198402.5</v>
      </c>
      <c r="G1007" s="29" t="s">
        <v>6681</v>
      </c>
      <c r="H1007" s="14">
        <v>43567</v>
      </c>
      <c r="I1007" s="41" t="s">
        <v>362</v>
      </c>
      <c r="J1007" s="35" t="s">
        <v>366</v>
      </c>
      <c r="K1007" s="35"/>
      <c r="L1007" s="35"/>
    </row>
    <row r="1008" spans="1:12" hidden="1" x14ac:dyDescent="0.25">
      <c r="A1008" s="61" t="s">
        <v>91</v>
      </c>
      <c r="B1008" s="14">
        <v>43573</v>
      </c>
      <c r="C1008" s="13">
        <v>644</v>
      </c>
      <c r="D1008" s="13" t="s">
        <v>679</v>
      </c>
      <c r="E1008" s="32" t="s">
        <v>130</v>
      </c>
      <c r="F1008" s="4">
        <v>2791104.6</v>
      </c>
      <c r="G1008" s="86" t="s">
        <v>5956</v>
      </c>
      <c r="H1008" s="211"/>
      <c r="I1008" s="4" t="s">
        <v>270</v>
      </c>
      <c r="J1008" s="21"/>
      <c r="K1008" s="228"/>
    </row>
    <row r="1009" spans="1:12" hidden="1" x14ac:dyDescent="0.25">
      <c r="A1009" s="61" t="s">
        <v>91</v>
      </c>
      <c r="B1009" s="14">
        <v>43573</v>
      </c>
      <c r="C1009" s="13">
        <v>645</v>
      </c>
      <c r="D1009" s="13" t="s">
        <v>679</v>
      </c>
      <c r="E1009" s="32" t="s">
        <v>130</v>
      </c>
      <c r="F1009" s="4">
        <v>2732089.8000000003</v>
      </c>
      <c r="G1009" s="86" t="s">
        <v>5956</v>
      </c>
      <c r="H1009" s="211"/>
      <c r="I1009" s="4" t="s">
        <v>270</v>
      </c>
      <c r="J1009" s="21"/>
      <c r="K1009" s="228"/>
    </row>
    <row r="1010" spans="1:12" s="2" customFormat="1" hidden="1" x14ac:dyDescent="0.25">
      <c r="A1010" s="32" t="s">
        <v>741</v>
      </c>
      <c r="B1010" s="14">
        <v>43573</v>
      </c>
      <c r="C1010" s="13">
        <v>416</v>
      </c>
      <c r="D1010" s="13" t="s">
        <v>1739</v>
      </c>
      <c r="E1010" s="13" t="s">
        <v>434</v>
      </c>
      <c r="F1010" s="4">
        <v>689000</v>
      </c>
      <c r="G1010" s="28" t="s">
        <v>462</v>
      </c>
      <c r="H1010" s="14">
        <v>43530</v>
      </c>
      <c r="I1010" s="4" t="s">
        <v>4889</v>
      </c>
      <c r="J1010" s="121"/>
      <c r="K1010" s="5"/>
    </row>
    <row r="1011" spans="1:12" s="2" customFormat="1" hidden="1" x14ac:dyDescent="0.25">
      <c r="A1011" s="61" t="s">
        <v>741</v>
      </c>
      <c r="B1011" s="14">
        <v>43573</v>
      </c>
      <c r="C1011" s="13">
        <v>417</v>
      </c>
      <c r="D1011" s="13" t="s">
        <v>2005</v>
      </c>
      <c r="E1011" s="13" t="s">
        <v>434</v>
      </c>
      <c r="F1011" s="37">
        <v>15400</v>
      </c>
      <c r="G1011" s="29" t="s">
        <v>6122</v>
      </c>
      <c r="H1011" s="14">
        <v>43556</v>
      </c>
      <c r="I1011" s="4" t="s">
        <v>517</v>
      </c>
      <c r="J1011" s="121"/>
      <c r="K1011" s="5"/>
    </row>
    <row r="1012" spans="1:12" s="2" customFormat="1" hidden="1" x14ac:dyDescent="0.25">
      <c r="A1012" s="61" t="s">
        <v>741</v>
      </c>
      <c r="B1012" s="14">
        <v>43573</v>
      </c>
      <c r="C1012" s="13">
        <v>418</v>
      </c>
      <c r="D1012" s="13" t="s">
        <v>6123</v>
      </c>
      <c r="E1012" s="13" t="s">
        <v>434</v>
      </c>
      <c r="F1012" s="37">
        <v>1296</v>
      </c>
      <c r="G1012" s="29" t="s">
        <v>6124</v>
      </c>
      <c r="H1012" s="14">
        <v>43551</v>
      </c>
      <c r="I1012" s="4" t="s">
        <v>6125</v>
      </c>
      <c r="J1012" s="121"/>
      <c r="K1012" s="5"/>
    </row>
    <row r="1013" spans="1:12" s="2" customFormat="1" hidden="1" x14ac:dyDescent="0.25">
      <c r="A1013" s="13" t="s">
        <v>741</v>
      </c>
      <c r="B1013" s="14">
        <v>43573</v>
      </c>
      <c r="C1013" s="13">
        <v>419</v>
      </c>
      <c r="D1013" s="13" t="s">
        <v>3183</v>
      </c>
      <c r="E1013" s="13" t="s">
        <v>434</v>
      </c>
      <c r="F1013" s="37">
        <v>5860</v>
      </c>
      <c r="G1013" s="29" t="s">
        <v>1668</v>
      </c>
      <c r="H1013" s="14">
        <v>43551</v>
      </c>
      <c r="I1013" s="4" t="s">
        <v>3999</v>
      </c>
      <c r="J1013" s="121"/>
      <c r="K1013" s="5"/>
    </row>
    <row r="1014" spans="1:12" s="2" customFormat="1" hidden="1" x14ac:dyDescent="0.25">
      <c r="A1014" s="61" t="s">
        <v>741</v>
      </c>
      <c r="B1014" s="14">
        <v>43573</v>
      </c>
      <c r="C1014" s="13">
        <v>426</v>
      </c>
      <c r="D1014" s="13" t="s">
        <v>6126</v>
      </c>
      <c r="E1014" s="13" t="s">
        <v>434</v>
      </c>
      <c r="F1014" s="37">
        <v>113286</v>
      </c>
      <c r="G1014" s="29" t="s">
        <v>6128</v>
      </c>
      <c r="H1014" s="14">
        <v>43552</v>
      </c>
      <c r="I1014" s="4" t="s">
        <v>187</v>
      </c>
      <c r="J1014" s="121"/>
      <c r="K1014" s="5"/>
    </row>
    <row r="1015" spans="1:12" s="2" customFormat="1" hidden="1" x14ac:dyDescent="0.25">
      <c r="A1015" s="32" t="s">
        <v>741</v>
      </c>
      <c r="B1015" s="14">
        <v>43573</v>
      </c>
      <c r="C1015" s="13">
        <v>420</v>
      </c>
      <c r="D1015" s="13" t="s">
        <v>381</v>
      </c>
      <c r="E1015" s="13" t="s">
        <v>434</v>
      </c>
      <c r="F1015" s="37">
        <v>35200</v>
      </c>
      <c r="G1015" s="29" t="s">
        <v>33</v>
      </c>
      <c r="H1015" s="14">
        <v>43555</v>
      </c>
      <c r="I1015" s="4" t="s">
        <v>95</v>
      </c>
      <c r="J1015" s="121"/>
      <c r="K1015" s="5"/>
    </row>
    <row r="1016" spans="1:12" s="2" customFormat="1" hidden="1" x14ac:dyDescent="0.25">
      <c r="A1016" s="61" t="s">
        <v>741</v>
      </c>
      <c r="B1016" s="14">
        <v>43573</v>
      </c>
      <c r="C1016" s="13">
        <v>421</v>
      </c>
      <c r="D1016" s="13" t="s">
        <v>115</v>
      </c>
      <c r="E1016" s="13" t="s">
        <v>434</v>
      </c>
      <c r="F1016" s="37">
        <v>20596.5</v>
      </c>
      <c r="G1016" s="29" t="s">
        <v>4083</v>
      </c>
      <c r="H1016" s="14">
        <v>43549</v>
      </c>
      <c r="I1016" s="4" t="s">
        <v>6460</v>
      </c>
      <c r="J1016" s="121"/>
      <c r="K1016" s="5"/>
    </row>
    <row r="1017" spans="1:12" s="2" customFormat="1" hidden="1" x14ac:dyDescent="0.25">
      <c r="A1017" s="61" t="s">
        <v>741</v>
      </c>
      <c r="B1017" s="14">
        <v>43573</v>
      </c>
      <c r="C1017" s="13">
        <v>422</v>
      </c>
      <c r="D1017" s="13" t="s">
        <v>6730</v>
      </c>
      <c r="E1017" s="13" t="s">
        <v>434</v>
      </c>
      <c r="F1017" s="37">
        <v>10500</v>
      </c>
      <c r="G1017" s="29" t="s">
        <v>6731</v>
      </c>
      <c r="H1017" s="14">
        <v>43537</v>
      </c>
      <c r="I1017" s="4" t="s">
        <v>6732</v>
      </c>
      <c r="J1017" s="121"/>
      <c r="K1017" s="5"/>
    </row>
    <row r="1018" spans="1:12" s="2" customFormat="1" hidden="1" x14ac:dyDescent="0.25">
      <c r="A1018" s="61" t="s">
        <v>741</v>
      </c>
      <c r="B1018" s="14">
        <v>43573</v>
      </c>
      <c r="C1018" s="13">
        <v>423</v>
      </c>
      <c r="D1018" s="13" t="s">
        <v>6727</v>
      </c>
      <c r="E1018" s="13" t="s">
        <v>434</v>
      </c>
      <c r="F1018" s="37">
        <v>137040</v>
      </c>
      <c r="G1018" s="29" t="s">
        <v>6728</v>
      </c>
      <c r="H1018" s="14">
        <v>43558</v>
      </c>
      <c r="I1018" s="4" t="s">
        <v>6729</v>
      </c>
      <c r="J1018" s="121"/>
      <c r="K1018" s="5"/>
    </row>
    <row r="1019" spans="1:12" s="2" customFormat="1" hidden="1" x14ac:dyDescent="0.25">
      <c r="A1019" s="61" t="s">
        <v>741</v>
      </c>
      <c r="B1019" s="14">
        <v>43573</v>
      </c>
      <c r="C1019" s="13">
        <v>424</v>
      </c>
      <c r="D1019" s="13" t="s">
        <v>6724</v>
      </c>
      <c r="E1019" s="13" t="s">
        <v>434</v>
      </c>
      <c r="F1019" s="37">
        <v>114288</v>
      </c>
      <c r="G1019" s="29" t="s">
        <v>6725</v>
      </c>
      <c r="H1019" s="14">
        <v>43550</v>
      </c>
      <c r="I1019" s="4" t="s">
        <v>6726</v>
      </c>
      <c r="J1019" s="121"/>
      <c r="K1019" s="5"/>
    </row>
    <row r="1020" spans="1:12" s="2" customFormat="1" hidden="1" x14ac:dyDescent="0.25">
      <c r="A1020" s="61" t="s">
        <v>741</v>
      </c>
      <c r="B1020" s="14">
        <v>43573</v>
      </c>
      <c r="C1020" s="13">
        <v>425</v>
      </c>
      <c r="D1020" s="13" t="s">
        <v>6718</v>
      </c>
      <c r="E1020" s="13" t="s">
        <v>434</v>
      </c>
      <c r="F1020" s="37">
        <v>37500</v>
      </c>
      <c r="G1020" s="29" t="s">
        <v>6719</v>
      </c>
      <c r="H1020" s="14">
        <v>43558</v>
      </c>
      <c r="I1020" s="4" t="s">
        <v>1590</v>
      </c>
      <c r="J1020" s="121"/>
      <c r="K1020" s="5"/>
    </row>
    <row r="1021" spans="1:12" ht="13.95" hidden="1" customHeight="1" x14ac:dyDescent="0.25">
      <c r="A1021" s="68" t="s">
        <v>1148</v>
      </c>
      <c r="B1021" s="14">
        <v>43573</v>
      </c>
      <c r="C1021" s="13">
        <v>693</v>
      </c>
      <c r="D1021" s="32" t="s">
        <v>1736</v>
      </c>
      <c r="E1021" s="32" t="s">
        <v>808</v>
      </c>
      <c r="F1021" s="4">
        <v>3684600</v>
      </c>
      <c r="G1021" s="86" t="s">
        <v>2596</v>
      </c>
      <c r="H1021" s="211"/>
      <c r="I1021" s="41" t="s">
        <v>24</v>
      </c>
      <c r="J1021" s="21"/>
      <c r="K1021" s="228"/>
    </row>
    <row r="1022" spans="1:12" s="97" customFormat="1" hidden="1" x14ac:dyDescent="0.25">
      <c r="A1022" s="13" t="s">
        <v>1316</v>
      </c>
      <c r="B1022" s="14">
        <v>43573</v>
      </c>
      <c r="C1022" s="13">
        <v>694</v>
      </c>
      <c r="D1022" s="13" t="s">
        <v>2697</v>
      </c>
      <c r="E1022" s="13" t="s">
        <v>808</v>
      </c>
      <c r="F1022" s="4">
        <v>267230.40000000002</v>
      </c>
      <c r="G1022" s="28" t="s">
        <v>5924</v>
      </c>
      <c r="H1022" s="14">
        <v>43544</v>
      </c>
      <c r="I1022" s="4" t="s">
        <v>1826</v>
      </c>
      <c r="J1022" s="133"/>
      <c r="K1022" s="22"/>
      <c r="L1022" s="134"/>
    </row>
    <row r="1023" spans="1:12" s="96" customFormat="1" hidden="1" x14ac:dyDescent="0.25">
      <c r="A1023" s="13" t="s">
        <v>160</v>
      </c>
      <c r="B1023" s="14">
        <v>43573</v>
      </c>
      <c r="C1023" s="13">
        <v>695</v>
      </c>
      <c r="D1023" s="13" t="s">
        <v>590</v>
      </c>
      <c r="E1023" s="13" t="s">
        <v>808</v>
      </c>
      <c r="F1023" s="262">
        <v>932769.6</v>
      </c>
      <c r="G1023" s="29" t="s">
        <v>1198</v>
      </c>
      <c r="H1023" s="14">
        <v>42996</v>
      </c>
      <c r="I1023" s="4" t="s">
        <v>159</v>
      </c>
      <c r="J1023" s="97"/>
      <c r="K1023" s="97"/>
      <c r="L1023" s="97"/>
    </row>
    <row r="1024" spans="1:12" s="97" customFormat="1" hidden="1" x14ac:dyDescent="0.25">
      <c r="A1024" s="61" t="s">
        <v>659</v>
      </c>
      <c r="B1024" s="14">
        <v>43573</v>
      </c>
      <c r="C1024" s="13">
        <v>696</v>
      </c>
      <c r="D1024" s="13" t="s">
        <v>869</v>
      </c>
      <c r="E1024" s="13" t="s">
        <v>808</v>
      </c>
      <c r="F1024" s="4">
        <v>61376.19</v>
      </c>
      <c r="G1024" s="29" t="s">
        <v>5707</v>
      </c>
      <c r="H1024" s="14">
        <v>43542</v>
      </c>
      <c r="I1024" s="4" t="s">
        <v>268</v>
      </c>
      <c r="J1024" s="133"/>
      <c r="K1024" s="22"/>
      <c r="L1024" s="134"/>
    </row>
    <row r="1025" spans="1:12" s="97" customFormat="1" hidden="1" x14ac:dyDescent="0.25">
      <c r="A1025" s="32" t="s">
        <v>1149</v>
      </c>
      <c r="B1025" s="14">
        <v>43573</v>
      </c>
      <c r="C1025" s="13">
        <v>696</v>
      </c>
      <c r="D1025" s="13" t="s">
        <v>869</v>
      </c>
      <c r="E1025" s="13" t="s">
        <v>808</v>
      </c>
      <c r="F1025" s="4">
        <v>15649.36</v>
      </c>
      <c r="G1025" s="28" t="s">
        <v>5708</v>
      </c>
      <c r="H1025" s="14">
        <v>43543</v>
      </c>
      <c r="I1025" s="4" t="s">
        <v>268</v>
      </c>
      <c r="J1025" s="133"/>
      <c r="K1025" s="22"/>
      <c r="L1025" s="134"/>
    </row>
    <row r="1026" spans="1:12" s="97" customFormat="1" hidden="1" x14ac:dyDescent="0.25">
      <c r="A1026" s="61" t="s">
        <v>659</v>
      </c>
      <c r="B1026" s="14">
        <v>43573</v>
      </c>
      <c r="C1026" s="13">
        <v>697</v>
      </c>
      <c r="D1026" s="13" t="s">
        <v>1065</v>
      </c>
      <c r="E1026" s="13" t="s">
        <v>808</v>
      </c>
      <c r="F1026" s="4">
        <v>11827.44</v>
      </c>
      <c r="G1026" s="29" t="s">
        <v>1549</v>
      </c>
      <c r="H1026" s="14">
        <v>43537</v>
      </c>
      <c r="I1026" s="4" t="s">
        <v>5696</v>
      </c>
      <c r="J1026" s="133"/>
      <c r="K1026" s="22"/>
      <c r="L1026" s="134"/>
    </row>
    <row r="1027" spans="1:12" s="97" customFormat="1" hidden="1" x14ac:dyDescent="0.25">
      <c r="A1027" s="61" t="s">
        <v>1149</v>
      </c>
      <c r="B1027" s="14">
        <v>43573</v>
      </c>
      <c r="C1027" s="13">
        <v>697</v>
      </c>
      <c r="D1027" s="13" t="s">
        <v>1065</v>
      </c>
      <c r="E1027" s="13" t="s">
        <v>808</v>
      </c>
      <c r="F1027" s="4">
        <v>7263.72</v>
      </c>
      <c r="G1027" s="29" t="s">
        <v>161</v>
      </c>
      <c r="H1027" s="14">
        <v>43543</v>
      </c>
      <c r="I1027" s="4" t="s">
        <v>5697</v>
      </c>
      <c r="J1027" s="133"/>
      <c r="K1027" s="22"/>
      <c r="L1027" s="134"/>
    </row>
    <row r="1028" spans="1:12" s="97" customFormat="1" hidden="1" x14ac:dyDescent="0.25">
      <c r="A1028" s="61" t="s">
        <v>659</v>
      </c>
      <c r="B1028" s="14">
        <v>43573</v>
      </c>
      <c r="C1028" s="13">
        <v>698</v>
      </c>
      <c r="D1028" s="13" t="s">
        <v>868</v>
      </c>
      <c r="E1028" s="13" t="s">
        <v>808</v>
      </c>
      <c r="F1028" s="4">
        <v>80000</v>
      </c>
      <c r="G1028" s="29" t="s">
        <v>5693</v>
      </c>
      <c r="H1028" s="14">
        <v>43543</v>
      </c>
      <c r="I1028" s="4" t="s">
        <v>5694</v>
      </c>
      <c r="J1028" s="133"/>
      <c r="K1028" s="22"/>
      <c r="L1028" s="134"/>
    </row>
    <row r="1029" spans="1:12" s="97" customFormat="1" hidden="1" x14ac:dyDescent="0.25">
      <c r="A1029" s="61" t="s">
        <v>1149</v>
      </c>
      <c r="B1029" s="14">
        <v>43573</v>
      </c>
      <c r="C1029" s="13">
        <v>699</v>
      </c>
      <c r="D1029" s="13" t="s">
        <v>280</v>
      </c>
      <c r="E1029" s="13" t="s">
        <v>808</v>
      </c>
      <c r="F1029" s="4">
        <v>26177</v>
      </c>
      <c r="G1029" s="29" t="s">
        <v>731</v>
      </c>
      <c r="H1029" s="14">
        <v>43537</v>
      </c>
      <c r="I1029" s="4" t="s">
        <v>5688</v>
      </c>
      <c r="J1029" s="133"/>
      <c r="K1029" s="22"/>
      <c r="L1029" s="134"/>
    </row>
    <row r="1030" spans="1:12" s="97" customFormat="1" hidden="1" x14ac:dyDescent="0.25">
      <c r="A1030" s="61" t="s">
        <v>659</v>
      </c>
      <c r="B1030" s="14">
        <v>43573</v>
      </c>
      <c r="C1030" s="13">
        <v>699</v>
      </c>
      <c r="D1030" s="13" t="s">
        <v>280</v>
      </c>
      <c r="E1030" s="13" t="s">
        <v>808</v>
      </c>
      <c r="F1030" s="4">
        <v>12320</v>
      </c>
      <c r="G1030" s="29" t="s">
        <v>3383</v>
      </c>
      <c r="H1030" s="14">
        <v>43539</v>
      </c>
      <c r="I1030" s="4" t="s">
        <v>718</v>
      </c>
      <c r="J1030" s="133"/>
      <c r="K1030" s="22"/>
      <c r="L1030" s="134"/>
    </row>
    <row r="1031" spans="1:12" s="97" customFormat="1" hidden="1" x14ac:dyDescent="0.25">
      <c r="A1031" s="32" t="s">
        <v>659</v>
      </c>
      <c r="B1031" s="14">
        <v>43573</v>
      </c>
      <c r="C1031" s="13">
        <v>700</v>
      </c>
      <c r="D1031" s="13" t="s">
        <v>72</v>
      </c>
      <c r="E1031" s="13" t="s">
        <v>808</v>
      </c>
      <c r="F1031" s="4">
        <v>15469.7</v>
      </c>
      <c r="G1031" s="28" t="s">
        <v>5669</v>
      </c>
      <c r="H1031" s="14">
        <v>43542</v>
      </c>
      <c r="I1031" s="4" t="s">
        <v>5670</v>
      </c>
      <c r="J1031" s="133"/>
      <c r="K1031" s="22"/>
      <c r="L1031" s="134"/>
    </row>
    <row r="1032" spans="1:12" s="97" customFormat="1" hidden="1" x14ac:dyDescent="0.25">
      <c r="A1032" s="32" t="s">
        <v>1316</v>
      </c>
      <c r="B1032" s="14">
        <v>43573</v>
      </c>
      <c r="C1032" s="13">
        <v>701</v>
      </c>
      <c r="D1032" s="13" t="s">
        <v>1491</v>
      </c>
      <c r="E1032" s="13" t="s">
        <v>808</v>
      </c>
      <c r="F1032" s="4">
        <v>300000</v>
      </c>
      <c r="G1032" s="28" t="s">
        <v>5661</v>
      </c>
      <c r="H1032" s="14">
        <v>43535</v>
      </c>
      <c r="I1032" s="4" t="s">
        <v>555</v>
      </c>
      <c r="J1032" s="133"/>
      <c r="K1032" s="22"/>
      <c r="L1032" s="134"/>
    </row>
    <row r="1033" spans="1:12" s="93" customFormat="1" hidden="1" x14ac:dyDescent="0.25">
      <c r="A1033" s="32" t="s">
        <v>1316</v>
      </c>
      <c r="B1033" s="14">
        <v>43573</v>
      </c>
      <c r="C1033" s="13">
        <v>702</v>
      </c>
      <c r="D1033" s="13" t="s">
        <v>70</v>
      </c>
      <c r="E1033" s="13" t="s">
        <v>808</v>
      </c>
      <c r="F1033" s="4">
        <v>18549</v>
      </c>
      <c r="G1033" s="28" t="s">
        <v>2042</v>
      </c>
      <c r="H1033" s="14">
        <v>43538</v>
      </c>
      <c r="I1033" s="4" t="s">
        <v>5660</v>
      </c>
      <c r="J1033" s="130"/>
      <c r="K1033" s="16"/>
      <c r="L1033" s="92"/>
    </row>
    <row r="1034" spans="1:12" s="93" customFormat="1" hidden="1" x14ac:dyDescent="0.25">
      <c r="A1034" s="61" t="s">
        <v>659</v>
      </c>
      <c r="B1034" s="14">
        <v>43573</v>
      </c>
      <c r="C1034" s="13">
        <v>703</v>
      </c>
      <c r="D1034" s="13" t="s">
        <v>666</v>
      </c>
      <c r="E1034" s="13" t="s">
        <v>808</v>
      </c>
      <c r="F1034" s="4">
        <v>62840</v>
      </c>
      <c r="G1034" s="29" t="s">
        <v>504</v>
      </c>
      <c r="H1034" s="14">
        <v>43542</v>
      </c>
      <c r="I1034" s="4" t="s">
        <v>1240</v>
      </c>
      <c r="J1034" s="130"/>
      <c r="K1034" s="16"/>
      <c r="L1034" s="92"/>
    </row>
    <row r="1035" spans="1:12" s="93" customFormat="1" hidden="1" x14ac:dyDescent="0.25">
      <c r="A1035" s="61" t="s">
        <v>659</v>
      </c>
      <c r="B1035" s="14">
        <v>43573</v>
      </c>
      <c r="C1035" s="13">
        <v>704</v>
      </c>
      <c r="D1035" s="13" t="s">
        <v>516</v>
      </c>
      <c r="E1035" s="13" t="s">
        <v>808</v>
      </c>
      <c r="F1035" s="4">
        <v>5762.5</v>
      </c>
      <c r="G1035" s="29" t="s">
        <v>5649</v>
      </c>
      <c r="H1035" s="14">
        <v>43530</v>
      </c>
      <c r="I1035" s="4" t="s">
        <v>5650</v>
      </c>
      <c r="J1035" s="130"/>
      <c r="K1035" s="16"/>
      <c r="L1035" s="92"/>
    </row>
    <row r="1036" spans="1:12" s="97" customFormat="1" hidden="1" x14ac:dyDescent="0.25">
      <c r="A1036" s="61" t="s">
        <v>1148</v>
      </c>
      <c r="B1036" s="14">
        <v>43573</v>
      </c>
      <c r="C1036" s="13">
        <v>705</v>
      </c>
      <c r="D1036" s="13" t="s">
        <v>6487</v>
      </c>
      <c r="E1036" s="13" t="s">
        <v>808</v>
      </c>
      <c r="F1036" s="37">
        <v>4830</v>
      </c>
      <c r="G1036" s="29" t="s">
        <v>1125</v>
      </c>
      <c r="H1036" s="14">
        <v>43559</v>
      </c>
      <c r="I1036" s="4" t="s">
        <v>246</v>
      </c>
      <c r="J1036" s="133"/>
      <c r="K1036" s="22"/>
      <c r="L1036" s="134"/>
    </row>
    <row r="1037" spans="1:12" hidden="1" x14ac:dyDescent="0.25">
      <c r="A1037" s="61" t="s">
        <v>659</v>
      </c>
      <c r="B1037" s="14">
        <v>43573</v>
      </c>
      <c r="C1037" s="13">
        <v>706</v>
      </c>
      <c r="D1037" s="13" t="s">
        <v>944</v>
      </c>
      <c r="E1037" s="13" t="s">
        <v>808</v>
      </c>
      <c r="F1037" s="37">
        <v>12000</v>
      </c>
      <c r="G1037" s="29" t="s">
        <v>462</v>
      </c>
      <c r="H1037" s="14">
        <v>43544</v>
      </c>
      <c r="I1037" s="4" t="s">
        <v>337</v>
      </c>
    </row>
    <row r="1038" spans="1:12" hidden="1" x14ac:dyDescent="0.25">
      <c r="A1038" s="61" t="s">
        <v>5258</v>
      </c>
      <c r="B1038" s="14">
        <v>43573</v>
      </c>
      <c r="C1038" s="13">
        <v>707</v>
      </c>
      <c r="D1038" s="13" t="s">
        <v>5347</v>
      </c>
      <c r="E1038" s="13" t="s">
        <v>808</v>
      </c>
      <c r="F1038" s="37">
        <v>100000</v>
      </c>
      <c r="G1038" s="29" t="s">
        <v>300</v>
      </c>
      <c r="H1038" s="14">
        <v>43543</v>
      </c>
      <c r="I1038" s="4" t="s">
        <v>164</v>
      </c>
    </row>
    <row r="1039" spans="1:12" hidden="1" x14ac:dyDescent="0.25">
      <c r="A1039" s="61" t="s">
        <v>659</v>
      </c>
      <c r="B1039" s="14">
        <v>43573</v>
      </c>
      <c r="C1039" s="13">
        <v>708</v>
      </c>
      <c r="D1039" s="13" t="s">
        <v>250</v>
      </c>
      <c r="E1039" s="13" t="s">
        <v>808</v>
      </c>
      <c r="F1039" s="37">
        <v>100000</v>
      </c>
      <c r="G1039" s="29" t="s">
        <v>5363</v>
      </c>
      <c r="H1039" s="14">
        <v>43524</v>
      </c>
      <c r="I1039" s="4" t="s">
        <v>402</v>
      </c>
    </row>
    <row r="1040" spans="1:12" hidden="1" x14ac:dyDescent="0.25">
      <c r="A1040" s="61" t="s">
        <v>1148</v>
      </c>
      <c r="B1040" s="14">
        <v>43573</v>
      </c>
      <c r="C1040" s="13">
        <v>709</v>
      </c>
      <c r="D1040" s="13" t="s">
        <v>29</v>
      </c>
      <c r="E1040" s="13" t="s">
        <v>808</v>
      </c>
      <c r="F1040" s="4">
        <f>446350-200000</f>
        <v>246350</v>
      </c>
      <c r="G1040" s="28" t="s">
        <v>98</v>
      </c>
      <c r="H1040" s="14">
        <v>43524</v>
      </c>
      <c r="I1040" s="4" t="s">
        <v>511</v>
      </c>
    </row>
    <row r="1041" spans="1:12" hidden="1" x14ac:dyDescent="0.25">
      <c r="A1041" s="61" t="s">
        <v>1148</v>
      </c>
      <c r="B1041" s="14">
        <v>43573</v>
      </c>
      <c r="C1041" s="13">
        <v>709</v>
      </c>
      <c r="D1041" s="13" t="s">
        <v>29</v>
      </c>
      <c r="E1041" s="13" t="s">
        <v>808</v>
      </c>
      <c r="F1041" s="37">
        <v>207900</v>
      </c>
      <c r="G1041" s="29" t="s">
        <v>65</v>
      </c>
      <c r="H1041" s="14">
        <v>43524</v>
      </c>
      <c r="I1041" s="4" t="s">
        <v>87</v>
      </c>
    </row>
    <row r="1042" spans="1:12" hidden="1" x14ac:dyDescent="0.25">
      <c r="A1042" s="61" t="s">
        <v>1147</v>
      </c>
      <c r="B1042" s="14">
        <v>43573</v>
      </c>
      <c r="C1042" s="13">
        <v>709</v>
      </c>
      <c r="D1042" s="13" t="s">
        <v>29</v>
      </c>
      <c r="E1042" s="13" t="s">
        <v>808</v>
      </c>
      <c r="F1042" s="4">
        <v>90025</v>
      </c>
      <c r="G1042" s="28" t="s">
        <v>176</v>
      </c>
      <c r="H1042" s="14">
        <v>43524</v>
      </c>
      <c r="I1042" s="4" t="s">
        <v>87</v>
      </c>
    </row>
    <row r="1043" spans="1:12" ht="27.6" hidden="1" x14ac:dyDescent="0.25">
      <c r="A1043" s="61" t="s">
        <v>5623</v>
      </c>
      <c r="B1043" s="14">
        <v>43573</v>
      </c>
      <c r="C1043" s="13">
        <v>710</v>
      </c>
      <c r="D1043" s="13" t="s">
        <v>2047</v>
      </c>
      <c r="E1043" s="13" t="s">
        <v>808</v>
      </c>
      <c r="F1043" s="37">
        <v>32300</v>
      </c>
      <c r="G1043" s="29" t="s">
        <v>11</v>
      </c>
      <c r="H1043" s="14">
        <v>43530</v>
      </c>
      <c r="I1043" s="4" t="s">
        <v>95</v>
      </c>
    </row>
    <row r="1044" spans="1:12" hidden="1" x14ac:dyDescent="0.25">
      <c r="A1044" s="61" t="s">
        <v>659</v>
      </c>
      <c r="B1044" s="14">
        <v>43573</v>
      </c>
      <c r="C1044" s="13">
        <v>711</v>
      </c>
      <c r="D1044" s="13" t="s">
        <v>5888</v>
      </c>
      <c r="E1044" s="13" t="s">
        <v>808</v>
      </c>
      <c r="F1044" s="37">
        <f>257125-100000-57125</f>
        <v>100000</v>
      </c>
      <c r="G1044" s="29" t="s">
        <v>459</v>
      </c>
      <c r="H1044" s="14">
        <v>43542</v>
      </c>
      <c r="I1044" s="4" t="s">
        <v>402</v>
      </c>
    </row>
    <row r="1045" spans="1:12" ht="41.4" hidden="1" x14ac:dyDescent="0.25">
      <c r="A1045" s="61" t="s">
        <v>5372</v>
      </c>
      <c r="B1045" s="14">
        <v>43573</v>
      </c>
      <c r="C1045" s="13">
        <v>712</v>
      </c>
      <c r="D1045" s="13" t="s">
        <v>1985</v>
      </c>
      <c r="E1045" s="13" t="s">
        <v>808</v>
      </c>
      <c r="F1045" s="37">
        <v>148200</v>
      </c>
      <c r="G1045" s="29" t="s">
        <v>3432</v>
      </c>
      <c r="H1045" s="14">
        <v>43524</v>
      </c>
      <c r="I1045" s="4" t="s">
        <v>4317</v>
      </c>
    </row>
    <row r="1046" spans="1:12" hidden="1" x14ac:dyDescent="0.25">
      <c r="A1046" s="32" t="s">
        <v>1148</v>
      </c>
      <c r="B1046" s="14">
        <v>43573</v>
      </c>
      <c r="C1046" s="13">
        <v>713</v>
      </c>
      <c r="D1046" s="13" t="s">
        <v>2115</v>
      </c>
      <c r="E1046" s="13" t="s">
        <v>808</v>
      </c>
      <c r="F1046" s="4">
        <v>450000</v>
      </c>
      <c r="G1046" s="28" t="s">
        <v>1152</v>
      </c>
      <c r="H1046" s="14">
        <v>43524</v>
      </c>
      <c r="I1046" s="4" t="s">
        <v>164</v>
      </c>
    </row>
    <row r="1047" spans="1:12" hidden="1" x14ac:dyDescent="0.25">
      <c r="A1047" s="32" t="s">
        <v>659</v>
      </c>
      <c r="B1047" s="14">
        <v>43573</v>
      </c>
      <c r="C1047" s="13">
        <v>714</v>
      </c>
      <c r="D1047" s="13" t="s">
        <v>303</v>
      </c>
      <c r="E1047" s="13" t="s">
        <v>808</v>
      </c>
      <c r="F1047" s="4">
        <f>203100-53100-50000</f>
        <v>100000</v>
      </c>
      <c r="G1047" s="28" t="s">
        <v>695</v>
      </c>
      <c r="H1047" s="14">
        <v>43523</v>
      </c>
      <c r="I1047" s="4" t="s">
        <v>511</v>
      </c>
    </row>
    <row r="1048" spans="1:12" hidden="1" x14ac:dyDescent="0.25">
      <c r="A1048" s="68" t="s">
        <v>455</v>
      </c>
      <c r="B1048" s="14">
        <v>43573</v>
      </c>
      <c r="C1048" s="13">
        <v>340</v>
      </c>
      <c r="D1048" s="32" t="s">
        <v>454</v>
      </c>
      <c r="E1048" s="32" t="s">
        <v>958</v>
      </c>
      <c r="F1048" s="4">
        <v>3293600</v>
      </c>
      <c r="G1048" s="86" t="s">
        <v>4424</v>
      </c>
      <c r="H1048" s="211"/>
      <c r="I1048" s="4" t="s">
        <v>24</v>
      </c>
      <c r="J1048" s="21"/>
      <c r="K1048" s="228"/>
    </row>
    <row r="1049" spans="1:12" hidden="1" x14ac:dyDescent="0.25">
      <c r="A1049" s="68" t="s">
        <v>455</v>
      </c>
      <c r="B1049" s="14">
        <v>43573</v>
      </c>
      <c r="C1049" s="13">
        <v>341</v>
      </c>
      <c r="D1049" s="32" t="s">
        <v>454</v>
      </c>
      <c r="E1049" s="32" t="s">
        <v>958</v>
      </c>
      <c r="F1049" s="4">
        <v>1706400</v>
      </c>
      <c r="G1049" s="86" t="s">
        <v>4424</v>
      </c>
      <c r="H1049" s="211"/>
      <c r="I1049" s="4" t="s">
        <v>24</v>
      </c>
      <c r="J1049" s="21"/>
      <c r="K1049" s="228"/>
    </row>
    <row r="1050" spans="1:12" s="97" customFormat="1" hidden="1" x14ac:dyDescent="0.25">
      <c r="A1050" s="68" t="s">
        <v>160</v>
      </c>
      <c r="B1050" s="14">
        <v>43573</v>
      </c>
      <c r="C1050" s="13">
        <v>342</v>
      </c>
      <c r="D1050" s="13" t="s">
        <v>982</v>
      </c>
      <c r="E1050" s="13" t="s">
        <v>958</v>
      </c>
      <c r="F1050" s="4">
        <v>500000</v>
      </c>
      <c r="G1050" s="29" t="s">
        <v>5230</v>
      </c>
      <c r="H1050" s="14">
        <v>42601</v>
      </c>
      <c r="I1050" s="4" t="s">
        <v>1093</v>
      </c>
      <c r="J1050" s="133"/>
      <c r="K1050" s="22"/>
      <c r="L1050" s="134"/>
    </row>
    <row r="1051" spans="1:12" s="97" customFormat="1" hidden="1" x14ac:dyDescent="0.25">
      <c r="A1051" s="32" t="s">
        <v>310</v>
      </c>
      <c r="B1051" s="14">
        <v>43573</v>
      </c>
      <c r="C1051" s="13">
        <v>343</v>
      </c>
      <c r="D1051" s="13" t="s">
        <v>304</v>
      </c>
      <c r="E1051" s="13" t="s">
        <v>958</v>
      </c>
      <c r="F1051" s="4">
        <v>85678</v>
      </c>
      <c r="G1051" s="29" t="s">
        <v>5676</v>
      </c>
      <c r="H1051" s="14">
        <v>43538</v>
      </c>
      <c r="I1051" s="4" t="s">
        <v>5677</v>
      </c>
      <c r="J1051" s="133"/>
      <c r="K1051" s="22"/>
      <c r="L1051" s="134"/>
    </row>
    <row r="1052" spans="1:12" s="93" customFormat="1" ht="27.6" hidden="1" x14ac:dyDescent="0.25">
      <c r="A1052" s="13" t="s">
        <v>455</v>
      </c>
      <c r="B1052" s="14">
        <v>43573</v>
      </c>
      <c r="C1052" s="13">
        <v>344</v>
      </c>
      <c r="D1052" s="13" t="s">
        <v>516</v>
      </c>
      <c r="E1052" s="13" t="s">
        <v>958</v>
      </c>
      <c r="F1052" s="4">
        <v>73933.399999999994</v>
      </c>
      <c r="G1052" s="28" t="s">
        <v>5657</v>
      </c>
      <c r="H1052" s="14">
        <v>43542</v>
      </c>
      <c r="I1052" s="4" t="s">
        <v>5658</v>
      </c>
      <c r="J1052" s="130"/>
      <c r="K1052" s="16"/>
      <c r="L1052" s="92"/>
    </row>
    <row r="1053" spans="1:12" hidden="1" x14ac:dyDescent="0.25">
      <c r="A1053" s="32" t="s">
        <v>455</v>
      </c>
      <c r="B1053" s="14">
        <v>43573</v>
      </c>
      <c r="C1053" s="13">
        <v>345</v>
      </c>
      <c r="D1053" s="13" t="s">
        <v>431</v>
      </c>
      <c r="E1053" s="13" t="s">
        <v>958</v>
      </c>
      <c r="F1053" s="37">
        <v>13600</v>
      </c>
      <c r="G1053" s="29" t="s">
        <v>86</v>
      </c>
      <c r="H1053" s="14">
        <v>43528</v>
      </c>
      <c r="I1053" s="4" t="s">
        <v>95</v>
      </c>
    </row>
    <row r="1054" spans="1:12" s="97" customFormat="1" hidden="1" x14ac:dyDescent="0.25">
      <c r="A1054" s="61" t="s">
        <v>1350</v>
      </c>
      <c r="B1054" s="14">
        <v>43573</v>
      </c>
      <c r="C1054" s="13">
        <v>277</v>
      </c>
      <c r="D1054" s="13" t="s">
        <v>1032</v>
      </c>
      <c r="E1054" s="13" t="s">
        <v>691</v>
      </c>
      <c r="F1054" s="4">
        <v>90300</v>
      </c>
      <c r="G1054" s="29" t="s">
        <v>5703</v>
      </c>
      <c r="H1054" s="14">
        <v>43537</v>
      </c>
      <c r="I1054" s="4" t="s">
        <v>1270</v>
      </c>
      <c r="J1054" s="133"/>
      <c r="K1054" s="22"/>
      <c r="L1054" s="134"/>
    </row>
    <row r="1055" spans="1:12" s="97" customFormat="1" hidden="1" x14ac:dyDescent="0.25">
      <c r="A1055" s="61" t="s">
        <v>637</v>
      </c>
      <c r="B1055" s="14">
        <v>43573</v>
      </c>
      <c r="C1055" s="13">
        <v>278</v>
      </c>
      <c r="D1055" s="13" t="s">
        <v>157</v>
      </c>
      <c r="E1055" s="13" t="s">
        <v>691</v>
      </c>
      <c r="F1055" s="4">
        <v>16114.8</v>
      </c>
      <c r="G1055" s="29" t="s">
        <v>5392</v>
      </c>
      <c r="H1055" s="14">
        <v>43535</v>
      </c>
      <c r="I1055" s="4" t="s">
        <v>5393</v>
      </c>
      <c r="J1055" s="133"/>
      <c r="K1055" s="22"/>
      <c r="L1055" s="134"/>
    </row>
    <row r="1056" spans="1:12" hidden="1" x14ac:dyDescent="0.25">
      <c r="A1056" s="61" t="s">
        <v>637</v>
      </c>
      <c r="B1056" s="14">
        <v>43573</v>
      </c>
      <c r="C1056" s="13">
        <v>279</v>
      </c>
      <c r="D1056" s="13" t="s">
        <v>1099</v>
      </c>
      <c r="E1056" s="13" t="s">
        <v>691</v>
      </c>
      <c r="F1056" s="37">
        <v>35913.599999999999</v>
      </c>
      <c r="G1056" s="29" t="s">
        <v>1162</v>
      </c>
      <c r="H1056" s="14">
        <v>43518</v>
      </c>
      <c r="I1056" s="4" t="s">
        <v>6072</v>
      </c>
    </row>
    <row r="1057" spans="1:19" hidden="1" x14ac:dyDescent="0.25">
      <c r="A1057" s="13" t="s">
        <v>1350</v>
      </c>
      <c r="B1057" s="14">
        <v>43573</v>
      </c>
      <c r="C1057" s="13">
        <v>280</v>
      </c>
      <c r="D1057" s="13" t="s">
        <v>1395</v>
      </c>
      <c r="E1057" s="13" t="s">
        <v>691</v>
      </c>
      <c r="F1057" s="4">
        <v>30400</v>
      </c>
      <c r="G1057" s="28" t="s">
        <v>5611</v>
      </c>
      <c r="H1057" s="14">
        <v>43539</v>
      </c>
      <c r="I1057" s="4" t="s">
        <v>5612</v>
      </c>
    </row>
    <row r="1058" spans="1:19" hidden="1" x14ac:dyDescent="0.25">
      <c r="A1058" s="61" t="s">
        <v>637</v>
      </c>
      <c r="B1058" s="14">
        <v>43573</v>
      </c>
      <c r="C1058" s="13">
        <v>281</v>
      </c>
      <c r="D1058" s="13" t="s">
        <v>80</v>
      </c>
      <c r="E1058" s="13" t="s">
        <v>691</v>
      </c>
      <c r="F1058" s="4">
        <v>10240</v>
      </c>
      <c r="G1058" s="28" t="s">
        <v>6436</v>
      </c>
      <c r="H1058" s="14">
        <v>43530</v>
      </c>
      <c r="I1058" s="4" t="s">
        <v>354</v>
      </c>
    </row>
    <row r="1059" spans="1:19" hidden="1" x14ac:dyDescent="0.25">
      <c r="A1059" s="61" t="s">
        <v>1455</v>
      </c>
      <c r="B1059" s="14">
        <v>43573</v>
      </c>
      <c r="C1059" s="13">
        <v>282</v>
      </c>
      <c r="D1059" s="13" t="s">
        <v>2047</v>
      </c>
      <c r="E1059" s="13" t="s">
        <v>691</v>
      </c>
      <c r="F1059" s="4">
        <v>34000</v>
      </c>
      <c r="G1059" s="28" t="s">
        <v>1210</v>
      </c>
      <c r="H1059" s="14">
        <v>43530</v>
      </c>
      <c r="I1059" s="4" t="s">
        <v>95</v>
      </c>
    </row>
    <row r="1060" spans="1:19" hidden="1" x14ac:dyDescent="0.25">
      <c r="A1060" s="61" t="s">
        <v>637</v>
      </c>
      <c r="B1060" s="14">
        <v>43573</v>
      </c>
      <c r="C1060" s="13">
        <v>283</v>
      </c>
      <c r="D1060" s="13" t="s">
        <v>1688</v>
      </c>
      <c r="E1060" s="13" t="s">
        <v>691</v>
      </c>
      <c r="F1060" s="4">
        <v>14400</v>
      </c>
      <c r="G1060" s="28" t="s">
        <v>6454</v>
      </c>
      <c r="H1060" s="14">
        <v>43517</v>
      </c>
      <c r="I1060" s="4" t="s">
        <v>3168</v>
      </c>
    </row>
    <row r="1061" spans="1:19" hidden="1" x14ac:dyDescent="0.25">
      <c r="A1061" s="13" t="s">
        <v>151</v>
      </c>
      <c r="B1061" s="14">
        <v>43573</v>
      </c>
      <c r="C1061" s="28" t="s">
        <v>3872</v>
      </c>
      <c r="D1061" s="13" t="s">
        <v>3024</v>
      </c>
      <c r="E1061" s="13" t="s">
        <v>691</v>
      </c>
      <c r="F1061" s="37">
        <f>7500+3000</f>
        <v>10500</v>
      </c>
      <c r="G1061" s="29" t="s">
        <v>6273</v>
      </c>
      <c r="H1061" s="14" t="s">
        <v>6274</v>
      </c>
      <c r="I1061" s="4" t="s">
        <v>6275</v>
      </c>
      <c r="J1061" s="128"/>
    </row>
    <row r="1062" spans="1:19" hidden="1" x14ac:dyDescent="0.25">
      <c r="A1062" s="68" t="s">
        <v>659</v>
      </c>
      <c r="B1062" s="14">
        <v>43573</v>
      </c>
      <c r="C1062" s="127">
        <v>285</v>
      </c>
      <c r="D1062" s="32" t="s">
        <v>1555</v>
      </c>
      <c r="E1062" s="32" t="s">
        <v>691</v>
      </c>
      <c r="F1062" s="4">
        <v>8400</v>
      </c>
      <c r="G1062" s="29" t="s">
        <v>6691</v>
      </c>
      <c r="H1062" s="14">
        <v>43555</v>
      </c>
      <c r="I1062" s="4" t="s">
        <v>118</v>
      </c>
      <c r="J1062" s="21" t="s">
        <v>771</v>
      </c>
      <c r="K1062" s="228"/>
    </row>
    <row r="1063" spans="1:19" ht="13.95" hidden="1" customHeight="1" x14ac:dyDescent="0.25">
      <c r="A1063" s="68" t="s">
        <v>904</v>
      </c>
      <c r="B1063" s="14">
        <v>43573</v>
      </c>
      <c r="C1063" s="13">
        <v>527</v>
      </c>
      <c r="D1063" s="32" t="s">
        <v>905</v>
      </c>
      <c r="E1063" s="32" t="s">
        <v>38</v>
      </c>
      <c r="F1063" s="4">
        <v>5000000</v>
      </c>
      <c r="G1063" s="86" t="s">
        <v>906</v>
      </c>
      <c r="H1063" s="211"/>
      <c r="I1063" s="208" t="s">
        <v>581</v>
      </c>
      <c r="J1063" s="21"/>
      <c r="K1063" s="228"/>
    </row>
    <row r="1064" spans="1:19" s="31" customFormat="1" ht="27.6" hidden="1" x14ac:dyDescent="0.25">
      <c r="A1064" s="13" t="s">
        <v>91</v>
      </c>
      <c r="B1064" s="14">
        <v>43573</v>
      </c>
      <c r="C1064" s="13">
        <v>324</v>
      </c>
      <c r="D1064" s="13" t="s">
        <v>745</v>
      </c>
      <c r="E1064" s="13" t="s">
        <v>2021</v>
      </c>
      <c r="F1064" s="37">
        <v>400000</v>
      </c>
      <c r="G1064" s="29" t="s">
        <v>2018</v>
      </c>
      <c r="H1064" s="14">
        <v>43377</v>
      </c>
      <c r="I1064" s="4" t="s">
        <v>484</v>
      </c>
      <c r="J1064" s="34"/>
      <c r="O1064" s="34"/>
      <c r="P1064" s="34"/>
      <c r="Q1064" s="34"/>
      <c r="R1064" s="34"/>
      <c r="S1064" s="34"/>
    </row>
    <row r="1065" spans="1:19" hidden="1" x14ac:dyDescent="0.25">
      <c r="A1065" s="61" t="s">
        <v>1147</v>
      </c>
      <c r="B1065" s="151">
        <v>43573</v>
      </c>
      <c r="C1065" s="13">
        <v>646</v>
      </c>
      <c r="D1065" s="32" t="s">
        <v>390</v>
      </c>
      <c r="E1065" s="32" t="s">
        <v>130</v>
      </c>
      <c r="F1065" s="4">
        <v>87262.2</v>
      </c>
      <c r="G1065" s="210" t="s">
        <v>6328</v>
      </c>
      <c r="H1065" s="211">
        <v>43557</v>
      </c>
      <c r="I1065" s="84" t="s">
        <v>6329</v>
      </c>
      <c r="J1065" s="21"/>
      <c r="K1065" s="228"/>
    </row>
    <row r="1066" spans="1:19" ht="13.95" hidden="1" customHeight="1" x14ac:dyDescent="0.25">
      <c r="A1066" s="61" t="s">
        <v>1148</v>
      </c>
      <c r="B1066" s="151">
        <v>43573</v>
      </c>
      <c r="C1066" s="13">
        <v>647</v>
      </c>
      <c r="D1066" s="32" t="s">
        <v>390</v>
      </c>
      <c r="E1066" s="32" t="s">
        <v>130</v>
      </c>
      <c r="F1066" s="4">
        <f>481950-300750</f>
        <v>181200</v>
      </c>
      <c r="G1066" s="210" t="s">
        <v>2440</v>
      </c>
      <c r="H1066" s="211">
        <v>43451</v>
      </c>
      <c r="I1066" s="84" t="s">
        <v>255</v>
      </c>
      <c r="J1066" s="21"/>
      <c r="K1066" s="389"/>
      <c r="L1066" s="388"/>
    </row>
    <row r="1067" spans="1:19" s="62" customFormat="1" ht="13.95" hidden="1" customHeight="1" x14ac:dyDescent="0.25">
      <c r="A1067" s="13" t="s">
        <v>310</v>
      </c>
      <c r="B1067" s="151">
        <v>43573</v>
      </c>
      <c r="C1067" s="13">
        <v>648</v>
      </c>
      <c r="D1067" s="13" t="s">
        <v>1501</v>
      </c>
      <c r="E1067" s="13" t="s">
        <v>130</v>
      </c>
      <c r="F1067" s="4">
        <v>106500</v>
      </c>
      <c r="G1067" s="29" t="s">
        <v>6321</v>
      </c>
      <c r="H1067" s="14"/>
      <c r="I1067" s="4" t="s">
        <v>1502</v>
      </c>
      <c r="J1067" s="35"/>
      <c r="O1067" s="35"/>
      <c r="P1067" s="35"/>
      <c r="Q1067" s="35"/>
      <c r="R1067" s="35"/>
      <c r="S1067" s="35"/>
    </row>
    <row r="1068" spans="1:19" s="62" customFormat="1" ht="13.95" hidden="1" customHeight="1" x14ac:dyDescent="0.25">
      <c r="A1068" s="61" t="s">
        <v>637</v>
      </c>
      <c r="B1068" s="151">
        <v>43573</v>
      </c>
      <c r="C1068" s="13">
        <v>649</v>
      </c>
      <c r="D1068" s="13" t="s">
        <v>133</v>
      </c>
      <c r="E1068" s="13" t="s">
        <v>130</v>
      </c>
      <c r="F1068" s="37">
        <v>63000</v>
      </c>
      <c r="G1068" s="29" t="s">
        <v>6400</v>
      </c>
      <c r="H1068" s="14">
        <v>43557</v>
      </c>
      <c r="I1068" s="4" t="s">
        <v>1699</v>
      </c>
      <c r="J1068" s="71" t="s">
        <v>6401</v>
      </c>
      <c r="O1068" s="35"/>
      <c r="P1068" s="35"/>
      <c r="Q1068" s="35"/>
      <c r="R1068" s="35"/>
      <c r="S1068" s="35"/>
    </row>
    <row r="1069" spans="1:19" s="62" customFormat="1" ht="13.95" hidden="1" customHeight="1" x14ac:dyDescent="0.25">
      <c r="A1069" s="61" t="s">
        <v>310</v>
      </c>
      <c r="B1069" s="151">
        <v>43573</v>
      </c>
      <c r="C1069" s="13">
        <v>650</v>
      </c>
      <c r="D1069" s="13" t="s">
        <v>133</v>
      </c>
      <c r="E1069" s="13" t="s">
        <v>130</v>
      </c>
      <c r="F1069" s="37">
        <v>67800</v>
      </c>
      <c r="G1069" s="29" t="s">
        <v>6618</v>
      </c>
      <c r="H1069" s="14">
        <v>43556</v>
      </c>
      <c r="I1069" s="4" t="s">
        <v>1699</v>
      </c>
      <c r="J1069" s="71" t="s">
        <v>6619</v>
      </c>
      <c r="O1069" s="35"/>
      <c r="P1069" s="35"/>
      <c r="Q1069" s="35"/>
      <c r="R1069" s="35"/>
      <c r="S1069" s="35"/>
    </row>
    <row r="1070" spans="1:19" s="62" customFormat="1" ht="13.95" hidden="1" customHeight="1" x14ac:dyDescent="0.25">
      <c r="A1070" s="61" t="s">
        <v>1472</v>
      </c>
      <c r="B1070" s="151">
        <v>43573</v>
      </c>
      <c r="C1070" s="13">
        <v>651</v>
      </c>
      <c r="D1070" s="13" t="s">
        <v>133</v>
      </c>
      <c r="E1070" s="13" t="s">
        <v>130</v>
      </c>
      <c r="F1070" s="37">
        <v>260000</v>
      </c>
      <c r="G1070" s="29" t="s">
        <v>1626</v>
      </c>
      <c r="H1070" s="14">
        <v>43234</v>
      </c>
      <c r="I1070" s="4" t="s">
        <v>1134</v>
      </c>
      <c r="J1070" s="71" t="s">
        <v>1627</v>
      </c>
      <c r="O1070" s="35"/>
      <c r="P1070" s="35"/>
      <c r="Q1070" s="35"/>
      <c r="R1070" s="35"/>
      <c r="S1070" s="35"/>
    </row>
    <row r="1071" spans="1:19" s="62" customFormat="1" ht="13.95" hidden="1" customHeight="1" x14ac:dyDescent="0.25">
      <c r="A1071" s="13" t="s">
        <v>637</v>
      </c>
      <c r="B1071" s="151">
        <v>43573</v>
      </c>
      <c r="C1071" s="13">
        <v>652</v>
      </c>
      <c r="D1071" s="13" t="s">
        <v>267</v>
      </c>
      <c r="E1071" s="13" t="s">
        <v>130</v>
      </c>
      <c r="F1071" s="37">
        <v>15400</v>
      </c>
      <c r="G1071" s="29" t="s">
        <v>459</v>
      </c>
      <c r="H1071" s="14">
        <v>43496</v>
      </c>
      <c r="I1071" s="4" t="s">
        <v>576</v>
      </c>
      <c r="J1071" s="71"/>
      <c r="O1071" s="35"/>
      <c r="P1071" s="35"/>
      <c r="Q1071" s="35"/>
      <c r="R1071" s="35"/>
      <c r="S1071" s="35"/>
    </row>
    <row r="1072" spans="1:19" s="62" customFormat="1" ht="13.95" hidden="1" customHeight="1" x14ac:dyDescent="0.25">
      <c r="A1072" s="13" t="s">
        <v>637</v>
      </c>
      <c r="B1072" s="151">
        <v>43573</v>
      </c>
      <c r="C1072" s="13">
        <v>652</v>
      </c>
      <c r="D1072" s="13" t="s">
        <v>267</v>
      </c>
      <c r="E1072" s="13" t="s">
        <v>130</v>
      </c>
      <c r="F1072" s="37">
        <v>15400</v>
      </c>
      <c r="G1072" s="29" t="s">
        <v>2819</v>
      </c>
      <c r="H1072" s="14">
        <v>43524</v>
      </c>
      <c r="I1072" s="4" t="s">
        <v>576</v>
      </c>
      <c r="J1072" s="71"/>
      <c r="O1072" s="35"/>
      <c r="P1072" s="35"/>
      <c r="Q1072" s="35"/>
      <c r="R1072" s="35"/>
      <c r="S1072" s="35"/>
    </row>
    <row r="1073" spans="1:19" s="62" customFormat="1" ht="13.95" hidden="1" customHeight="1" x14ac:dyDescent="0.25">
      <c r="A1073" s="13" t="s">
        <v>639</v>
      </c>
      <c r="B1073" s="151">
        <v>43573</v>
      </c>
      <c r="C1073" s="13">
        <v>653</v>
      </c>
      <c r="D1073" s="13" t="s">
        <v>267</v>
      </c>
      <c r="E1073" s="13" t="s">
        <v>130</v>
      </c>
      <c r="F1073" s="37">
        <v>38500</v>
      </c>
      <c r="G1073" s="29" t="s">
        <v>300</v>
      </c>
      <c r="H1073" s="14">
        <v>43496</v>
      </c>
      <c r="I1073" s="4" t="s">
        <v>576</v>
      </c>
      <c r="J1073" s="71"/>
      <c r="O1073" s="35"/>
      <c r="P1073" s="35"/>
      <c r="Q1073" s="35"/>
      <c r="R1073" s="35"/>
      <c r="S1073" s="35"/>
    </row>
    <row r="1074" spans="1:19" s="62" customFormat="1" ht="13.95" hidden="1" customHeight="1" x14ac:dyDescent="0.25">
      <c r="A1074" s="13" t="s">
        <v>639</v>
      </c>
      <c r="B1074" s="151">
        <v>43573</v>
      </c>
      <c r="C1074" s="13">
        <v>653</v>
      </c>
      <c r="D1074" s="13" t="s">
        <v>267</v>
      </c>
      <c r="E1074" s="13" t="s">
        <v>130</v>
      </c>
      <c r="F1074" s="37">
        <v>45500</v>
      </c>
      <c r="G1074" s="29" t="s">
        <v>66</v>
      </c>
      <c r="H1074" s="14">
        <v>43524</v>
      </c>
      <c r="I1074" s="4" t="s">
        <v>576</v>
      </c>
      <c r="J1074" s="71"/>
      <c r="O1074" s="35"/>
      <c r="P1074" s="35"/>
      <c r="Q1074" s="35"/>
      <c r="R1074" s="35"/>
      <c r="S1074" s="35"/>
    </row>
    <row r="1075" spans="1:19" s="62" customFormat="1" ht="13.95" hidden="1" customHeight="1" x14ac:dyDescent="0.25">
      <c r="A1075" s="13" t="s">
        <v>91</v>
      </c>
      <c r="B1075" s="151">
        <v>43573</v>
      </c>
      <c r="C1075" s="13">
        <v>654</v>
      </c>
      <c r="D1075" s="13" t="s">
        <v>267</v>
      </c>
      <c r="E1075" s="13" t="s">
        <v>130</v>
      </c>
      <c r="F1075" s="37">
        <v>89600</v>
      </c>
      <c r="G1075" s="29" t="s">
        <v>3104</v>
      </c>
      <c r="H1075" s="14">
        <v>43524</v>
      </c>
      <c r="I1075" s="4" t="s">
        <v>576</v>
      </c>
      <c r="J1075" s="71"/>
      <c r="O1075" s="35"/>
      <c r="P1075" s="35"/>
      <c r="Q1075" s="35"/>
      <c r="R1075" s="35"/>
      <c r="S1075" s="35"/>
    </row>
    <row r="1076" spans="1:19" s="62" customFormat="1" ht="13.95" hidden="1" customHeight="1" x14ac:dyDescent="0.25">
      <c r="A1076" s="13" t="s">
        <v>92</v>
      </c>
      <c r="B1076" s="151">
        <v>43573</v>
      </c>
      <c r="C1076" s="13">
        <v>655</v>
      </c>
      <c r="D1076" s="13" t="s">
        <v>267</v>
      </c>
      <c r="E1076" s="13" t="s">
        <v>130</v>
      </c>
      <c r="F1076" s="37">
        <v>86400</v>
      </c>
      <c r="G1076" s="29" t="s">
        <v>1158</v>
      </c>
      <c r="H1076" s="14">
        <v>43524</v>
      </c>
      <c r="I1076" s="4" t="s">
        <v>576</v>
      </c>
      <c r="J1076" s="71"/>
      <c r="O1076" s="35"/>
      <c r="P1076" s="35"/>
      <c r="Q1076" s="35"/>
      <c r="R1076" s="35"/>
      <c r="S1076" s="35"/>
    </row>
    <row r="1077" spans="1:19" s="62" customFormat="1" ht="13.95" hidden="1" customHeight="1" x14ac:dyDescent="0.25">
      <c r="A1077" s="13" t="s">
        <v>310</v>
      </c>
      <c r="B1077" s="151">
        <v>43573</v>
      </c>
      <c r="C1077" s="13">
        <v>656</v>
      </c>
      <c r="D1077" s="13" t="s">
        <v>267</v>
      </c>
      <c r="E1077" s="13" t="s">
        <v>130</v>
      </c>
      <c r="F1077" s="37">
        <v>37100</v>
      </c>
      <c r="G1077" s="29" t="s">
        <v>3141</v>
      </c>
      <c r="H1077" s="14">
        <v>43524</v>
      </c>
      <c r="I1077" s="4" t="s">
        <v>576</v>
      </c>
      <c r="J1077" s="71"/>
      <c r="O1077" s="35"/>
      <c r="P1077" s="35"/>
      <c r="Q1077" s="35"/>
      <c r="R1077" s="35"/>
      <c r="S1077" s="35"/>
    </row>
    <row r="1078" spans="1:19" ht="13.95" hidden="1" customHeight="1" x14ac:dyDescent="0.25">
      <c r="A1078" s="68" t="s">
        <v>55</v>
      </c>
      <c r="B1078" s="151">
        <v>43573</v>
      </c>
      <c r="C1078" s="13">
        <v>657</v>
      </c>
      <c r="D1078" s="32" t="s">
        <v>272</v>
      </c>
      <c r="E1078" s="32" t="s">
        <v>130</v>
      </c>
      <c r="F1078" s="4">
        <v>120000</v>
      </c>
      <c r="G1078" s="86" t="s">
        <v>5980</v>
      </c>
      <c r="H1078" s="211"/>
      <c r="I1078" s="84" t="s">
        <v>5981</v>
      </c>
      <c r="J1078" s="21"/>
      <c r="K1078" s="228"/>
    </row>
    <row r="1079" spans="1:19" ht="16.2" hidden="1" customHeight="1" x14ac:dyDescent="0.25">
      <c r="A1079" s="68" t="s">
        <v>1672</v>
      </c>
      <c r="B1079" s="151">
        <v>43573</v>
      </c>
      <c r="C1079" s="13">
        <v>658</v>
      </c>
      <c r="D1079" s="13" t="s">
        <v>456</v>
      </c>
      <c r="E1079" s="32" t="s">
        <v>130</v>
      </c>
      <c r="F1079" s="4">
        <v>1808400</v>
      </c>
      <c r="G1079" s="86" t="s">
        <v>1763</v>
      </c>
      <c r="H1079" s="14"/>
      <c r="I1079" s="4" t="s">
        <v>1764</v>
      </c>
      <c r="J1079" s="71"/>
      <c r="K1079" s="62"/>
      <c r="L1079" s="62"/>
    </row>
    <row r="1080" spans="1:19" ht="16.2" hidden="1" customHeight="1" x14ac:dyDescent="0.25">
      <c r="A1080" s="68" t="s">
        <v>1672</v>
      </c>
      <c r="B1080" s="151">
        <v>43573</v>
      </c>
      <c r="C1080" s="13">
        <v>659</v>
      </c>
      <c r="D1080" s="13" t="s">
        <v>456</v>
      </c>
      <c r="E1080" s="32" t="s">
        <v>130</v>
      </c>
      <c r="F1080" s="4">
        <v>898000</v>
      </c>
      <c r="G1080" s="86" t="s">
        <v>1673</v>
      </c>
      <c r="H1080" s="14"/>
      <c r="I1080" s="4" t="s">
        <v>1674</v>
      </c>
      <c r="J1080" s="71"/>
      <c r="K1080" s="62"/>
      <c r="L1080" s="62"/>
    </row>
    <row r="1081" spans="1:19" hidden="1" x14ac:dyDescent="0.25">
      <c r="A1081" s="13" t="s">
        <v>151</v>
      </c>
      <c r="B1081" s="14">
        <v>43573</v>
      </c>
      <c r="C1081" s="13">
        <v>108</v>
      </c>
      <c r="D1081" s="13" t="s">
        <v>606</v>
      </c>
      <c r="E1081" s="32" t="s">
        <v>22</v>
      </c>
      <c r="F1081" s="4">
        <v>725</v>
      </c>
      <c r="G1081" s="28" t="s">
        <v>6745</v>
      </c>
      <c r="H1081" s="14">
        <v>43571</v>
      </c>
      <c r="I1081" s="4" t="s">
        <v>6746</v>
      </c>
      <c r="J1081" s="125"/>
    </row>
    <row r="1082" spans="1:19" hidden="1" x14ac:dyDescent="0.25">
      <c r="A1082" s="61" t="s">
        <v>311</v>
      </c>
      <c r="B1082" s="14">
        <v>43573</v>
      </c>
      <c r="C1082" s="13">
        <v>339</v>
      </c>
      <c r="D1082" s="13" t="s">
        <v>1513</v>
      </c>
      <c r="E1082" s="13" t="s">
        <v>958</v>
      </c>
      <c r="F1082" s="37">
        <v>99800</v>
      </c>
      <c r="G1082" s="29" t="s">
        <v>3104</v>
      </c>
      <c r="H1082" s="14">
        <v>43537</v>
      </c>
      <c r="I1082" s="4" t="s">
        <v>5633</v>
      </c>
      <c r="J1082" s="128"/>
    </row>
    <row r="1083" spans="1:19" ht="13.95" hidden="1" customHeight="1" x14ac:dyDescent="0.25">
      <c r="A1083" s="68" t="s">
        <v>956</v>
      </c>
      <c r="B1083" s="14">
        <v>43573</v>
      </c>
      <c r="C1083" s="13">
        <v>245</v>
      </c>
      <c r="D1083" s="32" t="s">
        <v>272</v>
      </c>
      <c r="E1083" s="32" t="s">
        <v>481</v>
      </c>
      <c r="F1083" s="4">
        <v>933798.44</v>
      </c>
      <c r="G1083" s="86" t="s">
        <v>1503</v>
      </c>
      <c r="H1083" s="211"/>
      <c r="I1083" s="84" t="s">
        <v>273</v>
      </c>
      <c r="J1083" s="21"/>
      <c r="K1083" s="228"/>
    </row>
    <row r="1084" spans="1:19" ht="13.95" hidden="1" customHeight="1" x14ac:dyDescent="0.25">
      <c r="A1084" s="68" t="s">
        <v>956</v>
      </c>
      <c r="B1084" s="14">
        <v>43573</v>
      </c>
      <c r="C1084" s="13">
        <v>246</v>
      </c>
      <c r="D1084" s="32" t="s">
        <v>272</v>
      </c>
      <c r="E1084" s="32" t="s">
        <v>481</v>
      </c>
      <c r="F1084" s="4">
        <v>309185.09999999998</v>
      </c>
      <c r="G1084" s="86" t="s">
        <v>1503</v>
      </c>
      <c r="H1084" s="211"/>
      <c r="I1084" s="84" t="s">
        <v>273</v>
      </c>
      <c r="J1084" s="21"/>
      <c r="K1084" s="228"/>
    </row>
    <row r="1085" spans="1:19" ht="13.95" hidden="1" customHeight="1" x14ac:dyDescent="0.25">
      <c r="A1085" s="68" t="s">
        <v>550</v>
      </c>
      <c r="B1085" s="14">
        <v>43573</v>
      </c>
      <c r="C1085" s="13">
        <v>701</v>
      </c>
      <c r="D1085" s="32" t="s">
        <v>272</v>
      </c>
      <c r="E1085" s="32" t="s">
        <v>62</v>
      </c>
      <c r="F1085" s="4">
        <v>2750000</v>
      </c>
      <c r="G1085" s="86" t="s">
        <v>5725</v>
      </c>
      <c r="H1085" s="211"/>
      <c r="I1085" s="84" t="s">
        <v>273</v>
      </c>
      <c r="J1085" s="21"/>
      <c r="K1085" s="228"/>
    </row>
    <row r="1086" spans="1:19" ht="13.95" hidden="1" customHeight="1" x14ac:dyDescent="0.25">
      <c r="A1086" s="68" t="s">
        <v>1165</v>
      </c>
      <c r="B1086" s="14">
        <v>43573</v>
      </c>
      <c r="C1086" s="13">
        <v>707</v>
      </c>
      <c r="D1086" s="32" t="s">
        <v>2759</v>
      </c>
      <c r="E1086" s="32" t="s">
        <v>62</v>
      </c>
      <c r="F1086" s="4">
        <v>3000000</v>
      </c>
      <c r="G1086" s="86" t="s">
        <v>2608</v>
      </c>
      <c r="H1086" s="211"/>
      <c r="I1086" s="84" t="s">
        <v>23</v>
      </c>
      <c r="J1086" s="21"/>
      <c r="K1086" s="228"/>
    </row>
    <row r="1087" spans="1:19" ht="14.1" hidden="1" customHeight="1" x14ac:dyDescent="0.25">
      <c r="A1087" s="32" t="s">
        <v>534</v>
      </c>
      <c r="B1087" s="14">
        <v>43573</v>
      </c>
      <c r="C1087" s="13">
        <v>708</v>
      </c>
      <c r="D1087" s="32" t="s">
        <v>626</v>
      </c>
      <c r="E1087" s="32" t="s">
        <v>62</v>
      </c>
      <c r="F1087" s="4">
        <v>500000</v>
      </c>
      <c r="G1087" s="86" t="s">
        <v>625</v>
      </c>
      <c r="H1087" s="211"/>
      <c r="I1087" s="208" t="s">
        <v>427</v>
      </c>
      <c r="J1087" s="21"/>
      <c r="K1087" s="228"/>
    </row>
    <row r="1088" spans="1:19" ht="13.95" hidden="1" customHeight="1" x14ac:dyDescent="0.25">
      <c r="A1088" s="32" t="s">
        <v>1285</v>
      </c>
      <c r="B1088" s="14">
        <v>43573</v>
      </c>
      <c r="C1088" s="13">
        <v>709</v>
      </c>
      <c r="D1088" s="32" t="s">
        <v>1800</v>
      </c>
      <c r="E1088" s="32" t="s">
        <v>62</v>
      </c>
      <c r="F1088" s="4">
        <v>4000000</v>
      </c>
      <c r="G1088" s="86" t="s">
        <v>816</v>
      </c>
      <c r="H1088" s="211"/>
      <c r="I1088" s="208" t="s">
        <v>361</v>
      </c>
      <c r="J1088" s="21"/>
      <c r="K1088" s="228"/>
    </row>
    <row r="1089" spans="1:19" hidden="1" x14ac:dyDescent="0.25">
      <c r="A1089" s="61" t="s">
        <v>442</v>
      </c>
      <c r="B1089" s="14">
        <v>43573</v>
      </c>
      <c r="C1089" s="13">
        <v>710</v>
      </c>
      <c r="D1089" s="13" t="s">
        <v>447</v>
      </c>
      <c r="E1089" s="13" t="s">
        <v>62</v>
      </c>
      <c r="F1089" s="37">
        <v>280000</v>
      </c>
      <c r="G1089" s="29" t="s">
        <v>5374</v>
      </c>
      <c r="H1089" s="14">
        <v>43555</v>
      </c>
      <c r="I1089" s="4" t="s">
        <v>1328</v>
      </c>
      <c r="J1089" s="128"/>
    </row>
    <row r="1090" spans="1:19" hidden="1" x14ac:dyDescent="0.25">
      <c r="A1090" s="61" t="s">
        <v>442</v>
      </c>
      <c r="B1090" s="14">
        <v>43573</v>
      </c>
      <c r="C1090" s="13">
        <v>711</v>
      </c>
      <c r="D1090" s="13" t="s">
        <v>381</v>
      </c>
      <c r="E1090" s="13" t="s">
        <v>62</v>
      </c>
      <c r="F1090" s="37">
        <v>13000</v>
      </c>
      <c r="G1090" s="29" t="s">
        <v>302</v>
      </c>
      <c r="H1090" s="14">
        <v>43557</v>
      </c>
      <c r="I1090" s="4" t="s">
        <v>1328</v>
      </c>
      <c r="J1090" s="128"/>
    </row>
    <row r="1091" spans="1:19" hidden="1" x14ac:dyDescent="0.25">
      <c r="A1091" s="61" t="s">
        <v>442</v>
      </c>
      <c r="B1091" s="14">
        <v>43573</v>
      </c>
      <c r="C1091" s="13">
        <v>712</v>
      </c>
      <c r="D1091" s="13" t="s">
        <v>1739</v>
      </c>
      <c r="E1091" s="13" t="s">
        <v>62</v>
      </c>
      <c r="F1091" s="37">
        <v>139200</v>
      </c>
      <c r="G1091" s="29" t="s">
        <v>139</v>
      </c>
      <c r="H1091" s="14">
        <v>43535</v>
      </c>
      <c r="I1091" s="4" t="s">
        <v>5635</v>
      </c>
      <c r="J1091" s="128"/>
    </row>
    <row r="1092" spans="1:19" hidden="1" x14ac:dyDescent="0.25">
      <c r="A1092" s="32" t="s">
        <v>151</v>
      </c>
      <c r="B1092" s="14">
        <v>43573</v>
      </c>
      <c r="C1092" s="13">
        <v>713</v>
      </c>
      <c r="D1092" s="13" t="s">
        <v>5913</v>
      </c>
      <c r="E1092" s="13" t="s">
        <v>62</v>
      </c>
      <c r="F1092" s="4">
        <v>9080</v>
      </c>
      <c r="G1092" s="28" t="s">
        <v>346</v>
      </c>
      <c r="H1092" s="14">
        <v>43560</v>
      </c>
      <c r="I1092" s="4" t="s">
        <v>6751</v>
      </c>
      <c r="J1092" s="128"/>
    </row>
    <row r="1093" spans="1:19" ht="13.8" hidden="1" customHeight="1" x14ac:dyDescent="0.25">
      <c r="A1093" s="13" t="s">
        <v>151</v>
      </c>
      <c r="B1093" s="14">
        <v>43573</v>
      </c>
      <c r="C1093" s="13">
        <v>714</v>
      </c>
      <c r="D1093" s="32" t="s">
        <v>1254</v>
      </c>
      <c r="E1093" s="32" t="s">
        <v>62</v>
      </c>
      <c r="F1093" s="4">
        <v>18000</v>
      </c>
      <c r="G1093" s="29" t="s">
        <v>6748</v>
      </c>
      <c r="H1093" s="14">
        <v>43560</v>
      </c>
      <c r="I1093" s="4" t="s">
        <v>1</v>
      </c>
      <c r="J1093" s="21"/>
      <c r="K1093" s="228"/>
    </row>
    <row r="1094" spans="1:19" s="76" customFormat="1" hidden="1" x14ac:dyDescent="0.25">
      <c r="A1094" s="32" t="s">
        <v>1147</v>
      </c>
      <c r="B1094" s="14">
        <v>43573</v>
      </c>
      <c r="C1094" s="13">
        <v>702</v>
      </c>
      <c r="D1094" s="32" t="s">
        <v>411</v>
      </c>
      <c r="E1094" s="32" t="s">
        <v>62</v>
      </c>
      <c r="F1094" s="4">
        <v>244000</v>
      </c>
      <c r="G1094" s="28" t="s">
        <v>3143</v>
      </c>
      <c r="H1094" s="14">
        <v>43521</v>
      </c>
      <c r="I1094" s="32" t="s">
        <v>4803</v>
      </c>
      <c r="J1094" s="407"/>
      <c r="K1094" s="260"/>
      <c r="L1094" s="50"/>
      <c r="M1094" s="50"/>
      <c r="N1094" s="50"/>
      <c r="O1094" s="50"/>
      <c r="P1094" s="50"/>
      <c r="Q1094" s="50"/>
      <c r="R1094" s="50"/>
      <c r="S1094" s="50"/>
    </row>
    <row r="1095" spans="1:19" s="76" customFormat="1" hidden="1" x14ac:dyDescent="0.25">
      <c r="A1095" s="32" t="s">
        <v>1147</v>
      </c>
      <c r="B1095" s="14">
        <v>43573</v>
      </c>
      <c r="C1095" s="13">
        <v>702</v>
      </c>
      <c r="D1095" s="32" t="s">
        <v>411</v>
      </c>
      <c r="E1095" s="32" t="s">
        <v>62</v>
      </c>
      <c r="F1095" s="4">
        <v>59410</v>
      </c>
      <c r="G1095" s="28" t="s">
        <v>27</v>
      </c>
      <c r="H1095" s="14">
        <v>43535</v>
      </c>
      <c r="I1095" s="32" t="s">
        <v>6277</v>
      </c>
      <c r="J1095" s="407"/>
      <c r="K1095" s="260"/>
      <c r="L1095" s="50"/>
      <c r="M1095" s="50"/>
      <c r="N1095" s="50"/>
      <c r="O1095" s="50"/>
      <c r="P1095" s="50"/>
      <c r="Q1095" s="50"/>
      <c r="R1095" s="50"/>
      <c r="S1095" s="50"/>
    </row>
    <row r="1096" spans="1:19" s="2" customFormat="1" hidden="1" x14ac:dyDescent="0.25">
      <c r="A1096" s="32" t="s">
        <v>103</v>
      </c>
      <c r="B1096" s="14">
        <v>43573</v>
      </c>
      <c r="C1096" s="13">
        <v>706</v>
      </c>
      <c r="D1096" s="13" t="s">
        <v>262</v>
      </c>
      <c r="E1096" s="13" t="s">
        <v>62</v>
      </c>
      <c r="F1096" s="37">
        <v>35000</v>
      </c>
      <c r="G1096" s="29" t="s">
        <v>320</v>
      </c>
      <c r="H1096" s="14">
        <v>43544</v>
      </c>
      <c r="I1096" s="4" t="s">
        <v>155</v>
      </c>
      <c r="J1096" s="121"/>
      <c r="K1096" s="5"/>
    </row>
    <row r="1097" spans="1:19" s="2" customFormat="1" hidden="1" x14ac:dyDescent="0.25">
      <c r="A1097" s="32" t="s">
        <v>103</v>
      </c>
      <c r="B1097" s="14">
        <v>43573</v>
      </c>
      <c r="C1097" s="13">
        <v>706</v>
      </c>
      <c r="D1097" s="13" t="s">
        <v>262</v>
      </c>
      <c r="E1097" s="13" t="s">
        <v>62</v>
      </c>
      <c r="F1097" s="37">
        <v>35000</v>
      </c>
      <c r="G1097" s="29" t="s">
        <v>1313</v>
      </c>
      <c r="H1097" s="14">
        <v>43545</v>
      </c>
      <c r="I1097" s="4" t="s">
        <v>155</v>
      </c>
      <c r="J1097" s="121"/>
      <c r="K1097" s="5"/>
    </row>
    <row r="1098" spans="1:19" s="2" customFormat="1" hidden="1" x14ac:dyDescent="0.25">
      <c r="A1098" s="61" t="s">
        <v>103</v>
      </c>
      <c r="B1098" s="14">
        <v>43573</v>
      </c>
      <c r="C1098" s="13">
        <v>703</v>
      </c>
      <c r="D1098" s="13" t="s">
        <v>1690</v>
      </c>
      <c r="E1098" s="13" t="s">
        <v>62</v>
      </c>
      <c r="F1098" s="37">
        <v>12800</v>
      </c>
      <c r="G1098" s="29" t="s">
        <v>6461</v>
      </c>
      <c r="H1098" s="14">
        <v>43557</v>
      </c>
      <c r="I1098" s="4" t="s">
        <v>1301</v>
      </c>
      <c r="J1098" s="121"/>
      <c r="K1098" s="5"/>
    </row>
    <row r="1099" spans="1:19" s="2" customFormat="1" hidden="1" x14ac:dyDescent="0.25">
      <c r="A1099" s="13" t="s">
        <v>103</v>
      </c>
      <c r="B1099" s="14">
        <v>43573</v>
      </c>
      <c r="C1099" s="13">
        <v>704</v>
      </c>
      <c r="D1099" s="13" t="s">
        <v>1513</v>
      </c>
      <c r="E1099" s="13" t="s">
        <v>62</v>
      </c>
      <c r="F1099" s="4">
        <v>489000</v>
      </c>
      <c r="G1099" s="28" t="s">
        <v>3143</v>
      </c>
      <c r="H1099" s="14">
        <v>43566</v>
      </c>
      <c r="I1099" s="4" t="s">
        <v>2692</v>
      </c>
      <c r="J1099" s="121"/>
      <c r="K1099" s="5"/>
    </row>
    <row r="1100" spans="1:19" s="2" customFormat="1" hidden="1" x14ac:dyDescent="0.25">
      <c r="A1100" s="61" t="s">
        <v>103</v>
      </c>
      <c r="B1100" s="14">
        <v>43573</v>
      </c>
      <c r="C1100" s="13">
        <v>705</v>
      </c>
      <c r="D1100" s="13" t="s">
        <v>6880</v>
      </c>
      <c r="E1100" s="13" t="s">
        <v>62</v>
      </c>
      <c r="F1100" s="37">
        <v>52930</v>
      </c>
      <c r="G1100" s="29" t="s">
        <v>2588</v>
      </c>
      <c r="H1100" s="14">
        <v>43566</v>
      </c>
      <c r="I1100" s="4" t="s">
        <v>6881</v>
      </c>
      <c r="J1100" s="121"/>
      <c r="K1100" s="5"/>
    </row>
    <row r="1101" spans="1:19" s="115" customFormat="1" ht="15" hidden="1" customHeight="1" x14ac:dyDescent="0.25">
      <c r="A1101" s="13" t="s">
        <v>151</v>
      </c>
      <c r="B1101" s="14">
        <v>43573</v>
      </c>
      <c r="C1101" s="13">
        <v>107</v>
      </c>
      <c r="D1101" s="13" t="s">
        <v>1443</v>
      </c>
      <c r="E1101" s="13" t="s">
        <v>22</v>
      </c>
      <c r="F1101" s="4">
        <v>150000</v>
      </c>
      <c r="G1101" s="29" t="s">
        <v>6932</v>
      </c>
      <c r="H1101" s="126">
        <v>43570</v>
      </c>
      <c r="I1101" s="4" t="s">
        <v>1444</v>
      </c>
      <c r="J1101" s="454"/>
      <c r="K1101" s="116"/>
      <c r="L1101" s="116"/>
      <c r="M1101" s="116"/>
      <c r="N1101" s="116"/>
      <c r="O1101" s="117"/>
      <c r="P1101" s="117"/>
      <c r="Q1101" s="117"/>
      <c r="R1101" s="117"/>
      <c r="S1101" s="117"/>
    </row>
    <row r="1102" spans="1:19" s="62" customFormat="1" ht="15" hidden="1" customHeight="1" x14ac:dyDescent="0.25">
      <c r="A1102" s="61" t="s">
        <v>311</v>
      </c>
      <c r="B1102" s="14">
        <v>43573</v>
      </c>
      <c r="C1102" s="13">
        <v>346</v>
      </c>
      <c r="D1102" s="13" t="s">
        <v>589</v>
      </c>
      <c r="E1102" s="13" t="s">
        <v>958</v>
      </c>
      <c r="F1102" s="37">
        <v>3219000</v>
      </c>
      <c r="G1102" s="70" t="s">
        <v>6640</v>
      </c>
      <c r="H1102" s="14">
        <v>43567</v>
      </c>
      <c r="I1102" s="4" t="s">
        <v>6641</v>
      </c>
      <c r="J1102" s="71" t="s">
        <v>6392</v>
      </c>
      <c r="K1102" s="35"/>
      <c r="L1102" s="35"/>
      <c r="M1102" s="35"/>
    </row>
    <row r="1103" spans="1:19" s="62" customFormat="1" ht="15" hidden="1" customHeight="1" x14ac:dyDescent="0.25">
      <c r="A1103" s="61" t="s">
        <v>311</v>
      </c>
      <c r="B1103" s="14">
        <v>43573</v>
      </c>
      <c r="C1103" s="13">
        <v>348</v>
      </c>
      <c r="D1103" s="13" t="s">
        <v>6637</v>
      </c>
      <c r="E1103" s="13" t="s">
        <v>958</v>
      </c>
      <c r="F1103" s="37">
        <v>43696.4</v>
      </c>
      <c r="G1103" s="189" t="s">
        <v>6638</v>
      </c>
      <c r="H1103" s="14">
        <v>43565</v>
      </c>
      <c r="I1103" s="4" t="s">
        <v>6639</v>
      </c>
      <c r="J1103" s="71" t="s">
        <v>6949</v>
      </c>
      <c r="K1103" s="35"/>
      <c r="L1103" s="35"/>
      <c r="M1103" s="35"/>
    </row>
    <row r="1104" spans="1:19" s="97" customFormat="1" hidden="1" x14ac:dyDescent="0.25">
      <c r="A1104" s="61" t="s">
        <v>311</v>
      </c>
      <c r="B1104" s="14">
        <v>43573</v>
      </c>
      <c r="C1104" s="13">
        <v>349</v>
      </c>
      <c r="D1104" s="13" t="s">
        <v>2697</v>
      </c>
      <c r="E1104" s="13" t="s">
        <v>958</v>
      </c>
      <c r="F1104" s="4">
        <v>1233486</v>
      </c>
      <c r="G1104" s="29" t="s">
        <v>6644</v>
      </c>
      <c r="H1104" s="14">
        <v>43566</v>
      </c>
      <c r="I1104" s="4" t="s">
        <v>6645</v>
      </c>
      <c r="J1104" s="133" t="s">
        <v>6392</v>
      </c>
      <c r="K1104" s="22"/>
      <c r="L1104" s="134"/>
    </row>
    <row r="1105" spans="1:13" ht="27.6" hidden="1" x14ac:dyDescent="0.25">
      <c r="A1105" s="32" t="s">
        <v>2020</v>
      </c>
      <c r="B1105" s="14">
        <v>43573</v>
      </c>
      <c r="C1105" s="13">
        <v>1431</v>
      </c>
      <c r="D1105" s="32" t="s">
        <v>392</v>
      </c>
      <c r="E1105" s="32" t="s">
        <v>6752</v>
      </c>
      <c r="F1105" s="4">
        <v>1168157.01</v>
      </c>
      <c r="G1105" s="28" t="s">
        <v>4076</v>
      </c>
      <c r="H1105" s="14">
        <v>43556</v>
      </c>
      <c r="I1105" s="41" t="s">
        <v>620</v>
      </c>
      <c r="J1105" s="35" t="s">
        <v>366</v>
      </c>
      <c r="K1105" s="167"/>
      <c r="L1105" s="35"/>
    </row>
    <row r="1106" spans="1:13" hidden="1" x14ac:dyDescent="0.25">
      <c r="A1106" s="61" t="s">
        <v>311</v>
      </c>
      <c r="B1106" s="14">
        <v>43574</v>
      </c>
      <c r="C1106" s="13">
        <v>347</v>
      </c>
      <c r="D1106" s="13" t="s">
        <v>6642</v>
      </c>
      <c r="E1106" s="13" t="s">
        <v>958</v>
      </c>
      <c r="F1106" s="37">
        <v>3352000</v>
      </c>
      <c r="G1106" s="29" t="s">
        <v>114</v>
      </c>
      <c r="H1106" s="14">
        <v>43566</v>
      </c>
      <c r="I1106" s="4" t="s">
        <v>6643</v>
      </c>
      <c r="J1106" s="21" t="s">
        <v>6392</v>
      </c>
      <c r="K1106" s="228"/>
    </row>
    <row r="1107" spans="1:13" s="62" customFormat="1" ht="15" hidden="1" customHeight="1" x14ac:dyDescent="0.25">
      <c r="A1107" s="61" t="s">
        <v>311</v>
      </c>
      <c r="B1107" s="14">
        <v>43574</v>
      </c>
      <c r="C1107" s="13">
        <v>350</v>
      </c>
      <c r="D1107" s="13" t="s">
        <v>1933</v>
      </c>
      <c r="E1107" s="13" t="s">
        <v>958</v>
      </c>
      <c r="F1107" s="37">
        <v>1010923.2</v>
      </c>
      <c r="G1107" s="189" t="s">
        <v>6646</v>
      </c>
      <c r="H1107" s="14">
        <v>43566</v>
      </c>
      <c r="I1107" s="4" t="s">
        <v>6647</v>
      </c>
      <c r="J1107" s="71" t="s">
        <v>6392</v>
      </c>
      <c r="K1107" s="35"/>
      <c r="L1107" s="35"/>
      <c r="M1107" s="35"/>
    </row>
    <row r="1108" spans="1:13" s="62" customFormat="1" ht="27.6" hidden="1" x14ac:dyDescent="0.25">
      <c r="A1108" s="61" t="s">
        <v>311</v>
      </c>
      <c r="B1108" s="14">
        <v>43574</v>
      </c>
      <c r="C1108" s="13">
        <v>351</v>
      </c>
      <c r="D1108" s="13" t="s">
        <v>982</v>
      </c>
      <c r="E1108" s="13" t="s">
        <v>958</v>
      </c>
      <c r="F1108" s="37">
        <v>697017.6</v>
      </c>
      <c r="G1108" s="189" t="s">
        <v>3424</v>
      </c>
      <c r="H1108" s="14">
        <v>43552</v>
      </c>
      <c r="I1108" s="4" t="s">
        <v>6648</v>
      </c>
      <c r="J1108" s="71" t="s">
        <v>6392</v>
      </c>
      <c r="K1108" s="35"/>
      <c r="L1108" s="35"/>
      <c r="M1108" s="35"/>
    </row>
    <row r="1109" spans="1:13" s="62" customFormat="1" ht="15" hidden="1" customHeight="1" x14ac:dyDescent="0.25">
      <c r="A1109" s="13" t="s">
        <v>311</v>
      </c>
      <c r="B1109" s="14">
        <v>43574</v>
      </c>
      <c r="C1109" s="13">
        <v>353</v>
      </c>
      <c r="D1109" s="13" t="s">
        <v>1757</v>
      </c>
      <c r="E1109" s="13" t="s">
        <v>958</v>
      </c>
      <c r="F1109" s="37">
        <v>1075248</v>
      </c>
      <c r="G1109" s="189" t="s">
        <v>3400</v>
      </c>
      <c r="H1109" s="14">
        <v>43566</v>
      </c>
      <c r="I1109" s="4" t="s">
        <v>6636</v>
      </c>
      <c r="J1109" s="71" t="s">
        <v>6392</v>
      </c>
      <c r="K1109" s="35"/>
      <c r="L1109" s="35"/>
      <c r="M1109" s="35"/>
    </row>
    <row r="1110" spans="1:13" ht="13.95" hidden="1" customHeight="1" x14ac:dyDescent="0.25">
      <c r="A1110" s="61" t="s">
        <v>311</v>
      </c>
      <c r="B1110" s="14">
        <v>43574</v>
      </c>
      <c r="C1110" s="13">
        <v>354</v>
      </c>
      <c r="D1110" s="13" t="s">
        <v>632</v>
      </c>
      <c r="E1110" s="32" t="s">
        <v>958</v>
      </c>
      <c r="F1110" s="4">
        <f>15979714</f>
        <v>15979714</v>
      </c>
      <c r="G1110" s="86" t="s">
        <v>6753</v>
      </c>
      <c r="H1110" s="211"/>
      <c r="I1110" s="4" t="s">
        <v>879</v>
      </c>
      <c r="J1110" s="71" t="s">
        <v>6392</v>
      </c>
      <c r="K1110" s="228"/>
    </row>
    <row r="1111" spans="1:13" ht="13.95" hidden="1" customHeight="1" x14ac:dyDescent="0.25">
      <c r="A1111" s="61" t="s">
        <v>311</v>
      </c>
      <c r="B1111" s="14">
        <v>43574</v>
      </c>
      <c r="C1111" s="13">
        <v>352</v>
      </c>
      <c r="D1111" s="13" t="s">
        <v>1144</v>
      </c>
      <c r="E1111" s="32" t="s">
        <v>958</v>
      </c>
      <c r="F1111" s="4">
        <v>1430000</v>
      </c>
      <c r="G1111" s="86" t="s">
        <v>6911</v>
      </c>
      <c r="H1111" s="211"/>
      <c r="I1111" s="4" t="s">
        <v>6912</v>
      </c>
      <c r="J1111" s="71" t="s">
        <v>6392</v>
      </c>
      <c r="K1111" s="228"/>
    </row>
    <row r="1112" spans="1:13" ht="13.95" hidden="1" customHeight="1" x14ac:dyDescent="0.25">
      <c r="A1112" s="68" t="s">
        <v>310</v>
      </c>
      <c r="B1112" s="14">
        <v>43574</v>
      </c>
      <c r="C1112" s="13">
        <v>355</v>
      </c>
      <c r="D1112" s="32" t="s">
        <v>4487</v>
      </c>
      <c r="E1112" s="32" t="s">
        <v>958</v>
      </c>
      <c r="F1112" s="4">
        <v>3180952.74</v>
      </c>
      <c r="G1112" s="86" t="s">
        <v>4486</v>
      </c>
      <c r="H1112" s="211"/>
      <c r="I1112" s="84" t="s">
        <v>273</v>
      </c>
      <c r="J1112" s="21"/>
      <c r="K1112" s="228"/>
    </row>
    <row r="1113" spans="1:13" hidden="1" x14ac:dyDescent="0.25">
      <c r="A1113" s="61" t="s">
        <v>455</v>
      </c>
      <c r="B1113" s="14">
        <v>43574</v>
      </c>
      <c r="C1113" s="13">
        <v>356</v>
      </c>
      <c r="D1113" s="13" t="s">
        <v>1099</v>
      </c>
      <c r="E1113" s="13" t="s">
        <v>958</v>
      </c>
      <c r="F1113" s="4">
        <v>4553</v>
      </c>
      <c r="G1113" s="28" t="s">
        <v>6462</v>
      </c>
      <c r="H1113" s="14">
        <v>43559</v>
      </c>
      <c r="I1113" s="4" t="s">
        <v>2696</v>
      </c>
      <c r="J1113" s="128"/>
    </row>
    <row r="1114" spans="1:13" hidden="1" x14ac:dyDescent="0.25">
      <c r="A1114" s="13" t="s">
        <v>455</v>
      </c>
      <c r="B1114" s="14">
        <v>43574</v>
      </c>
      <c r="C1114" s="13">
        <v>357</v>
      </c>
      <c r="D1114" s="13" t="s">
        <v>5920</v>
      </c>
      <c r="E1114" s="13" t="s">
        <v>958</v>
      </c>
      <c r="F1114" s="4">
        <v>2000</v>
      </c>
      <c r="G1114" s="28" t="s">
        <v>5921</v>
      </c>
      <c r="H1114" s="14">
        <v>43544</v>
      </c>
      <c r="I1114" s="4" t="s">
        <v>6463</v>
      </c>
      <c r="J1114" s="128"/>
    </row>
    <row r="1115" spans="1:13" hidden="1" x14ac:dyDescent="0.25">
      <c r="A1115" s="13" t="s">
        <v>455</v>
      </c>
      <c r="B1115" s="14">
        <v>43574</v>
      </c>
      <c r="C1115" s="13">
        <v>357</v>
      </c>
      <c r="D1115" s="13" t="s">
        <v>5920</v>
      </c>
      <c r="E1115" s="13" t="s">
        <v>958</v>
      </c>
      <c r="F1115" s="4">
        <v>5500</v>
      </c>
      <c r="G1115" s="28" t="s">
        <v>6464</v>
      </c>
      <c r="H1115" s="14">
        <v>43563</v>
      </c>
      <c r="I1115" s="4" t="s">
        <v>6465</v>
      </c>
      <c r="J1115" s="128"/>
    </row>
    <row r="1116" spans="1:13" hidden="1" x14ac:dyDescent="0.25">
      <c r="A1116" s="61" t="s">
        <v>1148</v>
      </c>
      <c r="B1116" s="14">
        <v>43574</v>
      </c>
      <c r="C1116" s="13">
        <v>717</v>
      </c>
      <c r="D1116" s="13" t="s">
        <v>447</v>
      </c>
      <c r="E1116" s="13" t="s">
        <v>808</v>
      </c>
      <c r="F1116" s="37">
        <v>245000</v>
      </c>
      <c r="G1116" s="29" t="s">
        <v>4127</v>
      </c>
      <c r="H1116" s="14">
        <v>43554</v>
      </c>
      <c r="I1116" s="4" t="s">
        <v>1315</v>
      </c>
      <c r="J1116" s="128"/>
    </row>
    <row r="1117" spans="1:13" hidden="1" x14ac:dyDescent="0.25">
      <c r="A1117" s="61" t="s">
        <v>659</v>
      </c>
      <c r="B1117" s="14">
        <v>43574</v>
      </c>
      <c r="C1117" s="13">
        <v>718</v>
      </c>
      <c r="D1117" s="13" t="s">
        <v>381</v>
      </c>
      <c r="E1117" s="13" t="s">
        <v>808</v>
      </c>
      <c r="F1117" s="37">
        <v>19500</v>
      </c>
      <c r="G1117" s="29" t="s">
        <v>199</v>
      </c>
      <c r="H1117" s="14">
        <v>43545</v>
      </c>
      <c r="I1117" s="4" t="s">
        <v>1689</v>
      </c>
      <c r="J1117" s="128"/>
    </row>
    <row r="1118" spans="1:13" hidden="1" x14ac:dyDescent="0.25">
      <c r="A1118" s="13" t="s">
        <v>495</v>
      </c>
      <c r="B1118" s="14">
        <v>43574</v>
      </c>
      <c r="C1118" s="13">
        <v>719</v>
      </c>
      <c r="D1118" s="13" t="s">
        <v>371</v>
      </c>
      <c r="E1118" s="13" t="s">
        <v>808</v>
      </c>
      <c r="F1118" s="37">
        <f>48000-27000</f>
        <v>21000</v>
      </c>
      <c r="G1118" s="29" t="s">
        <v>1009</v>
      </c>
      <c r="H1118" s="14">
        <v>43531</v>
      </c>
      <c r="I1118" s="4" t="s">
        <v>319</v>
      </c>
      <c r="J1118" s="128"/>
    </row>
    <row r="1119" spans="1:13" hidden="1" x14ac:dyDescent="0.25">
      <c r="A1119" s="61" t="s">
        <v>495</v>
      </c>
      <c r="B1119" s="14">
        <v>43574</v>
      </c>
      <c r="C1119" s="13">
        <v>719</v>
      </c>
      <c r="D1119" s="13" t="s">
        <v>371</v>
      </c>
      <c r="E1119" s="13" t="s">
        <v>808</v>
      </c>
      <c r="F1119" s="4">
        <v>48000</v>
      </c>
      <c r="G1119" s="28" t="s">
        <v>2029</v>
      </c>
      <c r="H1119" s="14">
        <v>43539</v>
      </c>
      <c r="I1119" s="4" t="s">
        <v>319</v>
      </c>
      <c r="J1119" s="128"/>
    </row>
    <row r="1120" spans="1:13" hidden="1" x14ac:dyDescent="0.25">
      <c r="A1120" s="61" t="s">
        <v>495</v>
      </c>
      <c r="B1120" s="14">
        <v>43574</v>
      </c>
      <c r="C1120" s="13">
        <v>719</v>
      </c>
      <c r="D1120" s="13" t="s">
        <v>371</v>
      </c>
      <c r="E1120" s="13" t="s">
        <v>808</v>
      </c>
      <c r="F1120" s="4">
        <v>48000</v>
      </c>
      <c r="G1120" s="28" t="s">
        <v>3389</v>
      </c>
      <c r="H1120" s="14">
        <v>43549</v>
      </c>
      <c r="I1120" s="4" t="s">
        <v>319</v>
      </c>
      <c r="J1120" s="128"/>
    </row>
    <row r="1121" spans="1:16" ht="13.8" hidden="1" customHeight="1" x14ac:dyDescent="0.25">
      <c r="A1121" s="32" t="s">
        <v>1149</v>
      </c>
      <c r="B1121" s="14">
        <v>43574</v>
      </c>
      <c r="C1121" s="13">
        <v>720</v>
      </c>
      <c r="D1121" s="32" t="s">
        <v>181</v>
      </c>
      <c r="E1121" s="32" t="s">
        <v>808</v>
      </c>
      <c r="F1121" s="4">
        <v>42600</v>
      </c>
      <c r="G1121" s="29" t="s">
        <v>5125</v>
      </c>
      <c r="H1121" s="14">
        <v>43571</v>
      </c>
      <c r="I1121" s="4" t="s">
        <v>102</v>
      </c>
      <c r="J1121" s="21"/>
      <c r="K1121" s="228"/>
    </row>
    <row r="1122" spans="1:16" hidden="1" x14ac:dyDescent="0.25">
      <c r="A1122" s="13" t="s">
        <v>1350</v>
      </c>
      <c r="B1122" s="242">
        <v>43574</v>
      </c>
      <c r="C1122" s="13">
        <v>286</v>
      </c>
      <c r="D1122" s="32" t="s">
        <v>3662</v>
      </c>
      <c r="E1122" s="13" t="s">
        <v>691</v>
      </c>
      <c r="F1122" s="4">
        <v>600652.80000000005</v>
      </c>
      <c r="G1122" s="29" t="s">
        <v>6734</v>
      </c>
      <c r="H1122" s="14">
        <v>43570</v>
      </c>
      <c r="I1122" s="4" t="s">
        <v>3664</v>
      </c>
      <c r="J1122" s="62"/>
      <c r="K1122" s="62"/>
      <c r="L1122" s="35"/>
      <c r="M1122" s="35"/>
      <c r="N1122" s="35"/>
      <c r="O1122" s="35"/>
      <c r="P1122" s="35"/>
    </row>
    <row r="1123" spans="1:16" hidden="1" x14ac:dyDescent="0.25">
      <c r="A1123" s="13" t="s">
        <v>1350</v>
      </c>
      <c r="B1123" s="242">
        <v>43574</v>
      </c>
      <c r="C1123" s="13">
        <v>287</v>
      </c>
      <c r="D1123" s="32" t="s">
        <v>6740</v>
      </c>
      <c r="E1123" s="13" t="s">
        <v>691</v>
      </c>
      <c r="F1123" s="4">
        <v>71650</v>
      </c>
      <c r="G1123" s="29" t="s">
        <v>5251</v>
      </c>
      <c r="H1123" s="14">
        <v>43571</v>
      </c>
      <c r="I1123" s="4" t="s">
        <v>6741</v>
      </c>
      <c r="J1123" s="62"/>
      <c r="K1123" s="62"/>
      <c r="L1123" s="35"/>
      <c r="M1123" s="35"/>
      <c r="N1123" s="35"/>
      <c r="O1123" s="35"/>
      <c r="P1123" s="35"/>
    </row>
    <row r="1124" spans="1:16" hidden="1" x14ac:dyDescent="0.25">
      <c r="A1124" s="13" t="s">
        <v>1350</v>
      </c>
      <c r="B1124" s="242">
        <v>43574</v>
      </c>
      <c r="C1124" s="13">
        <v>288</v>
      </c>
      <c r="D1124" s="32" t="s">
        <v>6742</v>
      </c>
      <c r="E1124" s="13" t="s">
        <v>691</v>
      </c>
      <c r="F1124" s="4">
        <v>662508</v>
      </c>
      <c r="G1124" s="29" t="s">
        <v>4094</v>
      </c>
      <c r="H1124" s="14">
        <v>43556</v>
      </c>
      <c r="I1124" s="4" t="s">
        <v>6743</v>
      </c>
      <c r="J1124" s="62"/>
      <c r="K1124" s="62"/>
      <c r="L1124" s="35"/>
      <c r="M1124" s="35"/>
      <c r="N1124" s="35"/>
      <c r="O1124" s="35"/>
      <c r="P1124" s="35"/>
    </row>
    <row r="1125" spans="1:16" hidden="1" x14ac:dyDescent="0.25">
      <c r="A1125" s="32" t="s">
        <v>1350</v>
      </c>
      <c r="B1125" s="242">
        <v>43574</v>
      </c>
      <c r="C1125" s="13">
        <v>289</v>
      </c>
      <c r="D1125" s="13" t="s">
        <v>1130</v>
      </c>
      <c r="E1125" s="13" t="s">
        <v>691</v>
      </c>
      <c r="F1125" s="4">
        <v>16080</v>
      </c>
      <c r="G1125" s="28" t="s">
        <v>26</v>
      </c>
      <c r="H1125" s="14">
        <v>43559</v>
      </c>
      <c r="I1125" s="4" t="s">
        <v>6129</v>
      </c>
      <c r="J1125" s="128"/>
    </row>
    <row r="1126" spans="1:16" hidden="1" x14ac:dyDescent="0.25">
      <c r="A1126" s="61" t="s">
        <v>1350</v>
      </c>
      <c r="B1126" s="242">
        <v>43574</v>
      </c>
      <c r="C1126" s="13">
        <v>290</v>
      </c>
      <c r="D1126" s="13" t="s">
        <v>1348</v>
      </c>
      <c r="E1126" s="13" t="s">
        <v>691</v>
      </c>
      <c r="F1126" s="37">
        <v>49700</v>
      </c>
      <c r="G1126" s="29" t="s">
        <v>1242</v>
      </c>
      <c r="H1126" s="14">
        <v>43544</v>
      </c>
      <c r="I1126" s="4" t="s">
        <v>319</v>
      </c>
      <c r="J1126" s="128"/>
    </row>
    <row r="1127" spans="1:16" ht="13.95" hidden="1" customHeight="1" x14ac:dyDescent="0.25">
      <c r="A1127" s="68" t="s">
        <v>209</v>
      </c>
      <c r="B1127" s="14">
        <v>43574</v>
      </c>
      <c r="C1127" s="67">
        <v>81</v>
      </c>
      <c r="D1127" s="32" t="s">
        <v>595</v>
      </c>
      <c r="E1127" s="32" t="s">
        <v>134</v>
      </c>
      <c r="F1127" s="4">
        <v>974457.94</v>
      </c>
      <c r="G1127" s="28" t="s">
        <v>207</v>
      </c>
      <c r="H1127" s="14"/>
      <c r="I1127" s="41" t="s">
        <v>949</v>
      </c>
      <c r="J1127" s="166" t="s">
        <v>366</v>
      </c>
      <c r="K1127" s="167"/>
      <c r="L1127" s="35"/>
    </row>
    <row r="1128" spans="1:16" ht="15" hidden="1" customHeight="1" x14ac:dyDescent="0.25">
      <c r="A1128" s="68" t="s">
        <v>209</v>
      </c>
      <c r="B1128" s="14">
        <v>43577</v>
      </c>
      <c r="C1128" s="67">
        <v>82</v>
      </c>
      <c r="D1128" s="32" t="s">
        <v>200</v>
      </c>
      <c r="E1128" s="32" t="s">
        <v>134</v>
      </c>
      <c r="F1128" s="4">
        <v>890492.54</v>
      </c>
      <c r="G1128" s="28" t="s">
        <v>58</v>
      </c>
      <c r="H1128" s="14">
        <v>43524</v>
      </c>
      <c r="I1128" s="4" t="s">
        <v>362</v>
      </c>
      <c r="J1128" s="166" t="s">
        <v>721</v>
      </c>
      <c r="K1128" s="167"/>
      <c r="L1128" s="35"/>
    </row>
    <row r="1129" spans="1:16" hidden="1" x14ac:dyDescent="0.25">
      <c r="A1129" s="61" t="s">
        <v>460</v>
      </c>
      <c r="B1129" s="14">
        <v>43577</v>
      </c>
      <c r="C1129" s="13">
        <v>210</v>
      </c>
      <c r="D1129" s="14" t="s">
        <v>6894</v>
      </c>
      <c r="E1129" s="32" t="s">
        <v>408</v>
      </c>
      <c r="F1129" s="4">
        <v>125190</v>
      </c>
      <c r="G1129" s="86" t="s">
        <v>6895</v>
      </c>
      <c r="H1129" s="211"/>
      <c r="I1129" s="326"/>
      <c r="J1129" s="21"/>
      <c r="K1129" s="228"/>
    </row>
    <row r="1130" spans="1:16" ht="15" hidden="1" customHeight="1" x14ac:dyDescent="0.25">
      <c r="A1130" s="13" t="s">
        <v>311</v>
      </c>
      <c r="B1130" s="14">
        <v>43577</v>
      </c>
      <c r="C1130" s="13">
        <v>211</v>
      </c>
      <c r="D1130" s="13" t="s">
        <v>3005</v>
      </c>
      <c r="E1130" s="13" t="s">
        <v>408</v>
      </c>
      <c r="F1130" s="37">
        <v>166720.32000000001</v>
      </c>
      <c r="G1130" s="29" t="s">
        <v>6765</v>
      </c>
      <c r="H1130" s="14">
        <v>43564</v>
      </c>
      <c r="I1130" s="4" t="s">
        <v>6762</v>
      </c>
      <c r="J1130" s="76"/>
    </row>
    <row r="1131" spans="1:16" ht="15" hidden="1" customHeight="1" x14ac:dyDescent="0.25">
      <c r="A1131" s="13" t="s">
        <v>184</v>
      </c>
      <c r="B1131" s="14">
        <v>43577</v>
      </c>
      <c r="C1131" s="13">
        <v>501</v>
      </c>
      <c r="D1131" s="13" t="s">
        <v>348</v>
      </c>
      <c r="E1131" s="32" t="s">
        <v>1121</v>
      </c>
      <c r="F1131" s="4">
        <f>1379568.18-156432.11</f>
        <v>1223136.0699999998</v>
      </c>
      <c r="G1131" s="28" t="s">
        <v>6577</v>
      </c>
      <c r="H1131" s="14">
        <v>43563</v>
      </c>
      <c r="I1131" s="4" t="s">
        <v>1124</v>
      </c>
      <c r="J1131" s="76" t="s">
        <v>771</v>
      </c>
    </row>
    <row r="1132" spans="1:16" ht="15" hidden="1" customHeight="1" x14ac:dyDescent="0.25">
      <c r="A1132" s="13" t="s">
        <v>184</v>
      </c>
      <c r="B1132" s="14">
        <v>43577</v>
      </c>
      <c r="C1132" s="13">
        <v>502</v>
      </c>
      <c r="D1132" s="13" t="s">
        <v>120</v>
      </c>
      <c r="E1132" s="32" t="s">
        <v>1121</v>
      </c>
      <c r="F1132" s="4">
        <v>30000</v>
      </c>
      <c r="G1132" s="28" t="s">
        <v>6583</v>
      </c>
      <c r="H1132" s="14">
        <v>43549</v>
      </c>
      <c r="I1132" s="4" t="s">
        <v>1214</v>
      </c>
      <c r="J1132" s="125">
        <v>43555</v>
      </c>
    </row>
    <row r="1133" spans="1:16" s="192" customFormat="1" hidden="1" x14ac:dyDescent="0.25">
      <c r="A1133" s="147" t="s">
        <v>242</v>
      </c>
      <c r="B1133" s="14">
        <v>43577</v>
      </c>
      <c r="C1133" s="187">
        <v>503</v>
      </c>
      <c r="D1133" s="149" t="s">
        <v>388</v>
      </c>
      <c r="E1133" s="147" t="s">
        <v>1121</v>
      </c>
      <c r="F1133" s="158">
        <v>146550.39999999999</v>
      </c>
      <c r="G1133" s="150" t="s">
        <v>153</v>
      </c>
      <c r="H1133" s="148">
        <v>43573</v>
      </c>
      <c r="I1133" s="149" t="s">
        <v>143</v>
      </c>
      <c r="J1133" s="193"/>
      <c r="K1133" s="194"/>
      <c r="L1133" s="190"/>
    </row>
    <row r="1134" spans="1:16" s="192" customFormat="1" hidden="1" x14ac:dyDescent="0.25">
      <c r="A1134" s="147" t="s">
        <v>242</v>
      </c>
      <c r="B1134" s="14">
        <v>43577</v>
      </c>
      <c r="C1134" s="187">
        <v>503</v>
      </c>
      <c r="D1134" s="149" t="s">
        <v>388</v>
      </c>
      <c r="E1134" s="147" t="s">
        <v>1121</v>
      </c>
      <c r="F1134" s="158">
        <v>153370.4</v>
      </c>
      <c r="G1134" s="150" t="s">
        <v>1402</v>
      </c>
      <c r="H1134" s="148">
        <v>43573</v>
      </c>
      <c r="I1134" s="149" t="s">
        <v>143</v>
      </c>
      <c r="J1134" s="193"/>
      <c r="K1134" s="194"/>
      <c r="L1134" s="190"/>
    </row>
    <row r="1135" spans="1:16" s="192" customFormat="1" hidden="1" x14ac:dyDescent="0.25">
      <c r="A1135" s="147" t="s">
        <v>242</v>
      </c>
      <c r="B1135" s="14">
        <v>43577</v>
      </c>
      <c r="C1135" s="195">
        <v>504</v>
      </c>
      <c r="D1135" s="149" t="s">
        <v>784</v>
      </c>
      <c r="E1135" s="147" t="s">
        <v>1121</v>
      </c>
      <c r="F1135" s="158">
        <v>303113.36</v>
      </c>
      <c r="G1135" s="150" t="s">
        <v>12</v>
      </c>
      <c r="H1135" s="148">
        <v>43573</v>
      </c>
      <c r="I1135" s="149" t="s">
        <v>143</v>
      </c>
      <c r="J1135" s="193"/>
      <c r="K1135" s="194"/>
      <c r="L1135" s="190"/>
    </row>
    <row r="1136" spans="1:16" s="129" customFormat="1" ht="27.6" hidden="1" x14ac:dyDescent="0.25">
      <c r="A1136" s="13" t="s">
        <v>151</v>
      </c>
      <c r="B1136" s="14">
        <v>43577</v>
      </c>
      <c r="C1136" s="28" t="s">
        <v>5996</v>
      </c>
      <c r="D1136" s="13" t="s">
        <v>711</v>
      </c>
      <c r="E1136" s="32" t="s">
        <v>1121</v>
      </c>
      <c r="F1136" s="37">
        <f>3600+5750+300+850+4200+500</f>
        <v>15200</v>
      </c>
      <c r="G1136" s="28" t="s">
        <v>6906</v>
      </c>
      <c r="H1136" s="28" t="s">
        <v>6905</v>
      </c>
      <c r="I1136" s="4" t="s">
        <v>712</v>
      </c>
      <c r="J1136" s="170"/>
      <c r="K1136" s="136"/>
    </row>
    <row r="1137" spans="1:19" ht="15" hidden="1" customHeight="1" x14ac:dyDescent="0.25">
      <c r="A1137" s="13" t="s">
        <v>151</v>
      </c>
      <c r="B1137" s="14">
        <v>43577</v>
      </c>
      <c r="C1137" s="13">
        <v>506</v>
      </c>
      <c r="D1137" s="13" t="s">
        <v>4162</v>
      </c>
      <c r="E1137" s="13" t="s">
        <v>1121</v>
      </c>
      <c r="F1137" s="37">
        <v>25172</v>
      </c>
      <c r="G1137" s="29" t="s">
        <v>6883</v>
      </c>
      <c r="H1137" s="14">
        <v>43572</v>
      </c>
      <c r="I1137" s="4" t="s">
        <v>6884</v>
      </c>
      <c r="J1137" s="76"/>
    </row>
    <row r="1138" spans="1:19" s="129" customFormat="1" hidden="1" x14ac:dyDescent="0.25">
      <c r="A1138" s="13" t="s">
        <v>151</v>
      </c>
      <c r="B1138" s="14">
        <v>43577</v>
      </c>
      <c r="C1138" s="28" t="s">
        <v>4354</v>
      </c>
      <c r="D1138" s="13" t="s">
        <v>1846</v>
      </c>
      <c r="E1138" s="32" t="s">
        <v>1121</v>
      </c>
      <c r="F1138" s="4">
        <v>27933</v>
      </c>
      <c r="G1138" s="28" t="s">
        <v>6935</v>
      </c>
      <c r="H1138" s="14">
        <v>43573</v>
      </c>
      <c r="I1138" s="4" t="s">
        <v>6936</v>
      </c>
      <c r="J1138" s="22"/>
      <c r="K1138" s="136"/>
    </row>
    <row r="1139" spans="1:19" s="129" customFormat="1" hidden="1" x14ac:dyDescent="0.25">
      <c r="A1139" s="13" t="s">
        <v>151</v>
      </c>
      <c r="B1139" s="14">
        <v>43577</v>
      </c>
      <c r="C1139" s="28" t="s">
        <v>716</v>
      </c>
      <c r="D1139" s="13" t="s">
        <v>401</v>
      </c>
      <c r="E1139" s="13" t="s">
        <v>1121</v>
      </c>
      <c r="F1139" s="37">
        <v>16908.95</v>
      </c>
      <c r="G1139" s="28" t="s">
        <v>4076</v>
      </c>
      <c r="H1139" s="14">
        <v>43524</v>
      </c>
      <c r="I1139" s="4" t="s">
        <v>3328</v>
      </c>
      <c r="J1139" s="133"/>
      <c r="K1139" s="275"/>
    </row>
    <row r="1140" spans="1:19" s="129" customFormat="1" hidden="1" x14ac:dyDescent="0.25">
      <c r="A1140" s="13" t="s">
        <v>151</v>
      </c>
      <c r="B1140" s="14">
        <v>43577</v>
      </c>
      <c r="C1140" s="28" t="s">
        <v>716</v>
      </c>
      <c r="D1140" s="13" t="s">
        <v>401</v>
      </c>
      <c r="E1140" s="13" t="s">
        <v>1121</v>
      </c>
      <c r="F1140" s="37">
        <v>1440</v>
      </c>
      <c r="G1140" s="28" t="s">
        <v>6496</v>
      </c>
      <c r="H1140" s="14">
        <v>43566</v>
      </c>
      <c r="I1140" s="4" t="s">
        <v>6758</v>
      </c>
      <c r="J1140" s="133"/>
      <c r="K1140" s="275"/>
    </row>
    <row r="1141" spans="1:19" s="129" customFormat="1" hidden="1" x14ac:dyDescent="0.25">
      <c r="A1141" s="13" t="s">
        <v>151</v>
      </c>
      <c r="B1141" s="14">
        <v>43577</v>
      </c>
      <c r="C1141" s="28" t="s">
        <v>1210</v>
      </c>
      <c r="D1141" s="13" t="s">
        <v>372</v>
      </c>
      <c r="E1141" s="13" t="s">
        <v>22</v>
      </c>
      <c r="F1141" s="37">
        <v>187905.73</v>
      </c>
      <c r="G1141" s="28" t="s">
        <v>6387</v>
      </c>
      <c r="H1141" s="14">
        <v>43564</v>
      </c>
      <c r="I1141" s="4" t="s">
        <v>836</v>
      </c>
      <c r="J1141" s="133"/>
      <c r="K1141" s="275"/>
    </row>
    <row r="1142" spans="1:19" ht="15" hidden="1" customHeight="1" x14ac:dyDescent="0.25">
      <c r="A1142" s="13" t="s">
        <v>151</v>
      </c>
      <c r="B1142" s="14">
        <v>43577</v>
      </c>
      <c r="C1142" s="13">
        <v>110</v>
      </c>
      <c r="D1142" s="13" t="s">
        <v>6898</v>
      </c>
      <c r="E1142" s="13" t="s">
        <v>22</v>
      </c>
      <c r="F1142" s="37">
        <v>1845</v>
      </c>
      <c r="G1142" s="29" t="s">
        <v>6899</v>
      </c>
      <c r="H1142" s="14">
        <v>43573</v>
      </c>
      <c r="I1142" s="4" t="s">
        <v>6900</v>
      </c>
      <c r="J1142" s="76"/>
    </row>
    <row r="1143" spans="1:19" ht="15" hidden="1" customHeight="1" x14ac:dyDescent="0.25">
      <c r="A1143" s="13" t="s">
        <v>151</v>
      </c>
      <c r="B1143" s="14">
        <v>43577</v>
      </c>
      <c r="C1143" s="13">
        <v>111</v>
      </c>
      <c r="D1143" s="13" t="s">
        <v>6903</v>
      </c>
      <c r="E1143" s="13" t="s">
        <v>22</v>
      </c>
      <c r="F1143" s="37">
        <v>2380</v>
      </c>
      <c r="G1143" s="29" t="s">
        <v>6904</v>
      </c>
      <c r="H1143" s="14">
        <v>43573</v>
      </c>
      <c r="I1143" s="4" t="s">
        <v>6927</v>
      </c>
      <c r="J1143" s="76"/>
    </row>
    <row r="1144" spans="1:19" ht="15" hidden="1" customHeight="1" x14ac:dyDescent="0.25">
      <c r="A1144" s="61" t="s">
        <v>1934</v>
      </c>
      <c r="B1144" s="14">
        <v>43577</v>
      </c>
      <c r="C1144" s="13">
        <v>373</v>
      </c>
      <c r="D1144" s="32" t="s">
        <v>281</v>
      </c>
      <c r="E1144" s="32" t="s">
        <v>136</v>
      </c>
      <c r="F1144" s="4">
        <v>414144</v>
      </c>
      <c r="G1144" s="29" t="s">
        <v>6686</v>
      </c>
      <c r="H1144" s="14">
        <v>43567</v>
      </c>
      <c r="I1144" s="41" t="s">
        <v>362</v>
      </c>
      <c r="J1144" s="35" t="s">
        <v>366</v>
      </c>
      <c r="K1144" s="35"/>
      <c r="L1144" s="35"/>
    </row>
    <row r="1145" spans="1:19" ht="15" hidden="1" customHeight="1" x14ac:dyDescent="0.25">
      <c r="A1145" s="61" t="s">
        <v>1934</v>
      </c>
      <c r="B1145" s="14">
        <v>43577</v>
      </c>
      <c r="C1145" s="13">
        <v>374</v>
      </c>
      <c r="D1145" s="32" t="s">
        <v>281</v>
      </c>
      <c r="E1145" s="32" t="s">
        <v>136</v>
      </c>
      <c r="F1145" s="4">
        <v>631536</v>
      </c>
      <c r="G1145" s="29" t="s">
        <v>5498</v>
      </c>
      <c r="H1145" s="14">
        <v>43536</v>
      </c>
      <c r="I1145" s="41" t="s">
        <v>847</v>
      </c>
      <c r="J1145" s="35" t="s">
        <v>771</v>
      </c>
      <c r="K1145" s="35"/>
      <c r="L1145" s="35"/>
    </row>
    <row r="1146" spans="1:19" ht="15" hidden="1" customHeight="1" x14ac:dyDescent="0.25">
      <c r="A1146" s="13" t="s">
        <v>310</v>
      </c>
      <c r="B1146" s="14">
        <v>43577</v>
      </c>
      <c r="C1146" s="13">
        <v>121</v>
      </c>
      <c r="D1146" s="13" t="s">
        <v>3005</v>
      </c>
      <c r="E1146" s="13" t="s">
        <v>314</v>
      </c>
      <c r="F1146" s="37">
        <v>168078.24</v>
      </c>
      <c r="G1146" s="29" t="s">
        <v>6761</v>
      </c>
      <c r="H1146" s="14">
        <v>43564</v>
      </c>
      <c r="I1146" s="4" t="s">
        <v>6762</v>
      </c>
      <c r="J1146" s="76"/>
    </row>
    <row r="1147" spans="1:19" ht="15" hidden="1" customHeight="1" x14ac:dyDescent="0.25">
      <c r="A1147" s="13" t="s">
        <v>310</v>
      </c>
      <c r="B1147" s="14">
        <v>43577</v>
      </c>
      <c r="C1147" s="13">
        <v>122</v>
      </c>
      <c r="D1147" s="13" t="s">
        <v>3005</v>
      </c>
      <c r="E1147" s="13" t="s">
        <v>314</v>
      </c>
      <c r="F1147" s="37">
        <v>43873.22</v>
      </c>
      <c r="G1147" s="29" t="s">
        <v>6763</v>
      </c>
      <c r="H1147" s="14">
        <v>43564</v>
      </c>
      <c r="I1147" s="4" t="s">
        <v>6764</v>
      </c>
      <c r="J1147" s="76"/>
    </row>
    <row r="1148" spans="1:19" hidden="1" x14ac:dyDescent="0.25">
      <c r="A1148" s="13" t="s">
        <v>637</v>
      </c>
      <c r="B1148" s="126">
        <v>43577</v>
      </c>
      <c r="C1148" s="28" t="s">
        <v>4875</v>
      </c>
      <c r="D1148" s="32" t="s">
        <v>432</v>
      </c>
      <c r="E1148" s="32" t="s">
        <v>691</v>
      </c>
      <c r="F1148" s="4">
        <v>225000</v>
      </c>
      <c r="G1148" s="69" t="s">
        <v>3256</v>
      </c>
      <c r="H1148" s="14"/>
      <c r="I1148" s="4" t="s">
        <v>433</v>
      </c>
      <c r="J1148" s="21"/>
      <c r="K1148" s="228"/>
    </row>
    <row r="1149" spans="1:19" s="2" customFormat="1" hidden="1" x14ac:dyDescent="0.25">
      <c r="A1149" s="61" t="s">
        <v>103</v>
      </c>
      <c r="B1149" s="14">
        <v>43577</v>
      </c>
      <c r="C1149" s="13">
        <v>716</v>
      </c>
      <c r="D1149" s="13" t="s">
        <v>5631</v>
      </c>
      <c r="E1149" s="13" t="s">
        <v>62</v>
      </c>
      <c r="F1149" s="37">
        <v>180000</v>
      </c>
      <c r="G1149" s="29" t="s">
        <v>6908</v>
      </c>
      <c r="H1149" s="14">
        <v>43573</v>
      </c>
      <c r="I1149" s="4" t="s">
        <v>6909</v>
      </c>
      <c r="J1149" s="121"/>
      <c r="K1149" s="5"/>
    </row>
    <row r="1150" spans="1:19" s="62" customFormat="1" ht="15" hidden="1" customHeight="1" x14ac:dyDescent="0.25">
      <c r="A1150" s="32" t="s">
        <v>310</v>
      </c>
      <c r="B1150" s="14">
        <v>43577</v>
      </c>
      <c r="C1150" s="13">
        <v>358</v>
      </c>
      <c r="D1150" s="13" t="s">
        <v>5044</v>
      </c>
      <c r="E1150" s="13" t="s">
        <v>958</v>
      </c>
      <c r="F1150" s="37">
        <v>700000</v>
      </c>
      <c r="G1150" s="189" t="s">
        <v>6205</v>
      </c>
      <c r="H1150" s="14">
        <v>43555</v>
      </c>
      <c r="I1150" s="4" t="s">
        <v>6370</v>
      </c>
      <c r="J1150" s="76"/>
      <c r="K1150" s="21"/>
      <c r="M1150" s="444"/>
      <c r="O1150" s="35"/>
      <c r="P1150" s="35"/>
      <c r="Q1150" s="35"/>
      <c r="R1150" s="35"/>
      <c r="S1150" s="35"/>
    </row>
    <row r="1151" spans="1:19" ht="14.1" hidden="1" customHeight="1" x14ac:dyDescent="0.25">
      <c r="A1151" s="32" t="s">
        <v>310</v>
      </c>
      <c r="B1151" s="14">
        <v>43577</v>
      </c>
      <c r="C1151" s="13">
        <v>359</v>
      </c>
      <c r="D1151" s="32" t="s">
        <v>541</v>
      </c>
      <c r="E1151" s="13" t="s">
        <v>958</v>
      </c>
      <c r="F1151" s="4">
        <v>750000</v>
      </c>
      <c r="G1151" s="86" t="s">
        <v>4474</v>
      </c>
      <c r="H1151" s="211"/>
      <c r="I1151" s="208" t="s">
        <v>4473</v>
      </c>
      <c r="J1151" s="21"/>
      <c r="K1151" s="228"/>
    </row>
    <row r="1152" spans="1:19" ht="16.2" hidden="1" customHeight="1" x14ac:dyDescent="0.25">
      <c r="A1152" s="32" t="s">
        <v>92</v>
      </c>
      <c r="B1152" s="14">
        <v>43577</v>
      </c>
      <c r="C1152" s="13">
        <v>533</v>
      </c>
      <c r="D1152" s="32" t="s">
        <v>272</v>
      </c>
      <c r="E1152" s="32" t="s">
        <v>38</v>
      </c>
      <c r="F1152" s="4">
        <v>7600000</v>
      </c>
      <c r="G1152" s="69" t="s">
        <v>617</v>
      </c>
      <c r="H1152" s="14"/>
      <c r="I1152" s="84" t="s">
        <v>273</v>
      </c>
      <c r="K1152" s="62"/>
    </row>
    <row r="1153" spans="1:19" ht="13.95" hidden="1" customHeight="1" x14ac:dyDescent="0.25">
      <c r="A1153" s="61" t="s">
        <v>261</v>
      </c>
      <c r="B1153" s="14">
        <v>43577</v>
      </c>
      <c r="C1153" s="13">
        <v>472</v>
      </c>
      <c r="D1153" s="13" t="s">
        <v>30</v>
      </c>
      <c r="E1153" s="32" t="s">
        <v>963</v>
      </c>
      <c r="F1153" s="4">
        <v>551135.19999999995</v>
      </c>
      <c r="G1153" s="86" t="s">
        <v>1007</v>
      </c>
      <c r="H1153" s="211"/>
      <c r="I1153" s="4" t="s">
        <v>79</v>
      </c>
      <c r="J1153" s="21"/>
      <c r="K1153" s="228"/>
    </row>
    <row r="1154" spans="1:19" ht="15.6" hidden="1" customHeight="1" x14ac:dyDescent="0.25">
      <c r="A1154" s="68" t="s">
        <v>261</v>
      </c>
      <c r="B1154" s="14">
        <v>43577</v>
      </c>
      <c r="C1154" s="13">
        <v>473</v>
      </c>
      <c r="D1154" s="32" t="s">
        <v>506</v>
      </c>
      <c r="E1154" s="32" t="s">
        <v>963</v>
      </c>
      <c r="F1154" s="4">
        <v>344171</v>
      </c>
      <c r="G1154" s="86" t="s">
        <v>1021</v>
      </c>
      <c r="H1154" s="211"/>
      <c r="I1154" s="84" t="s">
        <v>220</v>
      </c>
      <c r="J1154" s="21"/>
      <c r="K1154" s="228"/>
    </row>
    <row r="1155" spans="1:19" ht="13.95" hidden="1" customHeight="1" x14ac:dyDescent="0.25">
      <c r="A1155" s="61" t="s">
        <v>261</v>
      </c>
      <c r="B1155" s="14">
        <v>43577</v>
      </c>
      <c r="C1155" s="13">
        <v>722</v>
      </c>
      <c r="D1155" s="13" t="s">
        <v>30</v>
      </c>
      <c r="E1155" s="32" t="s">
        <v>808</v>
      </c>
      <c r="F1155" s="4">
        <v>478600</v>
      </c>
      <c r="G1155" s="86" t="s">
        <v>1089</v>
      </c>
      <c r="H1155" s="211"/>
      <c r="I1155" s="4" t="s">
        <v>79</v>
      </c>
      <c r="J1155" s="21"/>
      <c r="K1155" s="228"/>
    </row>
    <row r="1156" spans="1:19" ht="13.95" hidden="1" customHeight="1" x14ac:dyDescent="0.25">
      <c r="A1156" s="32" t="s">
        <v>1316</v>
      </c>
      <c r="B1156" s="14">
        <v>43577</v>
      </c>
      <c r="C1156" s="13">
        <v>723</v>
      </c>
      <c r="D1156" s="32" t="s">
        <v>5965</v>
      </c>
      <c r="E1156" s="32" t="s">
        <v>808</v>
      </c>
      <c r="F1156" s="4">
        <v>500000</v>
      </c>
      <c r="G1156" s="69" t="s">
        <v>1532</v>
      </c>
      <c r="H1156" s="14"/>
      <c r="I1156" s="4" t="s">
        <v>24</v>
      </c>
      <c r="J1156" s="21"/>
      <c r="K1156" s="228"/>
    </row>
    <row r="1157" spans="1:19" ht="15.6" hidden="1" customHeight="1" x14ac:dyDescent="0.25">
      <c r="A1157" s="68" t="s">
        <v>261</v>
      </c>
      <c r="B1157" s="14">
        <v>43577</v>
      </c>
      <c r="C1157" s="13">
        <v>724</v>
      </c>
      <c r="D1157" s="32" t="s">
        <v>506</v>
      </c>
      <c r="E1157" s="32" t="s">
        <v>808</v>
      </c>
      <c r="F1157" s="4">
        <v>156000</v>
      </c>
      <c r="G1157" s="86" t="s">
        <v>1545</v>
      </c>
      <c r="H1157" s="211"/>
      <c r="I1157" s="84" t="s">
        <v>220</v>
      </c>
      <c r="J1157" s="21"/>
      <c r="K1157" s="228"/>
    </row>
    <row r="1158" spans="1:19" s="2" customFormat="1" hidden="1" x14ac:dyDescent="0.25">
      <c r="A1158" s="13" t="s">
        <v>6</v>
      </c>
      <c r="B1158" s="14">
        <v>43577</v>
      </c>
      <c r="C1158" s="13">
        <v>194</v>
      </c>
      <c r="D1158" s="13" t="s">
        <v>585</v>
      </c>
      <c r="E1158" s="13" t="s">
        <v>183</v>
      </c>
      <c r="F1158" s="4">
        <v>870</v>
      </c>
      <c r="G1158" s="28" t="s">
        <v>6749</v>
      </c>
      <c r="H1158" s="14">
        <v>43570</v>
      </c>
      <c r="I1158" s="4" t="s">
        <v>1</v>
      </c>
      <c r="J1158" s="341"/>
      <c r="K1158" s="31"/>
      <c r="L1158" s="31"/>
      <c r="M1158" s="31"/>
      <c r="N1158" s="31"/>
      <c r="O1158" s="34"/>
      <c r="P1158" s="34"/>
      <c r="Q1158" s="34"/>
      <c r="R1158" s="34"/>
      <c r="S1158" s="34"/>
    </row>
    <row r="1159" spans="1:19" s="2" customFormat="1" ht="15" hidden="1" customHeight="1" x14ac:dyDescent="0.25">
      <c r="A1159" s="13" t="s">
        <v>6</v>
      </c>
      <c r="B1159" s="14">
        <v>43577</v>
      </c>
      <c r="C1159" s="13">
        <v>195</v>
      </c>
      <c r="D1159" s="13" t="s">
        <v>568</v>
      </c>
      <c r="E1159" s="13" t="s">
        <v>183</v>
      </c>
      <c r="F1159" s="4">
        <v>13537</v>
      </c>
      <c r="G1159" s="29" t="s">
        <v>6750</v>
      </c>
      <c r="H1159" s="14">
        <v>43568</v>
      </c>
      <c r="I1159" s="4" t="s">
        <v>839</v>
      </c>
      <c r="J1159" s="341"/>
      <c r="K1159" s="31"/>
      <c r="L1159" s="31"/>
      <c r="M1159" s="31"/>
      <c r="N1159" s="31"/>
      <c r="O1159" s="34"/>
      <c r="P1159" s="34"/>
      <c r="Q1159" s="34"/>
      <c r="R1159" s="34"/>
      <c r="S1159" s="34"/>
    </row>
    <row r="1160" spans="1:19" s="2" customFormat="1" ht="15" hidden="1" customHeight="1" x14ac:dyDescent="0.25">
      <c r="A1160" s="13" t="s">
        <v>6</v>
      </c>
      <c r="B1160" s="14">
        <v>43577</v>
      </c>
      <c r="C1160" s="13">
        <v>196</v>
      </c>
      <c r="D1160" s="13" t="s">
        <v>3261</v>
      </c>
      <c r="E1160" s="13" t="s">
        <v>183</v>
      </c>
      <c r="F1160" s="4">
        <v>49491</v>
      </c>
      <c r="G1160" s="29" t="s">
        <v>6933</v>
      </c>
      <c r="H1160" s="14">
        <v>43572</v>
      </c>
      <c r="I1160" s="4" t="s">
        <v>187</v>
      </c>
      <c r="J1160" s="341"/>
      <c r="K1160" s="31"/>
      <c r="L1160" s="31"/>
      <c r="M1160" s="31"/>
      <c r="N1160" s="31"/>
      <c r="O1160" s="34"/>
      <c r="P1160" s="34"/>
      <c r="Q1160" s="34"/>
      <c r="R1160" s="34"/>
      <c r="S1160" s="34"/>
    </row>
    <row r="1161" spans="1:19" s="2" customFormat="1" ht="15" hidden="1" customHeight="1" x14ac:dyDescent="0.25">
      <c r="A1161" s="61" t="s">
        <v>6</v>
      </c>
      <c r="B1161" s="14">
        <v>43577</v>
      </c>
      <c r="C1161" s="13">
        <v>197</v>
      </c>
      <c r="D1161" s="13" t="s">
        <v>545</v>
      </c>
      <c r="E1161" s="13" t="s">
        <v>183</v>
      </c>
      <c r="F1161" s="4">
        <v>138750</v>
      </c>
      <c r="G1161" s="29" t="s">
        <v>6744</v>
      </c>
      <c r="H1161" s="14">
        <v>43572</v>
      </c>
      <c r="I1161" s="4" t="s">
        <v>1366</v>
      </c>
      <c r="J1161" s="341"/>
      <c r="K1161" s="31"/>
      <c r="L1161" s="31"/>
      <c r="M1161" s="31"/>
      <c r="N1161" s="31"/>
      <c r="O1161" s="34"/>
      <c r="P1161" s="34"/>
      <c r="Q1161" s="34"/>
      <c r="R1161" s="34"/>
      <c r="S1161" s="34"/>
    </row>
    <row r="1162" spans="1:19" s="2" customFormat="1" ht="16.8" hidden="1" customHeight="1" x14ac:dyDescent="0.25">
      <c r="A1162" s="13" t="s">
        <v>6</v>
      </c>
      <c r="B1162" s="14">
        <v>43577</v>
      </c>
      <c r="C1162" s="13">
        <v>198</v>
      </c>
      <c r="D1162" s="13" t="s">
        <v>3905</v>
      </c>
      <c r="E1162" s="13" t="s">
        <v>183</v>
      </c>
      <c r="F1162" s="4">
        <v>9318.5499999999993</v>
      </c>
      <c r="G1162" s="29" t="s">
        <v>6952</v>
      </c>
      <c r="H1162" s="14">
        <v>43573</v>
      </c>
      <c r="I1162" s="4" t="s">
        <v>6953</v>
      </c>
      <c r="J1162" s="341"/>
      <c r="K1162" s="31"/>
      <c r="L1162" s="31"/>
      <c r="M1162" s="31"/>
      <c r="N1162" s="31"/>
      <c r="O1162" s="34"/>
      <c r="P1162" s="34"/>
      <c r="Q1162" s="34"/>
      <c r="R1162" s="34"/>
      <c r="S1162" s="34"/>
    </row>
    <row r="1163" spans="1:19" s="2" customFormat="1" ht="15" hidden="1" customHeight="1" x14ac:dyDescent="0.25">
      <c r="A1163" s="13" t="s">
        <v>6</v>
      </c>
      <c r="B1163" s="14">
        <v>43577</v>
      </c>
      <c r="C1163" s="13">
        <v>199</v>
      </c>
      <c r="D1163" s="13" t="s">
        <v>1394</v>
      </c>
      <c r="E1163" s="13" t="s">
        <v>183</v>
      </c>
      <c r="F1163" s="4">
        <v>280800</v>
      </c>
      <c r="G1163" s="29" t="s">
        <v>477</v>
      </c>
      <c r="H1163" s="14">
        <v>43571</v>
      </c>
      <c r="I1163" s="4" t="s">
        <v>4813</v>
      </c>
      <c r="J1163" s="341"/>
      <c r="K1163" s="31"/>
      <c r="L1163" s="31"/>
      <c r="M1163" s="31"/>
      <c r="N1163" s="31"/>
      <c r="O1163" s="34"/>
      <c r="P1163" s="34"/>
      <c r="Q1163" s="34"/>
      <c r="R1163" s="34"/>
      <c r="S1163" s="34"/>
    </row>
    <row r="1164" spans="1:19" s="2" customFormat="1" ht="15" hidden="1" customHeight="1" x14ac:dyDescent="0.25">
      <c r="A1164" s="13" t="s">
        <v>6</v>
      </c>
      <c r="B1164" s="14">
        <v>43577</v>
      </c>
      <c r="C1164" s="13">
        <v>199</v>
      </c>
      <c r="D1164" s="13" t="s">
        <v>1394</v>
      </c>
      <c r="E1164" s="13" t="s">
        <v>183</v>
      </c>
      <c r="F1164" s="4">
        <v>274800</v>
      </c>
      <c r="G1164" s="29" t="s">
        <v>5626</v>
      </c>
      <c r="H1164" s="14">
        <v>43572</v>
      </c>
      <c r="I1164" s="4" t="s">
        <v>4813</v>
      </c>
      <c r="J1164" s="341"/>
      <c r="K1164" s="31"/>
      <c r="L1164" s="31"/>
      <c r="M1164" s="31"/>
      <c r="N1164" s="31"/>
      <c r="O1164" s="34"/>
      <c r="P1164" s="34"/>
      <c r="Q1164" s="34"/>
      <c r="R1164" s="34"/>
      <c r="S1164" s="34"/>
    </row>
    <row r="1165" spans="1:19" s="2" customFormat="1" hidden="1" x14ac:dyDescent="0.25">
      <c r="A1165" s="13" t="s">
        <v>6</v>
      </c>
      <c r="B1165" s="14">
        <v>43577</v>
      </c>
      <c r="C1165" s="13">
        <v>200</v>
      </c>
      <c r="D1165" s="13" t="s">
        <v>1190</v>
      </c>
      <c r="E1165" s="13" t="s">
        <v>183</v>
      </c>
      <c r="F1165" s="4">
        <v>19931.54</v>
      </c>
      <c r="G1165" s="29" t="s">
        <v>6885</v>
      </c>
      <c r="H1165" s="14">
        <v>43572</v>
      </c>
      <c r="I1165" s="4" t="s">
        <v>6886</v>
      </c>
      <c r="J1165" s="341"/>
      <c r="K1165" s="31"/>
      <c r="L1165" s="31"/>
      <c r="M1165" s="31"/>
      <c r="N1165" s="31"/>
      <c r="O1165" s="34"/>
      <c r="P1165" s="34"/>
      <c r="Q1165" s="34"/>
      <c r="R1165" s="34"/>
      <c r="S1165" s="34"/>
    </row>
    <row r="1166" spans="1:19" s="2" customFormat="1" hidden="1" x14ac:dyDescent="0.25">
      <c r="A1166" s="13" t="s">
        <v>6</v>
      </c>
      <c r="B1166" s="14">
        <v>43577</v>
      </c>
      <c r="C1166" s="13">
        <v>201</v>
      </c>
      <c r="D1166" s="13" t="s">
        <v>743</v>
      </c>
      <c r="E1166" s="13" t="s">
        <v>183</v>
      </c>
      <c r="F1166" s="4">
        <v>57000</v>
      </c>
      <c r="G1166" s="29" t="s">
        <v>6954</v>
      </c>
      <c r="H1166" s="14">
        <v>43563</v>
      </c>
      <c r="I1166" s="4" t="s">
        <v>208</v>
      </c>
      <c r="J1166" s="341"/>
      <c r="K1166" s="31"/>
      <c r="L1166" s="31"/>
      <c r="M1166" s="31"/>
      <c r="N1166" s="31"/>
      <c r="O1166" s="34"/>
      <c r="P1166" s="34"/>
      <c r="Q1166" s="34"/>
      <c r="R1166" s="34"/>
      <c r="S1166" s="34"/>
    </row>
    <row r="1167" spans="1:19" ht="13.95" hidden="1" customHeight="1" x14ac:dyDescent="0.25">
      <c r="A1167" s="68" t="s">
        <v>310</v>
      </c>
      <c r="B1167" s="14">
        <v>43577</v>
      </c>
      <c r="C1167" s="13">
        <v>360</v>
      </c>
      <c r="D1167" s="13" t="s">
        <v>510</v>
      </c>
      <c r="E1167" s="32" t="s">
        <v>958</v>
      </c>
      <c r="F1167" s="4">
        <v>5000000</v>
      </c>
      <c r="G1167" s="86" t="s">
        <v>4467</v>
      </c>
      <c r="H1167" s="14"/>
      <c r="I1167" s="4" t="s">
        <v>237</v>
      </c>
      <c r="J1167" s="71"/>
      <c r="K1167" s="62"/>
      <c r="L1167" s="62"/>
    </row>
    <row r="1168" spans="1:19" hidden="1" x14ac:dyDescent="0.25">
      <c r="A1168" s="68" t="s">
        <v>151</v>
      </c>
      <c r="B1168" s="14">
        <v>43577</v>
      </c>
      <c r="C1168" s="13">
        <v>39</v>
      </c>
      <c r="D1168" s="32" t="s">
        <v>1169</v>
      </c>
      <c r="E1168" s="32" t="s">
        <v>6980</v>
      </c>
      <c r="F1168" s="4">
        <v>30000</v>
      </c>
      <c r="G1168" s="210" t="s">
        <v>3273</v>
      </c>
      <c r="H1168" s="211">
        <v>43522</v>
      </c>
      <c r="I1168" s="208" t="s">
        <v>4625</v>
      </c>
      <c r="J1168" s="21"/>
      <c r="K1168" s="228"/>
    </row>
    <row r="1169" spans="1:15" ht="13.95" hidden="1" customHeight="1" x14ac:dyDescent="0.25">
      <c r="A1169" s="68" t="s">
        <v>358</v>
      </c>
      <c r="B1169" s="14">
        <v>43577</v>
      </c>
      <c r="C1169" s="13">
        <v>534</v>
      </c>
      <c r="D1169" s="32" t="s">
        <v>1077</v>
      </c>
      <c r="E1169" s="32" t="s">
        <v>38</v>
      </c>
      <c r="F1169" s="4">
        <v>5000000</v>
      </c>
      <c r="G1169" s="86" t="s">
        <v>410</v>
      </c>
      <c r="H1169" s="211"/>
      <c r="I1169" s="208" t="s">
        <v>581</v>
      </c>
      <c r="J1169" s="21"/>
      <c r="K1169" s="228"/>
    </row>
    <row r="1170" spans="1:15" ht="13.95" hidden="1" customHeight="1" x14ac:dyDescent="0.25">
      <c r="A1170" s="68" t="s">
        <v>358</v>
      </c>
      <c r="B1170" s="14">
        <v>43578</v>
      </c>
      <c r="C1170" s="13">
        <v>536</v>
      </c>
      <c r="D1170" s="32" t="s">
        <v>1077</v>
      </c>
      <c r="E1170" s="32" t="s">
        <v>38</v>
      </c>
      <c r="F1170" s="4">
        <v>5000000</v>
      </c>
      <c r="G1170" s="86" t="s">
        <v>410</v>
      </c>
      <c r="H1170" s="211"/>
      <c r="I1170" s="208" t="s">
        <v>581</v>
      </c>
      <c r="J1170" s="21"/>
      <c r="K1170" s="228"/>
    </row>
    <row r="1171" spans="1:15" ht="13.95" hidden="1" customHeight="1" x14ac:dyDescent="0.25">
      <c r="A1171" s="13" t="s">
        <v>637</v>
      </c>
      <c r="B1171" s="14">
        <v>43578</v>
      </c>
      <c r="C1171" s="13">
        <v>303</v>
      </c>
      <c r="D1171" s="13" t="s">
        <v>1035</v>
      </c>
      <c r="E1171" s="13" t="s">
        <v>691</v>
      </c>
      <c r="F1171" s="4">
        <v>1670000</v>
      </c>
      <c r="G1171" s="210" t="s">
        <v>6972</v>
      </c>
      <c r="H1171" s="211"/>
      <c r="I1171" s="4" t="s">
        <v>218</v>
      </c>
      <c r="J1171" s="21"/>
      <c r="K1171" s="228"/>
    </row>
    <row r="1172" spans="1:15" ht="13.95" hidden="1" customHeight="1" x14ac:dyDescent="0.25">
      <c r="A1172" s="68" t="s">
        <v>1637</v>
      </c>
      <c r="B1172" s="14">
        <v>43578</v>
      </c>
      <c r="C1172" s="13">
        <v>721</v>
      </c>
      <c r="D1172" s="32" t="s">
        <v>1644</v>
      </c>
      <c r="E1172" s="32" t="s">
        <v>62</v>
      </c>
      <c r="F1172" s="4">
        <v>5000000</v>
      </c>
      <c r="G1172" s="86" t="s">
        <v>4252</v>
      </c>
      <c r="H1172" s="211"/>
      <c r="I1172" s="84" t="s">
        <v>23</v>
      </c>
      <c r="J1172" s="21"/>
      <c r="K1172" s="228"/>
    </row>
    <row r="1173" spans="1:15" ht="15" hidden="1" customHeight="1" x14ac:dyDescent="0.25">
      <c r="A1173" s="68" t="s">
        <v>92</v>
      </c>
      <c r="B1173" s="14">
        <v>43578</v>
      </c>
      <c r="C1173" s="13">
        <v>722</v>
      </c>
      <c r="D1173" s="13" t="s">
        <v>969</v>
      </c>
      <c r="E1173" s="32" t="s">
        <v>62</v>
      </c>
      <c r="F1173" s="4">
        <v>2000000</v>
      </c>
      <c r="G1173" s="86" t="s">
        <v>2035</v>
      </c>
      <c r="H1173" s="14"/>
      <c r="I1173" s="4" t="s">
        <v>229</v>
      </c>
      <c r="J1173" s="71"/>
      <c r="K1173" s="62"/>
      <c r="L1173" s="62"/>
    </row>
    <row r="1174" spans="1:15" ht="13.95" hidden="1" customHeight="1" x14ac:dyDescent="0.25">
      <c r="A1174" s="68" t="s">
        <v>358</v>
      </c>
      <c r="B1174" s="14">
        <v>43578</v>
      </c>
      <c r="C1174" s="13">
        <v>717</v>
      </c>
      <c r="D1174" s="32" t="s">
        <v>269</v>
      </c>
      <c r="E1174" s="32" t="s">
        <v>62</v>
      </c>
      <c r="F1174" s="4">
        <v>211961</v>
      </c>
      <c r="G1174" s="86" t="s">
        <v>644</v>
      </c>
      <c r="H1174" s="211"/>
      <c r="I1174" s="41" t="s">
        <v>686</v>
      </c>
      <c r="J1174" s="21"/>
      <c r="K1174" s="228"/>
    </row>
    <row r="1175" spans="1:15" ht="13.95" hidden="1" customHeight="1" x14ac:dyDescent="0.25">
      <c r="A1175" s="68" t="s">
        <v>92</v>
      </c>
      <c r="B1175" s="14">
        <v>43578</v>
      </c>
      <c r="C1175" s="13">
        <v>718</v>
      </c>
      <c r="D1175" s="32" t="s">
        <v>269</v>
      </c>
      <c r="E1175" s="32" t="s">
        <v>62</v>
      </c>
      <c r="F1175" s="4">
        <v>788039</v>
      </c>
      <c r="G1175" s="86" t="s">
        <v>633</v>
      </c>
      <c r="H1175" s="211"/>
      <c r="I1175" s="41" t="s">
        <v>202</v>
      </c>
      <c r="J1175" s="21"/>
      <c r="K1175" s="228"/>
    </row>
    <row r="1176" spans="1:15" ht="13.95" hidden="1" customHeight="1" x14ac:dyDescent="0.25">
      <c r="A1176" s="32" t="s">
        <v>92</v>
      </c>
      <c r="B1176" s="14">
        <v>43578</v>
      </c>
      <c r="C1176" s="13">
        <v>719</v>
      </c>
      <c r="D1176" s="13" t="s">
        <v>920</v>
      </c>
      <c r="E1176" s="32" t="s">
        <v>62</v>
      </c>
      <c r="F1176" s="4">
        <v>1000000</v>
      </c>
      <c r="G1176" s="69" t="s">
        <v>1355</v>
      </c>
      <c r="H1176" s="14"/>
      <c r="I1176" s="4" t="s">
        <v>61</v>
      </c>
      <c r="J1176" s="21"/>
      <c r="K1176" s="228"/>
    </row>
    <row r="1177" spans="1:15" ht="13.95" hidden="1" customHeight="1" x14ac:dyDescent="0.25">
      <c r="A1177" s="61" t="s">
        <v>91</v>
      </c>
      <c r="B1177" s="14">
        <v>43578</v>
      </c>
      <c r="C1177" s="13">
        <v>720</v>
      </c>
      <c r="D1177" s="13" t="s">
        <v>3301</v>
      </c>
      <c r="E1177" s="32" t="s">
        <v>62</v>
      </c>
      <c r="F1177" s="4">
        <v>620000</v>
      </c>
      <c r="G1177" s="86" t="s">
        <v>3302</v>
      </c>
      <c r="H1177" s="211"/>
      <c r="I1177" s="4" t="s">
        <v>3303</v>
      </c>
      <c r="J1177" s="21"/>
      <c r="K1177" s="228"/>
    </row>
    <row r="1178" spans="1:15" hidden="1" x14ac:dyDescent="0.25">
      <c r="A1178" s="13" t="s">
        <v>964</v>
      </c>
      <c r="B1178" s="14">
        <v>43578</v>
      </c>
      <c r="C1178" s="13">
        <v>510</v>
      </c>
      <c r="D1178" s="13" t="s">
        <v>5530</v>
      </c>
      <c r="E1178" s="32" t="s">
        <v>1121</v>
      </c>
      <c r="F1178" s="4">
        <v>30000</v>
      </c>
      <c r="G1178" s="28" t="s">
        <v>196</v>
      </c>
      <c r="H1178" s="14">
        <v>43574</v>
      </c>
      <c r="I1178" s="4" t="s">
        <v>6966</v>
      </c>
      <c r="J1178" s="76"/>
    </row>
    <row r="1179" spans="1:15" ht="27.6" hidden="1" x14ac:dyDescent="0.25">
      <c r="A1179" s="13" t="s">
        <v>964</v>
      </c>
      <c r="B1179" s="14">
        <v>43578</v>
      </c>
      <c r="C1179" s="13">
        <v>511</v>
      </c>
      <c r="D1179" s="13" t="s">
        <v>6967</v>
      </c>
      <c r="E1179" s="32" t="s">
        <v>1121</v>
      </c>
      <c r="F1179" s="4">
        <v>108200</v>
      </c>
      <c r="G1179" s="28" t="s">
        <v>154</v>
      </c>
      <c r="H1179" s="14">
        <v>43566</v>
      </c>
      <c r="I1179" s="4" t="s">
        <v>6968</v>
      </c>
      <c r="J1179" s="76"/>
    </row>
    <row r="1180" spans="1:15" ht="15" hidden="1" customHeight="1" x14ac:dyDescent="0.25">
      <c r="A1180" s="13" t="s">
        <v>184</v>
      </c>
      <c r="B1180" s="14">
        <v>43578</v>
      </c>
      <c r="C1180" s="13">
        <v>328</v>
      </c>
      <c r="D1180" s="32" t="s">
        <v>6969</v>
      </c>
      <c r="E1180" s="32" t="s">
        <v>144</v>
      </c>
      <c r="F1180" s="4">
        <v>96000</v>
      </c>
      <c r="G1180" s="25" t="s">
        <v>1295</v>
      </c>
      <c r="H1180" s="14">
        <v>43570</v>
      </c>
      <c r="I1180" s="4" t="s">
        <v>6970</v>
      </c>
      <c r="J1180" s="76" t="s">
        <v>6971</v>
      </c>
    </row>
    <row r="1181" spans="1:15" hidden="1" x14ac:dyDescent="0.25">
      <c r="A1181" s="13" t="s">
        <v>151</v>
      </c>
      <c r="B1181" s="14">
        <v>43578</v>
      </c>
      <c r="C1181" s="13">
        <v>112</v>
      </c>
      <c r="D1181" s="13" t="s">
        <v>606</v>
      </c>
      <c r="E1181" s="32" t="s">
        <v>22</v>
      </c>
      <c r="F1181" s="4">
        <v>1500</v>
      </c>
      <c r="G1181" s="29" t="s">
        <v>1780</v>
      </c>
      <c r="H1181" s="14">
        <v>43576</v>
      </c>
      <c r="I1181" s="4" t="s">
        <v>6955</v>
      </c>
      <c r="J1181" s="21"/>
      <c r="L1181" s="21"/>
      <c r="M1181" s="21"/>
    </row>
    <row r="1182" spans="1:15" s="97" customFormat="1" ht="27.6" hidden="1" x14ac:dyDescent="0.25">
      <c r="A1182" s="13" t="s">
        <v>92</v>
      </c>
      <c r="B1182" s="14">
        <v>43578</v>
      </c>
      <c r="C1182" s="13">
        <v>535</v>
      </c>
      <c r="D1182" s="32" t="s">
        <v>4230</v>
      </c>
      <c r="E1182" s="13" t="s">
        <v>38</v>
      </c>
      <c r="F1182" s="4">
        <v>85787.199999999997</v>
      </c>
      <c r="G1182" s="69" t="s">
        <v>1583</v>
      </c>
      <c r="H1182" s="14"/>
      <c r="I1182" s="41" t="s">
        <v>4231</v>
      </c>
      <c r="J1182" s="133"/>
      <c r="K1182" s="22"/>
      <c r="L1182" s="134"/>
    </row>
    <row r="1183" spans="1:15" hidden="1" x14ac:dyDescent="0.25">
      <c r="A1183" s="61" t="s">
        <v>311</v>
      </c>
      <c r="B1183" s="14">
        <v>43578</v>
      </c>
      <c r="C1183" s="13">
        <v>361</v>
      </c>
      <c r="D1183" s="13" t="s">
        <v>5033</v>
      </c>
      <c r="E1183" s="13" t="s">
        <v>958</v>
      </c>
      <c r="F1183" s="37">
        <v>29471.13</v>
      </c>
      <c r="G1183" s="29" t="s">
        <v>5034</v>
      </c>
      <c r="H1183" s="14">
        <v>43497</v>
      </c>
      <c r="I1183" s="4" t="s">
        <v>5035</v>
      </c>
      <c r="J1183" s="133"/>
      <c r="K1183" s="22"/>
      <c r="L1183" s="21"/>
      <c r="M1183" s="21"/>
      <c r="N1183" s="21"/>
      <c r="O1183" s="21"/>
    </row>
    <row r="1184" spans="1:15" s="97" customFormat="1" hidden="1" x14ac:dyDescent="0.25">
      <c r="A1184" s="61" t="s">
        <v>311</v>
      </c>
      <c r="B1184" s="14">
        <v>43578</v>
      </c>
      <c r="C1184" s="13">
        <v>361</v>
      </c>
      <c r="D1184" s="13" t="s">
        <v>5033</v>
      </c>
      <c r="E1184" s="13" t="s">
        <v>958</v>
      </c>
      <c r="F1184" s="37">
        <v>49543.82</v>
      </c>
      <c r="G1184" s="210" t="s">
        <v>1493</v>
      </c>
      <c r="H1184" s="211">
        <v>43500</v>
      </c>
      <c r="I1184" s="208" t="s">
        <v>6693</v>
      </c>
      <c r="J1184" s="133"/>
      <c r="K1184" s="22"/>
      <c r="L1184" s="134"/>
    </row>
    <row r="1185" spans="1:12" s="97" customFormat="1" hidden="1" x14ac:dyDescent="0.25">
      <c r="A1185" s="61" t="s">
        <v>311</v>
      </c>
      <c r="B1185" s="14">
        <v>43578</v>
      </c>
      <c r="C1185" s="13">
        <v>361</v>
      </c>
      <c r="D1185" s="13" t="s">
        <v>5033</v>
      </c>
      <c r="E1185" s="13" t="s">
        <v>958</v>
      </c>
      <c r="F1185" s="37">
        <v>12605.15</v>
      </c>
      <c r="G1185" s="210" t="s">
        <v>1201</v>
      </c>
      <c r="H1185" s="211">
        <v>43521</v>
      </c>
      <c r="I1185" s="208" t="s">
        <v>6488</v>
      </c>
      <c r="J1185" s="133"/>
      <c r="K1185" s="22"/>
      <c r="L1185" s="134"/>
    </row>
    <row r="1186" spans="1:12" ht="15" hidden="1" customHeight="1" x14ac:dyDescent="0.25">
      <c r="A1186" s="13" t="s">
        <v>455</v>
      </c>
      <c r="B1186" s="14">
        <v>43578</v>
      </c>
      <c r="C1186" s="13">
        <v>362</v>
      </c>
      <c r="D1186" s="13" t="s">
        <v>6941</v>
      </c>
      <c r="E1186" s="13" t="s">
        <v>958</v>
      </c>
      <c r="F1186" s="37">
        <v>20190</v>
      </c>
      <c r="G1186" s="29" t="s">
        <v>6942</v>
      </c>
      <c r="H1186" s="14">
        <v>43523</v>
      </c>
      <c r="I1186" s="4" t="s">
        <v>6943</v>
      </c>
      <c r="J1186" s="76"/>
    </row>
    <row r="1187" spans="1:12" s="97" customFormat="1" hidden="1" x14ac:dyDescent="0.25">
      <c r="A1187" s="61" t="s">
        <v>310</v>
      </c>
      <c r="B1187" s="14">
        <v>43578</v>
      </c>
      <c r="C1187" s="13">
        <v>363</v>
      </c>
      <c r="D1187" s="13" t="s">
        <v>1032</v>
      </c>
      <c r="E1187" s="13" t="s">
        <v>958</v>
      </c>
      <c r="F1187" s="4">
        <v>84000</v>
      </c>
      <c r="G1187" s="29" t="s">
        <v>5704</v>
      </c>
      <c r="H1187" s="14">
        <v>43538</v>
      </c>
      <c r="I1187" s="4" t="s">
        <v>142</v>
      </c>
      <c r="J1187" s="133"/>
      <c r="K1187" s="22"/>
      <c r="L1187" s="134"/>
    </row>
    <row r="1188" spans="1:12" s="97" customFormat="1" hidden="1" x14ac:dyDescent="0.25">
      <c r="A1188" s="61" t="s">
        <v>310</v>
      </c>
      <c r="B1188" s="14">
        <v>43578</v>
      </c>
      <c r="C1188" s="13">
        <v>364</v>
      </c>
      <c r="D1188" s="13" t="s">
        <v>4936</v>
      </c>
      <c r="E1188" s="13" t="s">
        <v>958</v>
      </c>
      <c r="F1188" s="4">
        <v>47649.279999999999</v>
      </c>
      <c r="G1188" s="29" t="s">
        <v>4667</v>
      </c>
      <c r="H1188" s="14">
        <v>43538</v>
      </c>
      <c r="I1188" s="4" t="s">
        <v>572</v>
      </c>
      <c r="J1188" s="133"/>
      <c r="K1188" s="22"/>
      <c r="L1188" s="134"/>
    </row>
    <row r="1189" spans="1:12" s="97" customFormat="1" hidden="1" x14ac:dyDescent="0.25">
      <c r="A1189" s="13" t="s">
        <v>310</v>
      </c>
      <c r="B1189" s="14">
        <v>43578</v>
      </c>
      <c r="C1189" s="13">
        <v>365</v>
      </c>
      <c r="D1189" s="13" t="s">
        <v>280</v>
      </c>
      <c r="E1189" s="13" t="s">
        <v>958</v>
      </c>
      <c r="F1189" s="4">
        <v>23535</v>
      </c>
      <c r="G1189" s="29" t="s">
        <v>5946</v>
      </c>
      <c r="H1189" s="14">
        <v>43544</v>
      </c>
      <c r="I1189" s="4" t="s">
        <v>5947</v>
      </c>
      <c r="J1189" s="133"/>
      <c r="K1189" s="22"/>
      <c r="L1189" s="134"/>
    </row>
    <row r="1190" spans="1:12" s="97" customFormat="1" hidden="1" x14ac:dyDescent="0.25">
      <c r="A1190" s="61" t="s">
        <v>455</v>
      </c>
      <c r="B1190" s="14">
        <v>43578</v>
      </c>
      <c r="C1190" s="13">
        <v>366</v>
      </c>
      <c r="D1190" s="13" t="s">
        <v>6177</v>
      </c>
      <c r="E1190" s="13" t="s">
        <v>958</v>
      </c>
      <c r="F1190" s="4">
        <v>23948</v>
      </c>
      <c r="G1190" s="29" t="s">
        <v>1686</v>
      </c>
      <c r="H1190" s="14">
        <v>43546</v>
      </c>
      <c r="I1190" s="4" t="s">
        <v>45</v>
      </c>
      <c r="J1190" s="133"/>
      <c r="K1190" s="22"/>
      <c r="L1190" s="134"/>
    </row>
    <row r="1191" spans="1:12" hidden="1" x14ac:dyDescent="0.25">
      <c r="A1191" s="61" t="s">
        <v>455</v>
      </c>
      <c r="B1191" s="14">
        <v>43578</v>
      </c>
      <c r="C1191" s="13">
        <v>367</v>
      </c>
      <c r="D1191" s="13" t="s">
        <v>5344</v>
      </c>
      <c r="E1191" s="13" t="s">
        <v>958</v>
      </c>
      <c r="F1191" s="37">
        <v>50000</v>
      </c>
      <c r="G1191" s="29" t="s">
        <v>3209</v>
      </c>
      <c r="H1191" s="14">
        <v>43510</v>
      </c>
      <c r="I1191" s="4" t="s">
        <v>4088</v>
      </c>
    </row>
    <row r="1192" spans="1:12" hidden="1" x14ac:dyDescent="0.25">
      <c r="A1192" s="61" t="s">
        <v>455</v>
      </c>
      <c r="B1192" s="14">
        <v>43578</v>
      </c>
      <c r="C1192" s="13">
        <v>368</v>
      </c>
      <c r="D1192" s="13" t="s">
        <v>5345</v>
      </c>
      <c r="E1192" s="13" t="s">
        <v>958</v>
      </c>
      <c r="F1192" s="37">
        <v>78100</v>
      </c>
      <c r="G1192" s="29" t="s">
        <v>3390</v>
      </c>
      <c r="H1192" s="14">
        <v>43534</v>
      </c>
      <c r="I1192" s="4" t="s">
        <v>5346</v>
      </c>
    </row>
    <row r="1193" spans="1:12" hidden="1" x14ac:dyDescent="0.25">
      <c r="A1193" s="61" t="s">
        <v>455</v>
      </c>
      <c r="B1193" s="14">
        <v>43578</v>
      </c>
      <c r="C1193" s="13">
        <v>369</v>
      </c>
      <c r="D1193" s="13" t="s">
        <v>282</v>
      </c>
      <c r="E1193" s="13" t="s">
        <v>958</v>
      </c>
      <c r="F1193" s="37">
        <v>14300</v>
      </c>
      <c r="G1193" s="29" t="s">
        <v>5880</v>
      </c>
      <c r="H1193" s="14">
        <v>43545</v>
      </c>
      <c r="I1193" s="4" t="s">
        <v>283</v>
      </c>
    </row>
    <row r="1194" spans="1:12" hidden="1" x14ac:dyDescent="0.25">
      <c r="A1194" s="61" t="s">
        <v>310</v>
      </c>
      <c r="B1194" s="14">
        <v>43578</v>
      </c>
      <c r="C1194" s="13">
        <v>370</v>
      </c>
      <c r="D1194" s="13" t="s">
        <v>250</v>
      </c>
      <c r="E1194" s="13" t="s">
        <v>958</v>
      </c>
      <c r="F1194" s="37">
        <v>38500</v>
      </c>
      <c r="G1194" s="29" t="s">
        <v>5621</v>
      </c>
      <c r="H1194" s="14">
        <v>43539</v>
      </c>
      <c r="I1194" s="4" t="s">
        <v>337</v>
      </c>
    </row>
    <row r="1195" spans="1:12" hidden="1" x14ac:dyDescent="0.25">
      <c r="A1195" s="61" t="s">
        <v>455</v>
      </c>
      <c r="B1195" s="14">
        <v>43578</v>
      </c>
      <c r="C1195" s="13">
        <v>371</v>
      </c>
      <c r="D1195" s="13" t="s">
        <v>29</v>
      </c>
      <c r="E1195" s="13" t="s">
        <v>958</v>
      </c>
      <c r="F1195" s="37">
        <v>8550</v>
      </c>
      <c r="G1195" s="29" t="s">
        <v>714</v>
      </c>
      <c r="H1195" s="14">
        <v>43525</v>
      </c>
      <c r="I1195" s="4" t="s">
        <v>87</v>
      </c>
    </row>
    <row r="1196" spans="1:12" hidden="1" x14ac:dyDescent="0.25">
      <c r="A1196" s="13" t="s">
        <v>455</v>
      </c>
      <c r="B1196" s="14">
        <v>43578</v>
      </c>
      <c r="C1196" s="13">
        <v>372</v>
      </c>
      <c r="D1196" s="13" t="s">
        <v>2047</v>
      </c>
      <c r="E1196" s="13" t="s">
        <v>958</v>
      </c>
      <c r="F1196" s="4">
        <v>17000</v>
      </c>
      <c r="G1196" s="28" t="s">
        <v>878</v>
      </c>
      <c r="H1196" s="14">
        <v>43543</v>
      </c>
      <c r="I1196" s="4" t="s">
        <v>95</v>
      </c>
    </row>
    <row r="1197" spans="1:12" ht="13.2" hidden="1" customHeight="1" x14ac:dyDescent="0.25">
      <c r="A1197" s="13" t="s">
        <v>151</v>
      </c>
      <c r="B1197" s="14">
        <v>43578</v>
      </c>
      <c r="C1197" s="13">
        <v>723</v>
      </c>
      <c r="D1197" s="32" t="s">
        <v>910</v>
      </c>
      <c r="E1197" s="32" t="s">
        <v>62</v>
      </c>
      <c r="F1197" s="4">
        <v>2920</v>
      </c>
      <c r="G1197" s="29" t="s">
        <v>6891</v>
      </c>
      <c r="H1197" s="14">
        <v>43555</v>
      </c>
      <c r="I1197" s="41" t="s">
        <v>6890</v>
      </c>
      <c r="J1197" s="21" t="s">
        <v>366</v>
      </c>
      <c r="K1197" s="228"/>
    </row>
    <row r="1198" spans="1:12" s="97" customFormat="1" hidden="1" x14ac:dyDescent="0.25">
      <c r="A1198" s="13" t="s">
        <v>160</v>
      </c>
      <c r="B1198" s="14">
        <v>43578</v>
      </c>
      <c r="C1198" s="13">
        <v>724</v>
      </c>
      <c r="D1198" s="13" t="s">
        <v>590</v>
      </c>
      <c r="E1198" s="13" t="s">
        <v>62</v>
      </c>
      <c r="F1198" s="4">
        <v>1562716</v>
      </c>
      <c r="G1198" s="29" t="s">
        <v>1197</v>
      </c>
      <c r="H1198" s="14">
        <v>41572</v>
      </c>
      <c r="I1198" s="4" t="s">
        <v>159</v>
      </c>
      <c r="J1198" s="133"/>
      <c r="K1198" s="22"/>
      <c r="L1198" s="134"/>
    </row>
    <row r="1199" spans="1:12" s="97" customFormat="1" hidden="1" x14ac:dyDescent="0.25">
      <c r="A1199" s="61" t="s">
        <v>442</v>
      </c>
      <c r="B1199" s="14">
        <v>43578</v>
      </c>
      <c r="C1199" s="13">
        <v>725</v>
      </c>
      <c r="D1199" s="13" t="s">
        <v>2697</v>
      </c>
      <c r="E1199" s="13" t="s">
        <v>62</v>
      </c>
      <c r="F1199" s="4">
        <v>437284</v>
      </c>
      <c r="G1199" s="28" t="s">
        <v>5925</v>
      </c>
      <c r="H1199" s="14">
        <v>43544</v>
      </c>
      <c r="I1199" s="4" t="s">
        <v>1826</v>
      </c>
      <c r="J1199" s="133"/>
      <c r="K1199" s="22"/>
      <c r="L1199" s="134"/>
    </row>
    <row r="1200" spans="1:12" s="97" customFormat="1" hidden="1" x14ac:dyDescent="0.25">
      <c r="A1200" s="61" t="s">
        <v>92</v>
      </c>
      <c r="B1200" s="14">
        <v>43578</v>
      </c>
      <c r="C1200" s="13">
        <v>726</v>
      </c>
      <c r="D1200" s="13" t="s">
        <v>280</v>
      </c>
      <c r="E1200" s="13" t="s">
        <v>62</v>
      </c>
      <c r="F1200" s="4">
        <v>83730</v>
      </c>
      <c r="G1200" s="29" t="s">
        <v>878</v>
      </c>
      <c r="H1200" s="14">
        <v>43543</v>
      </c>
      <c r="I1200" s="4" t="s">
        <v>5943</v>
      </c>
      <c r="J1200" s="133"/>
      <c r="K1200" s="22"/>
      <c r="L1200" s="134"/>
    </row>
    <row r="1201" spans="1:12" s="97" customFormat="1" hidden="1" x14ac:dyDescent="0.25">
      <c r="A1201" s="13" t="s">
        <v>358</v>
      </c>
      <c r="B1201" s="14">
        <v>43578</v>
      </c>
      <c r="C1201" s="13">
        <v>726</v>
      </c>
      <c r="D1201" s="13" t="s">
        <v>280</v>
      </c>
      <c r="E1201" s="13" t="s">
        <v>62</v>
      </c>
      <c r="F1201" s="4">
        <v>32250</v>
      </c>
      <c r="G1201" s="29" t="s">
        <v>1243</v>
      </c>
      <c r="H1201" s="14">
        <v>43543</v>
      </c>
      <c r="I1201" s="4" t="s">
        <v>5944</v>
      </c>
      <c r="J1201" s="133"/>
      <c r="K1201" s="22"/>
      <c r="L1201" s="134"/>
    </row>
    <row r="1202" spans="1:12" s="97" customFormat="1" hidden="1" x14ac:dyDescent="0.25">
      <c r="A1202" s="61" t="s">
        <v>442</v>
      </c>
      <c r="B1202" s="14">
        <v>43578</v>
      </c>
      <c r="C1202" s="13">
        <v>727</v>
      </c>
      <c r="D1202" s="13" t="s">
        <v>814</v>
      </c>
      <c r="E1202" s="13" t="s">
        <v>62</v>
      </c>
      <c r="F1202" s="4">
        <v>30008</v>
      </c>
      <c r="G1202" s="29" t="s">
        <v>5684</v>
      </c>
      <c r="H1202" s="14">
        <v>43544</v>
      </c>
      <c r="I1202" s="4" t="s">
        <v>45</v>
      </c>
      <c r="J1202" s="133"/>
      <c r="K1202" s="22"/>
      <c r="L1202" s="134"/>
    </row>
    <row r="1203" spans="1:12" s="97" customFormat="1" hidden="1" x14ac:dyDescent="0.25">
      <c r="A1203" s="32" t="s">
        <v>91</v>
      </c>
      <c r="B1203" s="14">
        <v>43578</v>
      </c>
      <c r="C1203" s="13">
        <v>728</v>
      </c>
      <c r="D1203" s="13" t="s">
        <v>157</v>
      </c>
      <c r="E1203" s="13" t="s">
        <v>62</v>
      </c>
      <c r="F1203" s="4">
        <v>66124.160000000003</v>
      </c>
      <c r="G1203" s="29" t="s">
        <v>5937</v>
      </c>
      <c r="H1203" s="14">
        <v>43546</v>
      </c>
      <c r="I1203" s="4" t="s">
        <v>5938</v>
      </c>
      <c r="J1203" s="133"/>
      <c r="K1203" s="22"/>
      <c r="L1203" s="134"/>
    </row>
    <row r="1204" spans="1:12" hidden="1" x14ac:dyDescent="0.25">
      <c r="A1204" s="61" t="s">
        <v>92</v>
      </c>
      <c r="B1204" s="14">
        <v>43578</v>
      </c>
      <c r="C1204" s="13">
        <v>729</v>
      </c>
      <c r="D1204" s="13" t="s">
        <v>29</v>
      </c>
      <c r="E1204" s="13" t="s">
        <v>62</v>
      </c>
      <c r="F1204" s="37">
        <v>88400</v>
      </c>
      <c r="G1204" s="29" t="s">
        <v>1128</v>
      </c>
      <c r="H1204" s="14">
        <v>43524</v>
      </c>
      <c r="I1204" s="4" t="s">
        <v>95</v>
      </c>
    </row>
    <row r="1205" spans="1:12" hidden="1" x14ac:dyDescent="0.25">
      <c r="A1205" s="61" t="s">
        <v>103</v>
      </c>
      <c r="B1205" s="14">
        <v>43578</v>
      </c>
      <c r="C1205" s="13">
        <v>730</v>
      </c>
      <c r="D1205" s="13" t="s">
        <v>6788</v>
      </c>
      <c r="E1205" s="13" t="s">
        <v>62</v>
      </c>
      <c r="F1205" s="37">
        <v>11250</v>
      </c>
      <c r="G1205" s="29" t="s">
        <v>4094</v>
      </c>
      <c r="H1205" s="14">
        <v>43536</v>
      </c>
      <c r="I1205" s="4" t="s">
        <v>354</v>
      </c>
    </row>
    <row r="1206" spans="1:12" s="97" customFormat="1" hidden="1" x14ac:dyDescent="0.25">
      <c r="A1206" s="14" t="s">
        <v>1807</v>
      </c>
      <c r="B1206" s="14">
        <v>43578</v>
      </c>
      <c r="C1206" s="13">
        <v>294</v>
      </c>
      <c r="D1206" s="218" t="s">
        <v>982</v>
      </c>
      <c r="E1206" s="218" t="s">
        <v>691</v>
      </c>
      <c r="F1206" s="4">
        <v>201285</v>
      </c>
      <c r="G1206" s="29" t="s">
        <v>1450</v>
      </c>
      <c r="H1206" s="14">
        <v>42753</v>
      </c>
      <c r="I1206" s="32" t="s">
        <v>216</v>
      </c>
      <c r="J1206" s="133"/>
      <c r="K1206" s="22"/>
      <c r="L1206" s="134"/>
    </row>
    <row r="1207" spans="1:12" s="97" customFormat="1" hidden="1" x14ac:dyDescent="0.25">
      <c r="A1207" s="61" t="s">
        <v>1350</v>
      </c>
      <c r="B1207" s="14">
        <v>43578</v>
      </c>
      <c r="C1207" s="13">
        <v>295</v>
      </c>
      <c r="D1207" s="13" t="s">
        <v>869</v>
      </c>
      <c r="E1207" s="13" t="s">
        <v>691</v>
      </c>
      <c r="F1207" s="4">
        <v>97620.98</v>
      </c>
      <c r="G1207" s="28" t="s">
        <v>5949</v>
      </c>
      <c r="H1207" s="14">
        <v>43544</v>
      </c>
      <c r="I1207" s="4" t="s">
        <v>268</v>
      </c>
      <c r="J1207" s="133"/>
      <c r="K1207" s="22"/>
      <c r="L1207" s="134"/>
    </row>
    <row r="1208" spans="1:12" s="97" customFormat="1" hidden="1" x14ac:dyDescent="0.25">
      <c r="A1208" s="61" t="s">
        <v>1350</v>
      </c>
      <c r="B1208" s="14">
        <v>43578</v>
      </c>
      <c r="C1208" s="13">
        <v>296</v>
      </c>
      <c r="D1208" s="13" t="s">
        <v>666</v>
      </c>
      <c r="E1208" s="13" t="s">
        <v>691</v>
      </c>
      <c r="F1208" s="37">
        <v>10000</v>
      </c>
      <c r="G1208" s="29" t="s">
        <v>5465</v>
      </c>
      <c r="H1208" s="14">
        <v>43546</v>
      </c>
      <c r="I1208" s="4" t="s">
        <v>6494</v>
      </c>
      <c r="J1208" s="133"/>
      <c r="K1208" s="22"/>
      <c r="L1208" s="134"/>
    </row>
    <row r="1209" spans="1:12" s="93" customFormat="1" hidden="1" x14ac:dyDescent="0.25">
      <c r="A1209" s="61" t="s">
        <v>1350</v>
      </c>
      <c r="B1209" s="14">
        <v>43578</v>
      </c>
      <c r="C1209" s="13">
        <v>297</v>
      </c>
      <c r="D1209" s="13" t="s">
        <v>516</v>
      </c>
      <c r="E1209" s="13" t="s">
        <v>691</v>
      </c>
      <c r="F1209" s="4">
        <v>20721.400000000001</v>
      </c>
      <c r="G1209" s="29" t="s">
        <v>5655</v>
      </c>
      <c r="H1209" s="14">
        <v>43539</v>
      </c>
      <c r="I1209" s="4" t="s">
        <v>5656</v>
      </c>
      <c r="J1209" s="130"/>
      <c r="K1209" s="16"/>
      <c r="L1209" s="92"/>
    </row>
    <row r="1210" spans="1:12" s="93" customFormat="1" hidden="1" x14ac:dyDescent="0.25">
      <c r="A1210" s="61" t="s">
        <v>1350</v>
      </c>
      <c r="B1210" s="14">
        <v>43578</v>
      </c>
      <c r="C1210" s="13">
        <v>298</v>
      </c>
      <c r="D1210" s="13" t="s">
        <v>6868</v>
      </c>
      <c r="E1210" s="13" t="s">
        <v>691</v>
      </c>
      <c r="F1210" s="37">
        <v>147873.79</v>
      </c>
      <c r="G1210" s="210" t="s">
        <v>6869</v>
      </c>
      <c r="H1210" s="211">
        <v>43530</v>
      </c>
      <c r="I1210" s="4" t="s">
        <v>6870</v>
      </c>
      <c r="J1210" s="130"/>
      <c r="K1210" s="16"/>
      <c r="L1210" s="92"/>
    </row>
    <row r="1211" spans="1:12" s="93" customFormat="1" hidden="1" x14ac:dyDescent="0.25">
      <c r="A1211" s="61" t="s">
        <v>1350</v>
      </c>
      <c r="B1211" s="14">
        <v>43578</v>
      </c>
      <c r="C1211" s="13">
        <v>298</v>
      </c>
      <c r="D1211" s="13" t="s">
        <v>6868</v>
      </c>
      <c r="E1211" s="13" t="s">
        <v>691</v>
      </c>
      <c r="F1211" s="37">
        <v>31189.22</v>
      </c>
      <c r="G1211" s="210" t="s">
        <v>6871</v>
      </c>
      <c r="H1211" s="211">
        <v>43536</v>
      </c>
      <c r="I1211" s="4" t="s">
        <v>6870</v>
      </c>
      <c r="J1211" s="130"/>
      <c r="K1211" s="16"/>
      <c r="L1211" s="92"/>
    </row>
    <row r="1212" spans="1:12" s="93" customFormat="1" hidden="1" x14ac:dyDescent="0.25">
      <c r="A1212" s="61" t="s">
        <v>1350</v>
      </c>
      <c r="B1212" s="14">
        <v>43578</v>
      </c>
      <c r="C1212" s="13">
        <v>298</v>
      </c>
      <c r="D1212" s="13" t="s">
        <v>6868</v>
      </c>
      <c r="E1212" s="13" t="s">
        <v>691</v>
      </c>
      <c r="F1212" s="37">
        <v>14493.12</v>
      </c>
      <c r="G1212" s="210" t="s">
        <v>6872</v>
      </c>
      <c r="H1212" s="211">
        <v>43545</v>
      </c>
      <c r="I1212" s="4" t="s">
        <v>6873</v>
      </c>
      <c r="J1212" s="130"/>
      <c r="K1212" s="16"/>
      <c r="L1212" s="92"/>
    </row>
    <row r="1213" spans="1:12" hidden="1" x14ac:dyDescent="0.25">
      <c r="A1213" s="61" t="s">
        <v>637</v>
      </c>
      <c r="B1213" s="14">
        <v>43578</v>
      </c>
      <c r="C1213" s="13">
        <v>299</v>
      </c>
      <c r="D1213" s="13" t="s">
        <v>282</v>
      </c>
      <c r="E1213" s="13" t="s">
        <v>691</v>
      </c>
      <c r="F1213" s="37">
        <v>8580</v>
      </c>
      <c r="G1213" s="29" t="s">
        <v>5879</v>
      </c>
      <c r="H1213" s="14">
        <v>43545</v>
      </c>
      <c r="I1213" s="4" t="s">
        <v>283</v>
      </c>
    </row>
    <row r="1214" spans="1:12" hidden="1" x14ac:dyDescent="0.25">
      <c r="A1214" s="61" t="s">
        <v>637</v>
      </c>
      <c r="B1214" s="14">
        <v>43578</v>
      </c>
      <c r="C1214" s="13">
        <v>299</v>
      </c>
      <c r="D1214" s="13" t="s">
        <v>282</v>
      </c>
      <c r="E1214" s="13" t="s">
        <v>691</v>
      </c>
      <c r="F1214" s="4">
        <v>20020</v>
      </c>
      <c r="G1214" s="28" t="s">
        <v>5879</v>
      </c>
      <c r="H1214" s="14">
        <v>43555</v>
      </c>
      <c r="I1214" s="4" t="s">
        <v>283</v>
      </c>
    </row>
    <row r="1215" spans="1:12" hidden="1" x14ac:dyDescent="0.25">
      <c r="A1215" s="13" t="s">
        <v>1350</v>
      </c>
      <c r="B1215" s="14">
        <v>43578</v>
      </c>
      <c r="C1215" s="13">
        <v>300</v>
      </c>
      <c r="D1215" s="13" t="s">
        <v>1395</v>
      </c>
      <c r="E1215" s="13" t="s">
        <v>691</v>
      </c>
      <c r="F1215" s="4">
        <v>34200</v>
      </c>
      <c r="G1215" s="28" t="s">
        <v>5883</v>
      </c>
      <c r="H1215" s="14">
        <v>43545</v>
      </c>
      <c r="I1215" s="4" t="s">
        <v>5882</v>
      </c>
    </row>
    <row r="1216" spans="1:12" hidden="1" x14ac:dyDescent="0.25">
      <c r="A1216" s="61" t="s">
        <v>1350</v>
      </c>
      <c r="B1216" s="14">
        <v>43578</v>
      </c>
      <c r="C1216" s="13">
        <v>301</v>
      </c>
      <c r="D1216" s="13" t="s">
        <v>1985</v>
      </c>
      <c r="E1216" s="13" t="s">
        <v>691</v>
      </c>
      <c r="F1216" s="37">
        <f>114000-60000</f>
        <v>54000</v>
      </c>
      <c r="G1216" s="29" t="s">
        <v>3852</v>
      </c>
      <c r="H1216" s="14">
        <v>43524</v>
      </c>
      <c r="I1216" s="4" t="s">
        <v>4317</v>
      </c>
    </row>
    <row r="1217" spans="1:12" hidden="1" x14ac:dyDescent="0.25">
      <c r="A1217" s="61" t="s">
        <v>637</v>
      </c>
      <c r="B1217" s="14">
        <v>43578</v>
      </c>
      <c r="C1217" s="13">
        <v>302</v>
      </c>
      <c r="D1217" s="13" t="s">
        <v>1688</v>
      </c>
      <c r="E1217" s="13" t="s">
        <v>691</v>
      </c>
      <c r="F1217" s="4">
        <v>27360</v>
      </c>
      <c r="G1217" s="28" t="s">
        <v>975</v>
      </c>
      <c r="H1217" s="14">
        <v>43524</v>
      </c>
      <c r="I1217" s="4" t="s">
        <v>6455</v>
      </c>
    </row>
    <row r="1218" spans="1:12" s="97" customFormat="1" hidden="1" x14ac:dyDescent="0.25">
      <c r="A1218" s="61" t="s">
        <v>659</v>
      </c>
      <c r="B1218" s="14">
        <v>43578</v>
      </c>
      <c r="C1218" s="13">
        <v>725</v>
      </c>
      <c r="D1218" s="13" t="s">
        <v>868</v>
      </c>
      <c r="E1218" s="13" t="s">
        <v>808</v>
      </c>
      <c r="F1218" s="4">
        <f>154514.06-80000</f>
        <v>74514.06</v>
      </c>
      <c r="G1218" s="29" t="s">
        <v>5693</v>
      </c>
      <c r="H1218" s="14">
        <v>43543</v>
      </c>
      <c r="I1218" s="4" t="s">
        <v>5694</v>
      </c>
      <c r="J1218" s="133"/>
      <c r="K1218" s="22"/>
      <c r="L1218" s="134"/>
    </row>
    <row r="1219" spans="1:12" s="97" customFormat="1" hidden="1" x14ac:dyDescent="0.25">
      <c r="A1219" s="61" t="s">
        <v>659</v>
      </c>
      <c r="B1219" s="14">
        <v>43578</v>
      </c>
      <c r="C1219" s="13">
        <v>726</v>
      </c>
      <c r="D1219" s="13" t="s">
        <v>280</v>
      </c>
      <c r="E1219" s="13" t="s">
        <v>808</v>
      </c>
      <c r="F1219" s="4">
        <v>57680</v>
      </c>
      <c r="G1219" s="29" t="s">
        <v>106</v>
      </c>
      <c r="H1219" s="14">
        <v>43543</v>
      </c>
      <c r="I1219" s="4" t="s">
        <v>5942</v>
      </c>
      <c r="J1219" s="133"/>
      <c r="K1219" s="22"/>
      <c r="L1219" s="134"/>
    </row>
    <row r="1220" spans="1:12" s="97" customFormat="1" hidden="1" x14ac:dyDescent="0.25">
      <c r="A1220" s="32" t="s">
        <v>1316</v>
      </c>
      <c r="B1220" s="14">
        <v>43578</v>
      </c>
      <c r="C1220" s="13">
        <v>727</v>
      </c>
      <c r="D1220" s="13" t="s">
        <v>3438</v>
      </c>
      <c r="E1220" s="13" t="s">
        <v>808</v>
      </c>
      <c r="F1220" s="4">
        <v>41382.120000000003</v>
      </c>
      <c r="G1220" s="28" t="s">
        <v>167</v>
      </c>
      <c r="H1220" s="14">
        <v>43538</v>
      </c>
      <c r="I1220" s="4" t="s">
        <v>5671</v>
      </c>
      <c r="J1220" s="133"/>
      <c r="K1220" s="22"/>
      <c r="L1220" s="134"/>
    </row>
    <row r="1221" spans="1:12" s="97" customFormat="1" hidden="1" x14ac:dyDescent="0.25">
      <c r="A1221" s="32" t="s">
        <v>1316</v>
      </c>
      <c r="B1221" s="14">
        <v>43578</v>
      </c>
      <c r="C1221" s="13">
        <v>728</v>
      </c>
      <c r="D1221" s="13" t="s">
        <v>1491</v>
      </c>
      <c r="E1221" s="13" t="s">
        <v>808</v>
      </c>
      <c r="F1221" s="4">
        <v>100000</v>
      </c>
      <c r="G1221" s="28" t="s">
        <v>5661</v>
      </c>
      <c r="H1221" s="14">
        <v>43535</v>
      </c>
      <c r="I1221" s="4" t="s">
        <v>555</v>
      </c>
      <c r="J1221" s="133"/>
      <c r="K1221" s="22"/>
      <c r="L1221" s="134"/>
    </row>
    <row r="1222" spans="1:12" s="93" customFormat="1" hidden="1" x14ac:dyDescent="0.25">
      <c r="A1222" s="13" t="s">
        <v>1147</v>
      </c>
      <c r="B1222" s="14">
        <v>43578</v>
      </c>
      <c r="C1222" s="13">
        <v>729</v>
      </c>
      <c r="D1222" s="13" t="s">
        <v>70</v>
      </c>
      <c r="E1222" s="13" t="s">
        <v>808</v>
      </c>
      <c r="F1222" s="4">
        <v>11522</v>
      </c>
      <c r="G1222" s="29" t="s">
        <v>2155</v>
      </c>
      <c r="H1222" s="14">
        <v>43544</v>
      </c>
      <c r="I1222" s="4" t="s">
        <v>5936</v>
      </c>
      <c r="J1222" s="130"/>
      <c r="K1222" s="16"/>
      <c r="L1222" s="92"/>
    </row>
    <row r="1223" spans="1:12" s="93" customFormat="1" hidden="1" x14ac:dyDescent="0.25">
      <c r="A1223" s="61" t="s">
        <v>1149</v>
      </c>
      <c r="B1223" s="14">
        <v>43578</v>
      </c>
      <c r="C1223" s="13">
        <v>730</v>
      </c>
      <c r="D1223" s="13" t="s">
        <v>666</v>
      </c>
      <c r="E1223" s="13" t="s">
        <v>808</v>
      </c>
      <c r="F1223" s="4">
        <v>18750</v>
      </c>
      <c r="G1223" s="29" t="s">
        <v>3416</v>
      </c>
      <c r="H1223" s="14">
        <v>43543</v>
      </c>
      <c r="I1223" s="4" t="s">
        <v>266</v>
      </c>
      <c r="J1223" s="130"/>
      <c r="K1223" s="16"/>
      <c r="L1223" s="92"/>
    </row>
    <row r="1224" spans="1:12" s="93" customFormat="1" hidden="1" x14ac:dyDescent="0.25">
      <c r="A1224" s="61" t="s">
        <v>1147</v>
      </c>
      <c r="B1224" s="14">
        <v>43578</v>
      </c>
      <c r="C1224" s="13">
        <v>730</v>
      </c>
      <c r="D1224" s="13" t="s">
        <v>666</v>
      </c>
      <c r="E1224" s="13" t="s">
        <v>808</v>
      </c>
      <c r="F1224" s="4">
        <v>26670</v>
      </c>
      <c r="G1224" s="29" t="s">
        <v>3426</v>
      </c>
      <c r="H1224" s="14">
        <v>43544</v>
      </c>
      <c r="I1224" s="4" t="s">
        <v>266</v>
      </c>
      <c r="J1224" s="130"/>
      <c r="K1224" s="16"/>
      <c r="L1224" s="92"/>
    </row>
    <row r="1225" spans="1:12" s="97" customFormat="1" hidden="1" x14ac:dyDescent="0.25">
      <c r="A1225" s="61" t="s">
        <v>659</v>
      </c>
      <c r="B1225" s="14">
        <v>43578</v>
      </c>
      <c r="C1225" s="13">
        <v>731</v>
      </c>
      <c r="D1225" s="13" t="s">
        <v>516</v>
      </c>
      <c r="E1225" s="13" t="s">
        <v>808</v>
      </c>
      <c r="F1225" s="4">
        <v>153469.6</v>
      </c>
      <c r="G1225" s="29" t="s">
        <v>2152</v>
      </c>
      <c r="H1225" s="14">
        <v>43545</v>
      </c>
      <c r="I1225" s="4" t="s">
        <v>4699</v>
      </c>
      <c r="J1225" s="133"/>
      <c r="K1225" s="22"/>
      <c r="L1225" s="134"/>
    </row>
    <row r="1226" spans="1:12" ht="27.6" hidden="1" x14ac:dyDescent="0.25">
      <c r="A1226" s="32" t="s">
        <v>1806</v>
      </c>
      <c r="B1226" s="14">
        <v>43578</v>
      </c>
      <c r="C1226" s="13">
        <v>732</v>
      </c>
      <c r="D1226" s="13" t="s">
        <v>80</v>
      </c>
      <c r="E1226" s="13" t="s">
        <v>808</v>
      </c>
      <c r="F1226" s="4">
        <v>200000</v>
      </c>
      <c r="G1226" s="28" t="s">
        <v>5616</v>
      </c>
      <c r="H1226" s="14">
        <v>43539</v>
      </c>
      <c r="I1226" s="4" t="s">
        <v>2157</v>
      </c>
    </row>
    <row r="1227" spans="1:12" hidden="1" x14ac:dyDescent="0.25">
      <c r="A1227" s="61" t="s">
        <v>659</v>
      </c>
      <c r="B1227" s="14">
        <v>43578</v>
      </c>
      <c r="C1227" s="13">
        <v>733</v>
      </c>
      <c r="D1227" s="13" t="s">
        <v>250</v>
      </c>
      <c r="E1227" s="13" t="s">
        <v>808</v>
      </c>
      <c r="F1227" s="37">
        <f>233750-50000-100000</f>
        <v>83750</v>
      </c>
      <c r="G1227" s="29" t="s">
        <v>5363</v>
      </c>
      <c r="H1227" s="14">
        <v>43524</v>
      </c>
      <c r="I1227" s="4" t="s">
        <v>402</v>
      </c>
    </row>
    <row r="1228" spans="1:12" hidden="1" x14ac:dyDescent="0.25">
      <c r="A1228" s="61" t="s">
        <v>659</v>
      </c>
      <c r="B1228" s="14">
        <v>43578</v>
      </c>
      <c r="C1228" s="13">
        <v>734</v>
      </c>
      <c r="D1228" s="13" t="s">
        <v>29</v>
      </c>
      <c r="E1228" s="13" t="s">
        <v>808</v>
      </c>
      <c r="F1228" s="37">
        <v>21850</v>
      </c>
      <c r="G1228" s="29" t="s">
        <v>3511</v>
      </c>
      <c r="H1228" s="14">
        <v>43524</v>
      </c>
      <c r="I1228" s="4" t="s">
        <v>87</v>
      </c>
    </row>
    <row r="1229" spans="1:12" hidden="1" x14ac:dyDescent="0.25">
      <c r="A1229" s="61" t="s">
        <v>1148</v>
      </c>
      <c r="B1229" s="14">
        <v>43578</v>
      </c>
      <c r="C1229" s="13">
        <v>734</v>
      </c>
      <c r="D1229" s="13" t="s">
        <v>29</v>
      </c>
      <c r="E1229" s="13" t="s">
        <v>808</v>
      </c>
      <c r="F1229" s="37">
        <v>11400</v>
      </c>
      <c r="G1229" s="29" t="s">
        <v>1662</v>
      </c>
      <c r="H1229" s="14">
        <v>43529</v>
      </c>
      <c r="I1229" s="4" t="s">
        <v>87</v>
      </c>
    </row>
    <row r="1230" spans="1:12" hidden="1" x14ac:dyDescent="0.25">
      <c r="A1230" s="61" t="s">
        <v>1148</v>
      </c>
      <c r="B1230" s="14">
        <v>43578</v>
      </c>
      <c r="C1230" s="13">
        <v>734</v>
      </c>
      <c r="D1230" s="13" t="s">
        <v>29</v>
      </c>
      <c r="E1230" s="13" t="s">
        <v>808</v>
      </c>
      <c r="F1230" s="37">
        <v>58000</v>
      </c>
      <c r="G1230" s="29" t="s">
        <v>1272</v>
      </c>
      <c r="H1230" s="14">
        <v>43535</v>
      </c>
      <c r="I1230" s="4" t="s">
        <v>511</v>
      </c>
    </row>
    <row r="1231" spans="1:12" hidden="1" x14ac:dyDescent="0.25">
      <c r="A1231" s="61" t="s">
        <v>659</v>
      </c>
      <c r="B1231" s="14">
        <v>43578</v>
      </c>
      <c r="C1231" s="13">
        <v>735</v>
      </c>
      <c r="D1231" s="13" t="s">
        <v>5888</v>
      </c>
      <c r="E1231" s="13" t="s">
        <v>808</v>
      </c>
      <c r="F1231" s="37">
        <v>59250</v>
      </c>
      <c r="G1231" s="29" t="s">
        <v>3375</v>
      </c>
      <c r="H1231" s="14">
        <v>43549</v>
      </c>
      <c r="I1231" s="4" t="s">
        <v>402</v>
      </c>
    </row>
    <row r="1232" spans="1:12" hidden="1" x14ac:dyDescent="0.25">
      <c r="A1232" s="61" t="s">
        <v>1148</v>
      </c>
      <c r="B1232" s="14">
        <v>43578</v>
      </c>
      <c r="C1232" s="13">
        <v>736</v>
      </c>
      <c r="D1232" s="13" t="s">
        <v>1985</v>
      </c>
      <c r="E1232" s="13" t="s">
        <v>808</v>
      </c>
      <c r="F1232" s="37">
        <v>24800</v>
      </c>
      <c r="G1232" s="29" t="s">
        <v>201</v>
      </c>
      <c r="H1232" s="14">
        <v>43524</v>
      </c>
      <c r="I1232" s="4" t="s">
        <v>122</v>
      </c>
    </row>
    <row r="1233" spans="1:19" hidden="1" x14ac:dyDescent="0.25">
      <c r="A1233" s="61" t="s">
        <v>659</v>
      </c>
      <c r="B1233" s="14">
        <v>43578</v>
      </c>
      <c r="C1233" s="13">
        <v>736</v>
      </c>
      <c r="D1233" s="13" t="s">
        <v>1985</v>
      </c>
      <c r="E1233" s="13" t="s">
        <v>808</v>
      </c>
      <c r="F1233" s="37">
        <v>8800</v>
      </c>
      <c r="G1233" s="29" t="s">
        <v>25</v>
      </c>
      <c r="H1233" s="14">
        <v>43524</v>
      </c>
      <c r="I1233" s="4" t="s">
        <v>122</v>
      </c>
    </row>
    <row r="1234" spans="1:19" hidden="1" x14ac:dyDescent="0.25">
      <c r="A1234" s="61" t="s">
        <v>495</v>
      </c>
      <c r="B1234" s="14">
        <v>43578</v>
      </c>
      <c r="C1234" s="13">
        <v>737</v>
      </c>
      <c r="D1234" s="13" t="s">
        <v>692</v>
      </c>
      <c r="E1234" s="13" t="s">
        <v>808</v>
      </c>
      <c r="F1234" s="4">
        <v>26125</v>
      </c>
      <c r="G1234" s="28" t="s">
        <v>493</v>
      </c>
      <c r="H1234" s="14">
        <v>43532</v>
      </c>
      <c r="I1234" s="4" t="s">
        <v>419</v>
      </c>
    </row>
    <row r="1235" spans="1:19" hidden="1" x14ac:dyDescent="0.25">
      <c r="A1235" s="61" t="s">
        <v>659</v>
      </c>
      <c r="B1235" s="14">
        <v>43578</v>
      </c>
      <c r="C1235" s="13">
        <v>737</v>
      </c>
      <c r="D1235" s="13" t="s">
        <v>692</v>
      </c>
      <c r="E1235" s="13" t="s">
        <v>808</v>
      </c>
      <c r="F1235" s="37">
        <v>11000</v>
      </c>
      <c r="G1235" s="29" t="s">
        <v>12</v>
      </c>
      <c r="H1235" s="14">
        <v>43532</v>
      </c>
      <c r="I1235" s="4" t="s">
        <v>419</v>
      </c>
    </row>
    <row r="1236" spans="1:19" hidden="1" x14ac:dyDescent="0.25">
      <c r="A1236" s="61" t="s">
        <v>495</v>
      </c>
      <c r="B1236" s="14">
        <v>43578</v>
      </c>
      <c r="C1236" s="13">
        <v>737</v>
      </c>
      <c r="D1236" s="13" t="s">
        <v>692</v>
      </c>
      <c r="E1236" s="13" t="s">
        <v>808</v>
      </c>
      <c r="F1236" s="37">
        <v>66000</v>
      </c>
      <c r="G1236" s="210" t="s">
        <v>1304</v>
      </c>
      <c r="H1236" s="211">
        <v>43533</v>
      </c>
      <c r="I1236" s="4" t="s">
        <v>419</v>
      </c>
    </row>
    <row r="1237" spans="1:19" hidden="1" x14ac:dyDescent="0.25">
      <c r="A1237" s="32" t="s">
        <v>1148</v>
      </c>
      <c r="B1237" s="14">
        <v>43578</v>
      </c>
      <c r="C1237" s="13">
        <v>738</v>
      </c>
      <c r="D1237" s="13" t="s">
        <v>2115</v>
      </c>
      <c r="E1237" s="13" t="s">
        <v>808</v>
      </c>
      <c r="F1237" s="4">
        <f>571775-450000</f>
        <v>121775</v>
      </c>
      <c r="G1237" s="28" t="s">
        <v>1152</v>
      </c>
      <c r="H1237" s="14">
        <v>43524</v>
      </c>
      <c r="I1237" s="4" t="s">
        <v>164</v>
      </c>
    </row>
    <row r="1238" spans="1:19" hidden="1" x14ac:dyDescent="0.25">
      <c r="A1238" s="61" t="s">
        <v>659</v>
      </c>
      <c r="B1238" s="14">
        <v>43578</v>
      </c>
      <c r="C1238" s="13">
        <v>739</v>
      </c>
      <c r="D1238" s="13" t="s">
        <v>6788</v>
      </c>
      <c r="E1238" s="13" t="s">
        <v>808</v>
      </c>
      <c r="F1238" s="4">
        <v>9375</v>
      </c>
      <c r="G1238" s="28" t="s">
        <v>5251</v>
      </c>
      <c r="H1238" s="14">
        <v>43531</v>
      </c>
      <c r="I1238" s="4" t="s">
        <v>354</v>
      </c>
    </row>
    <row r="1239" spans="1:19" hidden="1" x14ac:dyDescent="0.25">
      <c r="A1239" s="61" t="s">
        <v>659</v>
      </c>
      <c r="B1239" s="14">
        <v>43578</v>
      </c>
      <c r="C1239" s="13">
        <v>739</v>
      </c>
      <c r="D1239" s="13" t="s">
        <v>6788</v>
      </c>
      <c r="E1239" s="13" t="s">
        <v>808</v>
      </c>
      <c r="F1239" s="37">
        <v>13750</v>
      </c>
      <c r="G1239" s="29" t="s">
        <v>325</v>
      </c>
      <c r="H1239" s="14">
        <v>43539</v>
      </c>
      <c r="I1239" s="4" t="s">
        <v>354</v>
      </c>
    </row>
    <row r="1240" spans="1:19" ht="27.6" hidden="1" x14ac:dyDescent="0.25">
      <c r="A1240" s="32" t="s">
        <v>151</v>
      </c>
      <c r="B1240" s="14">
        <v>43578</v>
      </c>
      <c r="C1240" s="13">
        <v>509</v>
      </c>
      <c r="D1240" s="13" t="s">
        <v>5471</v>
      </c>
      <c r="E1240" s="32" t="s">
        <v>1121</v>
      </c>
      <c r="F1240" s="4">
        <v>89420</v>
      </c>
      <c r="G1240" s="28" t="s">
        <v>6964</v>
      </c>
      <c r="H1240" s="14">
        <v>43573</v>
      </c>
      <c r="I1240" s="4" t="s">
        <v>6984</v>
      </c>
      <c r="J1240" s="76"/>
      <c r="K1240" s="246"/>
    </row>
    <row r="1241" spans="1:19" s="115" customFormat="1" ht="15.6" hidden="1" x14ac:dyDescent="0.25">
      <c r="A1241" s="61" t="s">
        <v>651</v>
      </c>
      <c r="B1241" s="14">
        <v>43578</v>
      </c>
      <c r="C1241" s="13" t="s">
        <v>6993</v>
      </c>
      <c r="D1241" s="13" t="s">
        <v>813</v>
      </c>
      <c r="E1241" s="13" t="s">
        <v>547</v>
      </c>
      <c r="F1241" s="37">
        <f>3800000+3000000</f>
        <v>6800000</v>
      </c>
      <c r="G1241" s="29" t="s">
        <v>810</v>
      </c>
      <c r="H1241" s="14">
        <v>42340</v>
      </c>
      <c r="I1241" s="41" t="s">
        <v>1560</v>
      </c>
      <c r="J1241" s="258"/>
      <c r="K1241" s="116"/>
      <c r="L1241" s="116"/>
      <c r="M1241" s="116"/>
      <c r="N1241" s="116"/>
      <c r="O1241" s="117"/>
      <c r="P1241" s="117"/>
      <c r="Q1241" s="117"/>
      <c r="R1241" s="117"/>
      <c r="S1241" s="117"/>
    </row>
    <row r="1242" spans="1:19" s="115" customFormat="1" ht="15.6" hidden="1" x14ac:dyDescent="0.25">
      <c r="A1242" s="61" t="s">
        <v>311</v>
      </c>
      <c r="B1242" s="14">
        <v>43578</v>
      </c>
      <c r="C1242" s="13">
        <v>373</v>
      </c>
      <c r="D1242" s="13" t="s">
        <v>589</v>
      </c>
      <c r="E1242" s="13" t="s">
        <v>958</v>
      </c>
      <c r="F1242" s="37">
        <v>1628000</v>
      </c>
      <c r="G1242" s="29" t="s">
        <v>6994</v>
      </c>
      <c r="H1242" s="14">
        <v>43574</v>
      </c>
      <c r="I1242" s="41" t="s">
        <v>1207</v>
      </c>
      <c r="J1242" s="258" t="s">
        <v>6392</v>
      </c>
      <c r="K1242" s="116"/>
      <c r="L1242" s="116"/>
      <c r="M1242" s="116"/>
      <c r="N1242" s="116"/>
      <c r="O1242" s="117"/>
      <c r="P1242" s="117"/>
      <c r="Q1242" s="117"/>
      <c r="R1242" s="117"/>
      <c r="S1242" s="117"/>
    </row>
    <row r="1243" spans="1:19" s="115" customFormat="1" ht="15.6" hidden="1" x14ac:dyDescent="0.25">
      <c r="A1243" s="61" t="s">
        <v>311</v>
      </c>
      <c r="B1243" s="14">
        <v>43578</v>
      </c>
      <c r="C1243" s="13">
        <v>374</v>
      </c>
      <c r="D1243" s="13" t="s">
        <v>740</v>
      </c>
      <c r="E1243" s="13" t="s">
        <v>958</v>
      </c>
      <c r="F1243" s="37">
        <v>826500</v>
      </c>
      <c r="G1243" s="29" t="s">
        <v>6995</v>
      </c>
      <c r="H1243" s="14">
        <v>43574</v>
      </c>
      <c r="I1243" s="41" t="s">
        <v>1207</v>
      </c>
      <c r="J1243" s="258" t="s">
        <v>6392</v>
      </c>
      <c r="K1243" s="116"/>
      <c r="L1243" s="116"/>
      <c r="M1243" s="116"/>
      <c r="N1243" s="116"/>
      <c r="O1243" s="117"/>
      <c r="P1243" s="117"/>
      <c r="Q1243" s="117"/>
      <c r="R1243" s="117"/>
      <c r="S1243" s="117"/>
    </row>
    <row r="1244" spans="1:19" s="115" customFormat="1" ht="15.6" hidden="1" x14ac:dyDescent="0.25">
      <c r="A1244" s="61" t="s">
        <v>311</v>
      </c>
      <c r="B1244" s="14">
        <v>43578</v>
      </c>
      <c r="C1244" s="13">
        <v>375</v>
      </c>
      <c r="D1244" s="13" t="s">
        <v>740</v>
      </c>
      <c r="E1244" s="13" t="s">
        <v>958</v>
      </c>
      <c r="F1244" s="37">
        <v>830500</v>
      </c>
      <c r="G1244" s="29" t="s">
        <v>6996</v>
      </c>
      <c r="H1244" s="14">
        <v>43574</v>
      </c>
      <c r="I1244" s="41" t="s">
        <v>423</v>
      </c>
      <c r="J1244" s="258" t="s">
        <v>6392</v>
      </c>
      <c r="K1244" s="116"/>
      <c r="L1244" s="116"/>
      <c r="M1244" s="116"/>
      <c r="N1244" s="116"/>
      <c r="O1244" s="117"/>
      <c r="P1244" s="117"/>
      <c r="Q1244" s="117"/>
      <c r="R1244" s="117"/>
      <c r="S1244" s="117"/>
    </row>
    <row r="1245" spans="1:19" s="115" customFormat="1" ht="15.6" hidden="1" x14ac:dyDescent="0.25">
      <c r="A1245" s="61" t="s">
        <v>311</v>
      </c>
      <c r="B1245" s="14">
        <v>43578</v>
      </c>
      <c r="C1245" s="13">
        <v>376</v>
      </c>
      <c r="D1245" s="13" t="s">
        <v>1082</v>
      </c>
      <c r="E1245" s="13" t="s">
        <v>958</v>
      </c>
      <c r="F1245" s="37">
        <v>1780000</v>
      </c>
      <c r="G1245" s="29" t="s">
        <v>26</v>
      </c>
      <c r="H1245" s="14">
        <v>43574</v>
      </c>
      <c r="I1245" s="41" t="s">
        <v>443</v>
      </c>
      <c r="J1245" s="258" t="s">
        <v>6392</v>
      </c>
      <c r="K1245" s="116"/>
      <c r="L1245" s="116"/>
      <c r="M1245" s="116"/>
      <c r="N1245" s="116"/>
      <c r="O1245" s="117"/>
      <c r="P1245" s="117"/>
      <c r="Q1245" s="117"/>
      <c r="R1245" s="117"/>
      <c r="S1245" s="117"/>
    </row>
    <row r="1246" spans="1:19" s="115" customFormat="1" ht="15.6" hidden="1" x14ac:dyDescent="0.25">
      <c r="A1246" s="61" t="s">
        <v>311</v>
      </c>
      <c r="B1246" s="14">
        <v>43578</v>
      </c>
      <c r="C1246" s="13">
        <v>377</v>
      </c>
      <c r="D1246" s="13" t="s">
        <v>5047</v>
      </c>
      <c r="E1246" s="13" t="s">
        <v>958</v>
      </c>
      <c r="F1246" s="37">
        <v>1030260</v>
      </c>
      <c r="G1246" s="29" t="s">
        <v>716</v>
      </c>
      <c r="H1246" s="14">
        <v>43573</v>
      </c>
      <c r="I1246" s="41" t="s">
        <v>5048</v>
      </c>
      <c r="J1246" s="258" t="s">
        <v>6392</v>
      </c>
      <c r="K1246" s="116"/>
      <c r="L1246" s="116"/>
      <c r="M1246" s="116"/>
      <c r="N1246" s="116"/>
      <c r="O1246" s="117"/>
      <c r="P1246" s="117"/>
      <c r="Q1246" s="117"/>
      <c r="R1246" s="117"/>
      <c r="S1246" s="117"/>
    </row>
    <row r="1247" spans="1:19" ht="13.95" hidden="1" customHeight="1" x14ac:dyDescent="0.25">
      <c r="A1247" s="68" t="s">
        <v>311</v>
      </c>
      <c r="B1247" s="14">
        <v>43578</v>
      </c>
      <c r="C1247" s="13">
        <v>378</v>
      </c>
      <c r="D1247" s="32" t="s">
        <v>272</v>
      </c>
      <c r="E1247" s="32" t="s">
        <v>958</v>
      </c>
      <c r="F1247" s="4">
        <v>16200000</v>
      </c>
      <c r="G1247" s="86" t="s">
        <v>4485</v>
      </c>
      <c r="H1247" s="211"/>
      <c r="I1247" s="84" t="s">
        <v>273</v>
      </c>
      <c r="J1247" s="258" t="s">
        <v>6392</v>
      </c>
      <c r="K1247" s="228"/>
    </row>
    <row r="1248" spans="1:19" ht="13.95" hidden="1" customHeight="1" x14ac:dyDescent="0.25">
      <c r="A1248" s="68" t="s">
        <v>311</v>
      </c>
      <c r="B1248" s="14">
        <v>43578</v>
      </c>
      <c r="C1248" s="13">
        <v>378</v>
      </c>
      <c r="D1248" s="32" t="s">
        <v>272</v>
      </c>
      <c r="E1248" s="32" t="s">
        <v>958</v>
      </c>
      <c r="F1248" s="4">
        <v>3800000</v>
      </c>
      <c r="G1248" s="86" t="s">
        <v>4485</v>
      </c>
      <c r="H1248" s="211"/>
      <c r="I1248" s="84" t="s">
        <v>273</v>
      </c>
      <c r="J1248" s="258" t="s">
        <v>6392</v>
      </c>
      <c r="K1248" s="228"/>
    </row>
    <row r="1249" spans="1:12" ht="27.6" hidden="1" x14ac:dyDescent="0.25">
      <c r="A1249" s="32" t="s">
        <v>2020</v>
      </c>
      <c r="B1249" s="14">
        <v>43578</v>
      </c>
      <c r="C1249" s="13">
        <v>618</v>
      </c>
      <c r="D1249" s="32" t="s">
        <v>392</v>
      </c>
      <c r="E1249" s="32" t="s">
        <v>6997</v>
      </c>
      <c r="F1249" s="4">
        <f>2487772.81-F1105-F1005</f>
        <v>319615.80000000005</v>
      </c>
      <c r="G1249" s="28" t="s">
        <v>4076</v>
      </c>
      <c r="H1249" s="14">
        <v>43556</v>
      </c>
      <c r="I1249" s="41" t="s">
        <v>620</v>
      </c>
      <c r="J1249" s="35" t="s">
        <v>366</v>
      </c>
      <c r="K1249" s="167"/>
      <c r="L1249" s="35"/>
    </row>
    <row r="1250" spans="1:12" ht="27.6" hidden="1" x14ac:dyDescent="0.25">
      <c r="A1250" s="61" t="s">
        <v>460</v>
      </c>
      <c r="B1250" s="14">
        <v>43579</v>
      </c>
      <c r="C1250" s="13">
        <v>395</v>
      </c>
      <c r="D1250" s="14" t="s">
        <v>5301</v>
      </c>
      <c r="E1250" s="32" t="s">
        <v>2058</v>
      </c>
      <c r="F1250" s="4">
        <v>109597</v>
      </c>
      <c r="G1250" s="86" t="s">
        <v>5302</v>
      </c>
      <c r="H1250" s="211"/>
      <c r="I1250" s="326"/>
      <c r="K1250" s="62"/>
    </row>
    <row r="1251" spans="1:12" ht="27.6" hidden="1" x14ac:dyDescent="0.25">
      <c r="A1251" s="61" t="s">
        <v>460</v>
      </c>
      <c r="B1251" s="14">
        <v>43579</v>
      </c>
      <c r="C1251" s="13">
        <v>396</v>
      </c>
      <c r="D1251" s="14" t="s">
        <v>5303</v>
      </c>
      <c r="E1251" s="32" t="s">
        <v>2058</v>
      </c>
      <c r="F1251" s="4">
        <v>92672</v>
      </c>
      <c r="G1251" s="86" t="s">
        <v>5304</v>
      </c>
      <c r="H1251" s="211"/>
      <c r="I1251" s="326"/>
      <c r="K1251" s="62"/>
    </row>
    <row r="1252" spans="1:12" ht="27.6" hidden="1" x14ac:dyDescent="0.25">
      <c r="A1252" s="61" t="s">
        <v>460</v>
      </c>
      <c r="B1252" s="14">
        <v>43579</v>
      </c>
      <c r="C1252" s="13">
        <v>397</v>
      </c>
      <c r="D1252" s="14" t="s">
        <v>5309</v>
      </c>
      <c r="E1252" s="32" t="s">
        <v>2058</v>
      </c>
      <c r="F1252" s="4">
        <v>123200</v>
      </c>
      <c r="G1252" s="86" t="s">
        <v>5310</v>
      </c>
      <c r="H1252" s="211"/>
      <c r="I1252" s="326"/>
      <c r="K1252" s="62"/>
    </row>
    <row r="1253" spans="1:12" ht="27.6" hidden="1" x14ac:dyDescent="0.25">
      <c r="A1253" s="61" t="s">
        <v>460</v>
      </c>
      <c r="B1253" s="14">
        <v>43579</v>
      </c>
      <c r="C1253" s="13">
        <v>398</v>
      </c>
      <c r="D1253" s="14" t="s">
        <v>5311</v>
      </c>
      <c r="E1253" s="32" t="s">
        <v>2058</v>
      </c>
      <c r="F1253" s="4">
        <v>119750</v>
      </c>
      <c r="G1253" s="86" t="s">
        <v>5312</v>
      </c>
      <c r="H1253" s="211"/>
      <c r="I1253" s="326"/>
      <c r="K1253" s="62"/>
    </row>
    <row r="1254" spans="1:12" ht="27.6" hidden="1" x14ac:dyDescent="0.25">
      <c r="A1254" s="32" t="s">
        <v>2019</v>
      </c>
      <c r="B1254" s="14">
        <v>43579</v>
      </c>
      <c r="C1254" s="13">
        <v>57</v>
      </c>
      <c r="D1254" s="32" t="s">
        <v>392</v>
      </c>
      <c r="E1254" s="32" t="s">
        <v>7170</v>
      </c>
      <c r="F1254" s="4">
        <v>1614108.19</v>
      </c>
      <c r="G1254" s="28" t="s">
        <v>6675</v>
      </c>
      <c r="H1254" s="14">
        <v>43556</v>
      </c>
      <c r="I1254" s="41" t="s">
        <v>621</v>
      </c>
      <c r="J1254" s="35" t="s">
        <v>366</v>
      </c>
      <c r="K1254" s="167"/>
      <c r="L1254" s="35"/>
    </row>
    <row r="1255" spans="1:12" hidden="1" x14ac:dyDescent="0.25">
      <c r="A1255" s="61" t="s">
        <v>460</v>
      </c>
      <c r="B1255" s="14">
        <v>43579</v>
      </c>
      <c r="C1255" s="13">
        <v>56</v>
      </c>
      <c r="D1255" s="32" t="s">
        <v>4759</v>
      </c>
      <c r="E1255" s="32" t="s">
        <v>742</v>
      </c>
      <c r="F1255" s="4">
        <v>2398000</v>
      </c>
      <c r="G1255" s="86" t="s">
        <v>4760</v>
      </c>
      <c r="H1255" s="14">
        <v>43523</v>
      </c>
      <c r="I1255" s="326"/>
      <c r="K1255" s="62"/>
    </row>
    <row r="1256" spans="1:12" hidden="1" x14ac:dyDescent="0.25">
      <c r="A1256" s="61" t="s">
        <v>460</v>
      </c>
      <c r="B1256" s="14">
        <v>43579</v>
      </c>
      <c r="C1256" s="13">
        <v>330</v>
      </c>
      <c r="D1256" s="14" t="s">
        <v>6956</v>
      </c>
      <c r="E1256" s="32" t="s">
        <v>144</v>
      </c>
      <c r="F1256" s="4">
        <v>5000</v>
      </c>
      <c r="G1256" s="86" t="s">
        <v>6957</v>
      </c>
      <c r="H1256" s="211"/>
      <c r="I1256" s="326"/>
      <c r="J1256" s="21"/>
      <c r="K1256" s="228"/>
    </row>
    <row r="1257" spans="1:12" ht="16.5" hidden="1" customHeight="1" x14ac:dyDescent="0.25">
      <c r="A1257" s="13" t="s">
        <v>184</v>
      </c>
      <c r="B1257" s="14">
        <v>43579</v>
      </c>
      <c r="C1257" s="67">
        <v>513</v>
      </c>
      <c r="D1257" s="32" t="s">
        <v>1785</v>
      </c>
      <c r="E1257" s="32" t="s">
        <v>1121</v>
      </c>
      <c r="F1257" s="208">
        <v>500000</v>
      </c>
      <c r="G1257" s="25" t="s">
        <v>4080</v>
      </c>
      <c r="H1257" s="212">
        <v>43560</v>
      </c>
      <c r="I1257" s="208" t="s">
        <v>6974</v>
      </c>
      <c r="J1257" s="76" t="s">
        <v>6975</v>
      </c>
      <c r="K1257" s="260"/>
      <c r="L1257" s="62"/>
    </row>
    <row r="1258" spans="1:12" ht="15" hidden="1" customHeight="1" x14ac:dyDescent="0.25">
      <c r="A1258" s="13" t="s">
        <v>184</v>
      </c>
      <c r="B1258" s="14">
        <v>43579</v>
      </c>
      <c r="C1258" s="13">
        <v>524</v>
      </c>
      <c r="D1258" s="13" t="s">
        <v>171</v>
      </c>
      <c r="E1258" s="32" t="s">
        <v>1121</v>
      </c>
      <c r="F1258" s="4">
        <f>1559389.32-800000</f>
        <v>759389.32000000007</v>
      </c>
      <c r="G1258" s="28" t="s">
        <v>6267</v>
      </c>
      <c r="H1258" s="14">
        <v>43553</v>
      </c>
      <c r="I1258" s="4" t="s">
        <v>384</v>
      </c>
      <c r="J1258" s="125" t="s">
        <v>6268</v>
      </c>
    </row>
    <row r="1259" spans="1:12" ht="15" hidden="1" customHeight="1" x14ac:dyDescent="0.25">
      <c r="A1259" s="13" t="s">
        <v>184</v>
      </c>
      <c r="B1259" s="14">
        <v>43579</v>
      </c>
      <c r="C1259" s="13">
        <v>514</v>
      </c>
      <c r="D1259" s="13" t="s">
        <v>1215</v>
      </c>
      <c r="E1259" s="32" t="s">
        <v>1121</v>
      </c>
      <c r="F1259" s="4">
        <v>277600</v>
      </c>
      <c r="G1259" s="28" t="s">
        <v>858</v>
      </c>
      <c r="H1259" s="14">
        <v>43549</v>
      </c>
      <c r="I1259" s="4" t="s">
        <v>2218</v>
      </c>
      <c r="J1259" s="76" t="s">
        <v>771</v>
      </c>
    </row>
    <row r="1260" spans="1:12" ht="16.5" hidden="1" customHeight="1" x14ac:dyDescent="0.25">
      <c r="A1260" s="13" t="s">
        <v>184</v>
      </c>
      <c r="B1260" s="14">
        <v>43579</v>
      </c>
      <c r="C1260" s="67">
        <v>515</v>
      </c>
      <c r="D1260" s="32" t="s">
        <v>1359</v>
      </c>
      <c r="E1260" s="32" t="s">
        <v>1121</v>
      </c>
      <c r="F1260" s="208">
        <v>500000</v>
      </c>
      <c r="G1260" s="25" t="s">
        <v>5795</v>
      </c>
      <c r="H1260" s="212">
        <v>43525</v>
      </c>
      <c r="I1260" s="208" t="s">
        <v>294</v>
      </c>
      <c r="J1260" s="76" t="s">
        <v>771</v>
      </c>
      <c r="K1260" s="260"/>
      <c r="L1260" s="62"/>
    </row>
    <row r="1261" spans="1:12" ht="15" hidden="1" customHeight="1" x14ac:dyDescent="0.25">
      <c r="A1261" s="13" t="s">
        <v>184</v>
      </c>
      <c r="B1261" s="14">
        <v>43579</v>
      </c>
      <c r="C1261" s="13">
        <v>516</v>
      </c>
      <c r="D1261" s="32" t="s">
        <v>1359</v>
      </c>
      <c r="E1261" s="32" t="s">
        <v>1121</v>
      </c>
      <c r="F1261" s="4">
        <v>7000</v>
      </c>
      <c r="G1261" s="28" t="s">
        <v>6584</v>
      </c>
      <c r="H1261" s="14">
        <v>43563</v>
      </c>
      <c r="I1261" s="4" t="s">
        <v>294</v>
      </c>
      <c r="J1261" s="76" t="s">
        <v>6585</v>
      </c>
    </row>
    <row r="1262" spans="1:12" ht="15" hidden="1" customHeight="1" x14ac:dyDescent="0.25">
      <c r="A1262" s="13" t="s">
        <v>184</v>
      </c>
      <c r="B1262" s="14">
        <v>43579</v>
      </c>
      <c r="C1262" s="13">
        <v>517</v>
      </c>
      <c r="D1262" s="13" t="s">
        <v>897</v>
      </c>
      <c r="E1262" s="32" t="s">
        <v>1121</v>
      </c>
      <c r="F1262" s="4">
        <v>70000</v>
      </c>
      <c r="G1262" s="28" t="s">
        <v>6586</v>
      </c>
      <c r="H1262" s="14">
        <v>43556</v>
      </c>
      <c r="I1262" s="4" t="s">
        <v>6587</v>
      </c>
      <c r="J1262" s="76"/>
    </row>
    <row r="1263" spans="1:12" ht="30" hidden="1" customHeight="1" x14ac:dyDescent="0.25">
      <c r="A1263" s="13" t="s">
        <v>184</v>
      </c>
      <c r="B1263" s="14">
        <v>43579</v>
      </c>
      <c r="C1263" s="13">
        <v>518</v>
      </c>
      <c r="D1263" s="13" t="s">
        <v>104</v>
      </c>
      <c r="E1263" s="32" t="s">
        <v>1121</v>
      </c>
      <c r="F1263" s="4">
        <v>150000</v>
      </c>
      <c r="G1263" s="28" t="s">
        <v>67</v>
      </c>
      <c r="H1263" s="14">
        <v>43556</v>
      </c>
      <c r="I1263" s="4" t="s">
        <v>3483</v>
      </c>
      <c r="J1263" s="76" t="s">
        <v>6269</v>
      </c>
    </row>
    <row r="1264" spans="1:12" s="192" customFormat="1" hidden="1" x14ac:dyDescent="0.25">
      <c r="A1264" s="147" t="s">
        <v>242</v>
      </c>
      <c r="B1264" s="14">
        <v>43579</v>
      </c>
      <c r="C1264" s="195">
        <v>523</v>
      </c>
      <c r="D1264" s="149" t="s">
        <v>784</v>
      </c>
      <c r="E1264" s="147" t="s">
        <v>1121</v>
      </c>
      <c r="F1264" s="158">
        <v>202774.04</v>
      </c>
      <c r="G1264" s="150" t="s">
        <v>1264</v>
      </c>
      <c r="H1264" s="148">
        <v>43573</v>
      </c>
      <c r="I1264" s="149" t="s">
        <v>143</v>
      </c>
      <c r="J1264" s="193"/>
      <c r="K1264" s="194"/>
      <c r="L1264" s="190"/>
    </row>
    <row r="1265" spans="1:19" s="192" customFormat="1" hidden="1" x14ac:dyDescent="0.25">
      <c r="A1265" s="147" t="s">
        <v>242</v>
      </c>
      <c r="B1265" s="14">
        <v>43579</v>
      </c>
      <c r="C1265" s="195">
        <v>947</v>
      </c>
      <c r="D1265" s="149" t="s">
        <v>784</v>
      </c>
      <c r="E1265" s="147" t="s">
        <v>1121</v>
      </c>
      <c r="F1265" s="158">
        <v>266074.36</v>
      </c>
      <c r="G1265" s="150" t="s">
        <v>493</v>
      </c>
      <c r="H1265" s="148">
        <v>43573</v>
      </c>
      <c r="I1265" s="149" t="s">
        <v>143</v>
      </c>
      <c r="J1265" s="193"/>
      <c r="K1265" s="194"/>
      <c r="L1265" s="190"/>
    </row>
    <row r="1266" spans="1:19" s="192" customFormat="1" hidden="1" x14ac:dyDescent="0.25">
      <c r="A1266" s="147" t="s">
        <v>242</v>
      </c>
      <c r="B1266" s="14">
        <v>43579</v>
      </c>
      <c r="C1266" s="195">
        <v>947</v>
      </c>
      <c r="D1266" s="149" t="s">
        <v>784</v>
      </c>
      <c r="E1266" s="147" t="s">
        <v>1121</v>
      </c>
      <c r="F1266" s="158">
        <v>161386</v>
      </c>
      <c r="G1266" s="150" t="s">
        <v>52</v>
      </c>
      <c r="H1266" s="148">
        <v>43573</v>
      </c>
      <c r="I1266" s="149" t="s">
        <v>143</v>
      </c>
      <c r="J1266" s="193"/>
      <c r="K1266" s="194"/>
      <c r="L1266" s="190"/>
    </row>
    <row r="1267" spans="1:19" s="192" customFormat="1" hidden="1" x14ac:dyDescent="0.25">
      <c r="A1267" s="147" t="s">
        <v>242</v>
      </c>
      <c r="B1267" s="14">
        <v>43579</v>
      </c>
      <c r="C1267" s="195">
        <v>947</v>
      </c>
      <c r="D1267" s="149" t="s">
        <v>784</v>
      </c>
      <c r="E1267" s="147" t="s">
        <v>1121</v>
      </c>
      <c r="F1267" s="158">
        <v>146924.84</v>
      </c>
      <c r="G1267" s="150" t="s">
        <v>64</v>
      </c>
      <c r="H1267" s="148">
        <v>43573</v>
      </c>
      <c r="I1267" s="149" t="s">
        <v>143</v>
      </c>
      <c r="J1267" s="193"/>
      <c r="K1267" s="194"/>
      <c r="L1267" s="190"/>
    </row>
    <row r="1268" spans="1:19" s="192" customFormat="1" hidden="1" x14ac:dyDescent="0.25">
      <c r="A1268" s="147" t="s">
        <v>242</v>
      </c>
      <c r="B1268" s="14">
        <v>43579</v>
      </c>
      <c r="C1268" s="195">
        <v>947</v>
      </c>
      <c r="D1268" s="149" t="s">
        <v>784</v>
      </c>
      <c r="E1268" s="147" t="s">
        <v>1121</v>
      </c>
      <c r="F1268" s="158">
        <v>373096</v>
      </c>
      <c r="G1268" s="150" t="s">
        <v>13</v>
      </c>
      <c r="H1268" s="148">
        <v>43573</v>
      </c>
      <c r="I1268" s="149" t="s">
        <v>143</v>
      </c>
      <c r="J1268" s="193"/>
      <c r="K1268" s="194"/>
      <c r="L1268" s="190"/>
    </row>
    <row r="1269" spans="1:19" ht="13.95" hidden="1" customHeight="1" x14ac:dyDescent="0.25">
      <c r="A1269" s="32" t="s">
        <v>151</v>
      </c>
      <c r="B1269" s="14">
        <v>43579</v>
      </c>
      <c r="C1269" s="67">
        <v>512</v>
      </c>
      <c r="D1269" s="32" t="s">
        <v>116</v>
      </c>
      <c r="E1269" s="32" t="s">
        <v>1121</v>
      </c>
      <c r="F1269" s="4">
        <v>3458.05</v>
      </c>
      <c r="G1269" s="28" t="s">
        <v>5200</v>
      </c>
      <c r="H1269" s="14">
        <v>43555</v>
      </c>
      <c r="I1269" s="4" t="s">
        <v>118</v>
      </c>
      <c r="J1269" s="170"/>
      <c r="K1269" s="167"/>
      <c r="L1269" s="35"/>
    </row>
    <row r="1270" spans="1:19" hidden="1" x14ac:dyDescent="0.25">
      <c r="A1270" s="13" t="s">
        <v>151</v>
      </c>
      <c r="B1270" s="14">
        <v>43579</v>
      </c>
      <c r="C1270" s="13">
        <v>519</v>
      </c>
      <c r="D1270" s="13" t="s">
        <v>6944</v>
      </c>
      <c r="E1270" s="32" t="s">
        <v>1121</v>
      </c>
      <c r="F1270" s="4">
        <v>88500</v>
      </c>
      <c r="G1270" s="29" t="s">
        <v>300</v>
      </c>
      <c r="H1270" s="14">
        <v>43474</v>
      </c>
      <c r="I1270" s="4" t="s">
        <v>6945</v>
      </c>
      <c r="J1270" s="21" t="s">
        <v>6946</v>
      </c>
      <c r="L1270" s="21"/>
      <c r="M1270" s="21"/>
    </row>
    <row r="1271" spans="1:19" s="129" customFormat="1" hidden="1" x14ac:dyDescent="0.25">
      <c r="A1271" s="13" t="s">
        <v>151</v>
      </c>
      <c r="B1271" s="14">
        <v>43579</v>
      </c>
      <c r="C1271" s="28" t="s">
        <v>7169</v>
      </c>
      <c r="D1271" s="13" t="s">
        <v>401</v>
      </c>
      <c r="E1271" s="13" t="s">
        <v>1121</v>
      </c>
      <c r="F1271" s="37">
        <v>7114.25</v>
      </c>
      <c r="G1271" s="28" t="s">
        <v>4880</v>
      </c>
      <c r="H1271" s="14">
        <v>43553</v>
      </c>
      <c r="I1271" s="4" t="s">
        <v>3328</v>
      </c>
      <c r="J1271" s="133"/>
      <c r="K1271" s="275"/>
    </row>
    <row r="1272" spans="1:19" s="129" customFormat="1" ht="13.95" hidden="1" customHeight="1" x14ac:dyDescent="0.25">
      <c r="A1272" s="13" t="s">
        <v>151</v>
      </c>
      <c r="B1272" s="14">
        <v>43579</v>
      </c>
      <c r="C1272" s="28" t="s">
        <v>7169</v>
      </c>
      <c r="D1272" s="13" t="s">
        <v>401</v>
      </c>
      <c r="E1272" s="13" t="s">
        <v>1121</v>
      </c>
      <c r="F1272" s="37">
        <v>7000</v>
      </c>
      <c r="G1272" s="28" t="s">
        <v>6757</v>
      </c>
      <c r="H1272" s="14">
        <v>43553</v>
      </c>
      <c r="I1272" s="4" t="s">
        <v>6755</v>
      </c>
      <c r="J1272" s="22"/>
      <c r="K1272" s="136"/>
    </row>
    <row r="1273" spans="1:19" hidden="1" x14ac:dyDescent="0.25">
      <c r="A1273" s="32" t="s">
        <v>151</v>
      </c>
      <c r="B1273" s="14">
        <v>43579</v>
      </c>
      <c r="C1273" s="13">
        <v>520</v>
      </c>
      <c r="D1273" s="13" t="s">
        <v>223</v>
      </c>
      <c r="E1273" s="13" t="s">
        <v>1121</v>
      </c>
      <c r="F1273" s="4">
        <v>22680</v>
      </c>
      <c r="G1273" s="28" t="s">
        <v>308</v>
      </c>
      <c r="H1273" s="14">
        <v>43564</v>
      </c>
      <c r="I1273" s="4" t="s">
        <v>3072</v>
      </c>
      <c r="J1273" s="76"/>
      <c r="K1273" s="246"/>
    </row>
    <row r="1274" spans="1:19" s="129" customFormat="1" ht="13.95" hidden="1" customHeight="1" x14ac:dyDescent="0.25">
      <c r="A1274" s="13" t="s">
        <v>151</v>
      </c>
      <c r="B1274" s="14">
        <v>43579</v>
      </c>
      <c r="C1274" s="28" t="s">
        <v>1746</v>
      </c>
      <c r="D1274" s="13" t="s">
        <v>1078</v>
      </c>
      <c r="E1274" s="13" t="s">
        <v>22</v>
      </c>
      <c r="F1274" s="37">
        <v>10200</v>
      </c>
      <c r="G1274" s="28" t="s">
        <v>3427</v>
      </c>
      <c r="H1274" s="14">
        <v>43553</v>
      </c>
      <c r="I1274" s="4" t="s">
        <v>6755</v>
      </c>
      <c r="J1274" s="22"/>
      <c r="K1274" s="136"/>
    </row>
    <row r="1275" spans="1:19" s="129" customFormat="1" ht="13.95" hidden="1" customHeight="1" x14ac:dyDescent="0.25">
      <c r="A1275" s="13" t="s">
        <v>151</v>
      </c>
      <c r="B1275" s="14">
        <v>43579</v>
      </c>
      <c r="C1275" s="28" t="s">
        <v>1746</v>
      </c>
      <c r="D1275" s="13" t="s">
        <v>1078</v>
      </c>
      <c r="E1275" s="13" t="s">
        <v>22</v>
      </c>
      <c r="F1275" s="37">
        <v>4446.34</v>
      </c>
      <c r="G1275" s="28" t="s">
        <v>504</v>
      </c>
      <c r="H1275" s="14">
        <v>43529</v>
      </c>
      <c r="I1275" s="4" t="s">
        <v>6756</v>
      </c>
      <c r="J1275" s="22"/>
      <c r="K1275" s="136"/>
    </row>
    <row r="1276" spans="1:19" s="97" customFormat="1" hidden="1" x14ac:dyDescent="0.25">
      <c r="A1276" s="13" t="s">
        <v>151</v>
      </c>
      <c r="B1276" s="14">
        <v>43579</v>
      </c>
      <c r="C1276" s="13">
        <v>114</v>
      </c>
      <c r="D1276" s="13" t="s">
        <v>6551</v>
      </c>
      <c r="E1276" s="13" t="s">
        <v>22</v>
      </c>
      <c r="F1276" s="4">
        <v>8800</v>
      </c>
      <c r="G1276" s="29" t="s">
        <v>459</v>
      </c>
      <c r="H1276" s="14">
        <v>43566</v>
      </c>
      <c r="I1276" s="4" t="s">
        <v>6754</v>
      </c>
      <c r="J1276" s="358"/>
      <c r="K1276" s="473"/>
      <c r="L1276" s="134"/>
    </row>
    <row r="1277" spans="1:19" s="192" customFormat="1" ht="27.6" hidden="1" x14ac:dyDescent="0.25">
      <c r="A1277" s="147" t="s">
        <v>242</v>
      </c>
      <c r="B1277" s="164">
        <v>43579</v>
      </c>
      <c r="C1277" s="187">
        <v>700</v>
      </c>
      <c r="D1277" s="149" t="s">
        <v>388</v>
      </c>
      <c r="E1277" s="147" t="s">
        <v>7168</v>
      </c>
      <c r="F1277" s="158">
        <v>927303.2</v>
      </c>
      <c r="G1277" s="150" t="s">
        <v>77</v>
      </c>
      <c r="H1277" s="148">
        <v>43573</v>
      </c>
      <c r="I1277" s="149" t="s">
        <v>143</v>
      </c>
      <c r="J1277" s="193"/>
      <c r="K1277" s="194"/>
      <c r="L1277" s="190"/>
    </row>
    <row r="1278" spans="1:19" ht="55.2" hidden="1" x14ac:dyDescent="0.25">
      <c r="A1278" s="13" t="s">
        <v>1422</v>
      </c>
      <c r="B1278" s="14">
        <v>43579</v>
      </c>
      <c r="C1278" s="13">
        <v>303</v>
      </c>
      <c r="D1278" s="13" t="s">
        <v>6989</v>
      </c>
      <c r="E1278" s="13" t="s">
        <v>3345</v>
      </c>
      <c r="F1278" s="4">
        <v>140927.93</v>
      </c>
      <c r="G1278" s="69" t="s">
        <v>6990</v>
      </c>
      <c r="H1278" s="14"/>
      <c r="I1278" s="4" t="s">
        <v>6991</v>
      </c>
      <c r="J1278" s="169"/>
    </row>
    <row r="1279" spans="1:19" s="62" customFormat="1" ht="15" hidden="1" customHeight="1" x14ac:dyDescent="0.25">
      <c r="A1279" s="13" t="s">
        <v>125</v>
      </c>
      <c r="B1279" s="14">
        <v>43579</v>
      </c>
      <c r="C1279" s="13">
        <v>499</v>
      </c>
      <c r="D1279" s="13" t="s">
        <v>156</v>
      </c>
      <c r="E1279" s="13" t="s">
        <v>547</v>
      </c>
      <c r="F1279" s="37">
        <v>5012.8</v>
      </c>
      <c r="G1279" s="29" t="s">
        <v>6690</v>
      </c>
      <c r="H1279" s="14">
        <v>43563</v>
      </c>
      <c r="I1279" s="4" t="s">
        <v>1561</v>
      </c>
      <c r="J1279" s="456" t="s">
        <v>366</v>
      </c>
      <c r="O1279" s="35"/>
      <c r="P1279" s="35"/>
      <c r="Q1279" s="35"/>
      <c r="R1279" s="35"/>
      <c r="S1279" s="35"/>
    </row>
    <row r="1280" spans="1:19" ht="15" hidden="1" customHeight="1" x14ac:dyDescent="0.25">
      <c r="A1280" s="68" t="s">
        <v>166</v>
      </c>
      <c r="B1280" s="14">
        <v>43579</v>
      </c>
      <c r="C1280" s="67">
        <v>56</v>
      </c>
      <c r="D1280" s="32" t="s">
        <v>156</v>
      </c>
      <c r="E1280" s="32" t="s">
        <v>76</v>
      </c>
      <c r="F1280" s="4">
        <v>31785.19</v>
      </c>
      <c r="G1280" s="28" t="s">
        <v>6402</v>
      </c>
      <c r="H1280" s="14">
        <v>43553</v>
      </c>
      <c r="I1280" s="4" t="s">
        <v>752</v>
      </c>
      <c r="J1280" s="166" t="s">
        <v>597</v>
      </c>
      <c r="K1280" s="167"/>
      <c r="L1280" s="35"/>
    </row>
    <row r="1281" spans="1:17" ht="15" hidden="1" customHeight="1" x14ac:dyDescent="0.25">
      <c r="A1281" s="68" t="s">
        <v>206</v>
      </c>
      <c r="B1281" s="14">
        <v>43579</v>
      </c>
      <c r="C1281" s="13">
        <v>73</v>
      </c>
      <c r="D1281" s="32" t="s">
        <v>281</v>
      </c>
      <c r="E1281" s="32" t="s">
        <v>178</v>
      </c>
      <c r="F1281" s="4">
        <v>15603</v>
      </c>
      <c r="G1281" s="29" t="s">
        <v>5507</v>
      </c>
      <c r="H1281" s="14">
        <v>43536</v>
      </c>
      <c r="I1281" s="41" t="s">
        <v>847</v>
      </c>
      <c r="J1281" s="35" t="s">
        <v>771</v>
      </c>
      <c r="K1281" s="35"/>
      <c r="L1281" s="35"/>
    </row>
    <row r="1282" spans="1:17" ht="15" hidden="1" customHeight="1" x14ac:dyDescent="0.25">
      <c r="A1282" s="32" t="s">
        <v>455</v>
      </c>
      <c r="B1282" s="14">
        <v>43579</v>
      </c>
      <c r="C1282" s="13">
        <v>302</v>
      </c>
      <c r="D1282" s="32" t="s">
        <v>281</v>
      </c>
      <c r="E1282" s="32" t="s">
        <v>440</v>
      </c>
      <c r="F1282" s="4">
        <v>349936</v>
      </c>
      <c r="G1282" s="29" t="s">
        <v>5510</v>
      </c>
      <c r="H1282" s="14">
        <v>43537</v>
      </c>
      <c r="I1282" s="41" t="s">
        <v>847</v>
      </c>
      <c r="J1282" s="35" t="s">
        <v>771</v>
      </c>
      <c r="K1282" s="35"/>
      <c r="L1282" s="35"/>
    </row>
    <row r="1283" spans="1:17" ht="15" hidden="1" customHeight="1" x14ac:dyDescent="0.25">
      <c r="A1283" s="32" t="s">
        <v>310</v>
      </c>
      <c r="B1283" s="14">
        <v>43579</v>
      </c>
      <c r="C1283" s="13">
        <v>125</v>
      </c>
      <c r="D1283" s="32" t="s">
        <v>281</v>
      </c>
      <c r="E1283" s="32" t="s">
        <v>314</v>
      </c>
      <c r="F1283" s="4">
        <v>323686</v>
      </c>
      <c r="G1283" s="29" t="s">
        <v>5501</v>
      </c>
      <c r="H1283" s="14">
        <v>43536</v>
      </c>
      <c r="I1283" s="41" t="s">
        <v>847</v>
      </c>
      <c r="J1283" s="35" t="s">
        <v>771</v>
      </c>
      <c r="K1283" s="35"/>
      <c r="L1283" s="35"/>
    </row>
    <row r="1284" spans="1:17" ht="15" hidden="1" customHeight="1" x14ac:dyDescent="0.25">
      <c r="A1284" s="32" t="s">
        <v>311</v>
      </c>
      <c r="B1284" s="14">
        <v>43579</v>
      </c>
      <c r="C1284" s="13">
        <v>218</v>
      </c>
      <c r="D1284" s="32" t="s">
        <v>281</v>
      </c>
      <c r="E1284" s="32" t="s">
        <v>408</v>
      </c>
      <c r="F1284" s="4">
        <v>460955</v>
      </c>
      <c r="G1284" s="29" t="s">
        <v>5504</v>
      </c>
      <c r="H1284" s="14">
        <v>43536</v>
      </c>
      <c r="I1284" s="41" t="s">
        <v>847</v>
      </c>
      <c r="J1284" s="35" t="s">
        <v>771</v>
      </c>
      <c r="K1284" s="35"/>
      <c r="L1284" s="35"/>
    </row>
    <row r="1285" spans="1:17" ht="27.6" hidden="1" x14ac:dyDescent="0.25">
      <c r="A1285" s="32" t="s">
        <v>534</v>
      </c>
      <c r="B1285" s="14">
        <v>43579</v>
      </c>
      <c r="C1285" s="67">
        <v>333</v>
      </c>
      <c r="D1285" s="32" t="s">
        <v>373</v>
      </c>
      <c r="E1285" s="32" t="s">
        <v>2021</v>
      </c>
      <c r="F1285" s="4">
        <v>56761.78</v>
      </c>
      <c r="G1285" s="28" t="s">
        <v>5574</v>
      </c>
      <c r="H1285" s="14">
        <v>43459</v>
      </c>
      <c r="I1285" s="4" t="s">
        <v>362</v>
      </c>
      <c r="J1285" s="166" t="s">
        <v>327</v>
      </c>
      <c r="K1285" s="167"/>
      <c r="L1285" s="35"/>
    </row>
    <row r="1286" spans="1:17" ht="27.6" hidden="1" x14ac:dyDescent="0.25">
      <c r="A1286" s="32" t="s">
        <v>536</v>
      </c>
      <c r="B1286" s="14">
        <v>43579</v>
      </c>
      <c r="C1286" s="67">
        <v>334</v>
      </c>
      <c r="D1286" s="32" t="s">
        <v>373</v>
      </c>
      <c r="E1286" s="32" t="s">
        <v>2021</v>
      </c>
      <c r="F1286" s="4">
        <v>896493.98</v>
      </c>
      <c r="G1286" s="28" t="s">
        <v>5576</v>
      </c>
      <c r="H1286" s="14">
        <v>43459</v>
      </c>
      <c r="I1286" s="4" t="s">
        <v>362</v>
      </c>
      <c r="J1286" s="166" t="s">
        <v>239</v>
      </c>
      <c r="K1286" s="167"/>
      <c r="L1286" s="35"/>
    </row>
    <row r="1287" spans="1:17" s="97" customFormat="1" hidden="1" x14ac:dyDescent="0.25">
      <c r="A1287" s="14" t="s">
        <v>151</v>
      </c>
      <c r="B1287" s="14">
        <v>43579</v>
      </c>
      <c r="C1287" s="13">
        <v>693</v>
      </c>
      <c r="D1287" s="13" t="s">
        <v>1751</v>
      </c>
      <c r="E1287" s="13" t="s">
        <v>130</v>
      </c>
      <c r="F1287" s="37">
        <v>3939.88</v>
      </c>
      <c r="G1287" s="29" t="s">
        <v>6800</v>
      </c>
      <c r="H1287" s="14">
        <v>43552</v>
      </c>
      <c r="I1287" s="4" t="s">
        <v>1383</v>
      </c>
      <c r="J1287" s="22" t="s">
        <v>771</v>
      </c>
      <c r="K1287" s="22"/>
      <c r="L1287" s="134"/>
    </row>
    <row r="1288" spans="1:17" hidden="1" x14ac:dyDescent="0.25">
      <c r="A1288" s="32" t="s">
        <v>639</v>
      </c>
      <c r="B1288" s="126">
        <v>43579</v>
      </c>
      <c r="C1288" s="13">
        <v>305</v>
      </c>
      <c r="D1288" s="32" t="s">
        <v>219</v>
      </c>
      <c r="E1288" s="13" t="s">
        <v>691</v>
      </c>
      <c r="F1288" s="4">
        <v>600000</v>
      </c>
      <c r="G1288" s="29" t="s">
        <v>1878</v>
      </c>
      <c r="H1288" s="211"/>
      <c r="I1288" s="4" t="s">
        <v>101</v>
      </c>
      <c r="J1288" s="228"/>
      <c r="K1288" s="228"/>
    </row>
    <row r="1289" spans="1:17" hidden="1" x14ac:dyDescent="0.25">
      <c r="A1289" s="13" t="s">
        <v>637</v>
      </c>
      <c r="B1289" s="126">
        <v>43579</v>
      </c>
      <c r="C1289" s="13">
        <v>306</v>
      </c>
      <c r="D1289" s="13" t="s">
        <v>1539</v>
      </c>
      <c r="E1289" s="13" t="s">
        <v>691</v>
      </c>
      <c r="F1289" s="37">
        <v>1000000</v>
      </c>
      <c r="G1289" s="29" t="s">
        <v>1540</v>
      </c>
      <c r="H1289" s="14"/>
      <c r="I1289" s="208" t="s">
        <v>1418</v>
      </c>
      <c r="J1289" s="62"/>
      <c r="K1289" s="62"/>
      <c r="L1289" s="35"/>
      <c r="M1289" s="35"/>
      <c r="N1289" s="35"/>
      <c r="O1289" s="35"/>
      <c r="P1289" s="35"/>
    </row>
    <row r="1290" spans="1:17" hidden="1" x14ac:dyDescent="0.25">
      <c r="A1290" s="13" t="s">
        <v>637</v>
      </c>
      <c r="B1290" s="126">
        <v>43579</v>
      </c>
      <c r="C1290" s="13">
        <v>307</v>
      </c>
      <c r="D1290" s="13" t="s">
        <v>1789</v>
      </c>
      <c r="E1290" s="13" t="s">
        <v>691</v>
      </c>
      <c r="F1290" s="37">
        <v>82500</v>
      </c>
      <c r="G1290" s="29" t="s">
        <v>1791</v>
      </c>
      <c r="H1290" s="14"/>
      <c r="I1290" s="4" t="s">
        <v>1790</v>
      </c>
      <c r="J1290" s="62"/>
      <c r="K1290" s="62"/>
      <c r="L1290" s="35"/>
      <c r="M1290" s="35"/>
      <c r="N1290" s="35"/>
      <c r="O1290" s="35"/>
      <c r="P1290" s="35"/>
    </row>
    <row r="1291" spans="1:17" hidden="1" x14ac:dyDescent="0.25">
      <c r="A1291" s="13" t="s">
        <v>659</v>
      </c>
      <c r="B1291" s="126">
        <v>43579</v>
      </c>
      <c r="C1291" s="13">
        <v>308</v>
      </c>
      <c r="D1291" s="32" t="s">
        <v>6985</v>
      </c>
      <c r="E1291" s="13" t="s">
        <v>691</v>
      </c>
      <c r="F1291" s="4">
        <v>1000000</v>
      </c>
      <c r="G1291" s="29" t="s">
        <v>2029</v>
      </c>
      <c r="H1291" s="14">
        <v>43573</v>
      </c>
      <c r="I1291" s="4" t="s">
        <v>6986</v>
      </c>
      <c r="J1291" s="62"/>
      <c r="K1291" s="62"/>
      <c r="L1291" s="35"/>
      <c r="M1291" s="35"/>
      <c r="N1291" s="35"/>
      <c r="O1291" s="35"/>
      <c r="P1291" s="35"/>
    </row>
    <row r="1292" spans="1:17" ht="13.95" hidden="1" customHeight="1" x14ac:dyDescent="0.25">
      <c r="A1292" s="13" t="s">
        <v>637</v>
      </c>
      <c r="B1292" s="126">
        <v>43579</v>
      </c>
      <c r="C1292" s="13">
        <v>312</v>
      </c>
      <c r="D1292" s="13" t="s">
        <v>1035</v>
      </c>
      <c r="E1292" s="13" t="s">
        <v>691</v>
      </c>
      <c r="F1292" s="4">
        <v>317500</v>
      </c>
      <c r="G1292" s="210" t="s">
        <v>6972</v>
      </c>
      <c r="H1292" s="211"/>
      <c r="I1292" s="4" t="s">
        <v>218</v>
      </c>
      <c r="J1292" s="21"/>
      <c r="K1292" s="228"/>
    </row>
    <row r="1293" spans="1:17" hidden="1" x14ac:dyDescent="0.25">
      <c r="A1293" s="13" t="s">
        <v>637</v>
      </c>
      <c r="B1293" s="126">
        <v>43579</v>
      </c>
      <c r="C1293" s="13">
        <v>309</v>
      </c>
      <c r="D1293" s="13" t="s">
        <v>1552</v>
      </c>
      <c r="E1293" s="13" t="s">
        <v>691</v>
      </c>
      <c r="F1293" s="37">
        <v>2500000</v>
      </c>
      <c r="G1293" s="29" t="s">
        <v>1553</v>
      </c>
      <c r="H1293" s="14"/>
      <c r="I1293" s="208" t="s">
        <v>1554</v>
      </c>
      <c r="J1293" s="62"/>
      <c r="K1293" s="62"/>
      <c r="L1293" s="35"/>
      <c r="M1293" s="35"/>
      <c r="N1293" s="35"/>
      <c r="O1293" s="35"/>
      <c r="P1293" s="35"/>
    </row>
    <row r="1294" spans="1:17" s="97" customFormat="1" hidden="1" x14ac:dyDescent="0.25">
      <c r="A1294" s="61" t="s">
        <v>1350</v>
      </c>
      <c r="B1294" s="126">
        <v>43579</v>
      </c>
      <c r="C1294" s="13">
        <v>310</v>
      </c>
      <c r="D1294" s="13" t="s">
        <v>740</v>
      </c>
      <c r="E1294" s="13" t="s">
        <v>691</v>
      </c>
      <c r="F1294" s="4">
        <v>1318710</v>
      </c>
      <c r="G1294" s="28" t="s">
        <v>6473</v>
      </c>
      <c r="H1294" s="14">
        <v>43538</v>
      </c>
      <c r="I1294" s="4" t="s">
        <v>1876</v>
      </c>
      <c r="J1294" s="133"/>
      <c r="K1294" s="22"/>
      <c r="L1294" s="134"/>
    </row>
    <row r="1295" spans="1:17" s="97" customFormat="1" hidden="1" x14ac:dyDescent="0.25">
      <c r="A1295" s="32" t="s">
        <v>1350</v>
      </c>
      <c r="B1295" s="126">
        <v>43579</v>
      </c>
      <c r="C1295" s="13">
        <v>311</v>
      </c>
      <c r="D1295" s="13" t="s">
        <v>589</v>
      </c>
      <c r="E1295" s="13" t="s">
        <v>691</v>
      </c>
      <c r="F1295" s="4">
        <v>816000</v>
      </c>
      <c r="G1295" s="29" t="s">
        <v>5647</v>
      </c>
      <c r="H1295" s="14">
        <v>43542</v>
      </c>
      <c r="I1295" s="4" t="s">
        <v>1397</v>
      </c>
      <c r="J1295" s="133"/>
      <c r="K1295" s="22"/>
      <c r="L1295" s="134"/>
    </row>
    <row r="1296" spans="1:17" ht="13.95" hidden="1" customHeight="1" x14ac:dyDescent="0.25">
      <c r="A1296" s="13" t="s">
        <v>455</v>
      </c>
      <c r="B1296" s="14">
        <v>43579</v>
      </c>
      <c r="C1296" s="13">
        <v>381</v>
      </c>
      <c r="D1296" s="32" t="s">
        <v>194</v>
      </c>
      <c r="E1296" s="32" t="s">
        <v>958</v>
      </c>
      <c r="F1296" s="37">
        <v>2500000</v>
      </c>
      <c r="G1296" s="69" t="s">
        <v>4446</v>
      </c>
      <c r="H1296" s="14"/>
      <c r="I1296" s="41" t="s">
        <v>4445</v>
      </c>
      <c r="J1296" s="71"/>
      <c r="K1296" s="62"/>
      <c r="L1296" s="62"/>
      <c r="M1296" s="35"/>
      <c r="N1296" s="35"/>
      <c r="O1296" s="35"/>
      <c r="P1296" s="35"/>
      <c r="Q1296" s="35"/>
    </row>
    <row r="1297" spans="1:19" s="97" customFormat="1" hidden="1" x14ac:dyDescent="0.25">
      <c r="A1297" s="61" t="s">
        <v>455</v>
      </c>
      <c r="B1297" s="14">
        <v>43579</v>
      </c>
      <c r="C1297" s="13">
        <v>382</v>
      </c>
      <c r="D1297" s="13" t="s">
        <v>539</v>
      </c>
      <c r="E1297" s="13" t="s">
        <v>958</v>
      </c>
      <c r="F1297" s="4">
        <v>857600</v>
      </c>
      <c r="G1297" s="28" t="s">
        <v>6483</v>
      </c>
      <c r="H1297" s="14">
        <v>43560</v>
      </c>
      <c r="I1297" s="4" t="s">
        <v>765</v>
      </c>
      <c r="J1297" s="133"/>
      <c r="K1297" s="22"/>
      <c r="L1297" s="134"/>
    </row>
    <row r="1298" spans="1:19" s="62" customFormat="1" hidden="1" x14ac:dyDescent="0.25">
      <c r="A1298" s="32" t="s">
        <v>455</v>
      </c>
      <c r="B1298" s="14">
        <v>43579</v>
      </c>
      <c r="C1298" s="13">
        <v>383</v>
      </c>
      <c r="D1298" s="13" t="s">
        <v>5053</v>
      </c>
      <c r="E1298" s="13" t="s">
        <v>958</v>
      </c>
      <c r="F1298" s="101">
        <f>880236-653.5</f>
        <v>879582.5</v>
      </c>
      <c r="G1298" s="189" t="s">
        <v>5059</v>
      </c>
      <c r="H1298" s="14">
        <v>43509</v>
      </c>
      <c r="I1298" s="4" t="s">
        <v>5036</v>
      </c>
      <c r="J1298" s="133"/>
      <c r="K1298" s="22"/>
      <c r="L1298" s="71"/>
      <c r="M1298" s="170"/>
      <c r="N1298" s="71"/>
      <c r="O1298" s="71"/>
      <c r="P1298" s="35"/>
      <c r="Q1298" s="35"/>
      <c r="R1298" s="35"/>
      <c r="S1298" s="35"/>
    </row>
    <row r="1299" spans="1:19" s="97" customFormat="1" hidden="1" x14ac:dyDescent="0.25">
      <c r="A1299" s="61" t="s">
        <v>455</v>
      </c>
      <c r="B1299" s="14">
        <v>43579</v>
      </c>
      <c r="C1299" s="13">
        <v>384</v>
      </c>
      <c r="D1299" s="13" t="s">
        <v>6642</v>
      </c>
      <c r="E1299" s="13" t="s">
        <v>958</v>
      </c>
      <c r="F1299" s="37">
        <v>829836</v>
      </c>
      <c r="G1299" s="29" t="s">
        <v>98</v>
      </c>
      <c r="H1299" s="14">
        <v>43558</v>
      </c>
      <c r="I1299" s="4" t="s">
        <v>443</v>
      </c>
      <c r="J1299" s="133"/>
      <c r="K1299" s="22"/>
      <c r="L1299" s="134"/>
    </row>
    <row r="1300" spans="1:19" s="97" customFormat="1" hidden="1" x14ac:dyDescent="0.25">
      <c r="A1300" s="32" t="s">
        <v>455</v>
      </c>
      <c r="B1300" s="14">
        <v>43579</v>
      </c>
      <c r="C1300" s="13">
        <v>385</v>
      </c>
      <c r="D1300" s="13" t="s">
        <v>589</v>
      </c>
      <c r="E1300" s="13" t="s">
        <v>958</v>
      </c>
      <c r="F1300" s="327">
        <f>830000-152150.5</f>
        <v>677849.5</v>
      </c>
      <c r="G1300" s="29" t="s">
        <v>5648</v>
      </c>
      <c r="H1300" s="14">
        <v>43543</v>
      </c>
      <c r="I1300" s="4" t="s">
        <v>443</v>
      </c>
      <c r="J1300" s="133"/>
      <c r="K1300" s="22"/>
      <c r="L1300" s="134"/>
    </row>
    <row r="1301" spans="1:19" s="62" customFormat="1" x14ac:dyDescent="0.25">
      <c r="A1301" s="32" t="s">
        <v>455</v>
      </c>
      <c r="B1301" s="14">
        <v>43579</v>
      </c>
      <c r="C1301" s="13">
        <v>386</v>
      </c>
      <c r="D1301" s="13" t="s">
        <v>243</v>
      </c>
      <c r="E1301" s="13" t="s">
        <v>958</v>
      </c>
      <c r="F1301" s="101">
        <f>836700.26-132896.94</f>
        <v>703803.32000000007</v>
      </c>
      <c r="G1301" s="189" t="s">
        <v>85</v>
      </c>
      <c r="H1301" s="14">
        <v>43511</v>
      </c>
      <c r="I1301" s="4" t="s">
        <v>5115</v>
      </c>
      <c r="J1301" s="133"/>
      <c r="K1301" s="22"/>
      <c r="L1301" s="71"/>
      <c r="M1301" s="170"/>
      <c r="N1301" s="71"/>
      <c r="O1301" s="71"/>
      <c r="P1301" s="35"/>
      <c r="Q1301" s="35"/>
      <c r="R1301" s="35"/>
      <c r="S1301" s="35"/>
    </row>
    <row r="1302" spans="1:19" s="97" customFormat="1" x14ac:dyDescent="0.25">
      <c r="A1302" s="32" t="s">
        <v>455</v>
      </c>
      <c r="B1302" s="14">
        <v>43579</v>
      </c>
      <c r="C1302" s="13">
        <v>387</v>
      </c>
      <c r="D1302" s="13" t="s">
        <v>243</v>
      </c>
      <c r="E1302" s="13" t="s">
        <v>958</v>
      </c>
      <c r="F1302" s="4">
        <v>883731</v>
      </c>
      <c r="G1302" s="29" t="s">
        <v>3512</v>
      </c>
      <c r="H1302" s="14">
        <v>43539</v>
      </c>
      <c r="I1302" s="4" t="s">
        <v>421</v>
      </c>
      <c r="J1302" s="133"/>
      <c r="K1302" s="22"/>
      <c r="L1302" s="134"/>
    </row>
    <row r="1303" spans="1:19" s="97" customFormat="1" hidden="1" x14ac:dyDescent="0.25">
      <c r="A1303" s="14" t="s">
        <v>151</v>
      </c>
      <c r="B1303" s="14">
        <v>43579</v>
      </c>
      <c r="C1303" s="13">
        <v>388</v>
      </c>
      <c r="D1303" s="13" t="s">
        <v>6148</v>
      </c>
      <c r="E1303" s="13" t="s">
        <v>958</v>
      </c>
      <c r="F1303" s="37">
        <v>6710.4</v>
      </c>
      <c r="G1303" s="29" t="s">
        <v>6801</v>
      </c>
      <c r="H1303" s="14">
        <v>43524</v>
      </c>
      <c r="I1303" s="4" t="s">
        <v>1383</v>
      </c>
      <c r="J1303" s="22" t="s">
        <v>771</v>
      </c>
      <c r="K1303" s="22"/>
      <c r="L1303" s="134"/>
    </row>
    <row r="1304" spans="1:19" s="97" customFormat="1" hidden="1" x14ac:dyDescent="0.25">
      <c r="A1304" s="61" t="s">
        <v>442</v>
      </c>
      <c r="B1304" s="14">
        <v>43579</v>
      </c>
      <c r="C1304" s="13">
        <v>734</v>
      </c>
      <c r="D1304" s="13" t="s">
        <v>740</v>
      </c>
      <c r="E1304" s="13" t="s">
        <v>62</v>
      </c>
      <c r="F1304" s="4">
        <v>193920</v>
      </c>
      <c r="G1304" s="29" t="s">
        <v>4916</v>
      </c>
      <c r="H1304" s="14">
        <v>43514</v>
      </c>
      <c r="I1304" s="4" t="s">
        <v>4917</v>
      </c>
      <c r="J1304" s="133"/>
      <c r="K1304" s="22"/>
      <c r="L1304" s="134"/>
    </row>
    <row r="1305" spans="1:19" s="97" customFormat="1" hidden="1" x14ac:dyDescent="0.25">
      <c r="A1305" s="61" t="s">
        <v>442</v>
      </c>
      <c r="B1305" s="14">
        <v>43579</v>
      </c>
      <c r="C1305" s="13">
        <v>736</v>
      </c>
      <c r="D1305" s="13" t="s">
        <v>5709</v>
      </c>
      <c r="E1305" s="13" t="s">
        <v>62</v>
      </c>
      <c r="F1305" s="37">
        <f>684247.2-250000</f>
        <v>434247.19999999995</v>
      </c>
      <c r="G1305" s="29" t="s">
        <v>6610</v>
      </c>
      <c r="H1305" s="14">
        <v>43544</v>
      </c>
      <c r="I1305" s="4" t="s">
        <v>6611</v>
      </c>
      <c r="J1305" s="133"/>
      <c r="K1305" s="170"/>
      <c r="L1305" s="134"/>
    </row>
    <row r="1306" spans="1:19" s="97" customFormat="1" hidden="1" x14ac:dyDescent="0.25">
      <c r="A1306" s="61" t="s">
        <v>442</v>
      </c>
      <c r="B1306" s="14">
        <v>43579</v>
      </c>
      <c r="C1306" s="13">
        <v>735</v>
      </c>
      <c r="D1306" s="13" t="s">
        <v>5709</v>
      </c>
      <c r="E1306" s="13" t="s">
        <v>62</v>
      </c>
      <c r="F1306" s="37">
        <f>280056</f>
        <v>280056</v>
      </c>
      <c r="G1306" s="29" t="s">
        <v>6538</v>
      </c>
      <c r="H1306" s="14">
        <v>43563</v>
      </c>
      <c r="I1306" s="4" t="s">
        <v>5048</v>
      </c>
      <c r="J1306" s="133"/>
      <c r="K1306" s="22"/>
      <c r="L1306" s="134"/>
    </row>
    <row r="1307" spans="1:19" s="97" customFormat="1" hidden="1" x14ac:dyDescent="0.25">
      <c r="A1307" s="32" t="s">
        <v>1316</v>
      </c>
      <c r="B1307" s="14">
        <v>43579</v>
      </c>
      <c r="C1307" s="13">
        <v>747</v>
      </c>
      <c r="D1307" s="13" t="s">
        <v>740</v>
      </c>
      <c r="E1307" s="13" t="s">
        <v>808</v>
      </c>
      <c r="F1307" s="4">
        <v>265000</v>
      </c>
      <c r="G1307" s="28" t="s">
        <v>6470</v>
      </c>
      <c r="H1307" s="14">
        <v>43518</v>
      </c>
      <c r="I1307" s="4" t="s">
        <v>6471</v>
      </c>
      <c r="J1307" s="133"/>
      <c r="K1307" s="22"/>
      <c r="L1307" s="134"/>
    </row>
    <row r="1308" spans="1:19" s="97" customFormat="1" hidden="1" x14ac:dyDescent="0.25">
      <c r="A1308" s="61" t="s">
        <v>1148</v>
      </c>
      <c r="B1308" s="14">
        <v>43579</v>
      </c>
      <c r="C1308" s="13">
        <v>747</v>
      </c>
      <c r="D1308" s="13" t="s">
        <v>740</v>
      </c>
      <c r="E1308" s="13" t="s">
        <v>808</v>
      </c>
      <c r="F1308" s="4">
        <v>142500</v>
      </c>
      <c r="G1308" s="28" t="s">
        <v>6472</v>
      </c>
      <c r="H1308" s="14">
        <v>43537</v>
      </c>
      <c r="I1308" s="4" t="s">
        <v>2535</v>
      </c>
      <c r="J1308" s="133"/>
      <c r="K1308" s="22"/>
      <c r="L1308" s="134"/>
    </row>
    <row r="1309" spans="1:19" s="97" customFormat="1" hidden="1" x14ac:dyDescent="0.25">
      <c r="A1309" s="13" t="s">
        <v>1148</v>
      </c>
      <c r="B1309" s="14">
        <v>43579</v>
      </c>
      <c r="C1309" s="13">
        <v>743</v>
      </c>
      <c r="D1309" s="13" t="s">
        <v>487</v>
      </c>
      <c r="E1309" s="13" t="s">
        <v>808</v>
      </c>
      <c r="F1309" s="4">
        <v>431000</v>
      </c>
      <c r="G1309" s="29" t="s">
        <v>2963</v>
      </c>
      <c r="H1309" s="14">
        <v>43514</v>
      </c>
      <c r="I1309" s="4" t="s">
        <v>421</v>
      </c>
      <c r="J1309" s="133"/>
      <c r="K1309" s="22"/>
      <c r="L1309" s="134"/>
    </row>
    <row r="1310" spans="1:19" s="97" customFormat="1" hidden="1" x14ac:dyDescent="0.25">
      <c r="A1310" s="32" t="s">
        <v>1147</v>
      </c>
      <c r="B1310" s="14">
        <v>43579</v>
      </c>
      <c r="C1310" s="13">
        <v>746</v>
      </c>
      <c r="D1310" s="13" t="s">
        <v>257</v>
      </c>
      <c r="E1310" s="13" t="s">
        <v>808</v>
      </c>
      <c r="F1310" s="4">
        <v>801038</v>
      </c>
      <c r="G1310" s="28" t="s">
        <v>4101</v>
      </c>
      <c r="H1310" s="14">
        <v>43502</v>
      </c>
      <c r="I1310" s="4" t="s">
        <v>1207</v>
      </c>
      <c r="J1310" s="133"/>
      <c r="K1310" s="22"/>
      <c r="L1310" s="134"/>
    </row>
    <row r="1311" spans="1:19" s="97" customFormat="1" hidden="1" x14ac:dyDescent="0.25">
      <c r="A1311" s="32" t="s">
        <v>1148</v>
      </c>
      <c r="B1311" s="14">
        <v>43579</v>
      </c>
      <c r="C1311" s="13">
        <v>746</v>
      </c>
      <c r="D1311" s="13" t="s">
        <v>257</v>
      </c>
      <c r="E1311" s="13" t="s">
        <v>808</v>
      </c>
      <c r="F1311" s="4">
        <v>880195</v>
      </c>
      <c r="G1311" s="28" t="s">
        <v>4102</v>
      </c>
      <c r="H1311" s="14">
        <v>43508</v>
      </c>
      <c r="I1311" s="4" t="s">
        <v>2722</v>
      </c>
      <c r="J1311" s="133"/>
      <c r="K1311" s="22"/>
      <c r="L1311" s="134"/>
    </row>
    <row r="1312" spans="1:19" s="97" customFormat="1" hidden="1" x14ac:dyDescent="0.25">
      <c r="A1312" s="32" t="s">
        <v>1148</v>
      </c>
      <c r="B1312" s="14">
        <v>43579</v>
      </c>
      <c r="C1312" s="13">
        <v>746</v>
      </c>
      <c r="D1312" s="13" t="s">
        <v>257</v>
      </c>
      <c r="E1312" s="13" t="s">
        <v>808</v>
      </c>
      <c r="F1312" s="4">
        <v>882390</v>
      </c>
      <c r="G1312" s="28" t="s">
        <v>4103</v>
      </c>
      <c r="H1312" s="14">
        <v>43508</v>
      </c>
      <c r="I1312" s="4" t="s">
        <v>1207</v>
      </c>
      <c r="J1312" s="133"/>
      <c r="K1312" s="22"/>
      <c r="L1312" s="134"/>
    </row>
    <row r="1313" spans="1:19" s="97" customFormat="1" hidden="1" x14ac:dyDescent="0.25">
      <c r="A1313" s="61" t="s">
        <v>1148</v>
      </c>
      <c r="B1313" s="14">
        <v>43579</v>
      </c>
      <c r="C1313" s="13">
        <v>746</v>
      </c>
      <c r="D1313" s="13" t="s">
        <v>257</v>
      </c>
      <c r="E1313" s="13" t="s">
        <v>808</v>
      </c>
      <c r="F1313" s="4">
        <v>878439</v>
      </c>
      <c r="G1313" s="29" t="s">
        <v>4685</v>
      </c>
      <c r="H1313" s="14">
        <v>43509</v>
      </c>
      <c r="I1313" s="4" t="s">
        <v>1207</v>
      </c>
      <c r="J1313" s="133"/>
      <c r="K1313" s="22"/>
      <c r="L1313" s="134"/>
    </row>
    <row r="1314" spans="1:19" s="97" customFormat="1" hidden="1" x14ac:dyDescent="0.25">
      <c r="A1314" s="61" t="s">
        <v>659</v>
      </c>
      <c r="B1314" s="14">
        <v>43579</v>
      </c>
      <c r="C1314" s="13">
        <v>744</v>
      </c>
      <c r="D1314" s="13" t="s">
        <v>539</v>
      </c>
      <c r="E1314" s="13" t="s">
        <v>808</v>
      </c>
      <c r="F1314" s="37">
        <v>872010</v>
      </c>
      <c r="G1314" s="29" t="s">
        <v>1711</v>
      </c>
      <c r="H1314" s="14">
        <v>43525</v>
      </c>
      <c r="I1314" s="4" t="s">
        <v>3429</v>
      </c>
      <c r="J1314" s="133"/>
      <c r="K1314" s="22"/>
      <c r="L1314" s="134"/>
    </row>
    <row r="1315" spans="1:19" s="97" customFormat="1" hidden="1" x14ac:dyDescent="0.25">
      <c r="A1315" s="61" t="s">
        <v>1316</v>
      </c>
      <c r="B1315" s="14">
        <v>43579</v>
      </c>
      <c r="C1315" s="13">
        <v>748</v>
      </c>
      <c r="D1315" s="13" t="s">
        <v>589</v>
      </c>
      <c r="E1315" s="13" t="s">
        <v>808</v>
      </c>
      <c r="F1315" s="4">
        <v>885350</v>
      </c>
      <c r="G1315" s="29" t="s">
        <v>4925</v>
      </c>
      <c r="H1315" s="14">
        <v>43525</v>
      </c>
      <c r="I1315" s="4" t="s">
        <v>4926</v>
      </c>
      <c r="J1315" s="133"/>
      <c r="K1315" s="22"/>
      <c r="L1315" s="134"/>
    </row>
    <row r="1316" spans="1:19" s="97" customFormat="1" hidden="1" x14ac:dyDescent="0.25">
      <c r="A1316" s="61" t="s">
        <v>1148</v>
      </c>
      <c r="B1316" s="14">
        <v>43579</v>
      </c>
      <c r="C1316" s="13">
        <v>748</v>
      </c>
      <c r="D1316" s="13" t="s">
        <v>589</v>
      </c>
      <c r="E1316" s="13" t="s">
        <v>808</v>
      </c>
      <c r="F1316" s="4">
        <v>845700</v>
      </c>
      <c r="G1316" s="29" t="s">
        <v>5388</v>
      </c>
      <c r="H1316" s="14">
        <v>43535</v>
      </c>
      <c r="I1316" s="4" t="s">
        <v>1883</v>
      </c>
      <c r="J1316" s="133"/>
      <c r="K1316" s="22"/>
      <c r="L1316" s="134"/>
    </row>
    <row r="1317" spans="1:19" s="97" customFormat="1" hidden="1" x14ac:dyDescent="0.25">
      <c r="A1317" s="32" t="s">
        <v>659</v>
      </c>
      <c r="B1317" s="14">
        <v>43579</v>
      </c>
      <c r="C1317" s="13">
        <v>748</v>
      </c>
      <c r="D1317" s="13" t="s">
        <v>589</v>
      </c>
      <c r="E1317" s="13" t="s">
        <v>808</v>
      </c>
      <c r="F1317" s="4">
        <v>851345</v>
      </c>
      <c r="G1317" s="29" t="s">
        <v>5645</v>
      </c>
      <c r="H1317" s="14">
        <v>43542</v>
      </c>
      <c r="I1317" s="4" t="s">
        <v>5646</v>
      </c>
      <c r="J1317" s="133"/>
      <c r="K1317" s="22"/>
      <c r="L1317" s="134"/>
    </row>
    <row r="1318" spans="1:19" s="97" customFormat="1" hidden="1" x14ac:dyDescent="0.25">
      <c r="A1318" s="61" t="s">
        <v>1316</v>
      </c>
      <c r="B1318" s="14">
        <v>43579</v>
      </c>
      <c r="C1318" s="13">
        <v>745</v>
      </c>
      <c r="D1318" s="13" t="s">
        <v>5709</v>
      </c>
      <c r="E1318" s="13" t="s">
        <v>808</v>
      </c>
      <c r="F1318" s="4">
        <v>272349</v>
      </c>
      <c r="G1318" s="28" t="s">
        <v>6217</v>
      </c>
      <c r="H1318" s="14">
        <v>43550</v>
      </c>
      <c r="I1318" s="4" t="s">
        <v>5048</v>
      </c>
      <c r="J1318" s="133"/>
      <c r="K1318" s="22"/>
      <c r="L1318" s="134"/>
    </row>
    <row r="1319" spans="1:19" s="97" customFormat="1" hidden="1" x14ac:dyDescent="0.25">
      <c r="A1319" s="61" t="s">
        <v>659</v>
      </c>
      <c r="B1319" s="14">
        <v>43579</v>
      </c>
      <c r="C1319" s="13">
        <v>745</v>
      </c>
      <c r="D1319" s="13" t="s">
        <v>5709</v>
      </c>
      <c r="E1319" s="13" t="s">
        <v>808</v>
      </c>
      <c r="F1319" s="4">
        <v>42370</v>
      </c>
      <c r="G1319" s="28" t="s">
        <v>6218</v>
      </c>
      <c r="H1319" s="14">
        <v>43557</v>
      </c>
      <c r="I1319" s="4" t="s">
        <v>5048</v>
      </c>
      <c r="J1319" s="133"/>
      <c r="K1319" s="22"/>
      <c r="L1319" s="134"/>
    </row>
    <row r="1320" spans="1:19" s="97" customFormat="1" hidden="1" x14ac:dyDescent="0.25">
      <c r="A1320" s="61" t="s">
        <v>659</v>
      </c>
      <c r="B1320" s="14">
        <v>43579</v>
      </c>
      <c r="C1320" s="13">
        <v>745</v>
      </c>
      <c r="D1320" s="13" t="s">
        <v>5709</v>
      </c>
      <c r="E1320" s="13" t="s">
        <v>808</v>
      </c>
      <c r="F1320" s="37">
        <v>93603.8</v>
      </c>
      <c r="G1320" s="29" t="s">
        <v>6537</v>
      </c>
      <c r="H1320" s="14">
        <v>43560</v>
      </c>
      <c r="I1320" s="4" t="s">
        <v>5048</v>
      </c>
      <c r="J1320" s="133"/>
      <c r="K1320" s="22"/>
      <c r="L1320" s="134"/>
    </row>
    <row r="1321" spans="1:19" hidden="1" x14ac:dyDescent="0.25">
      <c r="A1321" s="32" t="s">
        <v>212</v>
      </c>
      <c r="B1321" s="14">
        <v>43579</v>
      </c>
      <c r="C1321" s="13">
        <v>377</v>
      </c>
      <c r="D1321" s="32" t="s">
        <v>212</v>
      </c>
      <c r="E1321" s="32" t="s">
        <v>136</v>
      </c>
      <c r="F1321" s="4">
        <v>177803.2</v>
      </c>
      <c r="G1321" s="28" t="s">
        <v>7220</v>
      </c>
      <c r="H1321" s="14">
        <v>41218</v>
      </c>
      <c r="I1321" s="41" t="s">
        <v>6987</v>
      </c>
      <c r="K1321" s="63"/>
      <c r="L1321" s="62"/>
    </row>
    <row r="1322" spans="1:19" ht="27.6" hidden="1" x14ac:dyDescent="0.25">
      <c r="A1322" s="32" t="s">
        <v>212</v>
      </c>
      <c r="B1322" s="14">
        <v>43579</v>
      </c>
      <c r="C1322" s="13">
        <v>702</v>
      </c>
      <c r="D1322" s="32" t="s">
        <v>212</v>
      </c>
      <c r="E1322" s="32" t="s">
        <v>7168</v>
      </c>
      <c r="F1322" s="4">
        <v>1822196.8</v>
      </c>
      <c r="G1322" s="28" t="s">
        <v>6988</v>
      </c>
      <c r="H1322" s="14">
        <v>41995</v>
      </c>
      <c r="I1322" s="41" t="s">
        <v>6987</v>
      </c>
      <c r="K1322" s="63"/>
      <c r="L1322" s="62"/>
    </row>
    <row r="1323" spans="1:19" hidden="1" x14ac:dyDescent="0.25">
      <c r="A1323" s="32" t="s">
        <v>660</v>
      </c>
      <c r="B1323" s="14">
        <v>43580</v>
      </c>
      <c r="C1323" s="67">
        <v>44</v>
      </c>
      <c r="D1323" s="32" t="s">
        <v>595</v>
      </c>
      <c r="E1323" s="32" t="s">
        <v>488</v>
      </c>
      <c r="F1323" s="4">
        <v>274296.23</v>
      </c>
      <c r="G1323" s="29" t="s">
        <v>3426</v>
      </c>
      <c r="H1323" s="14">
        <v>43555</v>
      </c>
      <c r="I1323" s="41" t="s">
        <v>949</v>
      </c>
      <c r="J1323" s="35" t="s">
        <v>366</v>
      </c>
      <c r="K1323" s="167"/>
      <c r="L1323" s="35"/>
    </row>
    <row r="1324" spans="1:19" hidden="1" x14ac:dyDescent="0.25">
      <c r="A1324" s="32" t="s">
        <v>659</v>
      </c>
      <c r="B1324" s="14">
        <v>43580</v>
      </c>
      <c r="C1324" s="67">
        <v>45</v>
      </c>
      <c r="D1324" s="32" t="s">
        <v>595</v>
      </c>
      <c r="E1324" s="32" t="s">
        <v>488</v>
      </c>
      <c r="F1324" s="4">
        <v>428456.46</v>
      </c>
      <c r="G1324" s="29" t="s">
        <v>6965</v>
      </c>
      <c r="H1324" s="14">
        <v>43555</v>
      </c>
      <c r="I1324" s="41" t="s">
        <v>949</v>
      </c>
      <c r="J1324" s="35" t="s">
        <v>366</v>
      </c>
      <c r="K1324" s="167"/>
      <c r="L1324" s="35"/>
    </row>
    <row r="1325" spans="1:19" ht="15" hidden="1" customHeight="1" x14ac:dyDescent="0.25">
      <c r="A1325" s="68" t="s">
        <v>198</v>
      </c>
      <c r="B1325" s="14">
        <v>43580</v>
      </c>
      <c r="C1325" s="13">
        <v>116</v>
      </c>
      <c r="D1325" s="32" t="s">
        <v>279</v>
      </c>
      <c r="E1325" s="32" t="s">
        <v>195</v>
      </c>
      <c r="F1325" s="4">
        <v>10011.6</v>
      </c>
      <c r="G1325" s="28" t="s">
        <v>3233</v>
      </c>
      <c r="H1325" s="14">
        <v>43555</v>
      </c>
      <c r="I1325" s="4" t="s">
        <v>335</v>
      </c>
      <c r="J1325" s="170" t="s">
        <v>366</v>
      </c>
      <c r="K1325" s="246"/>
    </row>
    <row r="1326" spans="1:19" ht="15" hidden="1" customHeight="1" x14ac:dyDescent="0.25">
      <c r="A1326" s="68" t="s">
        <v>198</v>
      </c>
      <c r="B1326" s="14">
        <v>43580</v>
      </c>
      <c r="C1326" s="13">
        <v>117</v>
      </c>
      <c r="D1326" s="32" t="s">
        <v>279</v>
      </c>
      <c r="E1326" s="32" t="s">
        <v>195</v>
      </c>
      <c r="F1326" s="4">
        <v>96166.51</v>
      </c>
      <c r="G1326" s="28" t="s">
        <v>6887</v>
      </c>
      <c r="H1326" s="14">
        <v>43555</v>
      </c>
      <c r="I1326" s="4" t="s">
        <v>333</v>
      </c>
      <c r="J1326" s="170" t="s">
        <v>366</v>
      </c>
      <c r="K1326" s="246"/>
    </row>
    <row r="1327" spans="1:19" hidden="1" x14ac:dyDescent="0.25">
      <c r="A1327" s="13" t="s">
        <v>460</v>
      </c>
      <c r="B1327" s="14">
        <v>43580</v>
      </c>
      <c r="C1327" s="13">
        <v>34</v>
      </c>
      <c r="D1327" s="14" t="s">
        <v>6395</v>
      </c>
      <c r="E1327" s="32" t="s">
        <v>482</v>
      </c>
      <c r="F1327" s="4">
        <v>51628</v>
      </c>
      <c r="G1327" s="69" t="s">
        <v>6396</v>
      </c>
      <c r="H1327" s="14"/>
      <c r="I1327" s="326"/>
      <c r="K1327" s="62"/>
    </row>
    <row r="1328" spans="1:19" s="115" customFormat="1" ht="15.6" hidden="1" x14ac:dyDescent="0.25">
      <c r="A1328" s="61" t="s">
        <v>166</v>
      </c>
      <c r="B1328" s="14">
        <v>43580</v>
      </c>
      <c r="C1328" s="13">
        <v>57</v>
      </c>
      <c r="D1328" s="13" t="s">
        <v>3530</v>
      </c>
      <c r="E1328" s="13" t="s">
        <v>76</v>
      </c>
      <c r="F1328" s="4">
        <v>500000</v>
      </c>
      <c r="G1328" s="29" t="s">
        <v>3965</v>
      </c>
      <c r="H1328" s="14">
        <v>41177</v>
      </c>
      <c r="I1328" s="41" t="s">
        <v>818</v>
      </c>
      <c r="J1328" s="258"/>
      <c r="K1328" s="116"/>
      <c r="L1328" s="116"/>
      <c r="M1328" s="116"/>
      <c r="N1328" s="116"/>
      <c r="O1328" s="117"/>
      <c r="P1328" s="117"/>
      <c r="Q1328" s="117"/>
      <c r="R1328" s="117"/>
      <c r="S1328" s="117"/>
    </row>
    <row r="1329" spans="1:19" s="115" customFormat="1" ht="15.6" hidden="1" x14ac:dyDescent="0.25">
      <c r="A1329" s="61" t="s">
        <v>651</v>
      </c>
      <c r="B1329" s="14">
        <v>43580</v>
      </c>
      <c r="C1329" s="13">
        <v>501</v>
      </c>
      <c r="D1329" s="13" t="s">
        <v>813</v>
      </c>
      <c r="E1329" s="13" t="s">
        <v>547</v>
      </c>
      <c r="F1329" s="37">
        <v>1600000</v>
      </c>
      <c r="G1329" s="29" t="s">
        <v>810</v>
      </c>
      <c r="H1329" s="14">
        <v>42340</v>
      </c>
      <c r="I1329" s="41" t="s">
        <v>1560</v>
      </c>
      <c r="J1329" s="258"/>
      <c r="K1329" s="116"/>
      <c r="L1329" s="116"/>
      <c r="M1329" s="116"/>
      <c r="N1329" s="116"/>
      <c r="O1329" s="117"/>
      <c r="P1329" s="117"/>
      <c r="Q1329" s="117"/>
      <c r="R1329" s="117"/>
      <c r="S1329" s="117"/>
    </row>
    <row r="1330" spans="1:19" ht="27.6" hidden="1" x14ac:dyDescent="0.25">
      <c r="A1330" s="13" t="s">
        <v>35</v>
      </c>
      <c r="B1330" s="14">
        <v>43580</v>
      </c>
      <c r="C1330" s="13">
        <v>711</v>
      </c>
      <c r="D1330" s="13" t="s">
        <v>210</v>
      </c>
      <c r="E1330" s="13" t="s">
        <v>7549</v>
      </c>
      <c r="F1330" s="37">
        <v>170995.64</v>
      </c>
      <c r="G1330" s="29" t="s">
        <v>7342</v>
      </c>
      <c r="H1330" s="14">
        <v>43563</v>
      </c>
      <c r="I1330" s="4" t="s">
        <v>426</v>
      </c>
      <c r="J1330" s="22" t="s">
        <v>366</v>
      </c>
    </row>
    <row r="1331" spans="1:19" ht="27.6" hidden="1" x14ac:dyDescent="0.25">
      <c r="A1331" s="13" t="s">
        <v>35</v>
      </c>
      <c r="B1331" s="14">
        <v>43580</v>
      </c>
      <c r="C1331" s="13">
        <v>712</v>
      </c>
      <c r="D1331" s="13" t="s">
        <v>210</v>
      </c>
      <c r="E1331" s="13" t="s">
        <v>7549</v>
      </c>
      <c r="F1331" s="37">
        <v>171643.33</v>
      </c>
      <c r="G1331" s="29" t="s">
        <v>7341</v>
      </c>
      <c r="H1331" s="14">
        <v>43563</v>
      </c>
      <c r="I1331" s="4" t="s">
        <v>546</v>
      </c>
      <c r="J1331" s="22" t="s">
        <v>366</v>
      </c>
    </row>
    <row r="1332" spans="1:19" hidden="1" x14ac:dyDescent="0.25">
      <c r="A1332" s="13" t="s">
        <v>184</v>
      </c>
      <c r="B1332" s="14">
        <v>43580</v>
      </c>
      <c r="C1332" s="13"/>
      <c r="D1332" s="13" t="s">
        <v>8363</v>
      </c>
      <c r="E1332" s="13" t="s">
        <v>144</v>
      </c>
      <c r="F1332" s="37">
        <v>35235</v>
      </c>
      <c r="G1332" s="29" t="s">
        <v>8365</v>
      </c>
      <c r="H1332" s="14">
        <v>43581</v>
      </c>
      <c r="I1332" s="4" t="s">
        <v>8364</v>
      </c>
      <c r="J1332" s="22" t="s">
        <v>771</v>
      </c>
    </row>
    <row r="1333" spans="1:19" ht="16.2" hidden="1" customHeight="1" x14ac:dyDescent="0.25">
      <c r="A1333" s="32" t="s">
        <v>92</v>
      </c>
      <c r="B1333" s="14">
        <v>43581</v>
      </c>
      <c r="C1333" s="13">
        <v>570</v>
      </c>
      <c r="D1333" s="32" t="s">
        <v>272</v>
      </c>
      <c r="E1333" s="32" t="s">
        <v>38</v>
      </c>
      <c r="F1333" s="4">
        <v>5000000</v>
      </c>
      <c r="G1333" s="69" t="s">
        <v>617</v>
      </c>
      <c r="H1333" s="14"/>
      <c r="I1333" s="84" t="s">
        <v>273</v>
      </c>
      <c r="K1333" s="62"/>
    </row>
    <row r="1334" spans="1:19" ht="13.95" hidden="1" customHeight="1" x14ac:dyDescent="0.25">
      <c r="A1334" s="61" t="s">
        <v>92</v>
      </c>
      <c r="B1334" s="14">
        <v>43581</v>
      </c>
      <c r="C1334" s="13">
        <v>739</v>
      </c>
      <c r="D1334" s="32" t="s">
        <v>7231</v>
      </c>
      <c r="E1334" s="32" t="s">
        <v>62</v>
      </c>
      <c r="F1334" s="4">
        <v>5000000</v>
      </c>
      <c r="G1334" s="86" t="s">
        <v>7232</v>
      </c>
      <c r="H1334" s="211"/>
      <c r="I1334" s="4" t="s">
        <v>190</v>
      </c>
      <c r="J1334" s="21"/>
      <c r="K1334" s="228"/>
    </row>
    <row r="1335" spans="1:19" ht="13.95" hidden="1" customHeight="1" x14ac:dyDescent="0.25">
      <c r="A1335" s="68" t="s">
        <v>310</v>
      </c>
      <c r="B1335" s="14">
        <v>43581</v>
      </c>
      <c r="C1335" s="13">
        <v>394</v>
      </c>
      <c r="D1335" s="13" t="s">
        <v>510</v>
      </c>
      <c r="E1335" s="32" t="s">
        <v>958</v>
      </c>
      <c r="F1335" s="4">
        <v>5000000</v>
      </c>
      <c r="G1335" s="86" t="s">
        <v>4467</v>
      </c>
      <c r="H1335" s="14"/>
      <c r="I1335" s="4" t="s">
        <v>237</v>
      </c>
      <c r="J1335" s="71"/>
      <c r="K1335" s="62"/>
      <c r="L1335" s="62"/>
    </row>
    <row r="1336" spans="1:19" hidden="1" x14ac:dyDescent="0.25">
      <c r="A1336" s="32" t="s">
        <v>455</v>
      </c>
      <c r="B1336" s="14">
        <v>43581</v>
      </c>
      <c r="C1336" s="67">
        <v>392</v>
      </c>
      <c r="D1336" s="32" t="s">
        <v>4653</v>
      </c>
      <c r="E1336" s="13" t="s">
        <v>958</v>
      </c>
      <c r="F1336" s="4">
        <v>1605744</v>
      </c>
      <c r="G1336" s="67">
        <v>314</v>
      </c>
      <c r="H1336" s="14">
        <v>43580</v>
      </c>
      <c r="I1336" s="4" t="s">
        <v>7223</v>
      </c>
      <c r="J1336" s="21"/>
      <c r="K1336" s="228"/>
    </row>
    <row r="1337" spans="1:19" hidden="1" x14ac:dyDescent="0.25">
      <c r="A1337" s="32" t="s">
        <v>455</v>
      </c>
      <c r="B1337" s="14">
        <v>43581</v>
      </c>
      <c r="C1337" s="67">
        <v>393</v>
      </c>
      <c r="D1337" s="32" t="s">
        <v>7224</v>
      </c>
      <c r="E1337" s="13" t="s">
        <v>958</v>
      </c>
      <c r="F1337" s="4">
        <v>400000</v>
      </c>
      <c r="G1337" s="67">
        <v>178</v>
      </c>
      <c r="H1337" s="14">
        <v>43574</v>
      </c>
      <c r="I1337" s="4" t="s">
        <v>7225</v>
      </c>
      <c r="J1337" s="21"/>
      <c r="K1337" s="228"/>
    </row>
    <row r="1338" spans="1:19" hidden="1" x14ac:dyDescent="0.25">
      <c r="A1338" s="32" t="s">
        <v>455</v>
      </c>
      <c r="B1338" s="14">
        <v>43581</v>
      </c>
      <c r="C1338" s="67">
        <v>393</v>
      </c>
      <c r="D1338" s="32" t="s">
        <v>7224</v>
      </c>
      <c r="E1338" s="13" t="s">
        <v>958</v>
      </c>
      <c r="F1338" s="4">
        <v>25000</v>
      </c>
      <c r="G1338" s="67">
        <v>183</v>
      </c>
      <c r="H1338" s="14">
        <v>43577</v>
      </c>
      <c r="I1338" s="4" t="s">
        <v>7226</v>
      </c>
      <c r="J1338" s="21"/>
      <c r="K1338" s="228"/>
    </row>
    <row r="1339" spans="1:19" ht="27.6" hidden="1" x14ac:dyDescent="0.25">
      <c r="A1339" s="32" t="s">
        <v>455</v>
      </c>
      <c r="B1339" s="14">
        <v>43581</v>
      </c>
      <c r="C1339" s="67">
        <v>393</v>
      </c>
      <c r="D1339" s="32" t="s">
        <v>7224</v>
      </c>
      <c r="E1339" s="13" t="s">
        <v>958</v>
      </c>
      <c r="F1339" s="4">
        <v>120000</v>
      </c>
      <c r="G1339" s="67">
        <v>179</v>
      </c>
      <c r="H1339" s="14">
        <v>43574</v>
      </c>
      <c r="I1339" s="4" t="s">
        <v>7230</v>
      </c>
      <c r="J1339" s="21"/>
      <c r="K1339" s="228"/>
    </row>
    <row r="1340" spans="1:19" ht="27.6" hidden="1" x14ac:dyDescent="0.25">
      <c r="A1340" s="61" t="s">
        <v>460</v>
      </c>
      <c r="B1340" s="14">
        <v>43581</v>
      </c>
      <c r="C1340" s="13">
        <v>343</v>
      </c>
      <c r="D1340" s="14" t="s">
        <v>6992</v>
      </c>
      <c r="E1340" s="32" t="s">
        <v>1335</v>
      </c>
      <c r="F1340" s="4">
        <v>5040</v>
      </c>
      <c r="G1340" s="86" t="s">
        <v>6957</v>
      </c>
      <c r="H1340" s="211"/>
      <c r="I1340" s="326"/>
      <c r="J1340" s="21"/>
      <c r="K1340" s="228"/>
    </row>
    <row r="1341" spans="1:19" ht="27.6" hidden="1" x14ac:dyDescent="0.25">
      <c r="A1341" s="32" t="s">
        <v>90</v>
      </c>
      <c r="B1341" s="14">
        <v>43581</v>
      </c>
      <c r="C1341" s="67">
        <v>344</v>
      </c>
      <c r="D1341" s="32" t="s">
        <v>373</v>
      </c>
      <c r="E1341" s="32" t="s">
        <v>1335</v>
      </c>
      <c r="F1341" s="4">
        <v>1111846.6100000001</v>
      </c>
      <c r="G1341" s="28" t="s">
        <v>2143</v>
      </c>
      <c r="H1341" s="14"/>
      <c r="I1341" s="4" t="s">
        <v>362</v>
      </c>
      <c r="J1341" s="166" t="s">
        <v>366</v>
      </c>
      <c r="K1341" s="167"/>
      <c r="L1341" s="35"/>
    </row>
    <row r="1342" spans="1:19" hidden="1" x14ac:dyDescent="0.25">
      <c r="A1342" s="61" t="s">
        <v>460</v>
      </c>
      <c r="B1342" s="14">
        <v>43581</v>
      </c>
      <c r="C1342" s="13">
        <v>107</v>
      </c>
      <c r="D1342" s="14" t="s">
        <v>5474</v>
      </c>
      <c r="E1342" s="32" t="s">
        <v>483</v>
      </c>
      <c r="F1342" s="4">
        <v>35280</v>
      </c>
      <c r="G1342" s="86" t="s">
        <v>5475</v>
      </c>
      <c r="H1342" s="211"/>
      <c r="I1342" s="326"/>
      <c r="K1342" s="62"/>
    </row>
    <row r="1343" spans="1:19" hidden="1" x14ac:dyDescent="0.25">
      <c r="A1343" s="61" t="s">
        <v>460</v>
      </c>
      <c r="B1343" s="14">
        <v>43581</v>
      </c>
      <c r="C1343" s="13">
        <v>108</v>
      </c>
      <c r="D1343" s="14" t="s">
        <v>5476</v>
      </c>
      <c r="E1343" s="32" t="s">
        <v>483</v>
      </c>
      <c r="F1343" s="4">
        <v>36237</v>
      </c>
      <c r="G1343" s="86" t="s">
        <v>5477</v>
      </c>
      <c r="H1343" s="211"/>
      <c r="I1343" s="326"/>
      <c r="K1343" s="62"/>
    </row>
    <row r="1344" spans="1:19" ht="27.6" hidden="1" x14ac:dyDescent="0.25">
      <c r="A1344" s="61" t="s">
        <v>460</v>
      </c>
      <c r="B1344" s="14">
        <v>43581</v>
      </c>
      <c r="C1344" s="13">
        <v>109</v>
      </c>
      <c r="D1344" s="14" t="s">
        <v>5421</v>
      </c>
      <c r="E1344" s="32" t="s">
        <v>483</v>
      </c>
      <c r="F1344" s="4">
        <v>33834</v>
      </c>
      <c r="G1344" s="86" t="s">
        <v>5428</v>
      </c>
      <c r="H1344" s="211"/>
      <c r="I1344" s="326"/>
      <c r="K1344" s="62"/>
    </row>
    <row r="1345" spans="1:19" ht="13.95" hidden="1" customHeight="1" x14ac:dyDescent="0.25">
      <c r="A1345" s="61" t="s">
        <v>184</v>
      </c>
      <c r="B1345" s="151">
        <v>43581</v>
      </c>
      <c r="C1345" s="13">
        <v>527</v>
      </c>
      <c r="D1345" s="32" t="s">
        <v>7011</v>
      </c>
      <c r="E1345" s="32" t="s">
        <v>1121</v>
      </c>
      <c r="F1345" s="4">
        <v>80500</v>
      </c>
      <c r="G1345" s="29" t="s">
        <v>2933</v>
      </c>
      <c r="H1345" s="14">
        <v>43579</v>
      </c>
      <c r="I1345" s="84" t="s">
        <v>7203</v>
      </c>
      <c r="J1345" s="21"/>
      <c r="K1345" s="228"/>
    </row>
    <row r="1346" spans="1:19" ht="15" hidden="1" customHeight="1" x14ac:dyDescent="0.25">
      <c r="A1346" s="13" t="s">
        <v>184</v>
      </c>
      <c r="B1346" s="151">
        <v>43581</v>
      </c>
      <c r="C1346" s="13">
        <v>528</v>
      </c>
      <c r="D1346" s="13" t="s">
        <v>47</v>
      </c>
      <c r="E1346" s="32" t="s">
        <v>1121</v>
      </c>
      <c r="F1346" s="4">
        <v>5290</v>
      </c>
      <c r="G1346" s="28" t="s">
        <v>7174</v>
      </c>
      <c r="H1346" s="14">
        <v>43570</v>
      </c>
      <c r="I1346" s="4" t="s">
        <v>5785</v>
      </c>
    </row>
    <row r="1347" spans="1:19" ht="15" hidden="1" customHeight="1" x14ac:dyDescent="0.25">
      <c r="A1347" s="13" t="s">
        <v>184</v>
      </c>
      <c r="B1347" s="151">
        <v>43581</v>
      </c>
      <c r="C1347" s="13">
        <v>529</v>
      </c>
      <c r="D1347" s="13" t="s">
        <v>3759</v>
      </c>
      <c r="E1347" s="32" t="s">
        <v>1121</v>
      </c>
      <c r="F1347" s="4">
        <v>950</v>
      </c>
      <c r="G1347" s="28" t="s">
        <v>2933</v>
      </c>
      <c r="H1347" s="14">
        <v>43578</v>
      </c>
      <c r="I1347" s="4" t="s">
        <v>3760</v>
      </c>
      <c r="J1347" s="76"/>
    </row>
    <row r="1348" spans="1:19" ht="15" hidden="1" customHeight="1" x14ac:dyDescent="0.25">
      <c r="A1348" s="13" t="s">
        <v>184</v>
      </c>
      <c r="B1348" s="151">
        <v>43581</v>
      </c>
      <c r="C1348" s="13">
        <v>530</v>
      </c>
      <c r="D1348" s="13" t="s">
        <v>7212</v>
      </c>
      <c r="E1348" s="32" t="s">
        <v>1121</v>
      </c>
      <c r="F1348" s="4">
        <v>7700</v>
      </c>
      <c r="G1348" s="28" t="s">
        <v>7213</v>
      </c>
      <c r="H1348" s="14">
        <v>43577</v>
      </c>
      <c r="I1348" s="4" t="s">
        <v>7214</v>
      </c>
      <c r="J1348" s="76"/>
    </row>
    <row r="1349" spans="1:19" ht="15" hidden="1" customHeight="1" x14ac:dyDescent="0.25">
      <c r="A1349" s="13" t="s">
        <v>184</v>
      </c>
      <c r="B1349" s="151">
        <v>43581</v>
      </c>
      <c r="C1349" s="13">
        <v>531</v>
      </c>
      <c r="D1349" s="13" t="s">
        <v>897</v>
      </c>
      <c r="E1349" s="32" t="s">
        <v>1121</v>
      </c>
      <c r="F1349" s="4">
        <v>3000</v>
      </c>
      <c r="G1349" s="28" t="s">
        <v>7218</v>
      </c>
      <c r="H1349" s="14">
        <v>43573</v>
      </c>
      <c r="I1349" s="4" t="s">
        <v>7219</v>
      </c>
      <c r="J1349" s="76"/>
    </row>
    <row r="1350" spans="1:19" ht="15" hidden="1" customHeight="1" x14ac:dyDescent="0.25">
      <c r="A1350" s="13" t="s">
        <v>184</v>
      </c>
      <c r="B1350" s="151">
        <v>43581</v>
      </c>
      <c r="C1350" s="67">
        <v>532</v>
      </c>
      <c r="D1350" s="13" t="s">
        <v>238</v>
      </c>
      <c r="E1350" s="32" t="s">
        <v>1121</v>
      </c>
      <c r="F1350" s="4">
        <v>2185</v>
      </c>
      <c r="G1350" s="28" t="s">
        <v>6782</v>
      </c>
      <c r="H1350" s="14">
        <v>43579</v>
      </c>
      <c r="I1350" s="4" t="s">
        <v>179</v>
      </c>
      <c r="J1350" s="125"/>
    </row>
    <row r="1351" spans="1:19" ht="26.4" hidden="1" customHeight="1" x14ac:dyDescent="0.25">
      <c r="A1351" s="13" t="s">
        <v>184</v>
      </c>
      <c r="B1351" s="151">
        <v>43581</v>
      </c>
      <c r="C1351" s="13">
        <v>533</v>
      </c>
      <c r="D1351" s="13" t="s">
        <v>7177</v>
      </c>
      <c r="E1351" s="32" t="s">
        <v>1121</v>
      </c>
      <c r="F1351" s="4">
        <v>27500</v>
      </c>
      <c r="G1351" s="28" t="s">
        <v>68</v>
      </c>
      <c r="H1351" s="14">
        <v>43566</v>
      </c>
      <c r="I1351" s="4" t="s">
        <v>7178</v>
      </c>
      <c r="J1351" s="76" t="s">
        <v>366</v>
      </c>
    </row>
    <row r="1352" spans="1:19" ht="15" hidden="1" customHeight="1" x14ac:dyDescent="0.25">
      <c r="A1352" s="13" t="s">
        <v>184</v>
      </c>
      <c r="B1352" s="151">
        <v>43581</v>
      </c>
      <c r="C1352" s="13">
        <v>534</v>
      </c>
      <c r="D1352" s="13" t="s">
        <v>6666</v>
      </c>
      <c r="E1352" s="32" t="s">
        <v>1121</v>
      </c>
      <c r="F1352" s="4">
        <f>18000-17000</f>
        <v>1000</v>
      </c>
      <c r="G1352" s="28" t="s">
        <v>1794</v>
      </c>
      <c r="H1352" s="14">
        <v>43566</v>
      </c>
      <c r="I1352" s="4" t="s">
        <v>6667</v>
      </c>
      <c r="J1352" s="76" t="s">
        <v>5805</v>
      </c>
    </row>
    <row r="1353" spans="1:19" hidden="1" x14ac:dyDescent="0.25">
      <c r="A1353" s="13" t="s">
        <v>184</v>
      </c>
      <c r="B1353" s="151">
        <v>43581</v>
      </c>
      <c r="C1353" s="13">
        <v>539</v>
      </c>
      <c r="D1353" s="32" t="s">
        <v>4645</v>
      </c>
      <c r="E1353" s="32" t="s">
        <v>1121</v>
      </c>
      <c r="F1353" s="4">
        <v>375000</v>
      </c>
      <c r="G1353" s="28" t="s">
        <v>207</v>
      </c>
      <c r="H1353" s="14">
        <v>43517</v>
      </c>
      <c r="I1353" s="4" t="s">
        <v>4646</v>
      </c>
      <c r="J1353" s="76"/>
    </row>
    <row r="1354" spans="1:19" s="129" customFormat="1" hidden="1" x14ac:dyDescent="0.25">
      <c r="A1354" s="13" t="s">
        <v>151</v>
      </c>
      <c r="B1354" s="151">
        <v>43581</v>
      </c>
      <c r="C1354" s="28" t="s">
        <v>7272</v>
      </c>
      <c r="D1354" s="13" t="s">
        <v>711</v>
      </c>
      <c r="E1354" s="32" t="s">
        <v>1121</v>
      </c>
      <c r="F1354" s="37">
        <f>1600+3650</f>
        <v>5250</v>
      </c>
      <c r="G1354" s="28" t="s">
        <v>7171</v>
      </c>
      <c r="H1354" s="28" t="s">
        <v>7172</v>
      </c>
      <c r="I1354" s="4" t="s">
        <v>712</v>
      </c>
      <c r="J1354" s="170"/>
      <c r="K1354" s="136"/>
    </row>
    <row r="1355" spans="1:19" s="62" customFormat="1" ht="15" hidden="1" customHeight="1" x14ac:dyDescent="0.25">
      <c r="A1355" s="13" t="s">
        <v>151</v>
      </c>
      <c r="B1355" s="151">
        <v>43581</v>
      </c>
      <c r="C1355" s="13">
        <v>535</v>
      </c>
      <c r="D1355" s="13" t="s">
        <v>1277</v>
      </c>
      <c r="E1355" s="13" t="s">
        <v>1121</v>
      </c>
      <c r="F1355" s="37">
        <v>49200</v>
      </c>
      <c r="G1355" s="29" t="s">
        <v>6631</v>
      </c>
      <c r="H1355" s="14">
        <v>43555</v>
      </c>
      <c r="I1355" s="4" t="s">
        <v>3278</v>
      </c>
      <c r="J1355" s="71" t="s">
        <v>366</v>
      </c>
      <c r="O1355" s="35"/>
      <c r="P1355" s="35"/>
      <c r="Q1355" s="35"/>
      <c r="R1355" s="35"/>
      <c r="S1355" s="35"/>
    </row>
    <row r="1356" spans="1:19" s="97" customFormat="1" ht="27.6" hidden="1" x14ac:dyDescent="0.25">
      <c r="A1356" s="13" t="s">
        <v>151</v>
      </c>
      <c r="B1356" s="151">
        <v>43581</v>
      </c>
      <c r="C1356" s="13">
        <v>536</v>
      </c>
      <c r="D1356" s="13" t="s">
        <v>6551</v>
      </c>
      <c r="E1356" s="13" t="s">
        <v>1121</v>
      </c>
      <c r="F1356" s="4">
        <v>110880</v>
      </c>
      <c r="G1356" s="29" t="s">
        <v>3236</v>
      </c>
      <c r="H1356" s="14">
        <v>43542</v>
      </c>
      <c r="I1356" s="4" t="s">
        <v>6556</v>
      </c>
      <c r="J1356" s="358"/>
      <c r="K1356" s="76"/>
      <c r="L1356" s="134"/>
    </row>
    <row r="1357" spans="1:19" s="97" customFormat="1" hidden="1" x14ac:dyDescent="0.25">
      <c r="A1357" s="13" t="s">
        <v>151</v>
      </c>
      <c r="B1357" s="151">
        <v>43581</v>
      </c>
      <c r="C1357" s="13">
        <v>537</v>
      </c>
      <c r="D1357" s="13" t="s">
        <v>7227</v>
      </c>
      <c r="E1357" s="13" t="s">
        <v>1121</v>
      </c>
      <c r="F1357" s="4">
        <v>5000</v>
      </c>
      <c r="G1357" s="29" t="s">
        <v>7228</v>
      </c>
      <c r="H1357" s="14">
        <v>43579</v>
      </c>
      <c r="I1357" s="4" t="s">
        <v>7229</v>
      </c>
      <c r="J1357" s="358"/>
      <c r="K1357" s="76"/>
      <c r="L1357" s="134"/>
    </row>
    <row r="1358" spans="1:19" s="192" customFormat="1" hidden="1" x14ac:dyDescent="0.25">
      <c r="A1358" s="147" t="s">
        <v>242</v>
      </c>
      <c r="B1358" s="164">
        <v>43581</v>
      </c>
      <c r="C1358" s="195">
        <v>340</v>
      </c>
      <c r="D1358" s="149" t="s">
        <v>784</v>
      </c>
      <c r="E1358" s="147" t="s">
        <v>144</v>
      </c>
      <c r="F1358" s="158">
        <v>231106.5</v>
      </c>
      <c r="G1358" s="150" t="s">
        <v>1146</v>
      </c>
      <c r="H1358" s="148">
        <v>43573</v>
      </c>
      <c r="I1358" s="149" t="s">
        <v>143</v>
      </c>
      <c r="J1358" s="193"/>
      <c r="K1358" s="194"/>
      <c r="L1358" s="190"/>
    </row>
    <row r="1359" spans="1:19" s="192" customFormat="1" hidden="1" x14ac:dyDescent="0.25">
      <c r="A1359" s="147" t="s">
        <v>242</v>
      </c>
      <c r="B1359" s="164">
        <v>43581</v>
      </c>
      <c r="C1359" s="195">
        <v>341</v>
      </c>
      <c r="D1359" s="149" t="s">
        <v>784</v>
      </c>
      <c r="E1359" s="147" t="s">
        <v>144</v>
      </c>
      <c r="F1359" s="158">
        <v>114210</v>
      </c>
      <c r="G1359" s="150" t="s">
        <v>173</v>
      </c>
      <c r="H1359" s="148">
        <v>43573</v>
      </c>
      <c r="I1359" s="149" t="s">
        <v>143</v>
      </c>
      <c r="J1359" s="193"/>
      <c r="K1359" s="194"/>
      <c r="L1359" s="190"/>
    </row>
    <row r="1360" spans="1:19" s="192" customFormat="1" hidden="1" x14ac:dyDescent="0.25">
      <c r="A1360" s="147" t="s">
        <v>242</v>
      </c>
      <c r="B1360" s="164">
        <v>43581</v>
      </c>
      <c r="C1360" s="195">
        <v>340</v>
      </c>
      <c r="D1360" s="149" t="s">
        <v>784</v>
      </c>
      <c r="E1360" s="147" t="s">
        <v>144</v>
      </c>
      <c r="F1360" s="158">
        <v>190045.5</v>
      </c>
      <c r="G1360" s="150" t="s">
        <v>1125</v>
      </c>
      <c r="H1360" s="148">
        <v>43573</v>
      </c>
      <c r="I1360" s="149" t="s">
        <v>143</v>
      </c>
      <c r="J1360" s="193"/>
      <c r="K1360" s="194"/>
      <c r="L1360" s="190"/>
    </row>
    <row r="1361" spans="1:12" s="192" customFormat="1" hidden="1" x14ac:dyDescent="0.25">
      <c r="A1361" s="147" t="s">
        <v>242</v>
      </c>
      <c r="B1361" s="164">
        <v>43581</v>
      </c>
      <c r="C1361" s="187">
        <v>339</v>
      </c>
      <c r="D1361" s="149" t="s">
        <v>2426</v>
      </c>
      <c r="E1361" s="147" t="s">
        <v>144</v>
      </c>
      <c r="F1361" s="158">
        <v>136723.07999999999</v>
      </c>
      <c r="G1361" s="150" t="s">
        <v>4739</v>
      </c>
      <c r="H1361" s="148">
        <v>43567</v>
      </c>
      <c r="I1361" s="149" t="s">
        <v>143</v>
      </c>
      <c r="J1361" s="193"/>
      <c r="K1361" s="194"/>
      <c r="L1361" s="190"/>
    </row>
    <row r="1362" spans="1:12" s="192" customFormat="1" hidden="1" x14ac:dyDescent="0.25">
      <c r="A1362" s="147" t="s">
        <v>242</v>
      </c>
      <c r="B1362" s="164">
        <v>43581</v>
      </c>
      <c r="C1362" s="195">
        <v>342</v>
      </c>
      <c r="D1362" s="149" t="s">
        <v>388</v>
      </c>
      <c r="E1362" s="147" t="s">
        <v>144</v>
      </c>
      <c r="F1362" s="158">
        <v>1100841.8</v>
      </c>
      <c r="G1362" s="150" t="s">
        <v>177</v>
      </c>
      <c r="H1362" s="148">
        <v>43573</v>
      </c>
      <c r="I1362" s="149" t="s">
        <v>143</v>
      </c>
      <c r="J1362" s="193"/>
      <c r="K1362" s="194"/>
      <c r="L1362" s="190"/>
    </row>
    <row r="1363" spans="1:12" s="129" customFormat="1" hidden="1" x14ac:dyDescent="0.25">
      <c r="A1363" s="13" t="s">
        <v>151</v>
      </c>
      <c r="B1363" s="14">
        <v>43581</v>
      </c>
      <c r="C1363" s="28" t="s">
        <v>1319</v>
      </c>
      <c r="D1363" s="13" t="s">
        <v>1846</v>
      </c>
      <c r="E1363" s="13" t="s">
        <v>22</v>
      </c>
      <c r="F1363" s="4">
        <v>10217</v>
      </c>
      <c r="G1363" s="28" t="s">
        <v>6999</v>
      </c>
      <c r="H1363" s="14">
        <v>43578</v>
      </c>
      <c r="I1363" s="4" t="s">
        <v>7000</v>
      </c>
      <c r="J1363" s="22"/>
      <c r="K1363" s="136"/>
    </row>
    <row r="1364" spans="1:12" hidden="1" x14ac:dyDescent="0.25">
      <c r="A1364" s="13" t="s">
        <v>151</v>
      </c>
      <c r="B1364" s="14">
        <v>43581</v>
      </c>
      <c r="C1364" s="13">
        <v>117</v>
      </c>
      <c r="D1364" s="13" t="s">
        <v>606</v>
      </c>
      <c r="E1364" s="32" t="s">
        <v>22</v>
      </c>
      <c r="F1364" s="4">
        <v>1350</v>
      </c>
      <c r="G1364" s="28" t="s">
        <v>7015</v>
      </c>
      <c r="H1364" s="14">
        <v>43571</v>
      </c>
      <c r="I1364" s="4" t="s">
        <v>7016</v>
      </c>
      <c r="J1364" s="125"/>
    </row>
    <row r="1365" spans="1:12" s="192" customFormat="1" ht="27.6" hidden="1" x14ac:dyDescent="0.25">
      <c r="A1365" s="147" t="s">
        <v>242</v>
      </c>
      <c r="B1365" s="164">
        <v>43581</v>
      </c>
      <c r="C1365" s="195">
        <v>718</v>
      </c>
      <c r="D1365" s="149" t="s">
        <v>840</v>
      </c>
      <c r="E1365" s="147" t="s">
        <v>7168</v>
      </c>
      <c r="F1365" s="158">
        <v>106743.52</v>
      </c>
      <c r="G1365" s="150" t="s">
        <v>6882</v>
      </c>
      <c r="H1365" s="148">
        <v>43565</v>
      </c>
      <c r="I1365" s="149" t="s">
        <v>143</v>
      </c>
      <c r="J1365" s="193"/>
      <c r="K1365" s="194"/>
      <c r="L1365" s="190"/>
    </row>
    <row r="1366" spans="1:12" s="192" customFormat="1" ht="27.6" hidden="1" x14ac:dyDescent="0.25">
      <c r="A1366" s="147" t="s">
        <v>242</v>
      </c>
      <c r="B1366" s="164">
        <v>43581</v>
      </c>
      <c r="C1366" s="195">
        <v>719</v>
      </c>
      <c r="D1366" s="233" t="s">
        <v>784</v>
      </c>
      <c r="E1366" s="147" t="s">
        <v>7168</v>
      </c>
      <c r="F1366" s="158">
        <v>470297.35</v>
      </c>
      <c r="G1366" s="150" t="s">
        <v>308</v>
      </c>
      <c r="H1366" s="148">
        <v>43573</v>
      </c>
      <c r="I1366" s="233" t="s">
        <v>143</v>
      </c>
      <c r="J1366" s="193"/>
      <c r="K1366" s="194"/>
      <c r="L1366" s="190"/>
    </row>
    <row r="1367" spans="1:12" ht="13.95" hidden="1" customHeight="1" x14ac:dyDescent="0.25">
      <c r="A1367" s="68" t="s">
        <v>311</v>
      </c>
      <c r="B1367" s="14">
        <v>43581</v>
      </c>
      <c r="C1367" s="67">
        <v>222</v>
      </c>
      <c r="D1367" s="32" t="s">
        <v>595</v>
      </c>
      <c r="E1367" s="32" t="s">
        <v>408</v>
      </c>
      <c r="F1367" s="4">
        <v>964400.64000000001</v>
      </c>
      <c r="G1367" s="28" t="s">
        <v>1670</v>
      </c>
      <c r="H1367" s="14">
        <v>43555</v>
      </c>
      <c r="I1367" s="41" t="s">
        <v>949</v>
      </c>
      <c r="J1367" s="166" t="s">
        <v>366</v>
      </c>
      <c r="K1367" s="167"/>
      <c r="L1367" s="35"/>
    </row>
    <row r="1368" spans="1:12" ht="27.6" hidden="1" x14ac:dyDescent="0.25">
      <c r="A1368" s="32" t="s">
        <v>35</v>
      </c>
      <c r="B1368" s="14">
        <v>43581</v>
      </c>
      <c r="C1368" s="67">
        <v>721</v>
      </c>
      <c r="D1368" s="32" t="s">
        <v>435</v>
      </c>
      <c r="E1368" s="32" t="s">
        <v>1642</v>
      </c>
      <c r="F1368" s="4">
        <f>498626.77</f>
        <v>498626.77</v>
      </c>
      <c r="G1368" s="28" t="s">
        <v>1700</v>
      </c>
      <c r="H1368" s="14">
        <v>43040</v>
      </c>
      <c r="I1368" s="4" t="s">
        <v>362</v>
      </c>
      <c r="J1368" s="166" t="s">
        <v>622</v>
      </c>
      <c r="K1368" s="167"/>
      <c r="L1368" s="35"/>
    </row>
    <row r="1369" spans="1:12" ht="27.6" hidden="1" x14ac:dyDescent="0.25">
      <c r="A1369" s="32" t="s">
        <v>35</v>
      </c>
      <c r="B1369" s="14">
        <v>43581</v>
      </c>
      <c r="C1369" s="67">
        <v>720</v>
      </c>
      <c r="D1369" s="32" t="s">
        <v>435</v>
      </c>
      <c r="E1369" s="32" t="s">
        <v>1642</v>
      </c>
      <c r="F1369" s="4">
        <v>82845.58</v>
      </c>
      <c r="G1369" s="28" t="s">
        <v>6913</v>
      </c>
      <c r="H1369" s="14">
        <v>43545</v>
      </c>
      <c r="I1369" s="4" t="s">
        <v>4044</v>
      </c>
      <c r="J1369" s="166" t="s">
        <v>721</v>
      </c>
      <c r="K1369" s="167"/>
      <c r="L1369" s="35"/>
    </row>
    <row r="1370" spans="1:12" ht="27.6" hidden="1" x14ac:dyDescent="0.25">
      <c r="A1370" s="32" t="s">
        <v>35</v>
      </c>
      <c r="B1370" s="14">
        <v>43581</v>
      </c>
      <c r="C1370" s="67">
        <v>720</v>
      </c>
      <c r="D1370" s="32" t="s">
        <v>435</v>
      </c>
      <c r="E1370" s="32" t="s">
        <v>1642</v>
      </c>
      <c r="F1370" s="4">
        <v>87474.96</v>
      </c>
      <c r="G1370" s="28" t="s">
        <v>6914</v>
      </c>
      <c r="H1370" s="14">
        <v>43564</v>
      </c>
      <c r="I1370" s="4" t="s">
        <v>4044</v>
      </c>
      <c r="J1370" s="166" t="s">
        <v>366</v>
      </c>
      <c r="K1370" s="167"/>
      <c r="L1370" s="35"/>
    </row>
    <row r="1371" spans="1:12" ht="13.95" hidden="1" customHeight="1" x14ac:dyDescent="0.25">
      <c r="A1371" s="32" t="s">
        <v>90</v>
      </c>
      <c r="B1371" s="14">
        <v>43581</v>
      </c>
      <c r="C1371" s="13">
        <v>713</v>
      </c>
      <c r="D1371" s="13" t="s">
        <v>34</v>
      </c>
      <c r="E1371" s="32" t="s">
        <v>130</v>
      </c>
      <c r="F1371" s="4">
        <v>809300</v>
      </c>
      <c r="G1371" s="86" t="s">
        <v>2022</v>
      </c>
      <c r="H1371" s="14"/>
      <c r="I1371" s="4" t="s">
        <v>315</v>
      </c>
      <c r="J1371" s="21"/>
      <c r="K1371" s="228"/>
    </row>
    <row r="1372" spans="1:12" s="129" customFormat="1" hidden="1" x14ac:dyDescent="0.25">
      <c r="A1372" s="13" t="s">
        <v>151</v>
      </c>
      <c r="B1372" s="14">
        <v>43581</v>
      </c>
      <c r="C1372" s="28" t="s">
        <v>1853</v>
      </c>
      <c r="D1372" s="13" t="s">
        <v>7008</v>
      </c>
      <c r="E1372" s="13" t="s">
        <v>60</v>
      </c>
      <c r="F1372" s="4">
        <v>5096.8999999999996</v>
      </c>
      <c r="G1372" s="28" t="s">
        <v>7009</v>
      </c>
      <c r="H1372" s="14">
        <v>43578</v>
      </c>
      <c r="I1372" s="4" t="s">
        <v>7010</v>
      </c>
      <c r="J1372" s="22"/>
      <c r="K1372" s="136"/>
    </row>
    <row r="1373" spans="1:12" s="97" customFormat="1" hidden="1" x14ac:dyDescent="0.25">
      <c r="A1373" s="14" t="s">
        <v>151</v>
      </c>
      <c r="B1373" s="14">
        <v>43581</v>
      </c>
      <c r="C1373" s="13">
        <v>498</v>
      </c>
      <c r="D1373" s="13" t="s">
        <v>1751</v>
      </c>
      <c r="E1373" s="13" t="s">
        <v>60</v>
      </c>
      <c r="F1373" s="37">
        <v>95474.29</v>
      </c>
      <c r="G1373" s="29" t="s">
        <v>6799</v>
      </c>
      <c r="H1373" s="14">
        <v>43552</v>
      </c>
      <c r="I1373" s="4" t="s">
        <v>1383</v>
      </c>
      <c r="J1373" s="22" t="s">
        <v>771</v>
      </c>
      <c r="K1373" s="22"/>
      <c r="L1373" s="134"/>
    </row>
    <row r="1374" spans="1:12" hidden="1" x14ac:dyDescent="0.25">
      <c r="A1374" s="61" t="s">
        <v>1147</v>
      </c>
      <c r="B1374" s="14">
        <v>43581</v>
      </c>
      <c r="C1374" s="67">
        <v>754</v>
      </c>
      <c r="D1374" s="32" t="s">
        <v>4651</v>
      </c>
      <c r="E1374" s="13" t="s">
        <v>808</v>
      </c>
      <c r="F1374" s="4">
        <v>39400</v>
      </c>
      <c r="G1374" s="67">
        <v>579</v>
      </c>
      <c r="H1374" s="14">
        <v>43577</v>
      </c>
      <c r="I1374" s="4" t="s">
        <v>7221</v>
      </c>
      <c r="J1374" s="21"/>
      <c r="K1374" s="228"/>
    </row>
    <row r="1375" spans="1:12" hidden="1" x14ac:dyDescent="0.25">
      <c r="A1375" s="32" t="s">
        <v>151</v>
      </c>
      <c r="B1375" s="14">
        <v>43581</v>
      </c>
      <c r="C1375" s="67">
        <v>755</v>
      </c>
      <c r="D1375" s="32" t="s">
        <v>93</v>
      </c>
      <c r="E1375" s="13" t="s">
        <v>808</v>
      </c>
      <c r="F1375" s="4">
        <v>9400</v>
      </c>
      <c r="G1375" s="67">
        <v>2119</v>
      </c>
      <c r="H1375" s="14">
        <v>43579</v>
      </c>
      <c r="I1375" s="4" t="s">
        <v>7193</v>
      </c>
      <c r="J1375" s="21"/>
      <c r="K1375" s="228"/>
    </row>
    <row r="1376" spans="1:12" ht="13.95" hidden="1" customHeight="1" x14ac:dyDescent="0.25">
      <c r="A1376" s="68" t="s">
        <v>358</v>
      </c>
      <c r="B1376" s="14">
        <v>43581</v>
      </c>
      <c r="C1376" s="13">
        <v>571</v>
      </c>
      <c r="D1376" s="32" t="s">
        <v>1077</v>
      </c>
      <c r="E1376" s="32" t="s">
        <v>38</v>
      </c>
      <c r="F1376" s="4">
        <v>5000000</v>
      </c>
      <c r="G1376" s="86" t="s">
        <v>410</v>
      </c>
      <c r="H1376" s="211"/>
      <c r="I1376" s="208" t="s">
        <v>581</v>
      </c>
      <c r="J1376" s="21"/>
      <c r="K1376" s="228"/>
    </row>
    <row r="1377" spans="1:12" ht="13.95" hidden="1" customHeight="1" x14ac:dyDescent="0.25">
      <c r="A1377" s="68" t="s">
        <v>904</v>
      </c>
      <c r="B1377" s="14">
        <v>43581</v>
      </c>
      <c r="C1377" s="13">
        <v>561</v>
      </c>
      <c r="D1377" s="32" t="s">
        <v>905</v>
      </c>
      <c r="E1377" s="32" t="s">
        <v>38</v>
      </c>
      <c r="F1377" s="4">
        <v>5000000</v>
      </c>
      <c r="G1377" s="86" t="s">
        <v>906</v>
      </c>
      <c r="H1377" s="211"/>
      <c r="I1377" s="208" t="s">
        <v>581</v>
      </c>
      <c r="J1377" s="21"/>
      <c r="K1377" s="228"/>
    </row>
    <row r="1378" spans="1:12" ht="13.95" hidden="1" customHeight="1" x14ac:dyDescent="0.25">
      <c r="A1378" s="32" t="s">
        <v>550</v>
      </c>
      <c r="B1378" s="14">
        <v>43581</v>
      </c>
      <c r="C1378" s="13">
        <v>740</v>
      </c>
      <c r="D1378" s="32" t="s">
        <v>452</v>
      </c>
      <c r="E1378" s="32" t="s">
        <v>62</v>
      </c>
      <c r="F1378" s="4">
        <v>3000000</v>
      </c>
      <c r="G1378" s="86" t="s">
        <v>453</v>
      </c>
      <c r="H1378" s="211"/>
      <c r="I1378" s="208" t="s">
        <v>671</v>
      </c>
      <c r="J1378" s="21"/>
      <c r="K1378" s="228"/>
    </row>
    <row r="1379" spans="1:12" ht="13.95" hidden="1" customHeight="1" x14ac:dyDescent="0.25">
      <c r="A1379" s="68" t="s">
        <v>151</v>
      </c>
      <c r="B1379" s="14">
        <v>43581</v>
      </c>
      <c r="C1379" s="13">
        <v>21</v>
      </c>
      <c r="D1379" s="32" t="s">
        <v>1263</v>
      </c>
      <c r="E1379" s="32" t="s">
        <v>1221</v>
      </c>
      <c r="F1379" s="4">
        <v>1715</v>
      </c>
      <c r="G1379" s="210" t="s">
        <v>7273</v>
      </c>
      <c r="H1379" s="211">
        <v>43581</v>
      </c>
      <c r="I1379" s="208" t="s">
        <v>1722</v>
      </c>
      <c r="J1379" s="21"/>
      <c r="K1379" s="228"/>
    </row>
    <row r="1380" spans="1:12" ht="13.95" hidden="1" customHeight="1" x14ac:dyDescent="0.25">
      <c r="A1380" s="68" t="s">
        <v>151</v>
      </c>
      <c r="B1380" s="14">
        <v>43581</v>
      </c>
      <c r="C1380" s="13">
        <v>540</v>
      </c>
      <c r="D1380" s="32" t="s">
        <v>2905</v>
      </c>
      <c r="E1380" s="32" t="s">
        <v>1121</v>
      </c>
      <c r="F1380" s="4">
        <v>100000</v>
      </c>
      <c r="G1380" s="210" t="s">
        <v>2910</v>
      </c>
      <c r="H1380" s="211">
        <v>43581</v>
      </c>
      <c r="I1380" s="208" t="s">
        <v>7274</v>
      </c>
      <c r="J1380" s="21"/>
      <c r="K1380" s="228"/>
    </row>
    <row r="1381" spans="1:12" ht="13.95" hidden="1" customHeight="1" x14ac:dyDescent="0.25">
      <c r="A1381" s="13" t="s">
        <v>91</v>
      </c>
      <c r="B1381" s="14">
        <v>43584</v>
      </c>
      <c r="C1381" s="13">
        <v>741</v>
      </c>
      <c r="D1381" s="32" t="s">
        <v>285</v>
      </c>
      <c r="E1381" s="32" t="s">
        <v>62</v>
      </c>
      <c r="F1381" s="4">
        <v>3018215</v>
      </c>
      <c r="G1381" s="69" t="s">
        <v>5969</v>
      </c>
      <c r="H1381" s="14"/>
      <c r="I1381" s="41" t="s">
        <v>5971</v>
      </c>
      <c r="K1381" s="62"/>
    </row>
    <row r="1382" spans="1:12" ht="13.95" hidden="1" customHeight="1" x14ac:dyDescent="0.25">
      <c r="A1382" s="13" t="s">
        <v>91</v>
      </c>
      <c r="B1382" s="14">
        <v>43584</v>
      </c>
      <c r="C1382" s="13">
        <v>742</v>
      </c>
      <c r="D1382" s="32" t="s">
        <v>285</v>
      </c>
      <c r="E1382" s="32" t="s">
        <v>62</v>
      </c>
      <c r="F1382" s="4">
        <v>395480.25</v>
      </c>
      <c r="G1382" s="69" t="s">
        <v>5970</v>
      </c>
      <c r="H1382" s="14"/>
      <c r="I1382" s="41" t="s">
        <v>5972</v>
      </c>
      <c r="K1382" s="62"/>
    </row>
    <row r="1383" spans="1:12" ht="13.95" hidden="1" customHeight="1" x14ac:dyDescent="0.25">
      <c r="A1383" s="13" t="s">
        <v>505</v>
      </c>
      <c r="B1383" s="14">
        <v>43584</v>
      </c>
      <c r="C1383" s="13">
        <v>743</v>
      </c>
      <c r="D1383" s="32" t="s">
        <v>285</v>
      </c>
      <c r="E1383" s="32" t="s">
        <v>62</v>
      </c>
      <c r="F1383" s="4">
        <v>1586304.75</v>
      </c>
      <c r="G1383" s="69" t="s">
        <v>1681</v>
      </c>
      <c r="H1383" s="14"/>
      <c r="I1383" s="41" t="s">
        <v>1682</v>
      </c>
      <c r="K1383" s="62"/>
    </row>
    <row r="1384" spans="1:12" s="97" customFormat="1" hidden="1" x14ac:dyDescent="0.25">
      <c r="A1384" s="61" t="s">
        <v>442</v>
      </c>
      <c r="B1384" s="14">
        <v>43584</v>
      </c>
      <c r="C1384" s="13">
        <v>744</v>
      </c>
      <c r="D1384" s="13" t="s">
        <v>304</v>
      </c>
      <c r="E1384" s="13" t="s">
        <v>62</v>
      </c>
      <c r="F1384" s="37">
        <v>543180</v>
      </c>
      <c r="G1384" s="29" t="s">
        <v>6466</v>
      </c>
      <c r="H1384" s="14">
        <v>43549</v>
      </c>
      <c r="I1384" s="4" t="s">
        <v>1826</v>
      </c>
      <c r="J1384" s="133"/>
      <c r="K1384" s="22"/>
      <c r="L1384" s="134"/>
    </row>
    <row r="1385" spans="1:12" s="97" customFormat="1" hidden="1" x14ac:dyDescent="0.25">
      <c r="A1385" s="61" t="s">
        <v>91</v>
      </c>
      <c r="B1385" s="14">
        <v>43584</v>
      </c>
      <c r="C1385" s="13">
        <v>745</v>
      </c>
      <c r="D1385" s="13" t="s">
        <v>157</v>
      </c>
      <c r="E1385" s="13" t="s">
        <v>62</v>
      </c>
      <c r="F1385" s="4">
        <v>115032</v>
      </c>
      <c r="G1385" s="28" t="s">
        <v>5923</v>
      </c>
      <c r="H1385" s="14">
        <v>43544</v>
      </c>
      <c r="I1385" s="4" t="s">
        <v>305</v>
      </c>
      <c r="J1385" s="133"/>
      <c r="K1385" s="22"/>
      <c r="L1385" s="134"/>
    </row>
    <row r="1386" spans="1:12" s="97" customFormat="1" hidden="1" x14ac:dyDescent="0.25">
      <c r="A1386" s="61" t="s">
        <v>91</v>
      </c>
      <c r="B1386" s="14">
        <v>43584</v>
      </c>
      <c r="C1386" s="13">
        <v>745</v>
      </c>
      <c r="D1386" s="13" t="s">
        <v>157</v>
      </c>
      <c r="E1386" s="13" t="s">
        <v>62</v>
      </c>
      <c r="F1386" s="4">
        <v>10770.3</v>
      </c>
      <c r="G1386" s="29" t="s">
        <v>6134</v>
      </c>
      <c r="H1386" s="14">
        <v>43558</v>
      </c>
      <c r="I1386" s="4" t="s">
        <v>899</v>
      </c>
      <c r="J1386" s="133"/>
      <c r="K1386" s="22"/>
      <c r="L1386" s="134"/>
    </row>
    <row r="1387" spans="1:12" s="97" customFormat="1" hidden="1" x14ac:dyDescent="0.25">
      <c r="A1387" s="61" t="s">
        <v>442</v>
      </c>
      <c r="B1387" s="14">
        <v>43584</v>
      </c>
      <c r="C1387" s="13">
        <v>746</v>
      </c>
      <c r="D1387" s="13" t="s">
        <v>869</v>
      </c>
      <c r="E1387" s="13" t="s">
        <v>62</v>
      </c>
      <c r="F1387" s="4">
        <v>11213.9</v>
      </c>
      <c r="G1387" s="29" t="s">
        <v>6207</v>
      </c>
      <c r="H1387" s="14">
        <v>43552</v>
      </c>
      <c r="I1387" s="4" t="s">
        <v>572</v>
      </c>
      <c r="J1387" s="133"/>
      <c r="K1387" s="22"/>
      <c r="L1387" s="134"/>
    </row>
    <row r="1388" spans="1:12" s="97" customFormat="1" hidden="1" x14ac:dyDescent="0.25">
      <c r="A1388" s="61" t="s">
        <v>103</v>
      </c>
      <c r="B1388" s="14">
        <v>43584</v>
      </c>
      <c r="C1388" s="13">
        <v>747</v>
      </c>
      <c r="D1388" s="13" t="s">
        <v>1032</v>
      </c>
      <c r="E1388" s="13" t="s">
        <v>62</v>
      </c>
      <c r="F1388" s="4">
        <v>100000</v>
      </c>
      <c r="G1388" s="29" t="s">
        <v>5705</v>
      </c>
      <c r="H1388" s="14">
        <v>43539</v>
      </c>
      <c r="I1388" s="4" t="s">
        <v>142</v>
      </c>
      <c r="J1388" s="133"/>
      <c r="K1388" s="22"/>
      <c r="L1388" s="134"/>
    </row>
    <row r="1389" spans="1:12" s="97" customFormat="1" hidden="1" x14ac:dyDescent="0.25">
      <c r="A1389" s="61" t="s">
        <v>442</v>
      </c>
      <c r="B1389" s="14">
        <v>43584</v>
      </c>
      <c r="C1389" s="13">
        <v>748</v>
      </c>
      <c r="D1389" s="13" t="s">
        <v>814</v>
      </c>
      <c r="E1389" s="13" t="s">
        <v>62</v>
      </c>
      <c r="F1389" s="4">
        <v>120200</v>
      </c>
      <c r="G1389" s="29" t="s">
        <v>6183</v>
      </c>
      <c r="H1389" s="14">
        <v>43552</v>
      </c>
      <c r="I1389" s="4" t="s">
        <v>6184</v>
      </c>
      <c r="J1389" s="133"/>
      <c r="K1389" s="22"/>
      <c r="L1389" s="134"/>
    </row>
    <row r="1390" spans="1:12" s="97" customFormat="1" hidden="1" x14ac:dyDescent="0.25">
      <c r="A1390" s="13" t="s">
        <v>92</v>
      </c>
      <c r="B1390" s="14">
        <v>43584</v>
      </c>
      <c r="C1390" s="13">
        <v>749</v>
      </c>
      <c r="D1390" s="13" t="s">
        <v>157</v>
      </c>
      <c r="E1390" s="13" t="s">
        <v>62</v>
      </c>
      <c r="F1390" s="4">
        <v>58178.8</v>
      </c>
      <c r="G1390" s="28" t="s">
        <v>6161</v>
      </c>
      <c r="H1390" s="14">
        <v>43550</v>
      </c>
      <c r="I1390" s="4" t="s">
        <v>1190</v>
      </c>
      <c r="J1390" s="133"/>
      <c r="K1390" s="22"/>
      <c r="L1390" s="134"/>
    </row>
    <row r="1391" spans="1:12" s="93" customFormat="1" hidden="1" x14ac:dyDescent="0.25">
      <c r="A1391" s="61" t="s">
        <v>103</v>
      </c>
      <c r="B1391" s="14">
        <v>43584</v>
      </c>
      <c r="C1391" s="28" t="s">
        <v>7289</v>
      </c>
      <c r="D1391" s="13" t="s">
        <v>7254</v>
      </c>
      <c r="E1391" s="13" t="s">
        <v>62</v>
      </c>
      <c r="F1391" s="37">
        <v>12324</v>
      </c>
      <c r="G1391" s="210" t="s">
        <v>7255</v>
      </c>
      <c r="H1391" s="211">
        <v>43581</v>
      </c>
      <c r="I1391" s="4" t="s">
        <v>5493</v>
      </c>
      <c r="J1391" s="130"/>
      <c r="K1391" s="16"/>
      <c r="L1391" s="92"/>
    </row>
    <row r="1392" spans="1:12" hidden="1" x14ac:dyDescent="0.25">
      <c r="A1392" s="61" t="s">
        <v>659</v>
      </c>
      <c r="B1392" s="14">
        <v>43584</v>
      </c>
      <c r="C1392" s="13">
        <v>757</v>
      </c>
      <c r="D1392" s="13" t="s">
        <v>5888</v>
      </c>
      <c r="E1392" s="13" t="s">
        <v>808</v>
      </c>
      <c r="F1392" s="37">
        <v>2000000</v>
      </c>
      <c r="G1392" s="174" t="s">
        <v>5762</v>
      </c>
      <c r="H1392" s="14"/>
      <c r="I1392" s="4" t="s">
        <v>24</v>
      </c>
    </row>
    <row r="1393" spans="1:12" s="97" customFormat="1" hidden="1" x14ac:dyDescent="0.25">
      <c r="A1393" s="13" t="s">
        <v>659</v>
      </c>
      <c r="B1393" s="14">
        <v>43584</v>
      </c>
      <c r="C1393" s="13">
        <v>758</v>
      </c>
      <c r="D1393" s="13" t="s">
        <v>254</v>
      </c>
      <c r="E1393" s="13" t="s">
        <v>808</v>
      </c>
      <c r="F1393" s="4">
        <v>881707.95</v>
      </c>
      <c r="G1393" s="28" t="s">
        <v>6139</v>
      </c>
      <c r="H1393" s="14">
        <v>43549</v>
      </c>
      <c r="I1393" s="4" t="s">
        <v>6140</v>
      </c>
      <c r="J1393" s="133"/>
      <c r="K1393" s="22"/>
      <c r="L1393" s="134"/>
    </row>
    <row r="1394" spans="1:12" s="97" customFormat="1" hidden="1" x14ac:dyDescent="0.25">
      <c r="A1394" s="32" t="s">
        <v>1149</v>
      </c>
      <c r="B1394" s="14">
        <v>43584</v>
      </c>
      <c r="C1394" s="13">
        <v>758</v>
      </c>
      <c r="D1394" s="13" t="s">
        <v>254</v>
      </c>
      <c r="E1394" s="13" t="s">
        <v>808</v>
      </c>
      <c r="F1394" s="4">
        <v>841999.92</v>
      </c>
      <c r="G1394" s="28" t="s">
        <v>6141</v>
      </c>
      <c r="H1394" s="14">
        <v>43550</v>
      </c>
      <c r="I1394" s="4" t="s">
        <v>421</v>
      </c>
      <c r="J1394" s="133"/>
      <c r="K1394" s="22"/>
      <c r="L1394" s="134"/>
    </row>
    <row r="1395" spans="1:12" hidden="1" x14ac:dyDescent="0.25">
      <c r="A1395" s="32" t="s">
        <v>1147</v>
      </c>
      <c r="B1395" s="14">
        <v>43584</v>
      </c>
      <c r="C1395" s="67">
        <v>759</v>
      </c>
      <c r="D1395" s="32" t="s">
        <v>4653</v>
      </c>
      <c r="E1395" s="13" t="s">
        <v>808</v>
      </c>
      <c r="F1395" s="4">
        <f>161500-80750</f>
        <v>80750</v>
      </c>
      <c r="G1395" s="67">
        <v>72</v>
      </c>
      <c r="H1395" s="14">
        <v>43521</v>
      </c>
      <c r="I1395" s="4" t="s">
        <v>4654</v>
      </c>
      <c r="J1395" s="21"/>
      <c r="K1395" s="228"/>
    </row>
    <row r="1396" spans="1:12" s="97" customFormat="1" hidden="1" x14ac:dyDescent="0.25">
      <c r="A1396" s="32" t="s">
        <v>1316</v>
      </c>
      <c r="B1396" s="14">
        <v>43584</v>
      </c>
      <c r="C1396" s="13">
        <v>760</v>
      </c>
      <c r="D1396" s="13" t="s">
        <v>869</v>
      </c>
      <c r="E1396" s="13" t="s">
        <v>808</v>
      </c>
      <c r="F1396" s="4">
        <v>41961.8</v>
      </c>
      <c r="G1396" s="28" t="s">
        <v>6206</v>
      </c>
      <c r="H1396" s="14">
        <v>43551</v>
      </c>
      <c r="I1396" s="4" t="s">
        <v>268</v>
      </c>
      <c r="J1396" s="133"/>
      <c r="K1396" s="22"/>
      <c r="L1396" s="134"/>
    </row>
    <row r="1397" spans="1:12" s="97" customFormat="1" hidden="1" x14ac:dyDescent="0.25">
      <c r="A1397" s="61" t="s">
        <v>1316</v>
      </c>
      <c r="B1397" s="14">
        <v>43584</v>
      </c>
      <c r="C1397" s="13">
        <v>761</v>
      </c>
      <c r="D1397" s="13" t="s">
        <v>280</v>
      </c>
      <c r="E1397" s="13" t="s">
        <v>808</v>
      </c>
      <c r="F1397" s="4">
        <v>164300</v>
      </c>
      <c r="G1397" s="29" t="s">
        <v>191</v>
      </c>
      <c r="H1397" s="14">
        <v>43544</v>
      </c>
      <c r="I1397" s="4" t="s">
        <v>5945</v>
      </c>
      <c r="J1397" s="133"/>
      <c r="K1397" s="22"/>
      <c r="L1397" s="134"/>
    </row>
    <row r="1398" spans="1:12" s="97" customFormat="1" hidden="1" x14ac:dyDescent="0.25">
      <c r="A1398" s="61" t="s">
        <v>659</v>
      </c>
      <c r="B1398" s="14">
        <v>43584</v>
      </c>
      <c r="C1398" s="13">
        <v>761</v>
      </c>
      <c r="D1398" s="13" t="s">
        <v>280</v>
      </c>
      <c r="E1398" s="13" t="s">
        <v>808</v>
      </c>
      <c r="F1398" s="4">
        <v>1065</v>
      </c>
      <c r="G1398" s="28" t="s">
        <v>1568</v>
      </c>
      <c r="H1398" s="14">
        <v>43552</v>
      </c>
      <c r="I1398" s="4" t="s">
        <v>6190</v>
      </c>
      <c r="J1398" s="133"/>
      <c r="K1398" s="22"/>
      <c r="L1398" s="134"/>
    </row>
    <row r="1399" spans="1:12" s="97" customFormat="1" hidden="1" x14ac:dyDescent="0.25">
      <c r="A1399" s="61" t="s">
        <v>1149</v>
      </c>
      <c r="B1399" s="14">
        <v>43584</v>
      </c>
      <c r="C1399" s="13">
        <v>761</v>
      </c>
      <c r="D1399" s="13" t="s">
        <v>280</v>
      </c>
      <c r="E1399" s="13" t="s">
        <v>808</v>
      </c>
      <c r="F1399" s="37">
        <v>4085</v>
      </c>
      <c r="G1399" s="29" t="s">
        <v>158</v>
      </c>
      <c r="H1399" s="14">
        <v>43557</v>
      </c>
      <c r="I1399" s="4" t="s">
        <v>6520</v>
      </c>
      <c r="J1399" s="133"/>
      <c r="K1399" s="22"/>
      <c r="L1399" s="134"/>
    </row>
    <row r="1400" spans="1:12" s="97" customFormat="1" hidden="1" x14ac:dyDescent="0.25">
      <c r="A1400" s="61" t="s">
        <v>659</v>
      </c>
      <c r="B1400" s="14">
        <v>43584</v>
      </c>
      <c r="C1400" s="13">
        <v>762</v>
      </c>
      <c r="D1400" s="13" t="s">
        <v>72</v>
      </c>
      <c r="E1400" s="13" t="s">
        <v>808</v>
      </c>
      <c r="F1400" s="4">
        <v>73984.56</v>
      </c>
      <c r="G1400" s="28" t="s">
        <v>2066</v>
      </c>
      <c r="H1400" s="14">
        <v>43550</v>
      </c>
      <c r="I1400" s="4" t="s">
        <v>6171</v>
      </c>
      <c r="J1400" s="133"/>
      <c r="K1400" s="22"/>
      <c r="L1400" s="134"/>
    </row>
    <row r="1401" spans="1:12" s="97" customFormat="1" hidden="1" x14ac:dyDescent="0.25">
      <c r="A1401" s="32" t="s">
        <v>1316</v>
      </c>
      <c r="B1401" s="14">
        <v>43584</v>
      </c>
      <c r="C1401" s="13">
        <v>763</v>
      </c>
      <c r="D1401" s="13" t="s">
        <v>1491</v>
      </c>
      <c r="E1401" s="13" t="s">
        <v>808</v>
      </c>
      <c r="F1401" s="4">
        <f>632296.8-132296.8-300000-100000</f>
        <v>100000.00000000006</v>
      </c>
      <c r="G1401" s="28" t="s">
        <v>5661</v>
      </c>
      <c r="H1401" s="14">
        <v>43535</v>
      </c>
      <c r="I1401" s="4" t="s">
        <v>555</v>
      </c>
      <c r="J1401" s="133"/>
      <c r="K1401" s="22"/>
      <c r="L1401" s="134"/>
    </row>
    <row r="1402" spans="1:12" s="97" customFormat="1" hidden="1" x14ac:dyDescent="0.25">
      <c r="A1402" s="61" t="s">
        <v>659</v>
      </c>
      <c r="B1402" s="14">
        <v>43584</v>
      </c>
      <c r="C1402" s="13">
        <v>764</v>
      </c>
      <c r="D1402" s="13" t="s">
        <v>666</v>
      </c>
      <c r="E1402" s="13" t="s">
        <v>808</v>
      </c>
      <c r="F1402" s="4">
        <v>21472.400000000001</v>
      </c>
      <c r="G1402" s="29" t="s">
        <v>3845</v>
      </c>
      <c r="H1402" s="14">
        <v>43550</v>
      </c>
      <c r="I1402" s="4" t="s">
        <v>6155</v>
      </c>
      <c r="J1402" s="133"/>
      <c r="K1402" s="22"/>
      <c r="L1402" s="134"/>
    </row>
    <row r="1403" spans="1:12" s="93" customFormat="1" hidden="1" x14ac:dyDescent="0.25">
      <c r="A1403" s="61" t="s">
        <v>1316</v>
      </c>
      <c r="B1403" s="14">
        <v>43584</v>
      </c>
      <c r="C1403" s="13">
        <v>765</v>
      </c>
      <c r="D1403" s="13" t="s">
        <v>516</v>
      </c>
      <c r="E1403" s="13" t="s">
        <v>808</v>
      </c>
      <c r="F1403" s="4">
        <v>33876.449999999997</v>
      </c>
      <c r="G1403" s="29" t="s">
        <v>1266</v>
      </c>
      <c r="H1403" s="14">
        <v>43544</v>
      </c>
      <c r="I1403" s="4" t="s">
        <v>5935</v>
      </c>
      <c r="J1403" s="130"/>
      <c r="K1403" s="16"/>
      <c r="L1403" s="92"/>
    </row>
    <row r="1404" spans="1:12" hidden="1" x14ac:dyDescent="0.25">
      <c r="A1404" s="13" t="s">
        <v>637</v>
      </c>
      <c r="B1404" s="126">
        <v>43584</v>
      </c>
      <c r="C1404" s="28" t="s">
        <v>7290</v>
      </c>
      <c r="D1404" s="32" t="s">
        <v>432</v>
      </c>
      <c r="E1404" s="32" t="s">
        <v>691</v>
      </c>
      <c r="F1404" s="4">
        <v>242041.5</v>
      </c>
      <c r="G1404" s="69" t="s">
        <v>3256</v>
      </c>
      <c r="H1404" s="14"/>
      <c r="I1404" s="4" t="s">
        <v>433</v>
      </c>
      <c r="J1404" s="21"/>
      <c r="K1404" s="228"/>
    </row>
    <row r="1405" spans="1:12" hidden="1" x14ac:dyDescent="0.25">
      <c r="A1405" s="13" t="s">
        <v>639</v>
      </c>
      <c r="B1405" s="126">
        <v>43584</v>
      </c>
      <c r="C1405" s="28" t="s">
        <v>3224</v>
      </c>
      <c r="D1405" s="32" t="s">
        <v>432</v>
      </c>
      <c r="E1405" s="32" t="s">
        <v>691</v>
      </c>
      <c r="F1405" s="4">
        <v>137958.5</v>
      </c>
      <c r="G1405" s="69" t="s">
        <v>7262</v>
      </c>
      <c r="H1405" s="14"/>
      <c r="I1405" s="4" t="s">
        <v>433</v>
      </c>
      <c r="J1405" s="21"/>
      <c r="K1405" s="228"/>
    </row>
    <row r="1406" spans="1:12" s="97" customFormat="1" hidden="1" x14ac:dyDescent="0.25">
      <c r="A1406" s="61" t="s">
        <v>1350</v>
      </c>
      <c r="B1406" s="126">
        <v>43584</v>
      </c>
      <c r="C1406" s="13">
        <v>317</v>
      </c>
      <c r="D1406" s="13" t="s">
        <v>868</v>
      </c>
      <c r="E1406" s="13" t="s">
        <v>691</v>
      </c>
      <c r="F1406" s="4">
        <v>18964.5</v>
      </c>
      <c r="G1406" s="29" t="s">
        <v>6193</v>
      </c>
      <c r="H1406" s="14">
        <v>43550</v>
      </c>
      <c r="I1406" s="4" t="s">
        <v>6194</v>
      </c>
      <c r="J1406" s="133"/>
      <c r="K1406" s="22"/>
      <c r="L1406" s="134"/>
    </row>
    <row r="1407" spans="1:12" s="97" customFormat="1" hidden="1" x14ac:dyDescent="0.25">
      <c r="A1407" s="61" t="s">
        <v>637</v>
      </c>
      <c r="B1407" s="126">
        <v>43584</v>
      </c>
      <c r="C1407" s="13">
        <v>318</v>
      </c>
      <c r="D1407" s="13" t="s">
        <v>72</v>
      </c>
      <c r="E1407" s="13" t="s">
        <v>691</v>
      </c>
      <c r="F1407" s="4">
        <v>52644</v>
      </c>
      <c r="G1407" s="28" t="s">
        <v>6169</v>
      </c>
      <c r="H1407" s="14">
        <v>43550</v>
      </c>
      <c r="I1407" s="4" t="s">
        <v>6170</v>
      </c>
      <c r="J1407" s="133"/>
      <c r="K1407" s="22"/>
      <c r="L1407" s="134"/>
    </row>
    <row r="1408" spans="1:12" s="97" customFormat="1" hidden="1" x14ac:dyDescent="0.25">
      <c r="A1408" s="61" t="s">
        <v>637</v>
      </c>
      <c r="B1408" s="126">
        <v>43584</v>
      </c>
      <c r="C1408" s="13">
        <v>319</v>
      </c>
      <c r="D1408" s="13" t="s">
        <v>244</v>
      </c>
      <c r="E1408" s="13" t="s">
        <v>691</v>
      </c>
      <c r="F1408" s="4">
        <v>68975.16</v>
      </c>
      <c r="G1408" s="29" t="s">
        <v>3394</v>
      </c>
      <c r="H1408" s="14">
        <v>43550</v>
      </c>
      <c r="I1408" s="4" t="s">
        <v>3433</v>
      </c>
      <c r="J1408" s="133"/>
      <c r="K1408" s="22"/>
      <c r="L1408" s="134"/>
    </row>
    <row r="1409" spans="1:12" s="97" customFormat="1" hidden="1" x14ac:dyDescent="0.25">
      <c r="A1409" s="61" t="s">
        <v>637</v>
      </c>
      <c r="B1409" s="126">
        <v>43584</v>
      </c>
      <c r="C1409" s="13">
        <v>320</v>
      </c>
      <c r="D1409" s="13" t="s">
        <v>516</v>
      </c>
      <c r="E1409" s="13" t="s">
        <v>691</v>
      </c>
      <c r="F1409" s="4">
        <v>16499.84</v>
      </c>
      <c r="G1409" s="29" t="s">
        <v>3326</v>
      </c>
      <c r="H1409" s="14">
        <v>43546</v>
      </c>
      <c r="I1409" s="4" t="s">
        <v>6150</v>
      </c>
      <c r="J1409" s="133"/>
      <c r="K1409" s="22"/>
      <c r="L1409" s="134"/>
    </row>
    <row r="1410" spans="1:12" s="97" customFormat="1" hidden="1" x14ac:dyDescent="0.25">
      <c r="A1410" s="61" t="s">
        <v>455</v>
      </c>
      <c r="B1410" s="14">
        <v>43584</v>
      </c>
      <c r="C1410" s="13">
        <v>397</v>
      </c>
      <c r="D1410" s="13" t="s">
        <v>254</v>
      </c>
      <c r="E1410" s="13" t="s">
        <v>958</v>
      </c>
      <c r="F1410" s="4">
        <v>300000</v>
      </c>
      <c r="G1410" s="29" t="s">
        <v>6142</v>
      </c>
      <c r="H1410" s="14">
        <v>43553</v>
      </c>
      <c r="I1410" s="4" t="s">
        <v>421</v>
      </c>
      <c r="J1410" s="133"/>
      <c r="K1410" s="22"/>
      <c r="L1410" s="134"/>
    </row>
    <row r="1411" spans="1:12" s="97" customFormat="1" hidden="1" x14ac:dyDescent="0.25">
      <c r="A1411" s="61" t="s">
        <v>311</v>
      </c>
      <c r="B1411" s="14">
        <v>43584</v>
      </c>
      <c r="C1411" s="13">
        <v>400</v>
      </c>
      <c r="D1411" s="13" t="s">
        <v>7076</v>
      </c>
      <c r="E1411" s="13" t="s">
        <v>958</v>
      </c>
      <c r="F1411" s="4">
        <v>324592.34999999998</v>
      </c>
      <c r="G1411" s="28" t="s">
        <v>2160</v>
      </c>
      <c r="H1411" s="14">
        <v>43542</v>
      </c>
      <c r="I1411" s="4" t="s">
        <v>1826</v>
      </c>
      <c r="J1411" s="133"/>
      <c r="K1411" s="22"/>
      <c r="L1411" s="134"/>
    </row>
    <row r="1412" spans="1:12" s="97" customFormat="1" hidden="1" x14ac:dyDescent="0.25">
      <c r="A1412" s="61" t="s">
        <v>455</v>
      </c>
      <c r="B1412" s="14">
        <v>43584</v>
      </c>
      <c r="C1412" s="13">
        <v>398</v>
      </c>
      <c r="D1412" s="13" t="s">
        <v>1065</v>
      </c>
      <c r="E1412" s="13" t="s">
        <v>958</v>
      </c>
      <c r="F1412" s="4">
        <v>23574</v>
      </c>
      <c r="G1412" s="28" t="s">
        <v>3510</v>
      </c>
      <c r="H1412" s="14">
        <v>43546</v>
      </c>
      <c r="I1412" s="4" t="s">
        <v>5948</v>
      </c>
      <c r="J1412" s="133"/>
      <c r="K1412" s="22"/>
      <c r="L1412" s="134"/>
    </row>
    <row r="1413" spans="1:12" hidden="1" x14ac:dyDescent="0.25">
      <c r="A1413" s="13" t="s">
        <v>310</v>
      </c>
      <c r="B1413" s="14">
        <v>43584</v>
      </c>
      <c r="C1413" s="13">
        <v>723</v>
      </c>
      <c r="D1413" s="13" t="s">
        <v>1430</v>
      </c>
      <c r="E1413" s="13" t="s">
        <v>130</v>
      </c>
      <c r="F1413" s="4">
        <v>54270</v>
      </c>
      <c r="G1413" s="28" t="s">
        <v>6079</v>
      </c>
      <c r="H1413" s="14">
        <v>43555</v>
      </c>
      <c r="I1413" s="4" t="s">
        <v>182</v>
      </c>
    </row>
    <row r="1414" spans="1:12" hidden="1" x14ac:dyDescent="0.25">
      <c r="A1414" s="61" t="s">
        <v>261</v>
      </c>
      <c r="B1414" s="14">
        <v>43584</v>
      </c>
      <c r="C1414" s="13">
        <v>723</v>
      </c>
      <c r="D1414" s="13" t="s">
        <v>1430</v>
      </c>
      <c r="E1414" s="13" t="s">
        <v>130</v>
      </c>
      <c r="F1414" s="4">
        <v>18090</v>
      </c>
      <c r="G1414" s="28" t="s">
        <v>6080</v>
      </c>
      <c r="H1414" s="14">
        <v>43555</v>
      </c>
      <c r="I1414" s="4" t="s">
        <v>182</v>
      </c>
    </row>
    <row r="1415" spans="1:12" hidden="1" x14ac:dyDescent="0.25">
      <c r="A1415" s="61" t="s">
        <v>659</v>
      </c>
      <c r="B1415" s="14">
        <v>43584</v>
      </c>
      <c r="C1415" s="13">
        <v>723</v>
      </c>
      <c r="D1415" s="13" t="s">
        <v>1430</v>
      </c>
      <c r="E1415" s="13" t="s">
        <v>130</v>
      </c>
      <c r="F1415" s="4">
        <v>18090</v>
      </c>
      <c r="G1415" s="28" t="s">
        <v>6081</v>
      </c>
      <c r="H1415" s="14">
        <v>43555</v>
      </c>
      <c r="I1415" s="4" t="s">
        <v>182</v>
      </c>
    </row>
    <row r="1416" spans="1:12" hidden="1" x14ac:dyDescent="0.25">
      <c r="A1416" s="61" t="s">
        <v>1316</v>
      </c>
      <c r="B1416" s="14">
        <v>43584</v>
      </c>
      <c r="C1416" s="13">
        <v>723</v>
      </c>
      <c r="D1416" s="13" t="s">
        <v>1430</v>
      </c>
      <c r="E1416" s="13" t="s">
        <v>130</v>
      </c>
      <c r="F1416" s="4">
        <v>36180</v>
      </c>
      <c r="G1416" s="28" t="s">
        <v>6082</v>
      </c>
      <c r="H1416" s="14">
        <v>43555</v>
      </c>
      <c r="I1416" s="4" t="s">
        <v>182</v>
      </c>
    </row>
    <row r="1417" spans="1:12" hidden="1" x14ac:dyDescent="0.25">
      <c r="A1417" s="61" t="s">
        <v>1350</v>
      </c>
      <c r="B1417" s="14">
        <v>43584</v>
      </c>
      <c r="C1417" s="13">
        <v>723</v>
      </c>
      <c r="D1417" s="13" t="s">
        <v>1430</v>
      </c>
      <c r="E1417" s="13" t="s">
        <v>130</v>
      </c>
      <c r="F1417" s="4">
        <v>18090</v>
      </c>
      <c r="G1417" s="28" t="s">
        <v>6083</v>
      </c>
      <c r="H1417" s="14">
        <v>43555</v>
      </c>
      <c r="I1417" s="4" t="s">
        <v>182</v>
      </c>
    </row>
    <row r="1418" spans="1:12" hidden="1" x14ac:dyDescent="0.25">
      <c r="A1418" s="61" t="s">
        <v>637</v>
      </c>
      <c r="B1418" s="14">
        <v>43584</v>
      </c>
      <c r="C1418" s="13">
        <v>723</v>
      </c>
      <c r="D1418" s="13" t="s">
        <v>1430</v>
      </c>
      <c r="E1418" s="13" t="s">
        <v>130</v>
      </c>
      <c r="F1418" s="4">
        <v>253260</v>
      </c>
      <c r="G1418" s="28" t="s">
        <v>6084</v>
      </c>
      <c r="H1418" s="14">
        <v>43555</v>
      </c>
      <c r="I1418" s="4" t="s">
        <v>182</v>
      </c>
    </row>
    <row r="1419" spans="1:12" hidden="1" x14ac:dyDescent="0.25">
      <c r="A1419" s="61" t="s">
        <v>455</v>
      </c>
      <c r="B1419" s="14">
        <v>43584</v>
      </c>
      <c r="C1419" s="13">
        <v>723</v>
      </c>
      <c r="D1419" s="13" t="s">
        <v>1430</v>
      </c>
      <c r="E1419" s="13" t="s">
        <v>130</v>
      </c>
      <c r="F1419" s="4">
        <v>93800</v>
      </c>
      <c r="G1419" s="28" t="s">
        <v>6085</v>
      </c>
      <c r="H1419" s="14">
        <v>43555</v>
      </c>
      <c r="I1419" s="4" t="s">
        <v>182</v>
      </c>
    </row>
    <row r="1420" spans="1:12" hidden="1" x14ac:dyDescent="0.25">
      <c r="A1420" s="61" t="s">
        <v>1148</v>
      </c>
      <c r="B1420" s="14">
        <v>43584</v>
      </c>
      <c r="C1420" s="13">
        <v>724</v>
      </c>
      <c r="D1420" s="13" t="s">
        <v>971</v>
      </c>
      <c r="E1420" s="13" t="s">
        <v>130</v>
      </c>
      <c r="F1420" s="37">
        <v>27470</v>
      </c>
      <c r="G1420" s="29" t="s">
        <v>724</v>
      </c>
      <c r="H1420" s="14">
        <v>43524</v>
      </c>
      <c r="I1420" s="4" t="s">
        <v>182</v>
      </c>
    </row>
    <row r="1421" spans="1:12" hidden="1" x14ac:dyDescent="0.25">
      <c r="A1421" s="61" t="s">
        <v>442</v>
      </c>
      <c r="B1421" s="14">
        <v>43584</v>
      </c>
      <c r="C1421" s="13">
        <v>724</v>
      </c>
      <c r="D1421" s="13" t="s">
        <v>971</v>
      </c>
      <c r="E1421" s="13" t="s">
        <v>130</v>
      </c>
      <c r="F1421" s="37">
        <v>162140</v>
      </c>
      <c r="G1421" s="29" t="s">
        <v>196</v>
      </c>
      <c r="H1421" s="14">
        <v>43524</v>
      </c>
      <c r="I1421" s="4" t="s">
        <v>182</v>
      </c>
    </row>
    <row r="1422" spans="1:12" hidden="1" x14ac:dyDescent="0.25">
      <c r="A1422" s="61" t="s">
        <v>442</v>
      </c>
      <c r="B1422" s="14">
        <v>43584</v>
      </c>
      <c r="C1422" s="13">
        <v>724</v>
      </c>
      <c r="D1422" s="13" t="s">
        <v>971</v>
      </c>
      <c r="E1422" s="13" t="s">
        <v>130</v>
      </c>
      <c r="F1422" s="37">
        <v>233830</v>
      </c>
      <c r="G1422" s="29" t="s">
        <v>3964</v>
      </c>
      <c r="H1422" s="14">
        <v>43555</v>
      </c>
      <c r="I1422" s="4" t="s">
        <v>182</v>
      </c>
    </row>
    <row r="1423" spans="1:12" hidden="1" x14ac:dyDescent="0.25">
      <c r="A1423" s="61" t="s">
        <v>358</v>
      </c>
      <c r="B1423" s="14">
        <v>43584</v>
      </c>
      <c r="C1423" s="13">
        <v>724</v>
      </c>
      <c r="D1423" s="13" t="s">
        <v>971</v>
      </c>
      <c r="E1423" s="13" t="s">
        <v>130</v>
      </c>
      <c r="F1423" s="37">
        <v>72360</v>
      </c>
      <c r="G1423" s="29" t="s">
        <v>4091</v>
      </c>
      <c r="H1423" s="14">
        <v>43555</v>
      </c>
      <c r="I1423" s="4" t="s">
        <v>182</v>
      </c>
    </row>
    <row r="1424" spans="1:12" hidden="1" x14ac:dyDescent="0.25">
      <c r="A1424" s="61" t="s">
        <v>1316</v>
      </c>
      <c r="B1424" s="14">
        <v>43584</v>
      </c>
      <c r="C1424" s="13">
        <v>724</v>
      </c>
      <c r="D1424" s="13" t="s">
        <v>971</v>
      </c>
      <c r="E1424" s="13" t="s">
        <v>130</v>
      </c>
      <c r="F1424" s="37">
        <v>12060</v>
      </c>
      <c r="G1424" s="29" t="s">
        <v>25</v>
      </c>
      <c r="H1424" s="14">
        <v>43555</v>
      </c>
      <c r="I1424" s="4" t="s">
        <v>182</v>
      </c>
    </row>
    <row r="1425" spans="1:19" hidden="1" x14ac:dyDescent="0.25">
      <c r="A1425" s="61" t="s">
        <v>460</v>
      </c>
      <c r="B1425" s="14">
        <v>43584</v>
      </c>
      <c r="C1425" s="13">
        <v>309</v>
      </c>
      <c r="D1425" s="13" t="s">
        <v>5732</v>
      </c>
      <c r="E1425" s="13" t="s">
        <v>440</v>
      </c>
      <c r="F1425" s="256">
        <f>1869993</f>
        <v>1869993</v>
      </c>
      <c r="G1425" s="69" t="s">
        <v>5733</v>
      </c>
      <c r="H1425" s="14">
        <v>43544</v>
      </c>
      <c r="I1425" s="274" t="s">
        <v>6907</v>
      </c>
      <c r="J1425" s="169"/>
    </row>
    <row r="1426" spans="1:19" hidden="1" x14ac:dyDescent="0.25">
      <c r="A1426" s="13" t="s">
        <v>184</v>
      </c>
      <c r="B1426" s="14">
        <v>43584</v>
      </c>
      <c r="C1426" s="67">
        <v>554</v>
      </c>
      <c r="D1426" s="32" t="s">
        <v>1785</v>
      </c>
      <c r="E1426" s="32" t="s">
        <v>1121</v>
      </c>
      <c r="F1426" s="208">
        <v>439807</v>
      </c>
      <c r="G1426" s="25" t="s">
        <v>4080</v>
      </c>
      <c r="H1426" s="212">
        <v>43560</v>
      </c>
      <c r="I1426" s="208" t="s">
        <v>6974</v>
      </c>
      <c r="J1426" s="76" t="s">
        <v>6975</v>
      </c>
      <c r="K1426" s="260"/>
      <c r="L1426" s="62"/>
    </row>
    <row r="1427" spans="1:19" ht="15" hidden="1" customHeight="1" x14ac:dyDescent="0.25">
      <c r="A1427" s="13" t="s">
        <v>184</v>
      </c>
      <c r="B1427" s="14">
        <v>43584</v>
      </c>
      <c r="C1427" s="13">
        <v>550</v>
      </c>
      <c r="D1427" s="13" t="s">
        <v>348</v>
      </c>
      <c r="E1427" s="32" t="s">
        <v>1121</v>
      </c>
      <c r="F1427" s="4">
        <v>745600</v>
      </c>
      <c r="G1427" s="28" t="s">
        <v>6576</v>
      </c>
      <c r="H1427" s="14">
        <v>43563</v>
      </c>
      <c r="I1427" s="4" t="s">
        <v>309</v>
      </c>
      <c r="J1427" s="76" t="s">
        <v>771</v>
      </c>
    </row>
    <row r="1428" spans="1:19" ht="15" hidden="1" customHeight="1" x14ac:dyDescent="0.25">
      <c r="A1428" s="13" t="s">
        <v>964</v>
      </c>
      <c r="B1428" s="14">
        <v>43584</v>
      </c>
      <c r="C1428" s="13">
        <v>551</v>
      </c>
      <c r="D1428" s="13" t="s">
        <v>321</v>
      </c>
      <c r="E1428" s="32" t="s">
        <v>1121</v>
      </c>
      <c r="F1428" s="4">
        <v>90000</v>
      </c>
      <c r="G1428" s="28" t="s">
        <v>1211</v>
      </c>
      <c r="H1428" s="14">
        <v>43553</v>
      </c>
      <c r="I1428" s="4" t="s">
        <v>3671</v>
      </c>
      <c r="J1428" s="76" t="s">
        <v>771</v>
      </c>
      <c r="L1428" s="76"/>
    </row>
    <row r="1429" spans="1:19" s="129" customFormat="1" hidden="1" x14ac:dyDescent="0.25">
      <c r="A1429" s="13" t="s">
        <v>151</v>
      </c>
      <c r="B1429" s="14">
        <v>43584</v>
      </c>
      <c r="C1429" s="28" t="s">
        <v>2519</v>
      </c>
      <c r="D1429" s="13" t="s">
        <v>711</v>
      </c>
      <c r="E1429" s="32" t="s">
        <v>1121</v>
      </c>
      <c r="F1429" s="37">
        <f>3050+4350+2700+3300</f>
        <v>13400</v>
      </c>
      <c r="G1429" s="28" t="s">
        <v>7257</v>
      </c>
      <c r="H1429" s="28" t="s">
        <v>7256</v>
      </c>
      <c r="I1429" s="4" t="s">
        <v>712</v>
      </c>
      <c r="J1429" s="170"/>
      <c r="K1429" s="136"/>
    </row>
    <row r="1430" spans="1:19" ht="13.95" hidden="1" customHeight="1" x14ac:dyDescent="0.25">
      <c r="A1430" s="32" t="s">
        <v>151</v>
      </c>
      <c r="B1430" s="14">
        <v>43584</v>
      </c>
      <c r="C1430" s="67">
        <v>552</v>
      </c>
      <c r="D1430" s="32" t="s">
        <v>412</v>
      </c>
      <c r="E1430" s="13" t="s">
        <v>1121</v>
      </c>
      <c r="F1430" s="4">
        <v>20000</v>
      </c>
      <c r="G1430" s="13">
        <v>23</v>
      </c>
      <c r="H1430" s="14">
        <v>43556</v>
      </c>
      <c r="I1430" s="4" t="s">
        <v>1908</v>
      </c>
      <c r="J1430" s="22" t="s">
        <v>771</v>
      </c>
      <c r="K1430" s="245"/>
    </row>
    <row r="1431" spans="1:19" s="192" customFormat="1" hidden="1" x14ac:dyDescent="0.25">
      <c r="A1431" s="147" t="s">
        <v>242</v>
      </c>
      <c r="B1431" s="164">
        <v>43584</v>
      </c>
      <c r="C1431" s="195">
        <v>347</v>
      </c>
      <c r="D1431" s="149" t="s">
        <v>784</v>
      </c>
      <c r="E1431" s="147" t="s">
        <v>144</v>
      </c>
      <c r="F1431" s="158">
        <v>976359.35</v>
      </c>
      <c r="G1431" s="150" t="s">
        <v>4090</v>
      </c>
      <c r="H1431" s="148">
        <v>43581</v>
      </c>
      <c r="I1431" s="149" t="s">
        <v>143</v>
      </c>
      <c r="J1431" s="193"/>
      <c r="K1431" s="194"/>
      <c r="L1431" s="190"/>
    </row>
    <row r="1432" spans="1:19" hidden="1" x14ac:dyDescent="0.25">
      <c r="A1432" s="13" t="s">
        <v>151</v>
      </c>
      <c r="B1432" s="14">
        <v>43584</v>
      </c>
      <c r="C1432" s="13">
        <v>118</v>
      </c>
      <c r="D1432" s="13" t="s">
        <v>596</v>
      </c>
      <c r="E1432" s="32" t="s">
        <v>22</v>
      </c>
      <c r="F1432" s="4">
        <v>4840</v>
      </c>
      <c r="G1432" s="28" t="s">
        <v>7258</v>
      </c>
      <c r="H1432" s="14">
        <v>43581</v>
      </c>
      <c r="I1432" s="4" t="s">
        <v>1</v>
      </c>
      <c r="J1432" s="125"/>
    </row>
    <row r="1433" spans="1:19" hidden="1" x14ac:dyDescent="0.25">
      <c r="A1433" s="32" t="s">
        <v>151</v>
      </c>
      <c r="B1433" s="14">
        <v>43584</v>
      </c>
      <c r="C1433" s="13">
        <v>119</v>
      </c>
      <c r="D1433" s="13" t="s">
        <v>223</v>
      </c>
      <c r="E1433" s="32" t="s">
        <v>22</v>
      </c>
      <c r="F1433" s="4">
        <v>36690</v>
      </c>
      <c r="G1433" s="28" t="s">
        <v>201</v>
      </c>
      <c r="H1433" s="14">
        <v>43543</v>
      </c>
      <c r="I1433" s="4" t="s">
        <v>3072</v>
      </c>
      <c r="J1433" s="76"/>
      <c r="K1433" s="246"/>
    </row>
    <row r="1434" spans="1:19" ht="27.6" hidden="1" x14ac:dyDescent="0.25">
      <c r="A1434" s="32" t="s">
        <v>55</v>
      </c>
      <c r="B1434" s="14">
        <v>43584</v>
      </c>
      <c r="C1434" s="67">
        <v>725</v>
      </c>
      <c r="D1434" s="32" t="s">
        <v>373</v>
      </c>
      <c r="E1434" s="32" t="s">
        <v>1427</v>
      </c>
      <c r="F1434" s="4">
        <v>192150.78</v>
      </c>
      <c r="G1434" s="28" t="s">
        <v>7235</v>
      </c>
      <c r="H1434" s="14"/>
      <c r="I1434" s="4" t="s">
        <v>7234</v>
      </c>
      <c r="J1434" s="166" t="s">
        <v>622</v>
      </c>
      <c r="K1434" s="167"/>
      <c r="L1434" s="35"/>
    </row>
    <row r="1435" spans="1:19" ht="27.6" hidden="1" x14ac:dyDescent="0.25">
      <c r="A1435" s="32" t="s">
        <v>55</v>
      </c>
      <c r="B1435" s="14">
        <v>43584</v>
      </c>
      <c r="C1435" s="67">
        <v>726</v>
      </c>
      <c r="D1435" s="32" t="s">
        <v>373</v>
      </c>
      <c r="E1435" s="32" t="s">
        <v>1427</v>
      </c>
      <c r="F1435" s="4">
        <v>210151.11</v>
      </c>
      <c r="G1435" s="28" t="s">
        <v>7235</v>
      </c>
      <c r="H1435" s="14"/>
      <c r="I1435" s="4" t="s">
        <v>7234</v>
      </c>
      <c r="J1435" s="166" t="s">
        <v>323</v>
      </c>
      <c r="K1435" s="167"/>
      <c r="L1435" s="35"/>
    </row>
    <row r="1436" spans="1:19" s="115" customFormat="1" ht="15.6" hidden="1" x14ac:dyDescent="0.25">
      <c r="A1436" s="32" t="s">
        <v>6</v>
      </c>
      <c r="B1436" s="14">
        <v>43584</v>
      </c>
      <c r="C1436" s="13">
        <v>204</v>
      </c>
      <c r="D1436" s="32" t="s">
        <v>3055</v>
      </c>
      <c r="E1436" s="13" t="s">
        <v>183</v>
      </c>
      <c r="F1436" s="4">
        <v>2400</v>
      </c>
      <c r="G1436" s="13">
        <v>267103</v>
      </c>
      <c r="H1436" s="14">
        <v>43577</v>
      </c>
      <c r="I1436" s="4" t="s">
        <v>7202</v>
      </c>
      <c r="J1436" s="258"/>
      <c r="K1436" s="116"/>
      <c r="L1436" s="116"/>
      <c r="M1436" s="116"/>
      <c r="N1436" s="116"/>
      <c r="O1436" s="117"/>
      <c r="P1436" s="117"/>
      <c r="Q1436" s="117"/>
      <c r="R1436" s="117"/>
      <c r="S1436" s="117"/>
    </row>
    <row r="1437" spans="1:19" s="2" customFormat="1" ht="15" hidden="1" customHeight="1" x14ac:dyDescent="0.25">
      <c r="A1437" s="13" t="s">
        <v>6</v>
      </c>
      <c r="B1437" s="14">
        <v>43584</v>
      </c>
      <c r="C1437" s="13">
        <v>205</v>
      </c>
      <c r="D1437" s="13" t="s">
        <v>568</v>
      </c>
      <c r="E1437" s="13" t="s">
        <v>183</v>
      </c>
      <c r="F1437" s="4">
        <v>8460</v>
      </c>
      <c r="G1437" s="29" t="s">
        <v>7201</v>
      </c>
      <c r="H1437" s="14">
        <v>43576</v>
      </c>
      <c r="I1437" s="4" t="s">
        <v>839</v>
      </c>
      <c r="J1437" s="341"/>
      <c r="K1437" s="31"/>
      <c r="L1437" s="31"/>
      <c r="M1437" s="31"/>
      <c r="N1437" s="31"/>
      <c r="O1437" s="34"/>
      <c r="P1437" s="34"/>
      <c r="Q1437" s="34"/>
      <c r="R1437" s="34"/>
      <c r="S1437" s="34"/>
    </row>
    <row r="1438" spans="1:19" s="2" customFormat="1" ht="15" hidden="1" customHeight="1" x14ac:dyDescent="0.25">
      <c r="A1438" s="13" t="s">
        <v>6</v>
      </c>
      <c r="B1438" s="14">
        <v>43584</v>
      </c>
      <c r="C1438" s="13">
        <v>206</v>
      </c>
      <c r="D1438" s="13" t="s">
        <v>464</v>
      </c>
      <c r="E1438" s="13" t="s">
        <v>183</v>
      </c>
      <c r="F1438" s="4">
        <v>11775</v>
      </c>
      <c r="G1438" s="29" t="s">
        <v>1493</v>
      </c>
      <c r="H1438" s="14">
        <v>43577</v>
      </c>
      <c r="I1438" s="4" t="s">
        <v>7206</v>
      </c>
      <c r="J1438" s="341"/>
      <c r="K1438" s="31"/>
      <c r="L1438" s="31"/>
      <c r="M1438" s="31"/>
      <c r="N1438" s="31"/>
      <c r="O1438" s="34"/>
      <c r="P1438" s="34"/>
      <c r="Q1438" s="34"/>
      <c r="R1438" s="34"/>
      <c r="S1438" s="34"/>
    </row>
    <row r="1439" spans="1:19" s="97" customFormat="1" hidden="1" x14ac:dyDescent="0.25">
      <c r="A1439" s="13" t="s">
        <v>6</v>
      </c>
      <c r="B1439" s="14">
        <v>43584</v>
      </c>
      <c r="C1439" s="67">
        <v>207</v>
      </c>
      <c r="D1439" s="13" t="s">
        <v>776</v>
      </c>
      <c r="E1439" s="13" t="s">
        <v>183</v>
      </c>
      <c r="F1439" s="4">
        <v>9100</v>
      </c>
      <c r="G1439" s="29" t="s">
        <v>320</v>
      </c>
      <c r="H1439" s="14">
        <v>43577</v>
      </c>
      <c r="I1439" s="4" t="s">
        <v>7200</v>
      </c>
      <c r="J1439" s="22"/>
      <c r="K1439" s="22"/>
      <c r="L1439" s="134"/>
    </row>
    <row r="1440" spans="1:19" s="97" customFormat="1" hidden="1" x14ac:dyDescent="0.25">
      <c r="A1440" s="13" t="s">
        <v>6</v>
      </c>
      <c r="B1440" s="14">
        <v>43584</v>
      </c>
      <c r="C1440" s="67">
        <v>208</v>
      </c>
      <c r="D1440" s="13" t="s">
        <v>2050</v>
      </c>
      <c r="E1440" s="13" t="s">
        <v>183</v>
      </c>
      <c r="F1440" s="4">
        <v>10000</v>
      </c>
      <c r="G1440" s="29" t="s">
        <v>114</v>
      </c>
      <c r="H1440" s="14">
        <v>43560</v>
      </c>
      <c r="I1440" s="4" t="s">
        <v>1251</v>
      </c>
      <c r="J1440" s="22" t="s">
        <v>771</v>
      </c>
      <c r="K1440" s="22"/>
      <c r="L1440" s="134"/>
    </row>
    <row r="1441" spans="1:19" s="2" customFormat="1" ht="15" hidden="1" customHeight="1" x14ac:dyDescent="0.25">
      <c r="A1441" s="13" t="s">
        <v>6</v>
      </c>
      <c r="B1441" s="14">
        <v>43584</v>
      </c>
      <c r="C1441" s="13">
        <v>209</v>
      </c>
      <c r="D1441" s="13" t="s">
        <v>1499</v>
      </c>
      <c r="E1441" s="13" t="s">
        <v>183</v>
      </c>
      <c r="F1441" s="4">
        <v>7300</v>
      </c>
      <c r="G1441" s="29" t="s">
        <v>375</v>
      </c>
      <c r="H1441" s="14">
        <v>43574</v>
      </c>
      <c r="I1441" s="4" t="s">
        <v>344</v>
      </c>
      <c r="J1441" s="341"/>
      <c r="K1441" s="31"/>
      <c r="L1441" s="31"/>
      <c r="M1441" s="31"/>
      <c r="N1441" s="31"/>
      <c r="O1441" s="34"/>
      <c r="P1441" s="34"/>
      <c r="Q1441" s="34"/>
      <c r="R1441" s="34"/>
      <c r="S1441" s="34"/>
    </row>
    <row r="1442" spans="1:19" s="2" customFormat="1" ht="15" hidden="1" customHeight="1" x14ac:dyDescent="0.25">
      <c r="A1442" s="13" t="s">
        <v>6</v>
      </c>
      <c r="B1442" s="14">
        <v>43584</v>
      </c>
      <c r="C1442" s="13">
        <v>210</v>
      </c>
      <c r="D1442" s="13" t="s">
        <v>6699</v>
      </c>
      <c r="E1442" s="13" t="s">
        <v>183</v>
      </c>
      <c r="F1442" s="4">
        <v>28780.16</v>
      </c>
      <c r="G1442" s="29" t="s">
        <v>7204</v>
      </c>
      <c r="H1442" s="14">
        <v>43570</v>
      </c>
      <c r="I1442" s="4" t="s">
        <v>7205</v>
      </c>
      <c r="J1442" s="341"/>
      <c r="K1442" s="31"/>
      <c r="L1442" s="31"/>
      <c r="M1442" s="31"/>
      <c r="N1442" s="31"/>
      <c r="O1442" s="34"/>
      <c r="P1442" s="34"/>
      <c r="Q1442" s="34"/>
      <c r="R1442" s="34"/>
      <c r="S1442" s="34"/>
    </row>
    <row r="1443" spans="1:19" s="2" customFormat="1" ht="15" hidden="1" customHeight="1" x14ac:dyDescent="0.25">
      <c r="A1443" s="13" t="s">
        <v>6</v>
      </c>
      <c r="B1443" s="14">
        <v>43584</v>
      </c>
      <c r="C1443" s="13">
        <v>211</v>
      </c>
      <c r="D1443" s="13" t="s">
        <v>1679</v>
      </c>
      <c r="E1443" s="13" t="s">
        <v>183</v>
      </c>
      <c r="F1443" s="4">
        <v>62685</v>
      </c>
      <c r="G1443" s="29" t="s">
        <v>350</v>
      </c>
      <c r="H1443" s="14">
        <v>43578</v>
      </c>
      <c r="I1443" s="4" t="s">
        <v>6998</v>
      </c>
      <c r="J1443" s="341"/>
      <c r="K1443" s="31"/>
      <c r="L1443" s="31"/>
      <c r="M1443" s="31"/>
      <c r="N1443" s="31"/>
      <c r="O1443" s="34"/>
      <c r="P1443" s="34"/>
      <c r="Q1443" s="34"/>
      <c r="R1443" s="34"/>
      <c r="S1443" s="34"/>
    </row>
    <row r="1444" spans="1:19" s="2" customFormat="1" hidden="1" x14ac:dyDescent="0.25">
      <c r="A1444" s="13" t="s">
        <v>6</v>
      </c>
      <c r="B1444" s="14">
        <v>43584</v>
      </c>
      <c r="C1444" s="13">
        <v>212</v>
      </c>
      <c r="D1444" s="32" t="s">
        <v>94</v>
      </c>
      <c r="E1444" s="13" t="s">
        <v>183</v>
      </c>
      <c r="F1444" s="4">
        <v>59017.5</v>
      </c>
      <c r="G1444" s="29" t="s">
        <v>7278</v>
      </c>
      <c r="H1444" s="14">
        <v>43580</v>
      </c>
      <c r="I1444" s="4" t="s">
        <v>7279</v>
      </c>
      <c r="J1444" s="341"/>
      <c r="K1444" s="31"/>
      <c r="L1444" s="31"/>
      <c r="M1444" s="31"/>
      <c r="N1444" s="31"/>
      <c r="O1444" s="34"/>
      <c r="P1444" s="34"/>
      <c r="Q1444" s="34"/>
      <c r="R1444" s="34"/>
      <c r="S1444" s="34"/>
    </row>
    <row r="1445" spans="1:19" s="2" customFormat="1" hidden="1" x14ac:dyDescent="0.25">
      <c r="A1445" s="13" t="s">
        <v>6</v>
      </c>
      <c r="B1445" s="14">
        <v>43584</v>
      </c>
      <c r="C1445" s="13">
        <v>213</v>
      </c>
      <c r="D1445" s="32" t="s">
        <v>7280</v>
      </c>
      <c r="E1445" s="13" t="s">
        <v>183</v>
      </c>
      <c r="F1445" s="4">
        <v>5538</v>
      </c>
      <c r="G1445" s="29" t="s">
        <v>6153</v>
      </c>
      <c r="H1445" s="14">
        <v>43580</v>
      </c>
      <c r="I1445" s="4" t="s">
        <v>7281</v>
      </c>
      <c r="J1445" s="341"/>
      <c r="K1445" s="31"/>
      <c r="L1445" s="31"/>
      <c r="M1445" s="31"/>
      <c r="N1445" s="31"/>
      <c r="O1445" s="34"/>
      <c r="P1445" s="34"/>
      <c r="Q1445" s="34"/>
      <c r="R1445" s="34"/>
      <c r="S1445" s="34"/>
    </row>
    <row r="1446" spans="1:19" ht="16.2" hidden="1" customHeight="1" x14ac:dyDescent="0.25">
      <c r="A1446" s="32" t="s">
        <v>92</v>
      </c>
      <c r="B1446" s="14">
        <v>43584</v>
      </c>
      <c r="C1446" s="13">
        <v>575</v>
      </c>
      <c r="D1446" s="32" t="s">
        <v>272</v>
      </c>
      <c r="E1446" s="32" t="s">
        <v>38</v>
      </c>
      <c r="F1446" s="4">
        <v>5000000</v>
      </c>
      <c r="G1446" s="69" t="s">
        <v>617</v>
      </c>
      <c r="H1446" s="14"/>
      <c r="I1446" s="84" t="s">
        <v>273</v>
      </c>
      <c r="K1446" s="62"/>
    </row>
    <row r="1447" spans="1:19" ht="15" hidden="1" customHeight="1" x14ac:dyDescent="0.25">
      <c r="A1447" s="68" t="s">
        <v>92</v>
      </c>
      <c r="B1447" s="14">
        <v>43584</v>
      </c>
      <c r="C1447" s="13">
        <v>752</v>
      </c>
      <c r="D1447" s="13" t="s">
        <v>969</v>
      </c>
      <c r="E1447" s="32" t="s">
        <v>62</v>
      </c>
      <c r="F1447" s="4">
        <v>1000000</v>
      </c>
      <c r="G1447" s="86" t="s">
        <v>2035</v>
      </c>
      <c r="H1447" s="14"/>
      <c r="I1447" s="4" t="s">
        <v>229</v>
      </c>
      <c r="J1447" s="71"/>
      <c r="K1447" s="62"/>
      <c r="L1447" s="62"/>
    </row>
    <row r="1448" spans="1:19" ht="13.95" hidden="1" customHeight="1" x14ac:dyDescent="0.25">
      <c r="A1448" s="32" t="s">
        <v>35</v>
      </c>
      <c r="B1448" s="14">
        <v>43584</v>
      </c>
      <c r="C1448" s="13">
        <v>519</v>
      </c>
      <c r="D1448" s="32" t="s">
        <v>39</v>
      </c>
      <c r="E1448" s="32" t="s">
        <v>963</v>
      </c>
      <c r="F1448" s="4">
        <v>5000000</v>
      </c>
      <c r="G1448" s="86" t="s">
        <v>1019</v>
      </c>
      <c r="H1448" s="211"/>
      <c r="I1448" s="41" t="s">
        <v>97</v>
      </c>
      <c r="J1448" s="21"/>
      <c r="K1448" s="228"/>
    </row>
    <row r="1449" spans="1:19" hidden="1" x14ac:dyDescent="0.25">
      <c r="A1449" s="61" t="s">
        <v>659</v>
      </c>
      <c r="B1449" s="14">
        <v>43584</v>
      </c>
      <c r="C1449" s="13">
        <v>767</v>
      </c>
      <c r="D1449" s="32" t="s">
        <v>2144</v>
      </c>
      <c r="E1449" s="13" t="s">
        <v>808</v>
      </c>
      <c r="F1449" s="37">
        <v>1000000</v>
      </c>
      <c r="G1449" s="174" t="s">
        <v>5967</v>
      </c>
      <c r="H1449" s="14"/>
      <c r="I1449" s="4" t="s">
        <v>24</v>
      </c>
    </row>
    <row r="1450" spans="1:19" hidden="1" x14ac:dyDescent="0.25">
      <c r="A1450" s="61" t="s">
        <v>460</v>
      </c>
      <c r="B1450" s="14">
        <v>43584</v>
      </c>
      <c r="C1450" s="13">
        <v>110</v>
      </c>
      <c r="D1450" s="14" t="s">
        <v>7276</v>
      </c>
      <c r="E1450" s="32" t="s">
        <v>483</v>
      </c>
      <c r="F1450" s="4">
        <v>44772</v>
      </c>
      <c r="G1450" s="86" t="s">
        <v>7277</v>
      </c>
      <c r="H1450" s="211"/>
      <c r="I1450" s="326"/>
      <c r="K1450" s="62"/>
    </row>
    <row r="1451" spans="1:19" ht="26.4" hidden="1" customHeight="1" x14ac:dyDescent="0.25">
      <c r="A1451" s="13" t="s">
        <v>184</v>
      </c>
      <c r="B1451" s="14">
        <v>43584</v>
      </c>
      <c r="C1451" s="13">
        <v>549</v>
      </c>
      <c r="D1451" s="13" t="s">
        <v>7268</v>
      </c>
      <c r="E1451" s="32" t="s">
        <v>1121</v>
      </c>
      <c r="F1451" s="4">
        <v>316863</v>
      </c>
      <c r="G1451" s="28" t="s">
        <v>7248</v>
      </c>
      <c r="H1451" s="14">
        <v>43580</v>
      </c>
      <c r="I1451" s="4" t="s">
        <v>7249</v>
      </c>
      <c r="J1451" s="76" t="s">
        <v>366</v>
      </c>
    </row>
    <row r="1452" spans="1:19" hidden="1" x14ac:dyDescent="0.25">
      <c r="A1452" s="13" t="s">
        <v>964</v>
      </c>
      <c r="B1452" s="14">
        <v>43584</v>
      </c>
      <c r="C1452" s="13">
        <v>548</v>
      </c>
      <c r="D1452" s="13" t="s">
        <v>5530</v>
      </c>
      <c r="E1452" s="32" t="s">
        <v>1121</v>
      </c>
      <c r="F1452" s="4">
        <v>190500</v>
      </c>
      <c r="G1452" s="28" t="s">
        <v>71</v>
      </c>
      <c r="H1452" s="14">
        <v>43580</v>
      </c>
      <c r="I1452" s="4" t="s">
        <v>7265</v>
      </c>
      <c r="J1452" s="76" t="s">
        <v>7266</v>
      </c>
    </row>
    <row r="1453" spans="1:19" hidden="1" x14ac:dyDescent="0.25">
      <c r="A1453" s="13" t="s">
        <v>151</v>
      </c>
      <c r="B1453" s="14">
        <v>43584</v>
      </c>
      <c r="C1453" s="13">
        <v>121</v>
      </c>
      <c r="D1453" s="13" t="s">
        <v>5752</v>
      </c>
      <c r="E1453" s="32" t="s">
        <v>22</v>
      </c>
      <c r="F1453" s="4">
        <v>27331.83</v>
      </c>
      <c r="G1453" s="28" t="s">
        <v>7267</v>
      </c>
      <c r="H1453" s="14">
        <v>43580</v>
      </c>
      <c r="I1453" s="4" t="s">
        <v>5754</v>
      </c>
      <c r="J1453" s="125"/>
    </row>
    <row r="1454" spans="1:19" s="129" customFormat="1" hidden="1" x14ac:dyDescent="0.25">
      <c r="A1454" s="13" t="s">
        <v>2320</v>
      </c>
      <c r="B1454" s="14">
        <v>43584</v>
      </c>
      <c r="C1454" s="13">
        <v>381</v>
      </c>
      <c r="D1454" s="13" t="s">
        <v>210</v>
      </c>
      <c r="E1454" s="13" t="s">
        <v>136</v>
      </c>
      <c r="F1454" s="37">
        <v>51154.21</v>
      </c>
      <c r="G1454" s="29" t="s">
        <v>7282</v>
      </c>
      <c r="H1454" s="14">
        <v>43559</v>
      </c>
      <c r="I1454" s="4" t="s">
        <v>1728</v>
      </c>
      <c r="J1454" s="35" t="s">
        <v>366</v>
      </c>
      <c r="K1454" s="136"/>
    </row>
    <row r="1455" spans="1:19" hidden="1" x14ac:dyDescent="0.25">
      <c r="A1455" s="13" t="s">
        <v>209</v>
      </c>
      <c r="B1455" s="14">
        <v>43584</v>
      </c>
      <c r="C1455" s="13">
        <v>88</v>
      </c>
      <c r="D1455" s="13" t="s">
        <v>4818</v>
      </c>
      <c r="E1455" s="13" t="s">
        <v>134</v>
      </c>
      <c r="F1455" s="37">
        <v>701700</v>
      </c>
      <c r="G1455" s="29" t="s">
        <v>1128</v>
      </c>
      <c r="H1455" s="14">
        <v>43580</v>
      </c>
      <c r="I1455" s="4" t="s">
        <v>7291</v>
      </c>
      <c r="J1455" s="35"/>
    </row>
    <row r="1456" spans="1:19" ht="31.8" hidden="1" customHeight="1" x14ac:dyDescent="0.25">
      <c r="A1456" s="13" t="s">
        <v>151</v>
      </c>
      <c r="B1456" s="14">
        <v>43584</v>
      </c>
      <c r="C1456" s="13">
        <v>120</v>
      </c>
      <c r="D1456" s="13" t="s">
        <v>7292</v>
      </c>
      <c r="E1456" s="13" t="s">
        <v>22</v>
      </c>
      <c r="F1456" s="37">
        <v>39600</v>
      </c>
      <c r="G1456" s="29" t="s">
        <v>2519</v>
      </c>
      <c r="H1456" s="14">
        <v>43572</v>
      </c>
      <c r="I1456" s="4" t="s">
        <v>7293</v>
      </c>
      <c r="J1456" s="35"/>
    </row>
    <row r="1457" spans="1:19" hidden="1" x14ac:dyDescent="0.25">
      <c r="A1457" s="61" t="s">
        <v>741</v>
      </c>
      <c r="B1457" s="14">
        <v>43585</v>
      </c>
      <c r="C1457" s="13">
        <v>452</v>
      </c>
      <c r="D1457" s="13" t="s">
        <v>6123</v>
      </c>
      <c r="E1457" s="13" t="s">
        <v>434</v>
      </c>
      <c r="F1457" s="37">
        <v>38292</v>
      </c>
      <c r="G1457" s="29" t="s">
        <v>7072</v>
      </c>
      <c r="H1457" s="14">
        <v>43577</v>
      </c>
      <c r="I1457" s="4" t="s">
        <v>7073</v>
      </c>
      <c r="J1457" s="128"/>
    </row>
    <row r="1458" spans="1:19" s="2" customFormat="1" ht="15" hidden="1" customHeight="1" x14ac:dyDescent="0.25">
      <c r="A1458" s="13" t="s">
        <v>6</v>
      </c>
      <c r="B1458" s="14">
        <v>43585</v>
      </c>
      <c r="C1458" s="13">
        <v>214</v>
      </c>
      <c r="D1458" s="32" t="s">
        <v>7285</v>
      </c>
      <c r="E1458" s="13" t="s">
        <v>183</v>
      </c>
      <c r="F1458" s="4">
        <v>103474.57</v>
      </c>
      <c r="G1458" s="29" t="s">
        <v>7284</v>
      </c>
      <c r="H1458" s="14">
        <v>43578</v>
      </c>
      <c r="I1458" s="4" t="s">
        <v>7283</v>
      </c>
      <c r="J1458" s="341"/>
      <c r="K1458" s="31"/>
      <c r="L1458" s="31"/>
      <c r="M1458" s="31"/>
      <c r="N1458" s="31"/>
      <c r="O1458" s="34"/>
      <c r="P1458" s="34"/>
      <c r="Q1458" s="34"/>
      <c r="R1458" s="34"/>
      <c r="S1458" s="34"/>
    </row>
    <row r="1459" spans="1:19" hidden="1" x14ac:dyDescent="0.25">
      <c r="A1459" s="68" t="s">
        <v>151</v>
      </c>
      <c r="B1459" s="14">
        <v>43585</v>
      </c>
      <c r="C1459" s="13">
        <v>1</v>
      </c>
      <c r="D1459" s="32" t="s">
        <v>1169</v>
      </c>
      <c r="E1459" s="32" t="s">
        <v>7307</v>
      </c>
      <c r="F1459" s="4">
        <v>40000</v>
      </c>
      <c r="G1459" s="210" t="s">
        <v>299</v>
      </c>
      <c r="H1459" s="211">
        <v>43518</v>
      </c>
      <c r="I1459" s="208" t="s">
        <v>4625</v>
      </c>
      <c r="J1459" s="21"/>
      <c r="K1459" s="228"/>
    </row>
    <row r="1460" spans="1:19" ht="27.6" hidden="1" x14ac:dyDescent="0.25">
      <c r="A1460" s="68" t="s">
        <v>151</v>
      </c>
      <c r="B1460" s="14">
        <v>43585</v>
      </c>
      <c r="C1460" s="13">
        <v>59</v>
      </c>
      <c r="D1460" s="32" t="s">
        <v>2899</v>
      </c>
      <c r="E1460" s="32" t="s">
        <v>6289</v>
      </c>
      <c r="F1460" s="209">
        <v>800</v>
      </c>
      <c r="G1460" s="210" t="s">
        <v>7308</v>
      </c>
      <c r="H1460" s="211">
        <v>43584</v>
      </c>
      <c r="I1460" s="208" t="s">
        <v>7309</v>
      </c>
      <c r="J1460" s="21"/>
      <c r="K1460" s="228"/>
    </row>
    <row r="1461" spans="1:19" hidden="1" x14ac:dyDescent="0.25">
      <c r="A1461" s="32" t="s">
        <v>151</v>
      </c>
      <c r="B1461" s="14">
        <v>43585</v>
      </c>
      <c r="C1461" s="13"/>
      <c r="D1461" s="32" t="s">
        <v>5627</v>
      </c>
      <c r="E1461" s="32" t="s">
        <v>958</v>
      </c>
      <c r="F1461" s="4">
        <v>160000</v>
      </c>
      <c r="G1461" s="29"/>
      <c r="H1461" s="14"/>
      <c r="I1461" s="4" t="s">
        <v>5628</v>
      </c>
      <c r="J1461" s="21"/>
      <c r="K1461" s="228"/>
    </row>
    <row r="1462" spans="1:19" s="22" customFormat="1" ht="13.8" hidden="1" customHeight="1" x14ac:dyDescent="0.25">
      <c r="A1462" s="160"/>
      <c r="B1462" s="39"/>
      <c r="C1462" s="13"/>
      <c r="D1462" s="161"/>
      <c r="E1462" s="161"/>
      <c r="F1462" s="4"/>
      <c r="G1462" s="119"/>
      <c r="H1462" s="161"/>
      <c r="I1462" s="161"/>
      <c r="K1462" s="21"/>
      <c r="L1462" s="228"/>
      <c r="M1462" s="228"/>
      <c r="N1462" s="228"/>
      <c r="O1462" s="228"/>
      <c r="P1462" s="228"/>
      <c r="Q1462" s="228"/>
      <c r="R1462" s="228"/>
      <c r="S1462" s="228"/>
    </row>
    <row r="1463" spans="1:19" hidden="1" x14ac:dyDescent="0.25">
      <c r="C1463" s="273"/>
    </row>
    <row r="1468" spans="1:19" s="22" customFormat="1" x14ac:dyDescent="0.25">
      <c r="A1468" s="228" t="s">
        <v>46</v>
      </c>
      <c r="B1468" s="57"/>
      <c r="C1468" s="124"/>
      <c r="D1468" s="228"/>
      <c r="E1468" s="228"/>
      <c r="F1468" s="62"/>
      <c r="G1468" s="50"/>
      <c r="H1468" s="228"/>
      <c r="I1468" s="228"/>
      <c r="K1468" s="21"/>
      <c r="L1468" s="228"/>
      <c r="M1468" s="228"/>
      <c r="N1468" s="228"/>
      <c r="O1468" s="228"/>
      <c r="P1468" s="228"/>
      <c r="Q1468" s="228"/>
      <c r="R1468" s="228"/>
      <c r="S1468" s="228"/>
    </row>
  </sheetData>
  <autoFilter ref="A2:J1463">
    <filterColumn colId="3">
      <filters>
        <filter val="Стройметаллинвест"/>
      </filters>
    </filterColumn>
  </autoFilter>
  <pageMargins left="0.59055118110236227" right="0.39370078740157483" top="0.78740157480314965" bottom="0.19685039370078741" header="0.51181102362204722" footer="0.51181102362204722"/>
  <pageSetup paperSize="9" scale="71" fitToHeight="0" orientation="landscape" r:id="rId1"/>
  <headerFooter alignWithMargins="0"/>
  <colBreaks count="2" manualBreakCount="2">
    <brk id="10" max="1048575" man="1"/>
    <brk id="102" max="28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IV1013"/>
  <sheetViews>
    <sheetView zoomScaleNormal="100" workbookViewId="0">
      <pane ySplit="2" topLeftCell="A3" activePane="bottomLeft" state="frozen"/>
      <selection activeCell="D147" sqref="D147"/>
      <selection pane="bottomLeft" activeCell="A794" sqref="A794:XFD794"/>
    </sheetView>
  </sheetViews>
  <sheetFormatPr defaultColWidth="9.44140625" defaultRowHeight="13.8" x14ac:dyDescent="0.25"/>
  <cols>
    <col min="1" max="1" width="14.44140625" style="228" customWidth="1"/>
    <col min="2" max="2" width="10.5546875" style="57" customWidth="1"/>
    <col min="3" max="3" width="9.21875" style="124" customWidth="1"/>
    <col min="4" max="4" width="27" style="228" customWidth="1"/>
    <col min="5" max="5" width="11" style="228" customWidth="1"/>
    <col min="6" max="6" width="16.44140625" style="62" customWidth="1"/>
    <col min="7" max="7" width="26.109375" style="50" customWidth="1"/>
    <col min="8" max="8" width="11.44140625" style="228" customWidth="1"/>
    <col min="9" max="9" width="37.88671875" style="228" customWidth="1"/>
    <col min="10" max="10" width="17.5546875" style="22" customWidth="1"/>
    <col min="11" max="11" width="14.44140625" style="21" customWidth="1"/>
    <col min="12" max="16384" width="9.44140625" style="228"/>
  </cols>
  <sheetData>
    <row r="1" spans="1:12" ht="19.5" customHeight="1" x14ac:dyDescent="0.25">
      <c r="F1" s="72">
        <f>SUM(F3:F1009)</f>
        <v>541340709.49769986</v>
      </c>
      <c r="G1" s="62"/>
    </row>
    <row r="2" spans="1:12" s="50" customFormat="1" ht="24.6" customHeight="1" x14ac:dyDescent="0.25">
      <c r="A2" s="79" t="s">
        <v>192</v>
      </c>
      <c r="B2" s="80" t="s">
        <v>123</v>
      </c>
      <c r="C2" s="78" t="s">
        <v>51</v>
      </c>
      <c r="D2" s="79" t="s">
        <v>109</v>
      </c>
      <c r="E2" s="79" t="s">
        <v>9</v>
      </c>
      <c r="F2" s="423" t="s">
        <v>56</v>
      </c>
      <c r="G2" s="79" t="s">
        <v>58</v>
      </c>
      <c r="H2" s="79" t="s">
        <v>57</v>
      </c>
      <c r="I2" s="81" t="s">
        <v>10</v>
      </c>
      <c r="J2" s="22"/>
      <c r="K2" s="21"/>
    </row>
    <row r="3" spans="1:12" hidden="1" x14ac:dyDescent="0.25">
      <c r="A3" s="32" t="s">
        <v>358</v>
      </c>
      <c r="B3" s="14">
        <v>43525</v>
      </c>
      <c r="C3" s="13">
        <v>22</v>
      </c>
      <c r="D3" s="32" t="s">
        <v>1392</v>
      </c>
      <c r="E3" s="32" t="s">
        <v>742</v>
      </c>
      <c r="F3" s="4">
        <v>6000000</v>
      </c>
      <c r="G3" s="28" t="s">
        <v>4614</v>
      </c>
      <c r="H3" s="14">
        <v>43516</v>
      </c>
      <c r="I3" s="41" t="s">
        <v>4615</v>
      </c>
      <c r="K3" s="63"/>
      <c r="L3" s="62"/>
    </row>
    <row r="4" spans="1:12" hidden="1" x14ac:dyDescent="0.25">
      <c r="A4" s="32" t="s">
        <v>495</v>
      </c>
      <c r="B4" s="14">
        <v>43525</v>
      </c>
      <c r="C4" s="13">
        <v>21</v>
      </c>
      <c r="D4" s="32" t="s">
        <v>1356</v>
      </c>
      <c r="E4" s="32" t="s">
        <v>2093</v>
      </c>
      <c r="F4" s="4">
        <v>6000000</v>
      </c>
      <c r="G4" s="28" t="s">
        <v>4617</v>
      </c>
      <c r="H4" s="14"/>
      <c r="I4" s="41" t="s">
        <v>4618</v>
      </c>
      <c r="K4" s="63"/>
      <c r="L4" s="62"/>
    </row>
    <row r="5" spans="1:12" ht="13.95" hidden="1" customHeight="1" x14ac:dyDescent="0.25">
      <c r="A5" s="68" t="s">
        <v>956</v>
      </c>
      <c r="B5" s="14">
        <v>43525</v>
      </c>
      <c r="C5" s="13">
        <v>116</v>
      </c>
      <c r="D5" s="32" t="s">
        <v>272</v>
      </c>
      <c r="E5" s="32" t="s">
        <v>481</v>
      </c>
      <c r="F5" s="4">
        <v>7800000</v>
      </c>
      <c r="G5" s="86" t="s">
        <v>1503</v>
      </c>
      <c r="H5" s="211"/>
      <c r="I5" s="84" t="s">
        <v>273</v>
      </c>
      <c r="J5" s="21"/>
      <c r="K5" s="228"/>
    </row>
    <row r="6" spans="1:12" ht="13.95" hidden="1" customHeight="1" x14ac:dyDescent="0.25">
      <c r="A6" s="13" t="s">
        <v>956</v>
      </c>
      <c r="B6" s="14">
        <v>43525</v>
      </c>
      <c r="C6" s="13">
        <v>117</v>
      </c>
      <c r="D6" s="32" t="s">
        <v>588</v>
      </c>
      <c r="E6" s="32" t="s">
        <v>481</v>
      </c>
      <c r="F6" s="4">
        <f>1140202</f>
        <v>1140202</v>
      </c>
      <c r="G6" s="69" t="s">
        <v>3738</v>
      </c>
      <c r="H6" s="14"/>
      <c r="I6" s="32" t="s">
        <v>3739</v>
      </c>
      <c r="K6" s="62"/>
    </row>
    <row r="7" spans="1:12" ht="13.95" hidden="1" customHeight="1" x14ac:dyDescent="0.25">
      <c r="A7" s="68" t="s">
        <v>956</v>
      </c>
      <c r="B7" s="14">
        <v>43525</v>
      </c>
      <c r="C7" s="13">
        <v>118</v>
      </c>
      <c r="D7" s="32" t="s">
        <v>1144</v>
      </c>
      <c r="E7" s="32" t="s">
        <v>481</v>
      </c>
      <c r="F7" s="4">
        <v>88339.06</v>
      </c>
      <c r="G7" s="86" t="s">
        <v>2038</v>
      </c>
      <c r="H7" s="211"/>
      <c r="I7" s="41" t="s">
        <v>220</v>
      </c>
      <c r="J7" s="21"/>
      <c r="K7" s="228"/>
    </row>
    <row r="8" spans="1:12" s="97" customFormat="1" hidden="1" x14ac:dyDescent="0.25">
      <c r="A8" s="32" t="s">
        <v>956</v>
      </c>
      <c r="B8" s="14">
        <v>43525</v>
      </c>
      <c r="C8" s="13">
        <v>119</v>
      </c>
      <c r="D8" s="13" t="s">
        <v>280</v>
      </c>
      <c r="E8" s="13" t="s">
        <v>481</v>
      </c>
      <c r="F8" s="4">
        <v>6750</v>
      </c>
      <c r="G8" s="28" t="s">
        <v>1191</v>
      </c>
      <c r="H8" s="14">
        <v>43494</v>
      </c>
      <c r="I8" s="4" t="s">
        <v>3886</v>
      </c>
      <c r="J8" s="133"/>
      <c r="K8" s="22"/>
      <c r="L8" s="134"/>
    </row>
    <row r="9" spans="1:12" s="97" customFormat="1" hidden="1" x14ac:dyDescent="0.25">
      <c r="A9" s="32" t="s">
        <v>956</v>
      </c>
      <c r="B9" s="14">
        <v>43525</v>
      </c>
      <c r="C9" s="13">
        <v>124</v>
      </c>
      <c r="D9" s="13" t="s">
        <v>72</v>
      </c>
      <c r="E9" s="13" t="s">
        <v>481</v>
      </c>
      <c r="F9" s="4">
        <v>14567.99</v>
      </c>
      <c r="G9" s="28" t="s">
        <v>3880</v>
      </c>
      <c r="H9" s="14">
        <v>43501</v>
      </c>
      <c r="I9" s="4" t="s">
        <v>3881</v>
      </c>
      <c r="J9" s="133"/>
      <c r="K9" s="22"/>
      <c r="L9" s="134"/>
    </row>
    <row r="10" spans="1:12" s="97" customFormat="1" hidden="1" x14ac:dyDescent="0.25">
      <c r="A10" s="61" t="s">
        <v>956</v>
      </c>
      <c r="B10" s="14">
        <v>43525</v>
      </c>
      <c r="C10" s="13">
        <v>124</v>
      </c>
      <c r="D10" s="13" t="s">
        <v>72</v>
      </c>
      <c r="E10" s="13" t="s">
        <v>481</v>
      </c>
      <c r="F10" s="37">
        <v>7086.96</v>
      </c>
      <c r="G10" s="29" t="s">
        <v>4363</v>
      </c>
      <c r="H10" s="14">
        <v>43514</v>
      </c>
      <c r="I10" s="4" t="s">
        <v>4364</v>
      </c>
      <c r="J10" s="133"/>
      <c r="K10" s="22"/>
      <c r="L10" s="134"/>
    </row>
    <row r="11" spans="1:12" ht="13.95" hidden="1" customHeight="1" x14ac:dyDescent="0.25">
      <c r="A11" s="13" t="s">
        <v>455</v>
      </c>
      <c r="B11" s="14">
        <v>43525</v>
      </c>
      <c r="C11" s="13">
        <v>120</v>
      </c>
      <c r="D11" s="32" t="s">
        <v>258</v>
      </c>
      <c r="E11" s="32" t="s">
        <v>481</v>
      </c>
      <c r="F11" s="4">
        <v>26544</v>
      </c>
      <c r="G11" s="29" t="s">
        <v>462</v>
      </c>
      <c r="H11" s="14">
        <v>43489</v>
      </c>
      <c r="I11" s="41" t="s">
        <v>187</v>
      </c>
      <c r="J11" s="21"/>
      <c r="K11" s="228"/>
    </row>
    <row r="12" spans="1:12" hidden="1" x14ac:dyDescent="0.25">
      <c r="A12" s="61" t="s">
        <v>956</v>
      </c>
      <c r="B12" s="14">
        <v>43525</v>
      </c>
      <c r="C12" s="13">
        <v>121</v>
      </c>
      <c r="D12" s="13" t="s">
        <v>3659</v>
      </c>
      <c r="E12" s="13" t="s">
        <v>481</v>
      </c>
      <c r="F12" s="4">
        <f>3267-3106</f>
        <v>161</v>
      </c>
      <c r="G12" s="29" t="s">
        <v>3929</v>
      </c>
      <c r="H12" s="14">
        <v>43502</v>
      </c>
      <c r="I12" s="4" t="s">
        <v>4549</v>
      </c>
    </row>
    <row r="13" spans="1:12" hidden="1" x14ac:dyDescent="0.25">
      <c r="A13" s="61" t="s">
        <v>956</v>
      </c>
      <c r="B13" s="14">
        <v>43525</v>
      </c>
      <c r="C13" s="13">
        <v>125</v>
      </c>
      <c r="D13" s="13" t="s">
        <v>29</v>
      </c>
      <c r="E13" s="13" t="s">
        <v>481</v>
      </c>
      <c r="F13" s="37">
        <v>18000</v>
      </c>
      <c r="G13" s="29" t="s">
        <v>4090</v>
      </c>
      <c r="H13" s="14">
        <v>43490</v>
      </c>
      <c r="I13" s="4" t="s">
        <v>419</v>
      </c>
    </row>
    <row r="14" spans="1:12" hidden="1" x14ac:dyDescent="0.25">
      <c r="A14" s="61" t="s">
        <v>956</v>
      </c>
      <c r="B14" s="14">
        <v>43525</v>
      </c>
      <c r="C14" s="13">
        <v>125</v>
      </c>
      <c r="D14" s="13" t="s">
        <v>29</v>
      </c>
      <c r="E14" s="13" t="s">
        <v>481</v>
      </c>
      <c r="F14" s="4">
        <v>15000</v>
      </c>
      <c r="G14" s="28" t="s">
        <v>13</v>
      </c>
      <c r="H14" s="14">
        <v>43496</v>
      </c>
      <c r="I14" s="4" t="s">
        <v>419</v>
      </c>
    </row>
    <row r="15" spans="1:12" hidden="1" x14ac:dyDescent="0.25">
      <c r="A15" s="61" t="s">
        <v>956</v>
      </c>
      <c r="B15" s="14">
        <v>43525</v>
      </c>
      <c r="C15" s="13">
        <v>122</v>
      </c>
      <c r="D15" s="13" t="s">
        <v>1985</v>
      </c>
      <c r="E15" s="13" t="s">
        <v>481</v>
      </c>
      <c r="F15" s="37">
        <v>12000</v>
      </c>
      <c r="G15" s="29" t="s">
        <v>317</v>
      </c>
      <c r="H15" s="14">
        <v>43511</v>
      </c>
      <c r="I15" s="4" t="s">
        <v>419</v>
      </c>
    </row>
    <row r="16" spans="1:12" hidden="1" x14ac:dyDescent="0.25">
      <c r="A16" s="61" t="s">
        <v>956</v>
      </c>
      <c r="B16" s="14">
        <v>43525</v>
      </c>
      <c r="C16" s="13">
        <v>123</v>
      </c>
      <c r="D16" s="13" t="s">
        <v>692</v>
      </c>
      <c r="E16" s="13" t="s">
        <v>481</v>
      </c>
      <c r="F16" s="37">
        <v>15125</v>
      </c>
      <c r="G16" s="210" t="s">
        <v>3390</v>
      </c>
      <c r="H16" s="211">
        <v>43482</v>
      </c>
      <c r="I16" s="4" t="s">
        <v>419</v>
      </c>
    </row>
    <row r="17" spans="1:19" ht="13.95" hidden="1" customHeight="1" x14ac:dyDescent="0.25">
      <c r="A17" s="68" t="s">
        <v>639</v>
      </c>
      <c r="B17" s="14">
        <v>43525</v>
      </c>
      <c r="C17" s="13">
        <v>295</v>
      </c>
      <c r="D17" s="32" t="s">
        <v>905</v>
      </c>
      <c r="E17" s="32" t="s">
        <v>60</v>
      </c>
      <c r="F17" s="4">
        <v>2500000</v>
      </c>
      <c r="G17" s="86" t="s">
        <v>1120</v>
      </c>
      <c r="H17" s="211"/>
      <c r="I17" s="208" t="s">
        <v>1119</v>
      </c>
      <c r="J17" s="21"/>
      <c r="K17" s="228"/>
    </row>
    <row r="18" spans="1:19" hidden="1" x14ac:dyDescent="0.25">
      <c r="A18" s="32" t="s">
        <v>151</v>
      </c>
      <c r="B18" s="14">
        <v>43525</v>
      </c>
      <c r="C18" s="13">
        <v>296</v>
      </c>
      <c r="D18" s="32" t="s">
        <v>437</v>
      </c>
      <c r="E18" s="32" t="s">
        <v>60</v>
      </c>
      <c r="F18" s="4">
        <v>8000</v>
      </c>
      <c r="G18" s="13">
        <v>337</v>
      </c>
      <c r="H18" s="14">
        <v>43525</v>
      </c>
      <c r="I18" s="4" t="s">
        <v>1324</v>
      </c>
      <c r="J18" s="22" t="s">
        <v>721</v>
      </c>
      <c r="K18" s="62"/>
      <c r="L18" s="62"/>
      <c r="M18" s="62"/>
      <c r="N18" s="62"/>
      <c r="O18" s="35"/>
      <c r="P18" s="35"/>
      <c r="Q18" s="35"/>
      <c r="R18" s="35"/>
      <c r="S18" s="35"/>
    </row>
    <row r="19" spans="1:19" s="50" customFormat="1" hidden="1" x14ac:dyDescent="0.25">
      <c r="A19" s="13" t="s">
        <v>92</v>
      </c>
      <c r="B19" s="14">
        <v>43525</v>
      </c>
      <c r="C19" s="13">
        <v>602</v>
      </c>
      <c r="D19" s="32" t="s">
        <v>373</v>
      </c>
      <c r="E19" s="218" t="s">
        <v>140</v>
      </c>
      <c r="F19" s="224">
        <v>8600000</v>
      </c>
      <c r="G19" s="28" t="s">
        <v>4765</v>
      </c>
      <c r="H19" s="14">
        <v>42851</v>
      </c>
      <c r="I19" s="32" t="s">
        <v>4764</v>
      </c>
      <c r="J19" s="325"/>
    </row>
    <row r="20" spans="1:19" s="50" customFormat="1" hidden="1" x14ac:dyDescent="0.25">
      <c r="A20" s="13" t="s">
        <v>358</v>
      </c>
      <c r="B20" s="14">
        <v>43525</v>
      </c>
      <c r="C20" s="13">
        <v>22</v>
      </c>
      <c r="D20" s="32" t="s">
        <v>373</v>
      </c>
      <c r="E20" s="218" t="s">
        <v>742</v>
      </c>
      <c r="F20" s="224">
        <v>7000000</v>
      </c>
      <c r="G20" s="28" t="s">
        <v>4766</v>
      </c>
      <c r="H20" s="14">
        <v>43124</v>
      </c>
      <c r="I20" s="32" t="s">
        <v>4764</v>
      </c>
      <c r="J20" s="325"/>
    </row>
    <row r="21" spans="1:19" s="50" customFormat="1" hidden="1" x14ac:dyDescent="0.25">
      <c r="A21" s="13" t="s">
        <v>442</v>
      </c>
      <c r="B21" s="14">
        <v>43525</v>
      </c>
      <c r="C21" s="13">
        <v>281</v>
      </c>
      <c r="D21" s="32" t="s">
        <v>373</v>
      </c>
      <c r="E21" s="218" t="s">
        <v>494</v>
      </c>
      <c r="F21" s="224">
        <v>9000000</v>
      </c>
      <c r="G21" s="28" t="s">
        <v>4768</v>
      </c>
      <c r="H21" s="14">
        <v>43158</v>
      </c>
      <c r="I21" s="32" t="s">
        <v>4764</v>
      </c>
      <c r="J21" s="325"/>
    </row>
    <row r="22" spans="1:19" hidden="1" x14ac:dyDescent="0.25">
      <c r="A22" s="32" t="s">
        <v>1147</v>
      </c>
      <c r="B22" s="14">
        <v>43525</v>
      </c>
      <c r="C22" s="13">
        <v>189</v>
      </c>
      <c r="D22" s="32" t="s">
        <v>4006</v>
      </c>
      <c r="E22" s="32" t="s">
        <v>136</v>
      </c>
      <c r="F22" s="4">
        <v>1000000</v>
      </c>
      <c r="G22" s="174" t="s">
        <v>4007</v>
      </c>
      <c r="H22" s="14">
        <v>43486</v>
      </c>
      <c r="I22" s="41" t="s">
        <v>490</v>
      </c>
      <c r="K22" s="63"/>
      <c r="L22" s="62"/>
    </row>
    <row r="23" spans="1:19" hidden="1" x14ac:dyDescent="0.25">
      <c r="A23" s="32" t="s">
        <v>212</v>
      </c>
      <c r="B23" s="14">
        <v>43525</v>
      </c>
      <c r="C23" s="13">
        <v>163</v>
      </c>
      <c r="D23" s="32" t="s">
        <v>212</v>
      </c>
      <c r="E23" s="32" t="s">
        <v>440</v>
      </c>
      <c r="F23" s="4">
        <v>2000000</v>
      </c>
      <c r="G23" s="28" t="s">
        <v>4613</v>
      </c>
      <c r="H23" s="14">
        <v>42457</v>
      </c>
      <c r="I23" s="41" t="s">
        <v>277</v>
      </c>
      <c r="K23" s="63"/>
      <c r="L23" s="62"/>
    </row>
    <row r="24" spans="1:19" hidden="1" x14ac:dyDescent="0.25">
      <c r="A24" s="13" t="s">
        <v>4656</v>
      </c>
      <c r="B24" s="14">
        <v>43525</v>
      </c>
      <c r="C24" s="13">
        <v>6</v>
      </c>
      <c r="D24" s="13" t="s">
        <v>3538</v>
      </c>
      <c r="E24" s="32" t="s">
        <v>2954</v>
      </c>
      <c r="F24" s="4">
        <v>24055.35</v>
      </c>
      <c r="G24" s="29" t="s">
        <v>3375</v>
      </c>
      <c r="H24" s="14">
        <v>43516</v>
      </c>
      <c r="I24" s="4" t="s">
        <v>3539</v>
      </c>
      <c r="J24" s="21" t="s">
        <v>754</v>
      </c>
      <c r="K24" s="228"/>
    </row>
    <row r="25" spans="1:19" ht="27.6" hidden="1" x14ac:dyDescent="0.25">
      <c r="A25" s="61" t="s">
        <v>90</v>
      </c>
      <c r="B25" s="151">
        <v>43528</v>
      </c>
      <c r="C25" s="13">
        <v>166</v>
      </c>
      <c r="D25" s="32" t="s">
        <v>525</v>
      </c>
      <c r="E25" s="32" t="s">
        <v>1335</v>
      </c>
      <c r="F25" s="4">
        <v>489880</v>
      </c>
      <c r="G25" s="86" t="s">
        <v>1275</v>
      </c>
      <c r="H25" s="211"/>
      <c r="I25" s="84" t="s">
        <v>1276</v>
      </c>
      <c r="J25" s="21"/>
      <c r="K25" s="228"/>
    </row>
    <row r="26" spans="1:19" ht="16.5" hidden="1" customHeight="1" x14ac:dyDescent="0.25">
      <c r="A26" s="3" t="s">
        <v>184</v>
      </c>
      <c r="B26" s="212">
        <v>43525</v>
      </c>
      <c r="C26" s="422">
        <v>242</v>
      </c>
      <c r="D26" s="171" t="s">
        <v>1359</v>
      </c>
      <c r="E26" s="171" t="s">
        <v>1121</v>
      </c>
      <c r="F26" s="337">
        <v>90000</v>
      </c>
      <c r="G26" s="25" t="s">
        <v>4631</v>
      </c>
      <c r="H26" s="212">
        <v>43503</v>
      </c>
      <c r="I26" s="337" t="s">
        <v>4632</v>
      </c>
      <c r="J26" s="76"/>
      <c r="K26" s="260"/>
      <c r="L26" s="62"/>
    </row>
    <row r="27" spans="1:19" ht="15" hidden="1" customHeight="1" x14ac:dyDescent="0.25">
      <c r="A27" s="13" t="s">
        <v>184</v>
      </c>
      <c r="B27" s="212">
        <v>43525</v>
      </c>
      <c r="C27" s="13">
        <v>243</v>
      </c>
      <c r="D27" s="32" t="s">
        <v>4645</v>
      </c>
      <c r="E27" s="32" t="s">
        <v>1121</v>
      </c>
      <c r="F27" s="4">
        <v>375000</v>
      </c>
      <c r="G27" s="28" t="s">
        <v>207</v>
      </c>
      <c r="H27" s="14">
        <v>43517</v>
      </c>
      <c r="I27" s="4" t="s">
        <v>4646</v>
      </c>
      <c r="J27" s="76"/>
    </row>
    <row r="28" spans="1:19" ht="15" hidden="1" customHeight="1" x14ac:dyDescent="0.25">
      <c r="A28" s="13" t="s">
        <v>184</v>
      </c>
      <c r="B28" s="212">
        <v>43525</v>
      </c>
      <c r="C28" s="13">
        <v>244</v>
      </c>
      <c r="D28" s="13" t="s">
        <v>399</v>
      </c>
      <c r="E28" s="32" t="s">
        <v>1121</v>
      </c>
      <c r="F28" s="4">
        <v>50000</v>
      </c>
      <c r="G28" s="28" t="s">
        <v>4735</v>
      </c>
      <c r="H28" s="14">
        <v>43521</v>
      </c>
      <c r="I28" s="4" t="s">
        <v>1258</v>
      </c>
      <c r="J28" s="76"/>
    </row>
    <row r="29" spans="1:19" ht="15" hidden="1" customHeight="1" x14ac:dyDescent="0.25">
      <c r="A29" s="13" t="s">
        <v>184</v>
      </c>
      <c r="B29" s="212">
        <v>43525</v>
      </c>
      <c r="C29" s="67">
        <v>245</v>
      </c>
      <c r="D29" s="13" t="s">
        <v>238</v>
      </c>
      <c r="E29" s="32" t="s">
        <v>1121</v>
      </c>
      <c r="F29" s="4">
        <v>410</v>
      </c>
      <c r="G29" s="28" t="s">
        <v>1402</v>
      </c>
      <c r="H29" s="14">
        <v>43518</v>
      </c>
      <c r="I29" s="4" t="s">
        <v>179</v>
      </c>
      <c r="J29" s="125"/>
    </row>
    <row r="30" spans="1:19" ht="15" hidden="1" customHeight="1" x14ac:dyDescent="0.25">
      <c r="A30" s="13" t="s">
        <v>184</v>
      </c>
      <c r="B30" s="212">
        <v>43525</v>
      </c>
      <c r="C30" s="13">
        <v>246</v>
      </c>
      <c r="D30" s="32" t="s">
        <v>1969</v>
      </c>
      <c r="E30" s="32" t="s">
        <v>1121</v>
      </c>
      <c r="F30" s="4">
        <v>5000</v>
      </c>
      <c r="G30" s="28" t="s">
        <v>4644</v>
      </c>
      <c r="H30" s="14">
        <v>43516</v>
      </c>
      <c r="I30" s="4" t="s">
        <v>1970</v>
      </c>
      <c r="J30" s="76"/>
    </row>
    <row r="31" spans="1:19" hidden="1" x14ac:dyDescent="0.25">
      <c r="A31" s="13" t="s">
        <v>151</v>
      </c>
      <c r="B31" s="14">
        <v>43525</v>
      </c>
      <c r="C31" s="28" t="s">
        <v>3964</v>
      </c>
      <c r="D31" s="13" t="s">
        <v>596</v>
      </c>
      <c r="E31" s="13" t="s">
        <v>22</v>
      </c>
      <c r="F31" s="4">
        <v>5280</v>
      </c>
      <c r="G31" s="29" t="s">
        <v>4755</v>
      </c>
      <c r="H31" s="14">
        <v>43524</v>
      </c>
      <c r="I31" s="4" t="s">
        <v>4620</v>
      </c>
      <c r="K31" s="260"/>
    </row>
    <row r="32" spans="1:19" hidden="1" x14ac:dyDescent="0.25">
      <c r="A32" s="13" t="s">
        <v>151</v>
      </c>
      <c r="B32" s="14">
        <v>43525</v>
      </c>
      <c r="C32" s="13">
        <v>53</v>
      </c>
      <c r="D32" s="13" t="s">
        <v>606</v>
      </c>
      <c r="E32" s="32" t="s">
        <v>22</v>
      </c>
      <c r="F32" s="4">
        <f>4075+1225</f>
        <v>5300</v>
      </c>
      <c r="G32" s="28" t="s">
        <v>4619</v>
      </c>
      <c r="H32" s="14">
        <v>43522</v>
      </c>
      <c r="I32" s="4" t="s">
        <v>4620</v>
      </c>
      <c r="J32" s="125"/>
    </row>
    <row r="33" spans="1:12" s="129" customFormat="1" hidden="1" x14ac:dyDescent="0.25">
      <c r="A33" s="13" t="s">
        <v>151</v>
      </c>
      <c r="B33" s="14">
        <v>43525</v>
      </c>
      <c r="C33" s="28" t="s">
        <v>4091</v>
      </c>
      <c r="D33" s="13" t="s">
        <v>1589</v>
      </c>
      <c r="E33" s="13" t="s">
        <v>22</v>
      </c>
      <c r="F33" s="4">
        <v>2050</v>
      </c>
      <c r="G33" s="28" t="s">
        <v>1402</v>
      </c>
      <c r="H33" s="14">
        <v>43524</v>
      </c>
      <c r="I33" s="4" t="s">
        <v>3062</v>
      </c>
      <c r="J33" s="133"/>
      <c r="K33" s="275"/>
    </row>
    <row r="34" spans="1:12" ht="13.95" hidden="1" customHeight="1" x14ac:dyDescent="0.25">
      <c r="A34" s="13" t="s">
        <v>91</v>
      </c>
      <c r="B34" s="14">
        <v>43525</v>
      </c>
      <c r="C34" s="13">
        <v>423</v>
      </c>
      <c r="D34" s="32" t="s">
        <v>1907</v>
      </c>
      <c r="E34" s="32" t="s">
        <v>130</v>
      </c>
      <c r="F34" s="4">
        <v>2000000</v>
      </c>
      <c r="G34" s="86" t="s">
        <v>2797</v>
      </c>
      <c r="H34" s="14"/>
      <c r="I34" s="41" t="s">
        <v>1834</v>
      </c>
      <c r="J34" s="21"/>
      <c r="K34" s="228"/>
    </row>
    <row r="35" spans="1:12" hidden="1" x14ac:dyDescent="0.25">
      <c r="A35" s="61" t="s">
        <v>103</v>
      </c>
      <c r="B35" s="14">
        <v>43525</v>
      </c>
      <c r="C35" s="13">
        <v>387</v>
      </c>
      <c r="D35" s="13" t="s">
        <v>307</v>
      </c>
      <c r="E35" s="13" t="s">
        <v>62</v>
      </c>
      <c r="F35" s="37">
        <f>850110-200000-327000-123110</f>
        <v>200000</v>
      </c>
      <c r="G35" s="29" t="s">
        <v>729</v>
      </c>
      <c r="H35" s="14">
        <v>43479</v>
      </c>
      <c r="I35" s="4" t="s">
        <v>1781</v>
      </c>
      <c r="J35" s="128"/>
    </row>
    <row r="36" spans="1:12" s="2" customFormat="1" hidden="1" x14ac:dyDescent="0.25">
      <c r="A36" s="32" t="s">
        <v>103</v>
      </c>
      <c r="B36" s="14">
        <v>43525</v>
      </c>
      <c r="C36" s="13">
        <v>388</v>
      </c>
      <c r="D36" s="13" t="s">
        <v>4681</v>
      </c>
      <c r="E36" s="32" t="s">
        <v>62</v>
      </c>
      <c r="F36" s="4">
        <v>2970</v>
      </c>
      <c r="G36" s="29" t="s">
        <v>4682</v>
      </c>
      <c r="H36" s="14">
        <v>43518</v>
      </c>
      <c r="I36" s="32" t="s">
        <v>4683</v>
      </c>
      <c r="J36" s="121"/>
      <c r="K36" s="5"/>
    </row>
    <row r="37" spans="1:12" ht="13.95" hidden="1" customHeight="1" x14ac:dyDescent="0.25">
      <c r="A37" s="68" t="s">
        <v>1165</v>
      </c>
      <c r="B37" s="14">
        <v>43525</v>
      </c>
      <c r="C37" s="13">
        <v>389</v>
      </c>
      <c r="D37" s="32" t="s">
        <v>2759</v>
      </c>
      <c r="E37" s="32" t="s">
        <v>62</v>
      </c>
      <c r="F37" s="4">
        <v>5000000</v>
      </c>
      <c r="G37" s="86" t="s">
        <v>2608</v>
      </c>
      <c r="H37" s="211"/>
      <c r="I37" s="84" t="s">
        <v>23</v>
      </c>
      <c r="J37" s="21"/>
      <c r="K37" s="228"/>
    </row>
    <row r="38" spans="1:12" hidden="1" x14ac:dyDescent="0.25">
      <c r="A38" s="32" t="s">
        <v>527</v>
      </c>
      <c r="B38" s="14">
        <v>43525</v>
      </c>
      <c r="C38" s="13">
        <v>390</v>
      </c>
      <c r="D38" s="32" t="s">
        <v>528</v>
      </c>
      <c r="E38" s="32" t="s">
        <v>62</v>
      </c>
      <c r="F38" s="4">
        <v>2000000</v>
      </c>
      <c r="G38" s="69" t="s">
        <v>529</v>
      </c>
      <c r="H38" s="14"/>
      <c r="I38" s="41" t="s">
        <v>273</v>
      </c>
      <c r="J38" s="21"/>
      <c r="K38" s="228"/>
    </row>
    <row r="39" spans="1:12" ht="15" hidden="1" customHeight="1" x14ac:dyDescent="0.25">
      <c r="A39" s="68" t="s">
        <v>358</v>
      </c>
      <c r="B39" s="14">
        <v>43525</v>
      </c>
      <c r="C39" s="13">
        <v>391</v>
      </c>
      <c r="D39" s="13" t="s">
        <v>969</v>
      </c>
      <c r="E39" s="32" t="s">
        <v>62</v>
      </c>
      <c r="F39" s="4">
        <v>9750000</v>
      </c>
      <c r="G39" s="86" t="s">
        <v>4762</v>
      </c>
      <c r="H39" s="14"/>
      <c r="I39" s="4" t="s">
        <v>4763</v>
      </c>
      <c r="J39" s="71"/>
      <c r="K39" s="62"/>
      <c r="L39" s="62"/>
    </row>
    <row r="40" spans="1:12" ht="14.1" hidden="1" customHeight="1" x14ac:dyDescent="0.25">
      <c r="A40" s="32" t="s">
        <v>534</v>
      </c>
      <c r="B40" s="14">
        <v>43525</v>
      </c>
      <c r="C40" s="13">
        <v>392</v>
      </c>
      <c r="D40" s="32" t="s">
        <v>626</v>
      </c>
      <c r="E40" s="32" t="s">
        <v>62</v>
      </c>
      <c r="F40" s="4">
        <v>1000000</v>
      </c>
      <c r="G40" s="86" t="s">
        <v>625</v>
      </c>
      <c r="H40" s="211"/>
      <c r="I40" s="208" t="s">
        <v>427</v>
      </c>
      <c r="J40" s="21"/>
      <c r="K40" s="228"/>
    </row>
    <row r="41" spans="1:12" ht="13.95" hidden="1" customHeight="1" x14ac:dyDescent="0.25">
      <c r="A41" s="32" t="s">
        <v>92</v>
      </c>
      <c r="B41" s="14">
        <v>43525</v>
      </c>
      <c r="C41" s="13">
        <v>393</v>
      </c>
      <c r="D41" s="32" t="s">
        <v>1800</v>
      </c>
      <c r="E41" s="32" t="s">
        <v>62</v>
      </c>
      <c r="F41" s="4">
        <v>1395000</v>
      </c>
      <c r="G41" s="86" t="s">
        <v>4647</v>
      </c>
      <c r="H41" s="211"/>
      <c r="I41" s="208" t="s">
        <v>4648</v>
      </c>
      <c r="J41" s="21"/>
      <c r="K41" s="228"/>
    </row>
    <row r="42" spans="1:12" hidden="1" x14ac:dyDescent="0.25">
      <c r="A42" s="32" t="s">
        <v>1637</v>
      </c>
      <c r="B42" s="14">
        <v>43525</v>
      </c>
      <c r="C42" s="13">
        <v>394</v>
      </c>
      <c r="D42" s="32" t="s">
        <v>1179</v>
      </c>
      <c r="E42" s="32" t="s">
        <v>62</v>
      </c>
      <c r="F42" s="4">
        <v>3834700</v>
      </c>
      <c r="G42" s="86" t="s">
        <v>1696</v>
      </c>
      <c r="H42" s="211"/>
      <c r="I42" s="208" t="s">
        <v>237</v>
      </c>
      <c r="J42" s="21"/>
      <c r="K42" s="228"/>
    </row>
    <row r="43" spans="1:12" hidden="1" x14ac:dyDescent="0.25">
      <c r="A43" s="32" t="s">
        <v>1640</v>
      </c>
      <c r="B43" s="14">
        <v>43525</v>
      </c>
      <c r="C43" s="13">
        <v>395</v>
      </c>
      <c r="D43" s="32" t="s">
        <v>1179</v>
      </c>
      <c r="E43" s="32" t="s">
        <v>62</v>
      </c>
      <c r="F43" s="4">
        <v>1104950</v>
      </c>
      <c r="G43" s="86" t="s">
        <v>1607</v>
      </c>
      <c r="H43" s="211"/>
      <c r="I43" s="208" t="s">
        <v>237</v>
      </c>
      <c r="J43" s="21"/>
      <c r="K43" s="228"/>
    </row>
    <row r="44" spans="1:12" ht="13.95" hidden="1" customHeight="1" x14ac:dyDescent="0.25">
      <c r="A44" s="61" t="s">
        <v>358</v>
      </c>
      <c r="B44" s="14">
        <v>43525</v>
      </c>
      <c r="C44" s="13">
        <v>396</v>
      </c>
      <c r="D44" s="13" t="s">
        <v>1029</v>
      </c>
      <c r="E44" s="32" t="s">
        <v>62</v>
      </c>
      <c r="F44" s="4">
        <v>1845000</v>
      </c>
      <c r="G44" s="86" t="s">
        <v>2086</v>
      </c>
      <c r="H44" s="211"/>
      <c r="I44" s="4" t="s">
        <v>20</v>
      </c>
      <c r="J44" s="21"/>
      <c r="K44" s="228"/>
    </row>
    <row r="45" spans="1:12" ht="13.95" hidden="1" customHeight="1" x14ac:dyDescent="0.25">
      <c r="A45" s="13" t="s">
        <v>442</v>
      </c>
      <c r="B45" s="14">
        <v>43525</v>
      </c>
      <c r="C45" s="13">
        <v>397</v>
      </c>
      <c r="D45" s="32" t="s">
        <v>194</v>
      </c>
      <c r="E45" s="32" t="s">
        <v>62</v>
      </c>
      <c r="F45" s="4">
        <v>4500000</v>
      </c>
      <c r="G45" s="69" t="s">
        <v>1012</v>
      </c>
      <c r="H45" s="14"/>
      <c r="I45" s="41" t="s">
        <v>687</v>
      </c>
      <c r="J45" s="21"/>
      <c r="K45" s="228"/>
    </row>
    <row r="46" spans="1:12" ht="13.95" hidden="1" customHeight="1" x14ac:dyDescent="0.25">
      <c r="A46" s="13" t="s">
        <v>442</v>
      </c>
      <c r="B46" s="14">
        <v>43525</v>
      </c>
      <c r="C46" s="13">
        <v>398</v>
      </c>
      <c r="D46" s="32" t="s">
        <v>194</v>
      </c>
      <c r="E46" s="32" t="s">
        <v>62</v>
      </c>
      <c r="F46" s="4">
        <v>500000</v>
      </c>
      <c r="G46" s="69" t="s">
        <v>924</v>
      </c>
      <c r="H46" s="14"/>
      <c r="I46" s="41" t="s">
        <v>789</v>
      </c>
      <c r="J46" s="21"/>
      <c r="K46" s="228"/>
    </row>
    <row r="47" spans="1:12" ht="13.95" hidden="1" customHeight="1" x14ac:dyDescent="0.25">
      <c r="A47" s="32" t="s">
        <v>442</v>
      </c>
      <c r="B47" s="14">
        <v>43525</v>
      </c>
      <c r="C47" s="13">
        <v>399</v>
      </c>
      <c r="D47" s="13" t="s">
        <v>920</v>
      </c>
      <c r="E47" s="32" t="s">
        <v>62</v>
      </c>
      <c r="F47" s="4">
        <v>1870000</v>
      </c>
      <c r="G47" s="69" t="s">
        <v>1013</v>
      </c>
      <c r="H47" s="14"/>
      <c r="I47" s="4" t="s">
        <v>1011</v>
      </c>
      <c r="J47" s="21"/>
      <c r="K47" s="228"/>
    </row>
    <row r="48" spans="1:12" ht="13.95" hidden="1" customHeight="1" x14ac:dyDescent="0.25">
      <c r="A48" s="32" t="s">
        <v>91</v>
      </c>
      <c r="B48" s="14">
        <v>43525</v>
      </c>
      <c r="C48" s="13">
        <v>400</v>
      </c>
      <c r="D48" s="13" t="s">
        <v>920</v>
      </c>
      <c r="E48" s="32" t="s">
        <v>62</v>
      </c>
      <c r="F48" s="4">
        <v>707200</v>
      </c>
      <c r="G48" s="69" t="s">
        <v>1111</v>
      </c>
      <c r="H48" s="14"/>
      <c r="I48" s="4" t="s">
        <v>61</v>
      </c>
      <c r="J48" s="21"/>
      <c r="K48" s="228"/>
    </row>
    <row r="49" spans="1:12" ht="13.95" hidden="1" customHeight="1" x14ac:dyDescent="0.25">
      <c r="A49" s="32" t="s">
        <v>92</v>
      </c>
      <c r="B49" s="14">
        <v>43525</v>
      </c>
      <c r="C49" s="13">
        <v>401</v>
      </c>
      <c r="D49" s="13" t="s">
        <v>920</v>
      </c>
      <c r="E49" s="32" t="s">
        <v>62</v>
      </c>
      <c r="F49" s="4">
        <v>422800</v>
      </c>
      <c r="G49" s="69" t="s">
        <v>1355</v>
      </c>
      <c r="H49" s="14"/>
      <c r="I49" s="4" t="s">
        <v>61</v>
      </c>
      <c r="J49" s="21" t="s">
        <v>921</v>
      </c>
      <c r="K49" s="228"/>
    </row>
    <row r="50" spans="1:12" ht="13.95" hidden="1" customHeight="1" x14ac:dyDescent="0.25">
      <c r="A50" s="61" t="s">
        <v>668</v>
      </c>
      <c r="B50" s="14">
        <v>43525</v>
      </c>
      <c r="C50" s="13">
        <v>385</v>
      </c>
      <c r="D50" s="13" t="s">
        <v>578</v>
      </c>
      <c r="E50" s="32" t="s">
        <v>62</v>
      </c>
      <c r="F50" s="4">
        <v>371296.2</v>
      </c>
      <c r="G50" s="86" t="s">
        <v>1217</v>
      </c>
      <c r="H50" s="211"/>
      <c r="I50" s="4" t="s">
        <v>879</v>
      </c>
      <c r="J50" s="21"/>
      <c r="K50" s="228"/>
    </row>
    <row r="51" spans="1:12" ht="13.95" hidden="1" customHeight="1" x14ac:dyDescent="0.25">
      <c r="A51" s="13" t="s">
        <v>527</v>
      </c>
      <c r="B51" s="14">
        <v>43525</v>
      </c>
      <c r="C51" s="13">
        <v>386</v>
      </c>
      <c r="D51" s="13" t="s">
        <v>578</v>
      </c>
      <c r="E51" s="32" t="s">
        <v>62</v>
      </c>
      <c r="F51" s="4">
        <v>123488.4</v>
      </c>
      <c r="G51" s="69" t="s">
        <v>1413</v>
      </c>
      <c r="H51" s="14"/>
      <c r="I51" s="4" t="s">
        <v>1224</v>
      </c>
      <c r="J51" s="21"/>
      <c r="K51" s="228"/>
    </row>
    <row r="52" spans="1:12" ht="13.95" hidden="1" customHeight="1" x14ac:dyDescent="0.25">
      <c r="A52" s="61" t="s">
        <v>2</v>
      </c>
      <c r="B52" s="14">
        <v>43525</v>
      </c>
      <c r="C52" s="13">
        <v>402</v>
      </c>
      <c r="D52" s="32" t="s">
        <v>525</v>
      </c>
      <c r="E52" s="32" t="s">
        <v>62</v>
      </c>
      <c r="F52" s="4">
        <v>261751.35999999987</v>
      </c>
      <c r="G52" s="86" t="s">
        <v>523</v>
      </c>
      <c r="H52" s="211">
        <v>42487</v>
      </c>
      <c r="I52" s="84" t="s">
        <v>524</v>
      </c>
      <c r="J52" s="21"/>
      <c r="K52" s="228"/>
    </row>
    <row r="53" spans="1:12" s="97" customFormat="1" hidden="1" x14ac:dyDescent="0.25">
      <c r="A53" s="13" t="s">
        <v>160</v>
      </c>
      <c r="B53" s="14">
        <v>43525</v>
      </c>
      <c r="C53" s="13">
        <v>403</v>
      </c>
      <c r="D53" s="13" t="s">
        <v>590</v>
      </c>
      <c r="E53" s="13" t="s">
        <v>62</v>
      </c>
      <c r="F53" s="4">
        <v>1254373.3400000001</v>
      </c>
      <c r="G53" s="29" t="s">
        <v>1197</v>
      </c>
      <c r="H53" s="14">
        <v>41572</v>
      </c>
      <c r="I53" s="4" t="s">
        <v>159</v>
      </c>
      <c r="J53" s="133"/>
      <c r="K53" s="22"/>
      <c r="L53" s="134"/>
    </row>
    <row r="54" spans="1:12" s="97" customFormat="1" hidden="1" x14ac:dyDescent="0.25">
      <c r="A54" s="13" t="s">
        <v>358</v>
      </c>
      <c r="B54" s="14">
        <v>43525</v>
      </c>
      <c r="C54" s="13">
        <v>404</v>
      </c>
      <c r="D54" s="13" t="s">
        <v>740</v>
      </c>
      <c r="E54" s="13" t="s">
        <v>62</v>
      </c>
      <c r="F54" s="37">
        <v>65100</v>
      </c>
      <c r="G54" s="29" t="s">
        <v>2541</v>
      </c>
      <c r="H54" s="14">
        <v>43413</v>
      </c>
      <c r="I54" s="4" t="s">
        <v>245</v>
      </c>
      <c r="J54" s="133"/>
      <c r="K54" s="22"/>
      <c r="L54" s="134"/>
    </row>
    <row r="55" spans="1:12" s="97" customFormat="1" hidden="1" x14ac:dyDescent="0.25">
      <c r="A55" s="61" t="s">
        <v>442</v>
      </c>
      <c r="B55" s="14">
        <v>43525</v>
      </c>
      <c r="C55" s="13">
        <v>404</v>
      </c>
      <c r="D55" s="13" t="s">
        <v>740</v>
      </c>
      <c r="E55" s="13" t="s">
        <v>62</v>
      </c>
      <c r="F55" s="37">
        <v>116872</v>
      </c>
      <c r="G55" s="29" t="s">
        <v>2546</v>
      </c>
      <c r="H55" s="14">
        <v>43427</v>
      </c>
      <c r="I55" s="4" t="s">
        <v>1106</v>
      </c>
      <c r="J55" s="133"/>
      <c r="K55" s="22"/>
      <c r="L55" s="134"/>
    </row>
    <row r="56" spans="1:12" s="97" customFormat="1" hidden="1" x14ac:dyDescent="0.25">
      <c r="A56" s="14" t="s">
        <v>91</v>
      </c>
      <c r="B56" s="14">
        <v>43525</v>
      </c>
      <c r="C56" s="13">
        <v>404</v>
      </c>
      <c r="D56" s="13" t="s">
        <v>740</v>
      </c>
      <c r="E56" s="13" t="s">
        <v>62</v>
      </c>
      <c r="F56" s="37">
        <v>22500</v>
      </c>
      <c r="G56" s="29" t="s">
        <v>2704</v>
      </c>
      <c r="H56" s="14">
        <v>43432</v>
      </c>
      <c r="I56" s="4" t="s">
        <v>773</v>
      </c>
      <c r="J56" s="133"/>
      <c r="K56" s="22"/>
      <c r="L56" s="134"/>
    </row>
    <row r="57" spans="1:12" hidden="1" x14ac:dyDescent="0.25">
      <c r="A57" s="32" t="s">
        <v>442</v>
      </c>
      <c r="B57" s="14">
        <v>43525</v>
      </c>
      <c r="C57" s="67">
        <v>405</v>
      </c>
      <c r="D57" s="32" t="s">
        <v>4651</v>
      </c>
      <c r="E57" s="13" t="s">
        <v>62</v>
      </c>
      <c r="F57" s="4">
        <v>19700</v>
      </c>
      <c r="G57" s="67">
        <v>207</v>
      </c>
      <c r="H57" s="14">
        <v>43521</v>
      </c>
      <c r="I57" s="4" t="s">
        <v>4652</v>
      </c>
      <c r="J57" s="21"/>
      <c r="K57" s="228"/>
    </row>
    <row r="58" spans="1:12" hidden="1" x14ac:dyDescent="0.25">
      <c r="A58" s="32" t="s">
        <v>442</v>
      </c>
      <c r="B58" s="14">
        <v>43525</v>
      </c>
      <c r="C58" s="13">
        <v>406</v>
      </c>
      <c r="D58" s="13" t="s">
        <v>1739</v>
      </c>
      <c r="E58" s="13" t="s">
        <v>62</v>
      </c>
      <c r="F58" s="4">
        <v>216000</v>
      </c>
      <c r="G58" s="28" t="s">
        <v>4098</v>
      </c>
      <c r="H58" s="14">
        <v>43500</v>
      </c>
      <c r="I58" s="4" t="s">
        <v>4097</v>
      </c>
      <c r="J58" s="128"/>
    </row>
    <row r="59" spans="1:12" hidden="1" x14ac:dyDescent="0.25">
      <c r="A59" s="14" t="s">
        <v>442</v>
      </c>
      <c r="B59" s="14">
        <v>43525</v>
      </c>
      <c r="C59" s="13">
        <v>406</v>
      </c>
      <c r="D59" s="13" t="s">
        <v>1739</v>
      </c>
      <c r="E59" s="13" t="s">
        <v>62</v>
      </c>
      <c r="F59" s="37">
        <v>72000</v>
      </c>
      <c r="G59" s="29" t="s">
        <v>493</v>
      </c>
      <c r="H59" s="14">
        <v>43503</v>
      </c>
      <c r="I59" s="4" t="s">
        <v>1237</v>
      </c>
      <c r="J59" s="128"/>
    </row>
    <row r="60" spans="1:12" hidden="1" x14ac:dyDescent="0.25">
      <c r="A60" s="61" t="s">
        <v>442</v>
      </c>
      <c r="B60" s="14">
        <v>43525</v>
      </c>
      <c r="C60" s="13">
        <v>407</v>
      </c>
      <c r="D60" s="13" t="s">
        <v>381</v>
      </c>
      <c r="E60" s="13" t="s">
        <v>62</v>
      </c>
      <c r="F60" s="37">
        <v>9950</v>
      </c>
      <c r="G60" s="210" t="s">
        <v>2961</v>
      </c>
      <c r="H60" s="211">
        <v>43502</v>
      </c>
      <c r="I60" s="4" t="s">
        <v>441</v>
      </c>
      <c r="J60" s="128"/>
    </row>
    <row r="61" spans="1:12" hidden="1" x14ac:dyDescent="0.25">
      <c r="A61" s="32" t="s">
        <v>151</v>
      </c>
      <c r="B61" s="14">
        <v>43525</v>
      </c>
      <c r="C61" s="67">
        <v>408</v>
      </c>
      <c r="D61" s="32" t="s">
        <v>93</v>
      </c>
      <c r="E61" s="13" t="s">
        <v>62</v>
      </c>
      <c r="F61" s="4">
        <v>6860</v>
      </c>
      <c r="G61" s="67">
        <v>959</v>
      </c>
      <c r="H61" s="14">
        <v>43522</v>
      </c>
      <c r="I61" s="4" t="s">
        <v>4643</v>
      </c>
      <c r="J61" s="21"/>
      <c r="K61" s="228"/>
    </row>
    <row r="62" spans="1:12" ht="13.95" hidden="1" customHeight="1" x14ac:dyDescent="0.25">
      <c r="A62" s="68" t="s">
        <v>1147</v>
      </c>
      <c r="B62" s="14">
        <v>43525</v>
      </c>
      <c r="C62" s="13">
        <v>395</v>
      </c>
      <c r="D62" s="32" t="s">
        <v>2592</v>
      </c>
      <c r="E62" s="32" t="s">
        <v>808</v>
      </c>
      <c r="F62" s="4">
        <v>783207.78</v>
      </c>
      <c r="G62" s="86" t="s">
        <v>2593</v>
      </c>
      <c r="H62" s="211"/>
      <c r="I62" s="4" t="s">
        <v>82</v>
      </c>
      <c r="J62" s="21"/>
      <c r="K62" s="228"/>
    </row>
    <row r="63" spans="1:12" s="97" customFormat="1" hidden="1" x14ac:dyDescent="0.25">
      <c r="A63" s="61" t="s">
        <v>1147</v>
      </c>
      <c r="B63" s="14">
        <v>43525</v>
      </c>
      <c r="C63" s="13">
        <v>396</v>
      </c>
      <c r="D63" s="13" t="s">
        <v>254</v>
      </c>
      <c r="E63" s="13" t="s">
        <v>808</v>
      </c>
      <c r="F63" s="37">
        <v>769399.97</v>
      </c>
      <c r="G63" s="29" t="s">
        <v>4108</v>
      </c>
      <c r="H63" s="14">
        <v>43502</v>
      </c>
      <c r="I63" s="4" t="s">
        <v>4109</v>
      </c>
      <c r="J63" s="133"/>
      <c r="K63" s="22"/>
      <c r="L63" s="134"/>
    </row>
    <row r="64" spans="1:12" s="97" customFormat="1" hidden="1" x14ac:dyDescent="0.25">
      <c r="A64" s="61" t="s">
        <v>1148</v>
      </c>
      <c r="B64" s="14">
        <v>43525</v>
      </c>
      <c r="C64" s="13">
        <v>403</v>
      </c>
      <c r="D64" s="13" t="s">
        <v>589</v>
      </c>
      <c r="E64" s="13" t="s">
        <v>808</v>
      </c>
      <c r="F64" s="37">
        <v>710000</v>
      </c>
      <c r="G64" s="29" t="s">
        <v>3113</v>
      </c>
      <c r="H64" s="14">
        <v>43503</v>
      </c>
      <c r="I64" s="4" t="s">
        <v>1207</v>
      </c>
      <c r="J64" s="133"/>
      <c r="K64" s="22"/>
      <c r="L64" s="134"/>
    </row>
    <row r="65" spans="1:12" s="97" customFormat="1" hidden="1" x14ac:dyDescent="0.25">
      <c r="A65" s="61" t="s">
        <v>1148</v>
      </c>
      <c r="B65" s="14">
        <v>43525</v>
      </c>
      <c r="C65" s="13">
        <v>403</v>
      </c>
      <c r="D65" s="13" t="s">
        <v>589</v>
      </c>
      <c r="E65" s="13" t="s">
        <v>808</v>
      </c>
      <c r="F65" s="37">
        <v>728000</v>
      </c>
      <c r="G65" s="29" t="s">
        <v>4111</v>
      </c>
      <c r="H65" s="14">
        <v>43503</v>
      </c>
      <c r="I65" s="4" t="s">
        <v>2175</v>
      </c>
      <c r="J65" s="133"/>
      <c r="K65" s="22"/>
      <c r="L65" s="134"/>
    </row>
    <row r="66" spans="1:12" s="97" customFormat="1" hidden="1" x14ac:dyDescent="0.25">
      <c r="A66" s="61" t="s">
        <v>1148</v>
      </c>
      <c r="B66" s="14">
        <v>43525</v>
      </c>
      <c r="C66" s="13">
        <v>404</v>
      </c>
      <c r="D66" s="13" t="s">
        <v>243</v>
      </c>
      <c r="E66" s="13" t="s">
        <v>808</v>
      </c>
      <c r="F66" s="37">
        <v>851710.08</v>
      </c>
      <c r="G66" s="29" t="s">
        <v>3870</v>
      </c>
      <c r="H66" s="14">
        <v>43501</v>
      </c>
      <c r="I66" s="4" t="s">
        <v>3871</v>
      </c>
      <c r="J66" s="133"/>
      <c r="K66" s="22"/>
      <c r="L66" s="134"/>
    </row>
    <row r="67" spans="1:12" s="97" customFormat="1" hidden="1" x14ac:dyDescent="0.25">
      <c r="A67" s="61" t="s">
        <v>1148</v>
      </c>
      <c r="B67" s="14">
        <v>43525</v>
      </c>
      <c r="C67" s="13">
        <v>404</v>
      </c>
      <c r="D67" s="13" t="s">
        <v>243</v>
      </c>
      <c r="E67" s="13" t="s">
        <v>808</v>
      </c>
      <c r="F67" s="37">
        <v>805952.52</v>
      </c>
      <c r="G67" s="29" t="s">
        <v>1264</v>
      </c>
      <c r="H67" s="14">
        <v>43504</v>
      </c>
      <c r="I67" s="4" t="s">
        <v>1207</v>
      </c>
      <c r="J67" s="133"/>
      <c r="K67" s="22"/>
      <c r="L67" s="134"/>
    </row>
    <row r="68" spans="1:12" s="97" customFormat="1" hidden="1" x14ac:dyDescent="0.25">
      <c r="A68" s="61" t="s">
        <v>1316</v>
      </c>
      <c r="B68" s="14">
        <v>43525</v>
      </c>
      <c r="C68" s="13">
        <v>397</v>
      </c>
      <c r="D68" s="13" t="s">
        <v>249</v>
      </c>
      <c r="E68" s="13" t="s">
        <v>808</v>
      </c>
      <c r="F68" s="37">
        <v>792483.64</v>
      </c>
      <c r="G68" s="29" t="s">
        <v>191</v>
      </c>
      <c r="H68" s="14">
        <v>43497</v>
      </c>
      <c r="I68" s="4" t="s">
        <v>423</v>
      </c>
      <c r="J68" s="133"/>
      <c r="K68" s="22"/>
      <c r="L68" s="134"/>
    </row>
    <row r="69" spans="1:12" s="97" customFormat="1" hidden="1" x14ac:dyDescent="0.25">
      <c r="A69" s="13" t="s">
        <v>1149</v>
      </c>
      <c r="B69" s="14">
        <v>43525</v>
      </c>
      <c r="C69" s="13">
        <v>398</v>
      </c>
      <c r="D69" s="13" t="s">
        <v>1082</v>
      </c>
      <c r="E69" s="13" t="s">
        <v>808</v>
      </c>
      <c r="F69" s="37">
        <v>813512.08</v>
      </c>
      <c r="G69" s="29" t="s">
        <v>458</v>
      </c>
      <c r="H69" s="14">
        <v>43501</v>
      </c>
      <c r="I69" s="4" t="s">
        <v>421</v>
      </c>
      <c r="J69" s="133"/>
      <c r="K69" s="22"/>
      <c r="L69" s="134"/>
    </row>
    <row r="70" spans="1:12" s="97" customFormat="1" hidden="1" x14ac:dyDescent="0.25">
      <c r="A70" s="13" t="s">
        <v>151</v>
      </c>
      <c r="B70" s="14">
        <v>43525</v>
      </c>
      <c r="C70" s="67">
        <v>399</v>
      </c>
      <c r="D70" s="13" t="s">
        <v>776</v>
      </c>
      <c r="E70" s="13" t="s">
        <v>808</v>
      </c>
      <c r="F70" s="4">
        <v>3900</v>
      </c>
      <c r="G70" s="29" t="s">
        <v>1158</v>
      </c>
      <c r="H70" s="14">
        <v>43522</v>
      </c>
      <c r="I70" s="4" t="s">
        <v>4756</v>
      </c>
      <c r="J70" s="22"/>
      <c r="K70" s="22"/>
      <c r="L70" s="134"/>
    </row>
    <row r="71" spans="1:12" s="97" customFormat="1" hidden="1" x14ac:dyDescent="0.25">
      <c r="A71" s="61" t="s">
        <v>659</v>
      </c>
      <c r="B71" s="14">
        <v>43525</v>
      </c>
      <c r="C71" s="13">
        <v>400</v>
      </c>
      <c r="D71" s="13" t="s">
        <v>4753</v>
      </c>
      <c r="E71" s="13" t="s">
        <v>808</v>
      </c>
      <c r="F71" s="37">
        <v>7290</v>
      </c>
      <c r="G71" s="29" t="s">
        <v>1408</v>
      </c>
      <c r="H71" s="14">
        <v>43524</v>
      </c>
      <c r="I71" s="4" t="s">
        <v>4754</v>
      </c>
      <c r="J71" s="133"/>
      <c r="K71" s="22"/>
      <c r="L71" s="134"/>
    </row>
    <row r="72" spans="1:12" s="97" customFormat="1" hidden="1" x14ac:dyDescent="0.25">
      <c r="A72" s="61" t="s">
        <v>1316</v>
      </c>
      <c r="B72" s="14">
        <v>43525</v>
      </c>
      <c r="C72" s="13">
        <v>406</v>
      </c>
      <c r="D72" s="13" t="s">
        <v>1317</v>
      </c>
      <c r="E72" s="13" t="s">
        <v>808</v>
      </c>
      <c r="F72" s="37">
        <v>1011.4</v>
      </c>
      <c r="G72" s="29" t="s">
        <v>2558</v>
      </c>
      <c r="H72" s="14">
        <v>43440</v>
      </c>
      <c r="I72" s="4" t="s">
        <v>4114</v>
      </c>
      <c r="J72" s="133"/>
      <c r="K72" s="22"/>
      <c r="L72" s="134"/>
    </row>
    <row r="73" spans="1:12" hidden="1" x14ac:dyDescent="0.25">
      <c r="A73" s="32" t="s">
        <v>1147</v>
      </c>
      <c r="B73" s="14">
        <v>43525</v>
      </c>
      <c r="C73" s="67">
        <v>401</v>
      </c>
      <c r="D73" s="32" t="s">
        <v>4653</v>
      </c>
      <c r="E73" s="13" t="s">
        <v>808</v>
      </c>
      <c r="F73" s="4">
        <v>80750</v>
      </c>
      <c r="G73" s="67">
        <v>72</v>
      </c>
      <c r="H73" s="14">
        <v>43521</v>
      </c>
      <c r="I73" s="4" t="s">
        <v>4654</v>
      </c>
      <c r="J73" s="21"/>
      <c r="K73" s="228"/>
    </row>
    <row r="74" spans="1:12" hidden="1" x14ac:dyDescent="0.25">
      <c r="A74" s="61" t="s">
        <v>659</v>
      </c>
      <c r="B74" s="14">
        <v>43525</v>
      </c>
      <c r="C74" s="13">
        <v>402</v>
      </c>
      <c r="D74" s="13" t="s">
        <v>381</v>
      </c>
      <c r="E74" s="13" t="s">
        <v>808</v>
      </c>
      <c r="F74" s="37">
        <v>16300</v>
      </c>
      <c r="G74" s="210" t="s">
        <v>2955</v>
      </c>
      <c r="H74" s="211">
        <v>43502</v>
      </c>
      <c r="I74" s="4" t="s">
        <v>441</v>
      </c>
      <c r="J74" s="128"/>
    </row>
    <row r="75" spans="1:12" hidden="1" x14ac:dyDescent="0.25">
      <c r="A75" s="61" t="s">
        <v>659</v>
      </c>
      <c r="B75" s="14">
        <v>43525</v>
      </c>
      <c r="C75" s="13">
        <v>405</v>
      </c>
      <c r="D75" s="13" t="s">
        <v>1513</v>
      </c>
      <c r="E75" s="13" t="s">
        <v>808</v>
      </c>
      <c r="F75" s="37">
        <v>49900</v>
      </c>
      <c r="G75" s="29" t="s">
        <v>458</v>
      </c>
      <c r="H75" s="14">
        <v>43493</v>
      </c>
      <c r="I75" s="4" t="s">
        <v>319</v>
      </c>
      <c r="J75" s="128"/>
    </row>
    <row r="76" spans="1:12" hidden="1" x14ac:dyDescent="0.25">
      <c r="A76" s="61" t="s">
        <v>659</v>
      </c>
      <c r="B76" s="14">
        <v>43525</v>
      </c>
      <c r="C76" s="13">
        <v>405</v>
      </c>
      <c r="D76" s="13" t="s">
        <v>1513</v>
      </c>
      <c r="E76" s="13" t="s">
        <v>808</v>
      </c>
      <c r="F76" s="37">
        <v>134730</v>
      </c>
      <c r="G76" s="29" t="s">
        <v>300</v>
      </c>
      <c r="H76" s="14">
        <v>43504</v>
      </c>
      <c r="I76" s="4" t="s">
        <v>4326</v>
      </c>
      <c r="J76" s="128"/>
    </row>
    <row r="77" spans="1:12" s="2" customFormat="1" hidden="1" x14ac:dyDescent="0.25">
      <c r="A77" s="61" t="s">
        <v>741</v>
      </c>
      <c r="B77" s="14">
        <v>43525</v>
      </c>
      <c r="C77" s="13">
        <v>211</v>
      </c>
      <c r="D77" s="13" t="s">
        <v>1513</v>
      </c>
      <c r="E77" s="13" t="s">
        <v>434</v>
      </c>
      <c r="F77" s="37">
        <v>510000</v>
      </c>
      <c r="G77" s="29" t="s">
        <v>459</v>
      </c>
      <c r="H77" s="14">
        <v>43501</v>
      </c>
      <c r="I77" s="4" t="s">
        <v>3857</v>
      </c>
      <c r="J77" s="121"/>
      <c r="K77" s="5"/>
    </row>
    <row r="78" spans="1:12" s="2" customFormat="1" hidden="1" x14ac:dyDescent="0.25">
      <c r="A78" s="61" t="s">
        <v>741</v>
      </c>
      <c r="B78" s="14">
        <v>43525</v>
      </c>
      <c r="C78" s="13">
        <v>212</v>
      </c>
      <c r="D78" s="13" t="s">
        <v>2005</v>
      </c>
      <c r="E78" s="13" t="s">
        <v>434</v>
      </c>
      <c r="F78" s="37">
        <v>8550</v>
      </c>
      <c r="G78" s="210" t="s">
        <v>4662</v>
      </c>
      <c r="H78" s="211">
        <v>43519</v>
      </c>
      <c r="I78" s="4" t="s">
        <v>344</v>
      </c>
      <c r="J78" s="121"/>
      <c r="K78" s="5"/>
    </row>
    <row r="79" spans="1:12" s="2" customFormat="1" hidden="1" x14ac:dyDescent="0.25">
      <c r="A79" s="61" t="s">
        <v>741</v>
      </c>
      <c r="B79" s="14">
        <v>43525</v>
      </c>
      <c r="C79" s="13">
        <v>212</v>
      </c>
      <c r="D79" s="13" t="s">
        <v>2005</v>
      </c>
      <c r="E79" s="13" t="s">
        <v>434</v>
      </c>
      <c r="F79" s="37">
        <v>4900</v>
      </c>
      <c r="G79" s="210" t="s">
        <v>4663</v>
      </c>
      <c r="H79" s="211">
        <v>43519</v>
      </c>
      <c r="I79" s="4" t="s">
        <v>344</v>
      </c>
      <c r="J79" s="121"/>
      <c r="K79" s="5"/>
    </row>
    <row r="80" spans="1:12" s="2" customFormat="1" hidden="1" x14ac:dyDescent="0.25">
      <c r="A80" s="61" t="s">
        <v>741</v>
      </c>
      <c r="B80" s="14">
        <v>43525</v>
      </c>
      <c r="C80" s="13">
        <v>212</v>
      </c>
      <c r="D80" s="13" t="s">
        <v>2005</v>
      </c>
      <c r="E80" s="13" t="s">
        <v>434</v>
      </c>
      <c r="F80" s="37">
        <v>240000</v>
      </c>
      <c r="G80" s="210" t="s">
        <v>4664</v>
      </c>
      <c r="H80" s="211">
        <v>43524</v>
      </c>
      <c r="I80" s="4" t="s">
        <v>517</v>
      </c>
      <c r="J80" s="121"/>
      <c r="K80" s="5"/>
    </row>
    <row r="81" spans="1:19" s="2" customFormat="1" hidden="1" x14ac:dyDescent="0.25">
      <c r="A81" s="61" t="s">
        <v>741</v>
      </c>
      <c r="B81" s="14">
        <v>43525</v>
      </c>
      <c r="C81" s="13">
        <v>213</v>
      </c>
      <c r="D81" s="13" t="s">
        <v>1690</v>
      </c>
      <c r="E81" s="13" t="s">
        <v>434</v>
      </c>
      <c r="F81" s="37">
        <v>12800</v>
      </c>
      <c r="G81" s="29" t="s">
        <v>4675</v>
      </c>
      <c r="H81" s="14">
        <v>43517</v>
      </c>
      <c r="I81" s="4" t="s">
        <v>1301</v>
      </c>
      <c r="J81" s="121"/>
      <c r="K81" s="5"/>
    </row>
    <row r="82" spans="1:19" s="2" customFormat="1" hidden="1" x14ac:dyDescent="0.25">
      <c r="A82" s="61" t="s">
        <v>741</v>
      </c>
      <c r="B82" s="14">
        <v>43525</v>
      </c>
      <c r="C82" s="13">
        <v>214</v>
      </c>
      <c r="D82" s="13" t="s">
        <v>115</v>
      </c>
      <c r="E82" s="13" t="s">
        <v>434</v>
      </c>
      <c r="F82" s="37">
        <v>15300.75</v>
      </c>
      <c r="G82" s="29" t="s">
        <v>4676</v>
      </c>
      <c r="H82" s="14">
        <v>43515</v>
      </c>
      <c r="I82" s="4" t="s">
        <v>4677</v>
      </c>
      <c r="J82" s="121"/>
      <c r="K82" s="5"/>
    </row>
    <row r="83" spans="1:19" s="2" customFormat="1" hidden="1" x14ac:dyDescent="0.25">
      <c r="A83" s="61" t="s">
        <v>741</v>
      </c>
      <c r="B83" s="14">
        <v>43525</v>
      </c>
      <c r="C83" s="13">
        <v>215</v>
      </c>
      <c r="D83" s="13" t="s">
        <v>4678</v>
      </c>
      <c r="E83" s="13" t="s">
        <v>434</v>
      </c>
      <c r="F83" s="37">
        <v>5000</v>
      </c>
      <c r="G83" s="29" t="s">
        <v>4679</v>
      </c>
      <c r="H83" s="14">
        <v>43522</v>
      </c>
      <c r="I83" s="4" t="s">
        <v>4680</v>
      </c>
      <c r="J83" s="121"/>
      <c r="K83" s="5"/>
    </row>
    <row r="84" spans="1:19" ht="16.2" hidden="1" customHeight="1" x14ac:dyDescent="0.25">
      <c r="A84" s="68" t="s">
        <v>1286</v>
      </c>
      <c r="B84" s="14">
        <v>43525</v>
      </c>
      <c r="C84" s="13">
        <v>384</v>
      </c>
      <c r="D84" s="13" t="s">
        <v>456</v>
      </c>
      <c r="E84" s="32" t="s">
        <v>62</v>
      </c>
      <c r="F84" s="4">
        <v>4272850</v>
      </c>
      <c r="G84" s="86" t="s">
        <v>1735</v>
      </c>
      <c r="H84" s="14"/>
      <c r="I84" s="4" t="s">
        <v>237</v>
      </c>
      <c r="J84" s="71" t="s">
        <v>655</v>
      </c>
      <c r="K84" s="62"/>
      <c r="L84" s="62"/>
    </row>
    <row r="85" spans="1:19" ht="16.2" hidden="1" customHeight="1" x14ac:dyDescent="0.25">
      <c r="A85" s="68" t="s">
        <v>455</v>
      </c>
      <c r="B85" s="14">
        <v>43525</v>
      </c>
      <c r="C85" s="13">
        <v>294</v>
      </c>
      <c r="D85" s="13" t="s">
        <v>4778</v>
      </c>
      <c r="E85" s="32" t="s">
        <v>60</v>
      </c>
      <c r="F85" s="4">
        <v>4297982.5999999996</v>
      </c>
      <c r="G85" s="86" t="s">
        <v>4779</v>
      </c>
      <c r="H85" s="14">
        <v>42646</v>
      </c>
      <c r="I85" s="4" t="s">
        <v>78</v>
      </c>
      <c r="J85" s="71"/>
      <c r="K85" s="62"/>
      <c r="L85" s="62"/>
    </row>
    <row r="86" spans="1:19" ht="16.2" hidden="1" customHeight="1" x14ac:dyDescent="0.25">
      <c r="A86" s="68" t="s">
        <v>151</v>
      </c>
      <c r="B86" s="14">
        <v>43525</v>
      </c>
      <c r="C86" s="13">
        <v>12</v>
      </c>
      <c r="D86" s="13" t="s">
        <v>4047</v>
      </c>
      <c r="E86" s="32" t="s">
        <v>2897</v>
      </c>
      <c r="F86" s="4">
        <f>24000+24000</f>
        <v>48000</v>
      </c>
      <c r="G86" s="210"/>
      <c r="H86" s="14"/>
      <c r="I86" s="4" t="s">
        <v>4780</v>
      </c>
      <c r="J86" s="71"/>
      <c r="K86" s="62"/>
      <c r="L86" s="62"/>
    </row>
    <row r="87" spans="1:19" ht="16.2" hidden="1" customHeight="1" x14ac:dyDescent="0.25">
      <c r="A87" s="68" t="s">
        <v>151</v>
      </c>
      <c r="B87" s="14">
        <v>43525</v>
      </c>
      <c r="C87" s="13">
        <v>22</v>
      </c>
      <c r="D87" s="13" t="s">
        <v>4047</v>
      </c>
      <c r="E87" s="32" t="s">
        <v>488</v>
      </c>
      <c r="F87" s="4">
        <f>24000+24000</f>
        <v>48000</v>
      </c>
      <c r="G87" s="210"/>
      <c r="H87" s="14"/>
      <c r="I87" s="4" t="s">
        <v>4780</v>
      </c>
      <c r="J87" s="71"/>
      <c r="K87" s="62"/>
      <c r="L87" s="62"/>
    </row>
    <row r="88" spans="1:19" ht="16.2" hidden="1" customHeight="1" x14ac:dyDescent="0.25">
      <c r="A88" s="68" t="s">
        <v>151</v>
      </c>
      <c r="B88" s="14">
        <v>43525</v>
      </c>
      <c r="C88" s="13">
        <v>115</v>
      </c>
      <c r="D88" s="13" t="s">
        <v>4047</v>
      </c>
      <c r="E88" s="32" t="s">
        <v>481</v>
      </c>
      <c r="F88" s="4">
        <f>24000+24000</f>
        <v>48000</v>
      </c>
      <c r="G88" s="210"/>
      <c r="H88" s="14"/>
      <c r="I88" s="4" t="s">
        <v>4780</v>
      </c>
      <c r="J88" s="71"/>
      <c r="K88" s="62"/>
      <c r="L88" s="62"/>
    </row>
    <row r="89" spans="1:19" s="115" customFormat="1" ht="15.6" hidden="1" x14ac:dyDescent="0.25">
      <c r="A89" s="61" t="s">
        <v>651</v>
      </c>
      <c r="B89" s="14">
        <v>43525</v>
      </c>
      <c r="C89" s="13">
        <v>205</v>
      </c>
      <c r="D89" s="13" t="s">
        <v>813</v>
      </c>
      <c r="E89" s="13" t="s">
        <v>547</v>
      </c>
      <c r="F89" s="37">
        <v>13300000</v>
      </c>
      <c r="G89" s="29" t="s">
        <v>810</v>
      </c>
      <c r="H89" s="14">
        <v>42340</v>
      </c>
      <c r="I89" s="41" t="s">
        <v>1560</v>
      </c>
      <c r="J89" s="258"/>
      <c r="K89" s="116"/>
      <c r="L89" s="116"/>
      <c r="M89" s="116"/>
      <c r="N89" s="116"/>
      <c r="O89" s="117"/>
      <c r="P89" s="117"/>
      <c r="Q89" s="117"/>
      <c r="R89" s="117"/>
      <c r="S89" s="117"/>
    </row>
    <row r="90" spans="1:19" ht="16.2" hidden="1" customHeight="1" x14ac:dyDescent="0.25">
      <c r="A90" s="68" t="s">
        <v>151</v>
      </c>
      <c r="B90" s="14">
        <v>43525</v>
      </c>
      <c r="C90" s="13">
        <v>186</v>
      </c>
      <c r="D90" s="13" t="s">
        <v>4784</v>
      </c>
      <c r="E90" s="32" t="s">
        <v>958</v>
      </c>
      <c r="F90" s="4">
        <v>6000</v>
      </c>
      <c r="G90" s="210" t="s">
        <v>4785</v>
      </c>
      <c r="H90" s="14">
        <v>43525</v>
      </c>
      <c r="I90" s="4" t="s">
        <v>1258</v>
      </c>
      <c r="J90" s="71"/>
      <c r="K90" s="62"/>
      <c r="L90" s="62"/>
    </row>
    <row r="91" spans="1:19" ht="16.2" hidden="1" customHeight="1" x14ac:dyDescent="0.25">
      <c r="A91" s="68" t="s">
        <v>151</v>
      </c>
      <c r="B91" s="14">
        <v>43525</v>
      </c>
      <c r="C91" s="13">
        <v>185</v>
      </c>
      <c r="D91" s="13" t="s">
        <v>223</v>
      </c>
      <c r="E91" s="32" t="s">
        <v>958</v>
      </c>
      <c r="F91" s="4">
        <v>33060</v>
      </c>
      <c r="G91" s="210" t="s">
        <v>199</v>
      </c>
      <c r="H91" s="14">
        <v>43497</v>
      </c>
      <c r="I91" s="4" t="s">
        <v>3072</v>
      </c>
      <c r="J91" s="71"/>
      <c r="K91" s="62"/>
      <c r="L91" s="62"/>
    </row>
    <row r="92" spans="1:19" ht="13.95" hidden="1" customHeight="1" x14ac:dyDescent="0.25">
      <c r="A92" s="68" t="s">
        <v>310</v>
      </c>
      <c r="B92" s="14">
        <v>43528</v>
      </c>
      <c r="C92" s="13">
        <v>95</v>
      </c>
      <c r="D92" s="32" t="s">
        <v>4487</v>
      </c>
      <c r="E92" s="32" t="s">
        <v>958</v>
      </c>
      <c r="F92" s="4">
        <v>10000000</v>
      </c>
      <c r="G92" s="86" t="s">
        <v>4486</v>
      </c>
      <c r="H92" s="211"/>
      <c r="I92" s="84" t="s">
        <v>273</v>
      </c>
      <c r="J92" s="21"/>
      <c r="K92" s="228"/>
    </row>
    <row r="93" spans="1:19" hidden="1" x14ac:dyDescent="0.25">
      <c r="A93" s="13" t="s">
        <v>151</v>
      </c>
      <c r="B93" s="126">
        <v>43528</v>
      </c>
      <c r="C93" s="28" t="s">
        <v>2806</v>
      </c>
      <c r="D93" s="32" t="s">
        <v>3272</v>
      </c>
      <c r="E93" s="32" t="s">
        <v>691</v>
      </c>
      <c r="F93" s="4">
        <v>7500</v>
      </c>
      <c r="G93" s="29" t="s">
        <v>858</v>
      </c>
      <c r="H93" s="14">
        <v>43524</v>
      </c>
      <c r="I93" s="4" t="s">
        <v>4767</v>
      </c>
      <c r="J93" s="21"/>
      <c r="K93" s="228"/>
    </row>
    <row r="94" spans="1:19" hidden="1" x14ac:dyDescent="0.25">
      <c r="A94" s="13" t="s">
        <v>637</v>
      </c>
      <c r="B94" s="126">
        <v>43528</v>
      </c>
      <c r="C94" s="28" t="s">
        <v>3146</v>
      </c>
      <c r="D94" s="32" t="s">
        <v>432</v>
      </c>
      <c r="E94" s="32" t="s">
        <v>691</v>
      </c>
      <c r="F94" s="4">
        <v>350000</v>
      </c>
      <c r="G94" s="69" t="s">
        <v>3256</v>
      </c>
      <c r="H94" s="14"/>
      <c r="I94" s="4" t="s">
        <v>433</v>
      </c>
      <c r="J94" s="21"/>
      <c r="K94" s="228"/>
    </row>
    <row r="95" spans="1:19" s="97" customFormat="1" hidden="1" x14ac:dyDescent="0.25">
      <c r="A95" s="13" t="s">
        <v>160</v>
      </c>
      <c r="B95" s="14">
        <v>43528</v>
      </c>
      <c r="C95" s="13">
        <v>189</v>
      </c>
      <c r="D95" s="13" t="s">
        <v>590</v>
      </c>
      <c r="E95" s="13" t="s">
        <v>691</v>
      </c>
      <c r="F95" s="4">
        <v>2745626.66</v>
      </c>
      <c r="G95" s="29" t="s">
        <v>1197</v>
      </c>
      <c r="H95" s="14">
        <v>41572</v>
      </c>
      <c r="I95" s="4" t="s">
        <v>159</v>
      </c>
      <c r="J95" s="133"/>
      <c r="K95" s="22"/>
      <c r="L95" s="134"/>
    </row>
    <row r="96" spans="1:19" s="97" customFormat="1" hidden="1" x14ac:dyDescent="0.25">
      <c r="A96" s="32" t="s">
        <v>1350</v>
      </c>
      <c r="B96" s="14">
        <v>43528</v>
      </c>
      <c r="C96" s="13">
        <v>192</v>
      </c>
      <c r="D96" s="13" t="s">
        <v>276</v>
      </c>
      <c r="E96" s="13" t="s">
        <v>691</v>
      </c>
      <c r="F96" s="4">
        <v>327500</v>
      </c>
      <c r="G96" s="28" t="s">
        <v>3375</v>
      </c>
      <c r="H96" s="14">
        <v>43497</v>
      </c>
      <c r="I96" s="4" t="s">
        <v>4105</v>
      </c>
      <c r="J96" s="133"/>
      <c r="K96" s="22"/>
      <c r="L96" s="134"/>
    </row>
    <row r="97" spans="1:19" s="115" customFormat="1" ht="15.6" hidden="1" x14ac:dyDescent="0.25">
      <c r="A97" s="13" t="s">
        <v>311</v>
      </c>
      <c r="B97" s="14">
        <v>43528</v>
      </c>
      <c r="C97" s="13">
        <v>111</v>
      </c>
      <c r="D97" s="13" t="s">
        <v>873</v>
      </c>
      <c r="E97" s="13" t="s">
        <v>408</v>
      </c>
      <c r="F97" s="4">
        <v>128100</v>
      </c>
      <c r="G97" s="13" t="s">
        <v>4752</v>
      </c>
      <c r="H97" s="126">
        <v>43522</v>
      </c>
      <c r="I97" s="29" t="s">
        <v>875</v>
      </c>
      <c r="J97" s="385"/>
      <c r="K97" s="116"/>
      <c r="L97" s="116"/>
      <c r="M97" s="116"/>
      <c r="N97" s="116"/>
      <c r="O97" s="117"/>
      <c r="P97" s="117"/>
      <c r="Q97" s="117"/>
      <c r="R97" s="117"/>
      <c r="S97" s="117"/>
    </row>
    <row r="98" spans="1:19" ht="15" hidden="1" customHeight="1" x14ac:dyDescent="0.25">
      <c r="A98" s="32" t="s">
        <v>311</v>
      </c>
      <c r="B98" s="14">
        <v>43528</v>
      </c>
      <c r="C98" s="13">
        <v>112</v>
      </c>
      <c r="D98" s="32" t="s">
        <v>281</v>
      </c>
      <c r="E98" s="32" t="s">
        <v>408</v>
      </c>
      <c r="F98" s="4">
        <v>474150</v>
      </c>
      <c r="G98" s="29" t="s">
        <v>4189</v>
      </c>
      <c r="H98" s="14">
        <v>43508</v>
      </c>
      <c r="I98" s="41" t="s">
        <v>852</v>
      </c>
      <c r="J98" s="35" t="s">
        <v>366</v>
      </c>
      <c r="K98" s="35"/>
      <c r="L98" s="35"/>
    </row>
    <row r="99" spans="1:19" s="62" customFormat="1" ht="13.95" hidden="1" customHeight="1" x14ac:dyDescent="0.25">
      <c r="A99" s="13" t="s">
        <v>311</v>
      </c>
      <c r="B99" s="14">
        <v>43528</v>
      </c>
      <c r="C99" s="13">
        <v>427</v>
      </c>
      <c r="D99" s="13" t="s">
        <v>267</v>
      </c>
      <c r="E99" s="13" t="s">
        <v>130</v>
      </c>
      <c r="F99" s="37">
        <v>85400</v>
      </c>
      <c r="G99" s="29" t="s">
        <v>2961</v>
      </c>
      <c r="H99" s="14">
        <v>43496</v>
      </c>
      <c r="I99" s="4" t="s">
        <v>576</v>
      </c>
      <c r="J99" s="71"/>
      <c r="O99" s="35"/>
      <c r="P99" s="35"/>
      <c r="Q99" s="35"/>
      <c r="R99" s="35"/>
      <c r="S99" s="35"/>
    </row>
    <row r="100" spans="1:19" s="2" customFormat="1" ht="13.95" hidden="1" customHeight="1" x14ac:dyDescent="0.25">
      <c r="A100" s="32" t="s">
        <v>198</v>
      </c>
      <c r="B100" s="14">
        <v>43528</v>
      </c>
      <c r="C100" s="13">
        <v>61</v>
      </c>
      <c r="D100" s="32" t="s">
        <v>4162</v>
      </c>
      <c r="E100" s="32" t="s">
        <v>195</v>
      </c>
      <c r="F100" s="4">
        <v>23245.58</v>
      </c>
      <c r="G100" s="28" t="s">
        <v>4548</v>
      </c>
      <c r="H100" s="14">
        <v>43521</v>
      </c>
      <c r="I100" s="4" t="s">
        <v>802</v>
      </c>
      <c r="J100" s="170"/>
      <c r="K100" s="244"/>
      <c r="L100" s="34"/>
      <c r="M100" s="34"/>
    </row>
    <row r="101" spans="1:19" s="129" customFormat="1" ht="13.95" hidden="1" customHeight="1" x14ac:dyDescent="0.25">
      <c r="A101" s="13" t="s">
        <v>151</v>
      </c>
      <c r="B101" s="14">
        <v>43528</v>
      </c>
      <c r="C101" s="28" t="s">
        <v>201</v>
      </c>
      <c r="D101" s="13" t="s">
        <v>372</v>
      </c>
      <c r="E101" s="13" t="s">
        <v>22</v>
      </c>
      <c r="F101" s="4">
        <v>6500</v>
      </c>
      <c r="G101" s="28" t="s">
        <v>4782</v>
      </c>
      <c r="H101" s="14">
        <v>43528</v>
      </c>
      <c r="I101" s="4" t="s">
        <v>4783</v>
      </c>
      <c r="J101" s="22"/>
      <c r="K101" s="136"/>
    </row>
    <row r="102" spans="1:19" hidden="1" x14ac:dyDescent="0.25">
      <c r="A102" s="68" t="s">
        <v>151</v>
      </c>
      <c r="B102" s="14">
        <v>43528</v>
      </c>
      <c r="C102" s="13">
        <v>23</v>
      </c>
      <c r="D102" s="32" t="s">
        <v>1169</v>
      </c>
      <c r="E102" s="32" t="s">
        <v>2093</v>
      </c>
      <c r="F102" s="4">
        <v>70000</v>
      </c>
      <c r="G102" s="210" t="s">
        <v>3375</v>
      </c>
      <c r="H102" s="211">
        <v>43518</v>
      </c>
      <c r="I102" s="208" t="s">
        <v>4625</v>
      </c>
      <c r="J102" s="21"/>
      <c r="K102" s="228"/>
    </row>
    <row r="103" spans="1:19" hidden="1" x14ac:dyDescent="0.25">
      <c r="A103" s="68" t="s">
        <v>151</v>
      </c>
      <c r="B103" s="14">
        <v>43528</v>
      </c>
      <c r="C103" s="13">
        <v>15</v>
      </c>
      <c r="D103" s="32" t="s">
        <v>1169</v>
      </c>
      <c r="E103" s="32" t="s">
        <v>2941</v>
      </c>
      <c r="F103" s="4">
        <v>40000</v>
      </c>
      <c r="G103" s="210" t="s">
        <v>3390</v>
      </c>
      <c r="H103" s="211">
        <v>43518</v>
      </c>
      <c r="I103" s="208" t="s">
        <v>4625</v>
      </c>
      <c r="J103" s="21"/>
      <c r="K103" s="228"/>
    </row>
    <row r="104" spans="1:19" hidden="1" x14ac:dyDescent="0.25">
      <c r="A104" s="68" t="s">
        <v>151</v>
      </c>
      <c r="B104" s="14">
        <v>43528</v>
      </c>
      <c r="C104" s="13">
        <v>408</v>
      </c>
      <c r="D104" s="32" t="s">
        <v>2899</v>
      </c>
      <c r="E104" s="32" t="s">
        <v>808</v>
      </c>
      <c r="F104" s="4">
        <v>4500</v>
      </c>
      <c r="G104" s="210" t="s">
        <v>4793</v>
      </c>
      <c r="H104" s="211">
        <v>43525</v>
      </c>
      <c r="I104" s="208" t="s">
        <v>4399</v>
      </c>
      <c r="J104" s="21"/>
      <c r="K104" s="228"/>
    </row>
    <row r="105" spans="1:19" hidden="1" x14ac:dyDescent="0.25">
      <c r="A105" s="68" t="s">
        <v>151</v>
      </c>
      <c r="B105" s="14">
        <v>43528</v>
      </c>
      <c r="C105" s="13">
        <v>5</v>
      </c>
      <c r="D105" s="32" t="s">
        <v>2899</v>
      </c>
      <c r="E105" s="32" t="s">
        <v>4794</v>
      </c>
      <c r="F105" s="209">
        <v>4000</v>
      </c>
      <c r="G105" s="210" t="s">
        <v>4795</v>
      </c>
      <c r="H105" s="211">
        <v>43521</v>
      </c>
      <c r="I105" s="208" t="s">
        <v>4399</v>
      </c>
      <c r="J105" s="21"/>
      <c r="K105" s="228"/>
    </row>
    <row r="106" spans="1:19" ht="27.6" hidden="1" x14ac:dyDescent="0.25">
      <c r="A106" s="68" t="s">
        <v>151</v>
      </c>
      <c r="B106" s="14">
        <v>43528</v>
      </c>
      <c r="C106" s="13">
        <v>429</v>
      </c>
      <c r="D106" s="32" t="s">
        <v>2899</v>
      </c>
      <c r="E106" s="32" t="s">
        <v>1427</v>
      </c>
      <c r="F106" s="209">
        <v>4000</v>
      </c>
      <c r="G106" s="210" t="s">
        <v>4796</v>
      </c>
      <c r="H106" s="211">
        <v>43521</v>
      </c>
      <c r="I106" s="208" t="s">
        <v>4399</v>
      </c>
      <c r="J106" s="21"/>
      <c r="K106" s="228"/>
    </row>
    <row r="107" spans="1:19" ht="27.6" hidden="1" x14ac:dyDescent="0.25">
      <c r="A107" s="68" t="s">
        <v>151</v>
      </c>
      <c r="B107" s="14">
        <v>43528</v>
      </c>
      <c r="C107" s="13">
        <v>168</v>
      </c>
      <c r="D107" s="32" t="s">
        <v>2899</v>
      </c>
      <c r="E107" s="32" t="s">
        <v>1335</v>
      </c>
      <c r="F107" s="209">
        <v>4000</v>
      </c>
      <c r="G107" s="210" t="s">
        <v>4797</v>
      </c>
      <c r="H107" s="211">
        <v>43521</v>
      </c>
      <c r="I107" s="208" t="s">
        <v>4399</v>
      </c>
      <c r="J107" s="21"/>
      <c r="K107" s="228"/>
    </row>
    <row r="108" spans="1:19" ht="27.6" hidden="1" x14ac:dyDescent="0.25">
      <c r="A108" s="68" t="s">
        <v>151</v>
      </c>
      <c r="B108" s="14">
        <v>43528</v>
      </c>
      <c r="C108" s="13">
        <v>169</v>
      </c>
      <c r="D108" s="32" t="s">
        <v>2899</v>
      </c>
      <c r="E108" s="32" t="s">
        <v>2021</v>
      </c>
      <c r="F108" s="209">
        <v>4000</v>
      </c>
      <c r="G108" s="210" t="s">
        <v>4798</v>
      </c>
      <c r="H108" s="211">
        <v>43521</v>
      </c>
      <c r="I108" s="208" t="s">
        <v>4399</v>
      </c>
      <c r="J108" s="21"/>
      <c r="K108" s="228"/>
    </row>
    <row r="109" spans="1:19" hidden="1" x14ac:dyDescent="0.25">
      <c r="A109" s="68" t="s">
        <v>151</v>
      </c>
      <c r="B109" s="14">
        <v>43528</v>
      </c>
      <c r="C109" s="13">
        <v>603</v>
      </c>
      <c r="D109" s="32" t="s">
        <v>2899</v>
      </c>
      <c r="E109" s="32" t="s">
        <v>140</v>
      </c>
      <c r="F109" s="209">
        <v>4000</v>
      </c>
      <c r="G109" s="210" t="s">
        <v>4799</v>
      </c>
      <c r="H109" s="211">
        <v>43521</v>
      </c>
      <c r="I109" s="208" t="s">
        <v>4399</v>
      </c>
      <c r="J109" s="21"/>
      <c r="K109" s="228"/>
    </row>
    <row r="110" spans="1:19" hidden="1" x14ac:dyDescent="0.25">
      <c r="A110" s="61" t="s">
        <v>460</v>
      </c>
      <c r="B110" s="14">
        <v>43528</v>
      </c>
      <c r="C110" s="13">
        <v>283</v>
      </c>
      <c r="D110" s="13" t="s">
        <v>4800</v>
      </c>
      <c r="E110" s="13" t="s">
        <v>494</v>
      </c>
      <c r="F110" s="256">
        <v>693159</v>
      </c>
      <c r="G110" s="69" t="s">
        <v>4801</v>
      </c>
      <c r="H110" s="14">
        <v>42765</v>
      </c>
      <c r="I110" s="261" t="s">
        <v>4802</v>
      </c>
      <c r="J110" s="169"/>
    </row>
    <row r="111" spans="1:19" hidden="1" x14ac:dyDescent="0.25">
      <c r="A111" s="13" t="s">
        <v>151</v>
      </c>
      <c r="B111" s="14">
        <v>43528</v>
      </c>
      <c r="C111" s="13">
        <v>167</v>
      </c>
      <c r="D111" s="32" t="s">
        <v>3533</v>
      </c>
      <c r="E111" s="32" t="s">
        <v>144</v>
      </c>
      <c r="F111" s="4">
        <v>400000</v>
      </c>
      <c r="G111" s="210" t="s">
        <v>3534</v>
      </c>
      <c r="H111" s="211">
        <v>42853</v>
      </c>
      <c r="I111" s="4" t="s">
        <v>4807</v>
      </c>
      <c r="J111" s="166"/>
      <c r="K111" s="228"/>
    </row>
    <row r="112" spans="1:19" ht="13.95" hidden="1" customHeight="1" x14ac:dyDescent="0.25">
      <c r="A112" s="61" t="s">
        <v>310</v>
      </c>
      <c r="B112" s="14">
        <v>43529</v>
      </c>
      <c r="C112" s="13">
        <v>97</v>
      </c>
      <c r="D112" s="13" t="s">
        <v>30</v>
      </c>
      <c r="E112" s="32" t="s">
        <v>958</v>
      </c>
      <c r="F112" s="4">
        <v>3500000</v>
      </c>
      <c r="G112" s="86" t="s">
        <v>4463</v>
      </c>
      <c r="H112" s="211"/>
      <c r="I112" s="4" t="s">
        <v>20</v>
      </c>
      <c r="J112" s="21"/>
      <c r="K112" s="228"/>
    </row>
    <row r="113" spans="1:12" ht="15" hidden="1" customHeight="1" x14ac:dyDescent="0.25">
      <c r="A113" s="32" t="s">
        <v>92</v>
      </c>
      <c r="B113" s="14">
        <v>43529</v>
      </c>
      <c r="C113" s="13">
        <v>410</v>
      </c>
      <c r="D113" s="32" t="s">
        <v>454</v>
      </c>
      <c r="E113" s="32" t="s">
        <v>62</v>
      </c>
      <c r="F113" s="4">
        <v>260000</v>
      </c>
      <c r="G113" s="69" t="s">
        <v>446</v>
      </c>
      <c r="H113" s="14"/>
      <c r="I113" s="4" t="s">
        <v>24</v>
      </c>
      <c r="J113" s="21"/>
      <c r="K113" s="228"/>
    </row>
    <row r="114" spans="1:12" ht="15" hidden="1" customHeight="1" x14ac:dyDescent="0.25">
      <c r="A114" s="32" t="s">
        <v>1222</v>
      </c>
      <c r="B114" s="14">
        <v>43529</v>
      </c>
      <c r="C114" s="13">
        <v>411</v>
      </c>
      <c r="D114" s="32" t="s">
        <v>454</v>
      </c>
      <c r="E114" s="32" t="s">
        <v>62</v>
      </c>
      <c r="F114" s="4">
        <v>248808.65</v>
      </c>
      <c r="G114" s="69" t="s">
        <v>1703</v>
      </c>
      <c r="H114" s="14"/>
      <c r="I114" s="4" t="s">
        <v>252</v>
      </c>
      <c r="J114" s="21"/>
      <c r="K114" s="228"/>
    </row>
    <row r="115" spans="1:12" hidden="1" x14ac:dyDescent="0.25">
      <c r="A115" s="68" t="s">
        <v>1148</v>
      </c>
      <c r="B115" s="14">
        <v>43529</v>
      </c>
      <c r="C115" s="13">
        <v>411</v>
      </c>
      <c r="D115" s="32" t="s">
        <v>454</v>
      </c>
      <c r="E115" s="32" t="s">
        <v>808</v>
      </c>
      <c r="F115" s="4">
        <v>2013451</v>
      </c>
      <c r="G115" s="86" t="s">
        <v>4792</v>
      </c>
      <c r="H115" s="211"/>
      <c r="I115" s="4" t="s">
        <v>24</v>
      </c>
      <c r="J115" s="21"/>
      <c r="K115" s="228"/>
    </row>
    <row r="116" spans="1:12" ht="27.6" hidden="1" x14ac:dyDescent="0.25">
      <c r="A116" s="32" t="s">
        <v>215</v>
      </c>
      <c r="B116" s="14">
        <v>43529</v>
      </c>
      <c r="C116" s="67">
        <v>440</v>
      </c>
      <c r="D116" s="32" t="s">
        <v>373</v>
      </c>
      <c r="E116" s="32" t="s">
        <v>1427</v>
      </c>
      <c r="F116" s="4">
        <v>554508.29</v>
      </c>
      <c r="G116" s="28" t="s">
        <v>1406</v>
      </c>
      <c r="H116" s="14">
        <v>43152</v>
      </c>
      <c r="I116" s="4" t="s">
        <v>362</v>
      </c>
      <c r="J116" s="166" t="s">
        <v>239</v>
      </c>
      <c r="K116" s="167"/>
      <c r="L116" s="35"/>
    </row>
    <row r="117" spans="1:12" ht="27.6" hidden="1" x14ac:dyDescent="0.25">
      <c r="A117" s="32" t="s">
        <v>214</v>
      </c>
      <c r="B117" s="14">
        <v>43529</v>
      </c>
      <c r="C117" s="67">
        <v>441</v>
      </c>
      <c r="D117" s="32" t="s">
        <v>373</v>
      </c>
      <c r="E117" s="32" t="s">
        <v>1427</v>
      </c>
      <c r="F117" s="4">
        <v>601473.48</v>
      </c>
      <c r="G117" s="28" t="s">
        <v>1407</v>
      </c>
      <c r="H117" s="14">
        <v>43152</v>
      </c>
      <c r="I117" s="4" t="s">
        <v>362</v>
      </c>
      <c r="J117" s="166" t="s">
        <v>239</v>
      </c>
      <c r="K117" s="167"/>
      <c r="L117" s="35"/>
    </row>
    <row r="118" spans="1:12" s="192" customFormat="1" ht="14.85" hidden="1" customHeight="1" x14ac:dyDescent="0.25">
      <c r="A118" s="147" t="s">
        <v>242</v>
      </c>
      <c r="B118" s="164">
        <v>43529</v>
      </c>
      <c r="C118" s="195">
        <v>604</v>
      </c>
      <c r="D118" s="149" t="s">
        <v>840</v>
      </c>
      <c r="E118" s="147" t="s">
        <v>140</v>
      </c>
      <c r="F118" s="158">
        <v>81510</v>
      </c>
      <c r="G118" s="150" t="s">
        <v>4738</v>
      </c>
      <c r="H118" s="148">
        <v>43515</v>
      </c>
      <c r="I118" s="149" t="s">
        <v>143</v>
      </c>
      <c r="J118" s="193"/>
      <c r="K118" s="194"/>
      <c r="L118" s="190"/>
    </row>
    <row r="119" spans="1:12" s="192" customFormat="1" ht="14.85" hidden="1" customHeight="1" x14ac:dyDescent="0.25">
      <c r="A119" s="147" t="s">
        <v>242</v>
      </c>
      <c r="B119" s="164">
        <v>43529</v>
      </c>
      <c r="C119" s="195">
        <v>604</v>
      </c>
      <c r="D119" s="149" t="s">
        <v>840</v>
      </c>
      <c r="E119" s="147" t="s">
        <v>140</v>
      </c>
      <c r="F119" s="158">
        <v>113500.28</v>
      </c>
      <c r="G119" s="150" t="s">
        <v>4742</v>
      </c>
      <c r="H119" s="148">
        <v>43515</v>
      </c>
      <c r="I119" s="149" t="s">
        <v>143</v>
      </c>
      <c r="J119" s="193"/>
      <c r="K119" s="194"/>
      <c r="L119" s="190"/>
    </row>
    <row r="120" spans="1:12" ht="27.6" hidden="1" x14ac:dyDescent="0.25">
      <c r="A120" s="61" t="s">
        <v>460</v>
      </c>
      <c r="B120" s="14">
        <v>43529</v>
      </c>
      <c r="C120" s="13">
        <v>180</v>
      </c>
      <c r="D120" s="32" t="s">
        <v>4790</v>
      </c>
      <c r="E120" s="32" t="s">
        <v>144</v>
      </c>
      <c r="F120" s="4">
        <v>15000</v>
      </c>
      <c r="G120" s="86" t="s">
        <v>4791</v>
      </c>
      <c r="H120" s="14"/>
      <c r="I120" s="326"/>
      <c r="K120" s="62"/>
    </row>
    <row r="121" spans="1:12" s="192" customFormat="1" ht="14.25" hidden="1" customHeight="1" x14ac:dyDescent="0.25">
      <c r="A121" s="147" t="s">
        <v>242</v>
      </c>
      <c r="B121" s="14">
        <v>43529</v>
      </c>
      <c r="C121" s="195">
        <v>177</v>
      </c>
      <c r="D121" s="149" t="s">
        <v>784</v>
      </c>
      <c r="E121" s="147" t="s">
        <v>144</v>
      </c>
      <c r="F121" s="158">
        <f>1230753.2</f>
        <v>1230753.2</v>
      </c>
      <c r="G121" s="150" t="s">
        <v>3362</v>
      </c>
      <c r="H121" s="148">
        <v>43507</v>
      </c>
      <c r="I121" s="149" t="s">
        <v>143</v>
      </c>
    </row>
    <row r="122" spans="1:12" s="192" customFormat="1" ht="14.85" hidden="1" customHeight="1" x14ac:dyDescent="0.25">
      <c r="A122" s="147" t="s">
        <v>242</v>
      </c>
      <c r="B122" s="14">
        <v>43529</v>
      </c>
      <c r="C122" s="195">
        <v>178</v>
      </c>
      <c r="D122" s="149" t="s">
        <v>1816</v>
      </c>
      <c r="E122" s="147" t="s">
        <v>144</v>
      </c>
      <c r="F122" s="158">
        <v>123107.2</v>
      </c>
      <c r="G122" s="150" t="s">
        <v>33</v>
      </c>
      <c r="H122" s="148">
        <v>43524</v>
      </c>
      <c r="I122" s="149" t="s">
        <v>143</v>
      </c>
      <c r="J122" s="190"/>
    </row>
    <row r="123" spans="1:12" ht="27.6" hidden="1" customHeight="1" x14ac:dyDescent="0.25">
      <c r="A123" s="32" t="s">
        <v>151</v>
      </c>
      <c r="B123" s="14">
        <v>43529</v>
      </c>
      <c r="C123" s="13">
        <v>179</v>
      </c>
      <c r="D123" s="32" t="s">
        <v>412</v>
      </c>
      <c r="E123" s="32" t="s">
        <v>144</v>
      </c>
      <c r="F123" s="4">
        <v>90000</v>
      </c>
      <c r="G123" s="13">
        <v>13</v>
      </c>
      <c r="H123" s="14">
        <v>43497</v>
      </c>
      <c r="I123" s="4" t="s">
        <v>3969</v>
      </c>
      <c r="J123" s="22" t="s">
        <v>721</v>
      </c>
      <c r="K123" s="245"/>
    </row>
    <row r="124" spans="1:12" s="192" customFormat="1" hidden="1" x14ac:dyDescent="0.25">
      <c r="A124" s="147" t="s">
        <v>242</v>
      </c>
      <c r="B124" s="164">
        <v>43529</v>
      </c>
      <c r="C124" s="195">
        <v>255</v>
      </c>
      <c r="D124" s="149" t="s">
        <v>490</v>
      </c>
      <c r="E124" s="147" t="s">
        <v>1121</v>
      </c>
      <c r="F124" s="158">
        <v>418952.52</v>
      </c>
      <c r="G124" s="150" t="s">
        <v>4744</v>
      </c>
      <c r="H124" s="148">
        <v>43502</v>
      </c>
      <c r="I124" s="149" t="s">
        <v>143</v>
      </c>
      <c r="J124" s="193"/>
      <c r="K124" s="194"/>
      <c r="L124" s="190"/>
    </row>
    <row r="125" spans="1:12" s="192" customFormat="1" ht="14.4" hidden="1" customHeight="1" x14ac:dyDescent="0.25">
      <c r="A125" s="147" t="s">
        <v>242</v>
      </c>
      <c r="B125" s="164">
        <v>43529</v>
      </c>
      <c r="C125" s="187">
        <v>256</v>
      </c>
      <c r="D125" s="149" t="s">
        <v>291</v>
      </c>
      <c r="E125" s="147" t="s">
        <v>1121</v>
      </c>
      <c r="F125" s="158">
        <v>64687.88</v>
      </c>
      <c r="G125" s="150" t="s">
        <v>3362</v>
      </c>
      <c r="H125" s="148">
        <v>43524</v>
      </c>
      <c r="I125" s="149" t="s">
        <v>143</v>
      </c>
      <c r="J125" s="193"/>
      <c r="K125" s="194"/>
      <c r="L125" s="190"/>
    </row>
    <row r="126" spans="1:12" s="192" customFormat="1" hidden="1" x14ac:dyDescent="0.25">
      <c r="A126" s="147" t="s">
        <v>242</v>
      </c>
      <c r="B126" s="164">
        <v>43529</v>
      </c>
      <c r="C126" s="187">
        <v>256</v>
      </c>
      <c r="D126" s="149" t="s">
        <v>291</v>
      </c>
      <c r="E126" s="147" t="s">
        <v>1121</v>
      </c>
      <c r="F126" s="158">
        <v>87052</v>
      </c>
      <c r="G126" s="150" t="s">
        <v>317</v>
      </c>
      <c r="H126" s="148">
        <v>43524</v>
      </c>
      <c r="I126" s="149" t="s">
        <v>143</v>
      </c>
      <c r="J126" s="193"/>
      <c r="K126" s="194"/>
      <c r="L126" s="190"/>
    </row>
    <row r="127" spans="1:12" s="192" customFormat="1" ht="14.4" hidden="1" customHeight="1" x14ac:dyDescent="0.25">
      <c r="A127" s="147" t="s">
        <v>242</v>
      </c>
      <c r="B127" s="164">
        <v>43529</v>
      </c>
      <c r="C127" s="187">
        <v>256</v>
      </c>
      <c r="D127" s="149" t="s">
        <v>291</v>
      </c>
      <c r="E127" s="147" t="s">
        <v>1121</v>
      </c>
      <c r="F127" s="158">
        <v>100757.97</v>
      </c>
      <c r="G127" s="150" t="s">
        <v>27</v>
      </c>
      <c r="H127" s="148">
        <v>43524</v>
      </c>
      <c r="I127" s="149" t="s">
        <v>143</v>
      </c>
      <c r="J127" s="193"/>
      <c r="K127" s="194"/>
      <c r="L127" s="190"/>
    </row>
    <row r="128" spans="1:12" s="192" customFormat="1" hidden="1" x14ac:dyDescent="0.25">
      <c r="A128" s="147" t="s">
        <v>242</v>
      </c>
      <c r="B128" s="164">
        <v>43529</v>
      </c>
      <c r="C128" s="187">
        <v>256</v>
      </c>
      <c r="D128" s="149" t="s">
        <v>291</v>
      </c>
      <c r="E128" s="147" t="s">
        <v>1121</v>
      </c>
      <c r="F128" s="158">
        <v>78813</v>
      </c>
      <c r="G128" s="150" t="s">
        <v>145</v>
      </c>
      <c r="H128" s="148">
        <v>43524</v>
      </c>
      <c r="I128" s="149" t="s">
        <v>143</v>
      </c>
      <c r="J128" s="193"/>
      <c r="K128" s="194"/>
      <c r="L128" s="190"/>
    </row>
    <row r="129" spans="1:19" s="192" customFormat="1" hidden="1" x14ac:dyDescent="0.25">
      <c r="A129" s="147" t="s">
        <v>964</v>
      </c>
      <c r="B129" s="164">
        <v>43529</v>
      </c>
      <c r="C129" s="187">
        <v>257</v>
      </c>
      <c r="D129" s="149" t="s">
        <v>4788</v>
      </c>
      <c r="E129" s="147" t="s">
        <v>1121</v>
      </c>
      <c r="F129" s="158">
        <v>31910</v>
      </c>
      <c r="G129" s="150" t="s">
        <v>960</v>
      </c>
      <c r="H129" s="148">
        <v>43525</v>
      </c>
      <c r="I129" s="149" t="s">
        <v>4789</v>
      </c>
      <c r="J129" s="193"/>
      <c r="K129" s="194"/>
      <c r="L129" s="190"/>
    </row>
    <row r="130" spans="1:19" s="129" customFormat="1" ht="27.6" hidden="1" x14ac:dyDescent="0.25">
      <c r="A130" s="13" t="s">
        <v>151</v>
      </c>
      <c r="B130" s="164">
        <v>43529</v>
      </c>
      <c r="C130" s="28" t="s">
        <v>3588</v>
      </c>
      <c r="D130" s="13" t="s">
        <v>711</v>
      </c>
      <c r="E130" s="32" t="s">
        <v>1121</v>
      </c>
      <c r="F130" s="37">
        <f>3450+1100+2150+5900+1200+5000+1800</f>
        <v>20600</v>
      </c>
      <c r="G130" s="28" t="s">
        <v>4771</v>
      </c>
      <c r="H130" s="28" t="s">
        <v>4770</v>
      </c>
      <c r="I130" s="4" t="s">
        <v>712</v>
      </c>
      <c r="J130" s="170"/>
      <c r="K130" s="136"/>
    </row>
    <row r="131" spans="1:19" s="129" customFormat="1" hidden="1" x14ac:dyDescent="0.25">
      <c r="A131" s="13" t="s">
        <v>151</v>
      </c>
      <c r="B131" s="164">
        <v>43529</v>
      </c>
      <c r="C131" s="28" t="s">
        <v>1368</v>
      </c>
      <c r="D131" s="13" t="s">
        <v>401</v>
      </c>
      <c r="E131" s="13" t="s">
        <v>1121</v>
      </c>
      <c r="F131" s="37">
        <v>6820</v>
      </c>
      <c r="G131" s="28" t="s">
        <v>4772</v>
      </c>
      <c r="H131" s="14">
        <v>43522</v>
      </c>
      <c r="I131" s="4" t="s">
        <v>4773</v>
      </c>
      <c r="J131" s="133"/>
      <c r="K131" s="275"/>
    </row>
    <row r="132" spans="1:19" s="129" customFormat="1" hidden="1" x14ac:dyDescent="0.25">
      <c r="A132" s="13" t="s">
        <v>151</v>
      </c>
      <c r="B132" s="164">
        <v>43529</v>
      </c>
      <c r="C132" s="28" t="s">
        <v>1368</v>
      </c>
      <c r="D132" s="13" t="s">
        <v>401</v>
      </c>
      <c r="E132" s="13" t="s">
        <v>1121</v>
      </c>
      <c r="F132" s="37">
        <v>4960</v>
      </c>
      <c r="G132" s="28" t="s">
        <v>4776</v>
      </c>
      <c r="H132" s="14">
        <v>43522</v>
      </c>
      <c r="I132" s="4" t="s">
        <v>4777</v>
      </c>
      <c r="J132" s="133"/>
      <c r="K132" s="275"/>
    </row>
    <row r="133" spans="1:19" s="62" customFormat="1" ht="13.95" hidden="1" customHeight="1" x14ac:dyDescent="0.25">
      <c r="A133" s="61" t="s">
        <v>151</v>
      </c>
      <c r="B133" s="164">
        <v>43529</v>
      </c>
      <c r="C133" s="13">
        <v>260</v>
      </c>
      <c r="D133" s="13" t="s">
        <v>593</v>
      </c>
      <c r="E133" s="13" t="s">
        <v>1121</v>
      </c>
      <c r="F133" s="37">
        <v>1070</v>
      </c>
      <c r="G133" s="29" t="s">
        <v>2614</v>
      </c>
      <c r="H133" s="14">
        <v>43466</v>
      </c>
      <c r="I133" s="4" t="s">
        <v>1796</v>
      </c>
      <c r="J133" s="71" t="s">
        <v>366</v>
      </c>
      <c r="O133" s="35"/>
      <c r="P133" s="35"/>
      <c r="Q133" s="35"/>
      <c r="R133" s="35"/>
      <c r="S133" s="35"/>
    </row>
    <row r="134" spans="1:19" s="129" customFormat="1" hidden="1" x14ac:dyDescent="0.25">
      <c r="A134" s="13" t="s">
        <v>151</v>
      </c>
      <c r="B134" s="14">
        <v>43529</v>
      </c>
      <c r="C134" s="28" t="s">
        <v>4</v>
      </c>
      <c r="D134" s="13" t="s">
        <v>1836</v>
      </c>
      <c r="E134" s="32" t="s">
        <v>175</v>
      </c>
      <c r="F134" s="37">
        <v>29640</v>
      </c>
      <c r="G134" s="28" t="s">
        <v>1700</v>
      </c>
      <c r="H134" s="14"/>
      <c r="I134" s="4" t="s">
        <v>1835</v>
      </c>
      <c r="J134" s="22" t="s">
        <v>366</v>
      </c>
      <c r="K134" s="136"/>
    </row>
    <row r="135" spans="1:19" ht="15" hidden="1" customHeight="1" x14ac:dyDescent="0.25">
      <c r="A135" s="61" t="s">
        <v>1934</v>
      </c>
      <c r="B135" s="14">
        <v>43529</v>
      </c>
      <c r="C135" s="13">
        <v>225</v>
      </c>
      <c r="D135" s="32" t="s">
        <v>281</v>
      </c>
      <c r="E135" s="32" t="s">
        <v>136</v>
      </c>
      <c r="F135" s="4">
        <v>564220</v>
      </c>
      <c r="G135" s="29" t="s">
        <v>4195</v>
      </c>
      <c r="H135" s="14">
        <v>43508</v>
      </c>
      <c r="I135" s="41" t="s">
        <v>852</v>
      </c>
      <c r="J135" s="35" t="s">
        <v>366</v>
      </c>
      <c r="K135" s="35"/>
      <c r="L135" s="35"/>
    </row>
    <row r="136" spans="1:19" ht="27.6" hidden="1" x14ac:dyDescent="0.25">
      <c r="A136" s="68" t="s">
        <v>151</v>
      </c>
      <c r="B136" s="14">
        <v>43529</v>
      </c>
      <c r="C136" s="13">
        <v>17</v>
      </c>
      <c r="D136" s="32" t="s">
        <v>1169</v>
      </c>
      <c r="E136" s="32" t="s">
        <v>4816</v>
      </c>
      <c r="F136" s="4">
        <v>50000</v>
      </c>
      <c r="G136" s="210" t="s">
        <v>300</v>
      </c>
      <c r="H136" s="211">
        <v>43518</v>
      </c>
      <c r="I136" s="208" t="s">
        <v>4625</v>
      </c>
      <c r="J136" s="21"/>
      <c r="K136" s="228"/>
    </row>
    <row r="137" spans="1:19" hidden="1" x14ac:dyDescent="0.25">
      <c r="A137" s="68" t="s">
        <v>151</v>
      </c>
      <c r="B137" s="14">
        <v>43529</v>
      </c>
      <c r="C137" s="13">
        <v>12</v>
      </c>
      <c r="D137" s="32" t="s">
        <v>1169</v>
      </c>
      <c r="E137" s="32" t="s">
        <v>4817</v>
      </c>
      <c r="F137" s="4">
        <v>40000</v>
      </c>
      <c r="G137" s="210" t="s">
        <v>3141</v>
      </c>
      <c r="H137" s="211">
        <v>43518</v>
      </c>
      <c r="I137" s="208" t="s">
        <v>4625</v>
      </c>
      <c r="J137" s="21"/>
      <c r="K137" s="228"/>
    </row>
    <row r="138" spans="1:19" ht="27.6" hidden="1" x14ac:dyDescent="0.25">
      <c r="A138" s="68" t="s">
        <v>151</v>
      </c>
      <c r="B138" s="14">
        <v>43529</v>
      </c>
      <c r="C138" s="13">
        <v>44</v>
      </c>
      <c r="D138" s="32" t="s">
        <v>4818</v>
      </c>
      <c r="E138" s="32" t="s">
        <v>134</v>
      </c>
      <c r="F138" s="4">
        <v>612690</v>
      </c>
      <c r="G138" s="210" t="s">
        <v>3870</v>
      </c>
      <c r="H138" s="211">
        <v>43528</v>
      </c>
      <c r="I138" s="208" t="s">
        <v>4819</v>
      </c>
      <c r="J138" s="21"/>
      <c r="K138" s="228"/>
    </row>
    <row r="139" spans="1:19" s="129" customFormat="1" ht="13.95" hidden="1" customHeight="1" x14ac:dyDescent="0.25">
      <c r="A139" s="13" t="s">
        <v>151</v>
      </c>
      <c r="B139" s="14">
        <v>43530</v>
      </c>
      <c r="C139" s="28" t="s">
        <v>730</v>
      </c>
      <c r="D139" s="13" t="s">
        <v>1846</v>
      </c>
      <c r="E139" s="13" t="s">
        <v>22</v>
      </c>
      <c r="F139" s="4">
        <v>19750</v>
      </c>
      <c r="G139" s="28" t="s">
        <v>4774</v>
      </c>
      <c r="H139" s="14">
        <v>43524</v>
      </c>
      <c r="I139" s="4" t="s">
        <v>4775</v>
      </c>
      <c r="J139" s="22"/>
      <c r="K139" s="136"/>
    </row>
    <row r="140" spans="1:19" ht="13.95" hidden="1" customHeight="1" x14ac:dyDescent="0.25">
      <c r="A140" s="32" t="s">
        <v>209</v>
      </c>
      <c r="B140" s="14">
        <v>43530</v>
      </c>
      <c r="C140" s="13">
        <v>45</v>
      </c>
      <c r="D140" s="32" t="s">
        <v>626</v>
      </c>
      <c r="E140" s="32" t="s">
        <v>134</v>
      </c>
      <c r="F140" s="209">
        <v>300000</v>
      </c>
      <c r="G140" s="69" t="s">
        <v>4786</v>
      </c>
      <c r="H140" s="14"/>
      <c r="I140" s="4" t="s">
        <v>4787</v>
      </c>
      <c r="J140" s="76"/>
      <c r="K140" s="62"/>
    </row>
    <row r="141" spans="1:19" ht="13.95" hidden="1" customHeight="1" x14ac:dyDescent="0.25">
      <c r="A141" s="13" t="s">
        <v>91</v>
      </c>
      <c r="B141" s="14">
        <v>43530</v>
      </c>
      <c r="C141" s="13">
        <v>449</v>
      </c>
      <c r="D141" s="32" t="s">
        <v>4521</v>
      </c>
      <c r="E141" s="32" t="s">
        <v>130</v>
      </c>
      <c r="F141" s="4">
        <v>78000</v>
      </c>
      <c r="G141" s="86" t="s">
        <v>4522</v>
      </c>
      <c r="H141" s="211"/>
      <c r="I141" s="208" t="s">
        <v>4523</v>
      </c>
      <c r="J141" s="21"/>
      <c r="K141" s="228"/>
    </row>
    <row r="142" spans="1:19" hidden="1" x14ac:dyDescent="0.25">
      <c r="A142" s="13" t="s">
        <v>213</v>
      </c>
      <c r="B142" s="14">
        <v>43530</v>
      </c>
      <c r="C142" s="13">
        <v>226</v>
      </c>
      <c r="D142" s="13" t="s">
        <v>210</v>
      </c>
      <c r="E142" s="13" t="s">
        <v>136</v>
      </c>
      <c r="F142" s="37">
        <v>175020.01</v>
      </c>
      <c r="G142" s="69" t="s">
        <v>4805</v>
      </c>
      <c r="H142" s="14"/>
      <c r="I142" s="4" t="s">
        <v>426</v>
      </c>
      <c r="J142" s="22" t="s">
        <v>4806</v>
      </c>
    </row>
    <row r="143" spans="1:19" s="129" customFormat="1" hidden="1" x14ac:dyDescent="0.25">
      <c r="A143" s="13" t="s">
        <v>213</v>
      </c>
      <c r="B143" s="14">
        <v>43530</v>
      </c>
      <c r="C143" s="13">
        <v>227</v>
      </c>
      <c r="D143" s="13" t="s">
        <v>210</v>
      </c>
      <c r="E143" s="13" t="s">
        <v>136</v>
      </c>
      <c r="F143" s="37">
        <v>175020.01</v>
      </c>
      <c r="G143" s="69" t="s">
        <v>4805</v>
      </c>
      <c r="H143" s="14"/>
      <c r="I143" s="4" t="s">
        <v>546</v>
      </c>
      <c r="J143" s="35" t="s">
        <v>4806</v>
      </c>
      <c r="K143" s="136"/>
    </row>
    <row r="144" spans="1:19" ht="15" hidden="1" customHeight="1" x14ac:dyDescent="0.25">
      <c r="A144" s="68" t="s">
        <v>206</v>
      </c>
      <c r="B144" s="14">
        <v>43530</v>
      </c>
      <c r="C144" s="67">
        <v>48</v>
      </c>
      <c r="D144" s="32" t="s">
        <v>156</v>
      </c>
      <c r="E144" s="32" t="s">
        <v>178</v>
      </c>
      <c r="F144" s="4">
        <v>485073.51</v>
      </c>
      <c r="G144" s="28" t="s">
        <v>4520</v>
      </c>
      <c r="H144" s="14">
        <v>43501</v>
      </c>
      <c r="I144" s="4" t="s">
        <v>362</v>
      </c>
      <c r="J144" s="166" t="s">
        <v>239</v>
      </c>
      <c r="K144" s="167"/>
      <c r="L144" s="35"/>
    </row>
    <row r="145" spans="1:19" s="2" customFormat="1" ht="15" hidden="1" customHeight="1" x14ac:dyDescent="0.25">
      <c r="A145" s="13" t="s">
        <v>6</v>
      </c>
      <c r="B145" s="14">
        <v>43530</v>
      </c>
      <c r="C145" s="13">
        <v>104</v>
      </c>
      <c r="D145" s="13" t="s">
        <v>464</v>
      </c>
      <c r="E145" s="13" t="s">
        <v>183</v>
      </c>
      <c r="F145" s="4">
        <v>18295</v>
      </c>
      <c r="G145" s="29" t="s">
        <v>306</v>
      </c>
      <c r="H145" s="14">
        <v>43524</v>
      </c>
      <c r="I145" s="4" t="s">
        <v>4815</v>
      </c>
      <c r="J145" s="341"/>
      <c r="K145" s="31"/>
      <c r="L145" s="31"/>
      <c r="M145" s="31"/>
      <c r="N145" s="31"/>
      <c r="O145" s="34"/>
      <c r="P145" s="34"/>
      <c r="Q145" s="34"/>
      <c r="R145" s="34"/>
      <c r="S145" s="34"/>
    </row>
    <row r="146" spans="1:19" s="97" customFormat="1" hidden="1" x14ac:dyDescent="0.25">
      <c r="A146" s="13" t="s">
        <v>6</v>
      </c>
      <c r="B146" s="14">
        <v>43530</v>
      </c>
      <c r="C146" s="67">
        <v>105</v>
      </c>
      <c r="D146" s="13" t="s">
        <v>776</v>
      </c>
      <c r="E146" s="13" t="s">
        <v>183</v>
      </c>
      <c r="F146" s="4">
        <v>14300</v>
      </c>
      <c r="G146" s="29" t="s">
        <v>86</v>
      </c>
      <c r="H146" s="14">
        <v>43522</v>
      </c>
      <c r="I146" s="4" t="s">
        <v>4814</v>
      </c>
      <c r="J146" s="22"/>
      <c r="K146" s="22"/>
      <c r="L146" s="134"/>
    </row>
    <row r="147" spans="1:19" s="97" customFormat="1" hidden="1" x14ac:dyDescent="0.25">
      <c r="A147" s="13" t="s">
        <v>6</v>
      </c>
      <c r="B147" s="14">
        <v>43530</v>
      </c>
      <c r="C147" s="67">
        <v>106</v>
      </c>
      <c r="D147" s="13" t="s">
        <v>2050</v>
      </c>
      <c r="E147" s="13" t="s">
        <v>183</v>
      </c>
      <c r="F147" s="4">
        <v>10000</v>
      </c>
      <c r="G147" s="29" t="s">
        <v>1529</v>
      </c>
      <c r="H147" s="14">
        <v>43507</v>
      </c>
      <c r="I147" s="4" t="s">
        <v>1251</v>
      </c>
      <c r="J147" s="22" t="s">
        <v>721</v>
      </c>
      <c r="K147" s="22"/>
      <c r="L147" s="134"/>
    </row>
    <row r="148" spans="1:19" s="2" customFormat="1" ht="15" hidden="1" customHeight="1" x14ac:dyDescent="0.25">
      <c r="A148" s="13" t="s">
        <v>6</v>
      </c>
      <c r="B148" s="14">
        <v>43530</v>
      </c>
      <c r="C148" s="13">
        <v>107</v>
      </c>
      <c r="D148" s="13" t="s">
        <v>4751</v>
      </c>
      <c r="E148" s="13" t="s">
        <v>183</v>
      </c>
      <c r="F148" s="4">
        <v>12100</v>
      </c>
      <c r="G148" s="29" t="s">
        <v>3890</v>
      </c>
      <c r="H148" s="14">
        <v>43524</v>
      </c>
      <c r="I148" s="4" t="s">
        <v>1957</v>
      </c>
      <c r="J148" s="341"/>
      <c r="K148" s="31"/>
      <c r="L148" s="31"/>
      <c r="M148" s="31"/>
      <c r="N148" s="31"/>
      <c r="O148" s="34"/>
      <c r="P148" s="34"/>
      <c r="Q148" s="34"/>
      <c r="R148" s="34"/>
      <c r="S148" s="34"/>
    </row>
    <row r="149" spans="1:19" s="2" customFormat="1" ht="15" hidden="1" customHeight="1" x14ac:dyDescent="0.25">
      <c r="A149" s="13" t="s">
        <v>6</v>
      </c>
      <c r="B149" s="14">
        <v>43530</v>
      </c>
      <c r="C149" s="13">
        <v>108</v>
      </c>
      <c r="D149" s="13" t="s">
        <v>1394</v>
      </c>
      <c r="E149" s="13" t="s">
        <v>183</v>
      </c>
      <c r="F149" s="4">
        <v>18240</v>
      </c>
      <c r="G149" s="29" t="s">
        <v>306</v>
      </c>
      <c r="H149" s="14">
        <v>43525</v>
      </c>
      <c r="I149" s="4" t="s">
        <v>4812</v>
      </c>
      <c r="J149" s="341"/>
      <c r="K149" s="31"/>
      <c r="L149" s="31"/>
      <c r="M149" s="31"/>
      <c r="N149" s="31"/>
      <c r="O149" s="34"/>
      <c r="P149" s="34"/>
      <c r="Q149" s="34"/>
      <c r="R149" s="34"/>
      <c r="S149" s="34"/>
    </row>
    <row r="150" spans="1:19" s="2" customFormat="1" ht="15" hidden="1" customHeight="1" x14ac:dyDescent="0.25">
      <c r="A150" s="13" t="s">
        <v>6</v>
      </c>
      <c r="B150" s="14">
        <v>43530</v>
      </c>
      <c r="C150" s="13">
        <v>108</v>
      </c>
      <c r="D150" s="13" t="s">
        <v>1394</v>
      </c>
      <c r="E150" s="13" t="s">
        <v>183</v>
      </c>
      <c r="F150" s="4">
        <v>141840</v>
      </c>
      <c r="G150" s="29" t="s">
        <v>1155</v>
      </c>
      <c r="H150" s="14">
        <v>43525</v>
      </c>
      <c r="I150" s="4" t="s">
        <v>4813</v>
      </c>
      <c r="J150" s="341"/>
      <c r="K150" s="31"/>
      <c r="L150" s="31"/>
      <c r="M150" s="31"/>
      <c r="N150" s="31"/>
      <c r="O150" s="34"/>
      <c r="P150" s="34"/>
      <c r="Q150" s="34"/>
      <c r="R150" s="34"/>
      <c r="S150" s="34"/>
    </row>
    <row r="151" spans="1:19" s="2" customFormat="1" ht="15" hidden="1" customHeight="1" x14ac:dyDescent="0.25">
      <c r="A151" s="13" t="s">
        <v>6</v>
      </c>
      <c r="B151" s="14">
        <v>43530</v>
      </c>
      <c r="C151" s="13">
        <v>109</v>
      </c>
      <c r="D151" s="32" t="s">
        <v>1500</v>
      </c>
      <c r="E151" s="13" t="s">
        <v>183</v>
      </c>
      <c r="F151" s="4">
        <v>32040</v>
      </c>
      <c r="G151" s="29" t="s">
        <v>4607</v>
      </c>
      <c r="H151" s="14">
        <v>43518</v>
      </c>
      <c r="I151" s="4" t="s">
        <v>1916</v>
      </c>
      <c r="J151" s="341"/>
      <c r="K151" s="31"/>
      <c r="L151" s="31"/>
      <c r="M151" s="31"/>
      <c r="N151" s="31"/>
      <c r="O151" s="34"/>
      <c r="P151" s="34"/>
      <c r="Q151" s="34"/>
      <c r="R151" s="34"/>
      <c r="S151" s="34"/>
    </row>
    <row r="152" spans="1:19" s="2" customFormat="1" hidden="1" x14ac:dyDescent="0.25">
      <c r="A152" s="13" t="s">
        <v>6</v>
      </c>
      <c r="B152" s="14">
        <v>43530</v>
      </c>
      <c r="C152" s="13">
        <v>110</v>
      </c>
      <c r="D152" s="32" t="s">
        <v>94</v>
      </c>
      <c r="E152" s="13" t="s">
        <v>183</v>
      </c>
      <c r="F152" s="4">
        <v>46488.6</v>
      </c>
      <c r="G152" s="29" t="s">
        <v>4660</v>
      </c>
      <c r="H152" s="14">
        <v>43523</v>
      </c>
      <c r="I152" s="4" t="s">
        <v>4661</v>
      </c>
      <c r="J152" s="341"/>
      <c r="K152" s="31"/>
      <c r="L152" s="31"/>
      <c r="M152" s="31"/>
      <c r="N152" s="31"/>
      <c r="O152" s="34"/>
      <c r="P152" s="34"/>
      <c r="Q152" s="34"/>
      <c r="R152" s="34"/>
      <c r="S152" s="34"/>
    </row>
    <row r="153" spans="1:19" s="2" customFormat="1" hidden="1" x14ac:dyDescent="0.25">
      <c r="A153" s="13" t="s">
        <v>6</v>
      </c>
      <c r="B153" s="14">
        <v>43530</v>
      </c>
      <c r="C153" s="13">
        <v>111</v>
      </c>
      <c r="D153" s="13" t="s">
        <v>768</v>
      </c>
      <c r="E153" s="13" t="s">
        <v>183</v>
      </c>
      <c r="F153" s="4">
        <v>21400</v>
      </c>
      <c r="G153" s="29" t="s">
        <v>728</v>
      </c>
      <c r="H153" s="14">
        <v>43524</v>
      </c>
      <c r="I153" s="4" t="s">
        <v>4810</v>
      </c>
      <c r="J153" s="341"/>
      <c r="K153" s="31"/>
      <c r="L153" s="31"/>
      <c r="M153" s="31"/>
      <c r="N153" s="31"/>
      <c r="O153" s="34"/>
      <c r="P153" s="34"/>
      <c r="Q153" s="34"/>
      <c r="R153" s="34"/>
      <c r="S153" s="34"/>
    </row>
    <row r="154" spans="1:19" s="2" customFormat="1" hidden="1" x14ac:dyDescent="0.25">
      <c r="A154" s="13" t="s">
        <v>6</v>
      </c>
      <c r="B154" s="14">
        <v>43530</v>
      </c>
      <c r="C154" s="13">
        <v>112</v>
      </c>
      <c r="D154" s="13" t="s">
        <v>743</v>
      </c>
      <c r="E154" s="13" t="s">
        <v>183</v>
      </c>
      <c r="F154" s="4">
        <v>30125</v>
      </c>
      <c r="G154" s="29" t="s">
        <v>4650</v>
      </c>
      <c r="H154" s="14">
        <v>43515</v>
      </c>
      <c r="I154" s="4" t="s">
        <v>4649</v>
      </c>
      <c r="J154" s="341"/>
      <c r="K154" s="31"/>
      <c r="L154" s="31"/>
      <c r="M154" s="31"/>
      <c r="N154" s="31"/>
      <c r="O154" s="34"/>
      <c r="P154" s="34"/>
      <c r="Q154" s="34"/>
      <c r="R154" s="34"/>
      <c r="S154" s="34"/>
    </row>
    <row r="155" spans="1:19" s="2" customFormat="1" ht="15" hidden="1" customHeight="1" x14ac:dyDescent="0.25">
      <c r="A155" s="13" t="s">
        <v>6</v>
      </c>
      <c r="B155" s="14">
        <v>43530</v>
      </c>
      <c r="C155" s="13">
        <v>113</v>
      </c>
      <c r="D155" s="32" t="s">
        <v>841</v>
      </c>
      <c r="E155" s="13" t="s">
        <v>183</v>
      </c>
      <c r="F155" s="4">
        <v>58750</v>
      </c>
      <c r="G155" s="29" t="s">
        <v>4750</v>
      </c>
      <c r="H155" s="14">
        <v>43482</v>
      </c>
      <c r="I155" s="4" t="s">
        <v>263</v>
      </c>
      <c r="J155" s="341"/>
      <c r="K155" s="31"/>
      <c r="L155" s="31"/>
      <c r="M155" s="31"/>
      <c r="N155" s="31"/>
      <c r="O155" s="34"/>
      <c r="P155" s="34"/>
      <c r="Q155" s="34"/>
      <c r="R155" s="34"/>
      <c r="S155" s="34"/>
    </row>
    <row r="156" spans="1:19" s="2" customFormat="1" ht="15" hidden="1" customHeight="1" x14ac:dyDescent="0.25">
      <c r="A156" s="13" t="s">
        <v>6</v>
      </c>
      <c r="B156" s="14">
        <v>43530</v>
      </c>
      <c r="C156" s="13">
        <v>114</v>
      </c>
      <c r="D156" s="32" t="s">
        <v>1228</v>
      </c>
      <c r="E156" s="13" t="s">
        <v>183</v>
      </c>
      <c r="F156" s="4">
        <v>69000</v>
      </c>
      <c r="G156" s="29" t="s">
        <v>3592</v>
      </c>
      <c r="H156" s="14">
        <v>43523</v>
      </c>
      <c r="I156" s="4" t="s">
        <v>4659</v>
      </c>
      <c r="J156" s="341"/>
      <c r="K156" s="31"/>
      <c r="L156" s="31"/>
      <c r="M156" s="31"/>
      <c r="N156" s="31"/>
      <c r="O156" s="34"/>
      <c r="P156" s="34"/>
      <c r="Q156" s="34"/>
      <c r="R156" s="34"/>
      <c r="S156" s="34"/>
    </row>
    <row r="157" spans="1:19" s="2" customFormat="1" ht="15" hidden="1" customHeight="1" x14ac:dyDescent="0.25">
      <c r="A157" s="61" t="s">
        <v>6</v>
      </c>
      <c r="B157" s="14">
        <v>43530</v>
      </c>
      <c r="C157" s="13">
        <v>115</v>
      </c>
      <c r="D157" s="13" t="s">
        <v>887</v>
      </c>
      <c r="E157" s="13" t="s">
        <v>183</v>
      </c>
      <c r="F157" s="4">
        <v>3300</v>
      </c>
      <c r="G157" s="29" t="s">
        <v>1239</v>
      </c>
      <c r="H157" s="14">
        <v>43529</v>
      </c>
      <c r="I157" s="4" t="s">
        <v>4811</v>
      </c>
      <c r="J157" s="341"/>
      <c r="K157" s="31"/>
      <c r="L157" s="31"/>
      <c r="M157" s="31"/>
      <c r="N157" s="31"/>
      <c r="O157" s="34"/>
      <c r="P157" s="34"/>
      <c r="Q157" s="34"/>
      <c r="R157" s="34"/>
      <c r="S157" s="34"/>
    </row>
    <row r="158" spans="1:19" s="2" customFormat="1" ht="15" hidden="1" customHeight="1" x14ac:dyDescent="0.25">
      <c r="A158" s="61" t="s">
        <v>6</v>
      </c>
      <c r="B158" s="14">
        <v>43530</v>
      </c>
      <c r="C158" s="13">
        <v>115</v>
      </c>
      <c r="D158" s="13" t="s">
        <v>887</v>
      </c>
      <c r="E158" s="13" t="s">
        <v>183</v>
      </c>
      <c r="F158" s="4">
        <v>7500</v>
      </c>
      <c r="G158" s="29" t="s">
        <v>2002</v>
      </c>
      <c r="H158" s="14">
        <v>43529</v>
      </c>
      <c r="I158" s="4" t="s">
        <v>4169</v>
      </c>
      <c r="J158" s="341"/>
      <c r="K158" s="31"/>
      <c r="L158" s="31"/>
      <c r="M158" s="31"/>
      <c r="N158" s="31"/>
      <c r="O158" s="34"/>
      <c r="P158" s="34"/>
      <c r="Q158" s="34"/>
      <c r="R158" s="34"/>
      <c r="S158" s="34"/>
    </row>
    <row r="159" spans="1:19" hidden="1" x14ac:dyDescent="0.25">
      <c r="A159" s="68" t="s">
        <v>261</v>
      </c>
      <c r="B159" s="14">
        <v>43530</v>
      </c>
      <c r="C159" s="13">
        <v>416</v>
      </c>
      <c r="D159" s="32" t="s">
        <v>157</v>
      </c>
      <c r="E159" s="32" t="s">
        <v>808</v>
      </c>
      <c r="F159" s="4">
        <f>10692.82+65998.42+0.05</f>
        <v>76691.289999999994</v>
      </c>
      <c r="G159" s="29" t="s">
        <v>4809</v>
      </c>
      <c r="H159" s="14">
        <v>43159</v>
      </c>
      <c r="I159" s="41" t="s">
        <v>899</v>
      </c>
      <c r="J159" s="76"/>
      <c r="K159" s="228"/>
    </row>
    <row r="160" spans="1:19" ht="13.95" hidden="1" customHeight="1" x14ac:dyDescent="0.25">
      <c r="A160" s="13" t="s">
        <v>91</v>
      </c>
      <c r="B160" s="14">
        <v>43530</v>
      </c>
      <c r="C160" s="13">
        <v>416</v>
      </c>
      <c r="D160" s="32" t="s">
        <v>194</v>
      </c>
      <c r="E160" s="32" t="s">
        <v>62</v>
      </c>
      <c r="F160" s="4">
        <v>5000000</v>
      </c>
      <c r="G160" s="69" t="s">
        <v>601</v>
      </c>
      <c r="H160" s="14"/>
      <c r="I160" s="41" t="s">
        <v>202</v>
      </c>
      <c r="J160" s="21"/>
      <c r="K160" s="228"/>
    </row>
    <row r="161" spans="1:12" hidden="1" x14ac:dyDescent="0.25">
      <c r="A161" s="61" t="s">
        <v>460</v>
      </c>
      <c r="B161" s="14">
        <v>43530</v>
      </c>
      <c r="C161" s="13">
        <v>184</v>
      </c>
      <c r="D161" s="32" t="s">
        <v>3502</v>
      </c>
      <c r="E161" s="32" t="s">
        <v>144</v>
      </c>
      <c r="F161" s="4">
        <v>1098000</v>
      </c>
      <c r="G161" s="86" t="s">
        <v>3503</v>
      </c>
      <c r="H161" s="14">
        <v>43480</v>
      </c>
      <c r="I161" s="326"/>
      <c r="K161" s="62"/>
    </row>
    <row r="162" spans="1:12" hidden="1" x14ac:dyDescent="0.25">
      <c r="A162" s="13" t="s">
        <v>184</v>
      </c>
      <c r="B162" s="14">
        <v>43530</v>
      </c>
      <c r="C162" s="13">
        <v>185</v>
      </c>
      <c r="D162" s="13" t="s">
        <v>781</v>
      </c>
      <c r="E162" s="13" t="s">
        <v>144</v>
      </c>
      <c r="F162" s="37">
        <v>16000</v>
      </c>
      <c r="G162" s="29" t="s">
        <v>111</v>
      </c>
      <c r="H162" s="14">
        <v>43522</v>
      </c>
      <c r="I162" s="4" t="s">
        <v>782</v>
      </c>
      <c r="J162" s="128" t="s">
        <v>366</v>
      </c>
    </row>
    <row r="163" spans="1:12" hidden="1" x14ac:dyDescent="0.25">
      <c r="A163" s="13" t="s">
        <v>184</v>
      </c>
      <c r="B163" s="14">
        <v>43530</v>
      </c>
      <c r="C163" s="13">
        <v>185</v>
      </c>
      <c r="D163" s="13" t="s">
        <v>781</v>
      </c>
      <c r="E163" s="13" t="s">
        <v>144</v>
      </c>
      <c r="F163" s="37">
        <v>24000</v>
      </c>
      <c r="G163" s="29" t="s">
        <v>3143</v>
      </c>
      <c r="H163" s="14">
        <v>43522</v>
      </c>
      <c r="I163" s="4" t="s">
        <v>934</v>
      </c>
      <c r="J163" s="128" t="s">
        <v>366</v>
      </c>
    </row>
    <row r="164" spans="1:12" s="192" customFormat="1" ht="14.25" hidden="1" customHeight="1" x14ac:dyDescent="0.25">
      <c r="A164" s="147" t="s">
        <v>242</v>
      </c>
      <c r="B164" s="14">
        <v>43530</v>
      </c>
      <c r="C164" s="195">
        <v>188</v>
      </c>
      <c r="D164" s="149" t="s">
        <v>784</v>
      </c>
      <c r="E164" s="147" t="s">
        <v>144</v>
      </c>
      <c r="F164" s="158">
        <v>323047.5</v>
      </c>
      <c r="G164" s="150" t="s">
        <v>3184</v>
      </c>
      <c r="H164" s="148">
        <v>43507</v>
      </c>
      <c r="I164" s="149" t="s">
        <v>143</v>
      </c>
    </row>
    <row r="165" spans="1:12" s="192" customFormat="1" hidden="1" x14ac:dyDescent="0.25">
      <c r="A165" s="147" t="s">
        <v>242</v>
      </c>
      <c r="B165" s="14">
        <v>43530</v>
      </c>
      <c r="C165" s="187">
        <v>187</v>
      </c>
      <c r="D165" s="149" t="s">
        <v>291</v>
      </c>
      <c r="E165" s="147" t="s">
        <v>144</v>
      </c>
      <c r="F165" s="158">
        <v>71092</v>
      </c>
      <c r="G165" s="150" t="s">
        <v>724</v>
      </c>
      <c r="H165" s="148">
        <v>43524</v>
      </c>
      <c r="I165" s="149" t="s">
        <v>143</v>
      </c>
      <c r="J165" s="193"/>
      <c r="K165" s="194"/>
      <c r="L165" s="190"/>
    </row>
    <row r="166" spans="1:12" s="192" customFormat="1" hidden="1" x14ac:dyDescent="0.25">
      <c r="A166" s="147" t="s">
        <v>242</v>
      </c>
      <c r="B166" s="14">
        <v>43530</v>
      </c>
      <c r="C166" s="187">
        <v>187</v>
      </c>
      <c r="D166" s="149" t="s">
        <v>291</v>
      </c>
      <c r="E166" s="147" t="s">
        <v>144</v>
      </c>
      <c r="F166" s="158">
        <v>71184.960000000006</v>
      </c>
      <c r="G166" s="150" t="s">
        <v>299</v>
      </c>
      <c r="H166" s="148">
        <v>43524</v>
      </c>
      <c r="I166" s="149" t="s">
        <v>143</v>
      </c>
      <c r="J166" s="193"/>
      <c r="K166" s="194"/>
      <c r="L166" s="190"/>
    </row>
    <row r="167" spans="1:12" s="192" customFormat="1" hidden="1" x14ac:dyDescent="0.25">
      <c r="A167" s="147" t="s">
        <v>242</v>
      </c>
      <c r="B167" s="14">
        <v>43530</v>
      </c>
      <c r="C167" s="187">
        <v>186</v>
      </c>
      <c r="D167" s="149" t="s">
        <v>291</v>
      </c>
      <c r="E167" s="147" t="s">
        <v>144</v>
      </c>
      <c r="F167" s="158">
        <v>136008</v>
      </c>
      <c r="G167" s="150" t="s">
        <v>4</v>
      </c>
      <c r="H167" s="148">
        <v>43524</v>
      </c>
      <c r="I167" s="149" t="s">
        <v>143</v>
      </c>
      <c r="J167" s="193"/>
      <c r="K167" s="194"/>
      <c r="L167" s="190"/>
    </row>
    <row r="168" spans="1:12" s="192" customFormat="1" hidden="1" x14ac:dyDescent="0.25">
      <c r="A168" s="147" t="s">
        <v>242</v>
      </c>
      <c r="B168" s="14">
        <v>43530</v>
      </c>
      <c r="C168" s="187">
        <v>186</v>
      </c>
      <c r="D168" s="149" t="s">
        <v>291</v>
      </c>
      <c r="E168" s="147" t="s">
        <v>144</v>
      </c>
      <c r="F168" s="158">
        <v>88605.04</v>
      </c>
      <c r="G168" s="150" t="s">
        <v>302</v>
      </c>
      <c r="H168" s="148">
        <v>43524</v>
      </c>
      <c r="I168" s="149" t="s">
        <v>143</v>
      </c>
      <c r="J168" s="193"/>
      <c r="K168" s="194"/>
      <c r="L168" s="190"/>
    </row>
    <row r="169" spans="1:12" s="192" customFormat="1" hidden="1" x14ac:dyDescent="0.25">
      <c r="A169" s="147" t="s">
        <v>242</v>
      </c>
      <c r="B169" s="14">
        <v>43530</v>
      </c>
      <c r="C169" s="187">
        <v>186</v>
      </c>
      <c r="D169" s="149" t="s">
        <v>291</v>
      </c>
      <c r="E169" s="147" t="s">
        <v>144</v>
      </c>
      <c r="F169" s="158">
        <v>58086.400000000001</v>
      </c>
      <c r="G169" s="150" t="s">
        <v>196</v>
      </c>
      <c r="H169" s="148">
        <v>43524</v>
      </c>
      <c r="I169" s="149" t="s">
        <v>143</v>
      </c>
      <c r="J169" s="193"/>
      <c r="K169" s="194"/>
      <c r="L169" s="190"/>
    </row>
    <row r="170" spans="1:12" hidden="1" x14ac:dyDescent="0.25">
      <c r="A170" s="13" t="s">
        <v>184</v>
      </c>
      <c r="B170" s="14">
        <v>43530</v>
      </c>
      <c r="C170" s="13">
        <v>270</v>
      </c>
      <c r="D170" s="13" t="s">
        <v>394</v>
      </c>
      <c r="E170" s="32" t="s">
        <v>1121</v>
      </c>
      <c r="F170" s="4">
        <v>6900</v>
      </c>
      <c r="G170" s="28" t="s">
        <v>4820</v>
      </c>
      <c r="H170" s="14">
        <v>43459</v>
      </c>
      <c r="I170" s="4" t="s">
        <v>4821</v>
      </c>
      <c r="J170" s="76" t="s">
        <v>323</v>
      </c>
    </row>
    <row r="171" spans="1:12" hidden="1" x14ac:dyDescent="0.25">
      <c r="A171" s="13" t="s">
        <v>184</v>
      </c>
      <c r="B171" s="14">
        <v>43530</v>
      </c>
      <c r="C171" s="13">
        <v>271</v>
      </c>
      <c r="D171" s="32" t="s">
        <v>747</v>
      </c>
      <c r="E171" s="32" t="s">
        <v>1121</v>
      </c>
      <c r="F171" s="4">
        <v>1013342</v>
      </c>
      <c r="G171" s="28" t="s">
        <v>4822</v>
      </c>
      <c r="H171" s="14">
        <v>43517</v>
      </c>
      <c r="I171" s="4" t="s">
        <v>770</v>
      </c>
      <c r="J171" s="76" t="s">
        <v>366</v>
      </c>
    </row>
    <row r="172" spans="1:12" hidden="1" x14ac:dyDescent="0.25">
      <c r="A172" s="13" t="s">
        <v>184</v>
      </c>
      <c r="B172" s="14">
        <v>43530</v>
      </c>
      <c r="C172" s="13">
        <v>272</v>
      </c>
      <c r="D172" s="13" t="s">
        <v>348</v>
      </c>
      <c r="E172" s="32" t="s">
        <v>1121</v>
      </c>
      <c r="F172" s="4">
        <v>478800</v>
      </c>
      <c r="G172" s="28" t="s">
        <v>132</v>
      </c>
      <c r="H172" s="14">
        <v>43516</v>
      </c>
      <c r="I172" s="4" t="s">
        <v>4823</v>
      </c>
      <c r="J172" s="76" t="s">
        <v>4824</v>
      </c>
    </row>
    <row r="173" spans="1:12" hidden="1" x14ac:dyDescent="0.25">
      <c r="A173" s="32" t="s">
        <v>151</v>
      </c>
      <c r="B173" s="14">
        <v>43530</v>
      </c>
      <c r="C173" s="13">
        <v>273</v>
      </c>
      <c r="D173" s="32" t="s">
        <v>3055</v>
      </c>
      <c r="E173" s="32" t="s">
        <v>1121</v>
      </c>
      <c r="F173" s="4">
        <v>18000</v>
      </c>
      <c r="G173" s="13">
        <v>1843229</v>
      </c>
      <c r="H173" s="14">
        <v>43528</v>
      </c>
      <c r="I173" s="14" t="s">
        <v>3060</v>
      </c>
      <c r="J173" s="170"/>
      <c r="K173" s="167"/>
      <c r="L173" s="35"/>
    </row>
    <row r="174" spans="1:12" s="129" customFormat="1" hidden="1" x14ac:dyDescent="0.25">
      <c r="A174" s="13" t="s">
        <v>151</v>
      </c>
      <c r="B174" s="14">
        <v>43530</v>
      </c>
      <c r="C174" s="28" t="s">
        <v>1313</v>
      </c>
      <c r="D174" s="13" t="s">
        <v>372</v>
      </c>
      <c r="E174" s="13" t="s">
        <v>22</v>
      </c>
      <c r="F174" s="37">
        <f>330327.63-150000</f>
        <v>180327.63</v>
      </c>
      <c r="G174" s="28" t="s">
        <v>4616</v>
      </c>
      <c r="H174" s="14">
        <v>43522</v>
      </c>
      <c r="I174" s="4" t="s">
        <v>836</v>
      </c>
      <c r="J174" s="133" t="s">
        <v>2030</v>
      </c>
      <c r="K174" s="275"/>
    </row>
    <row r="175" spans="1:12" ht="27.6" hidden="1" x14ac:dyDescent="0.25">
      <c r="A175" s="68" t="s">
        <v>4493</v>
      </c>
      <c r="B175" s="14">
        <v>43530</v>
      </c>
      <c r="C175" s="13">
        <v>453</v>
      </c>
      <c r="D175" s="32" t="s">
        <v>4494</v>
      </c>
      <c r="E175" s="32" t="s">
        <v>1427</v>
      </c>
      <c r="F175" s="4">
        <f>400000-200000</f>
        <v>200000</v>
      </c>
      <c r="G175" s="210" t="s">
        <v>2819</v>
      </c>
      <c r="H175" s="211">
        <v>43524</v>
      </c>
      <c r="I175" s="208" t="s">
        <v>4495</v>
      </c>
      <c r="J175" s="21"/>
      <c r="K175" s="228"/>
    </row>
    <row r="176" spans="1:12" ht="27.6" hidden="1" x14ac:dyDescent="0.25">
      <c r="A176" s="13" t="s">
        <v>55</v>
      </c>
      <c r="B176" s="14">
        <v>43530</v>
      </c>
      <c r="C176" s="13">
        <v>454</v>
      </c>
      <c r="D176" s="32" t="s">
        <v>285</v>
      </c>
      <c r="E176" s="32" t="s">
        <v>1427</v>
      </c>
      <c r="F176" s="4">
        <v>5000000</v>
      </c>
      <c r="G176" s="69" t="s">
        <v>954</v>
      </c>
      <c r="H176" s="14"/>
      <c r="I176" s="41" t="s">
        <v>955</v>
      </c>
      <c r="K176" s="62"/>
    </row>
    <row r="177" spans="1:19" ht="27.6" hidden="1" x14ac:dyDescent="0.25">
      <c r="A177" s="32" t="s">
        <v>90</v>
      </c>
      <c r="B177" s="14">
        <v>43530</v>
      </c>
      <c r="C177" s="67">
        <v>183</v>
      </c>
      <c r="D177" s="32" t="s">
        <v>373</v>
      </c>
      <c r="E177" s="32" t="s">
        <v>1335</v>
      </c>
      <c r="F177" s="4">
        <v>1319203.25</v>
      </c>
      <c r="G177" s="28" t="s">
        <v>2143</v>
      </c>
      <c r="H177" s="14"/>
      <c r="I177" s="4" t="s">
        <v>362</v>
      </c>
      <c r="J177" s="166" t="s">
        <v>239</v>
      </c>
      <c r="K177" s="167"/>
      <c r="L177" s="35"/>
    </row>
    <row r="178" spans="1:19" ht="13.95" hidden="1" customHeight="1" x14ac:dyDescent="0.25">
      <c r="A178" s="68" t="s">
        <v>638</v>
      </c>
      <c r="B178" s="14">
        <v>43530</v>
      </c>
      <c r="C178" s="67">
        <v>240</v>
      </c>
      <c r="D178" s="32" t="s">
        <v>595</v>
      </c>
      <c r="E178" s="32" t="s">
        <v>547</v>
      </c>
      <c r="F178" s="4">
        <v>500000</v>
      </c>
      <c r="G178" s="28" t="s">
        <v>84</v>
      </c>
      <c r="H178" s="14">
        <v>43496</v>
      </c>
      <c r="I178" s="41" t="s">
        <v>949</v>
      </c>
      <c r="J178" s="166" t="s">
        <v>239</v>
      </c>
      <c r="K178" s="167"/>
      <c r="L178" s="35"/>
    </row>
    <row r="179" spans="1:19" ht="15" hidden="1" customHeight="1" x14ac:dyDescent="0.25">
      <c r="A179" s="68" t="s">
        <v>206</v>
      </c>
      <c r="B179" s="14">
        <v>43530</v>
      </c>
      <c r="C179" s="13">
        <v>50</v>
      </c>
      <c r="D179" s="32" t="s">
        <v>281</v>
      </c>
      <c r="E179" s="32" t="s">
        <v>178</v>
      </c>
      <c r="F179" s="4">
        <v>17838</v>
      </c>
      <c r="G179" s="29" t="s">
        <v>4186</v>
      </c>
      <c r="H179" s="14">
        <v>43508</v>
      </c>
      <c r="I179" s="41" t="s">
        <v>852</v>
      </c>
      <c r="J179" s="35" t="s">
        <v>366</v>
      </c>
      <c r="K179" s="35"/>
      <c r="L179" s="35"/>
    </row>
    <row r="180" spans="1:19" ht="15" hidden="1" customHeight="1" x14ac:dyDescent="0.25">
      <c r="A180" s="68" t="s">
        <v>455</v>
      </c>
      <c r="B180" s="14">
        <v>43530</v>
      </c>
      <c r="C180" s="13">
        <v>185</v>
      </c>
      <c r="D180" s="32" t="s">
        <v>281</v>
      </c>
      <c r="E180" s="32" t="s">
        <v>440</v>
      </c>
      <c r="F180" s="4">
        <v>6441.72</v>
      </c>
      <c r="G180" s="29" t="s">
        <v>4217</v>
      </c>
      <c r="H180" s="14">
        <v>43287</v>
      </c>
      <c r="I180" s="41" t="s">
        <v>1747</v>
      </c>
      <c r="J180" s="35"/>
      <c r="K180" s="35"/>
      <c r="L180" s="35"/>
    </row>
    <row r="181" spans="1:19" ht="15" hidden="1" customHeight="1" x14ac:dyDescent="0.25">
      <c r="A181" s="68" t="s">
        <v>455</v>
      </c>
      <c r="B181" s="14">
        <v>43530</v>
      </c>
      <c r="C181" s="13">
        <v>184</v>
      </c>
      <c r="D181" s="32" t="s">
        <v>281</v>
      </c>
      <c r="E181" s="32" t="s">
        <v>440</v>
      </c>
      <c r="F181" s="4">
        <v>314758</v>
      </c>
      <c r="G181" s="29" t="s">
        <v>4182</v>
      </c>
      <c r="H181" s="14">
        <v>43509</v>
      </c>
      <c r="I181" s="41" t="s">
        <v>852</v>
      </c>
      <c r="J181" s="35" t="s">
        <v>366</v>
      </c>
      <c r="K181" s="35"/>
      <c r="L181" s="35"/>
    </row>
    <row r="182" spans="1:19" ht="15" hidden="1" customHeight="1" x14ac:dyDescent="0.25">
      <c r="A182" s="32" t="s">
        <v>310</v>
      </c>
      <c r="B182" s="14">
        <v>43530</v>
      </c>
      <c r="C182" s="13">
        <v>79</v>
      </c>
      <c r="D182" s="32" t="s">
        <v>281</v>
      </c>
      <c r="E182" s="32" t="s">
        <v>314</v>
      </c>
      <c r="F182" s="4">
        <v>4621.07</v>
      </c>
      <c r="G182" s="29" t="s">
        <v>4216</v>
      </c>
      <c r="H182" s="14">
        <v>43287</v>
      </c>
      <c r="I182" s="41" t="s">
        <v>1747</v>
      </c>
      <c r="J182" s="35"/>
      <c r="K182" s="35"/>
      <c r="L182" s="35"/>
    </row>
    <row r="183" spans="1:19" ht="15" hidden="1" customHeight="1" x14ac:dyDescent="0.25">
      <c r="A183" s="68" t="s">
        <v>310</v>
      </c>
      <c r="B183" s="14">
        <v>43530</v>
      </c>
      <c r="C183" s="13">
        <v>78</v>
      </c>
      <c r="D183" s="32" t="s">
        <v>281</v>
      </c>
      <c r="E183" s="32" t="s">
        <v>314</v>
      </c>
      <c r="F183" s="4">
        <v>298183</v>
      </c>
      <c r="G183" s="29" t="s">
        <v>4192</v>
      </c>
      <c r="H183" s="14">
        <v>43508</v>
      </c>
      <c r="I183" s="41" t="s">
        <v>852</v>
      </c>
      <c r="J183" s="35" t="s">
        <v>366</v>
      </c>
      <c r="K183" s="35"/>
      <c r="L183" s="35"/>
    </row>
    <row r="184" spans="1:19" s="115" customFormat="1" ht="15.6" hidden="1" x14ac:dyDescent="0.25">
      <c r="A184" s="13" t="s">
        <v>442</v>
      </c>
      <c r="B184" s="14">
        <v>43530</v>
      </c>
      <c r="C184" s="13">
        <v>290</v>
      </c>
      <c r="D184" s="13" t="s">
        <v>873</v>
      </c>
      <c r="E184" s="13" t="s">
        <v>494</v>
      </c>
      <c r="F184" s="37">
        <v>974008.84</v>
      </c>
      <c r="G184" s="13" t="s">
        <v>874</v>
      </c>
      <c r="H184" s="126">
        <v>43413</v>
      </c>
      <c r="I184" s="29" t="s">
        <v>875</v>
      </c>
      <c r="K184" s="116"/>
      <c r="L184" s="116"/>
      <c r="M184" s="116"/>
      <c r="N184" s="116"/>
      <c r="O184" s="117"/>
      <c r="P184" s="117"/>
      <c r="Q184" s="117"/>
      <c r="R184" s="117"/>
      <c r="S184" s="117"/>
    </row>
    <row r="185" spans="1:19" s="192" customFormat="1" ht="14.85" hidden="1" customHeight="1" x14ac:dyDescent="0.25">
      <c r="A185" s="147" t="s">
        <v>242</v>
      </c>
      <c r="B185" s="164">
        <v>43530</v>
      </c>
      <c r="C185" s="195">
        <v>620</v>
      </c>
      <c r="D185" s="149" t="s">
        <v>840</v>
      </c>
      <c r="E185" s="147" t="s">
        <v>140</v>
      </c>
      <c r="F185" s="158">
        <v>407722.32</v>
      </c>
      <c r="G185" s="150" t="s">
        <v>4740</v>
      </c>
      <c r="H185" s="148">
        <v>43516</v>
      </c>
      <c r="I185" s="149" t="s">
        <v>143</v>
      </c>
      <c r="J185" s="193"/>
      <c r="K185" s="194"/>
      <c r="L185" s="190"/>
    </row>
    <row r="186" spans="1:19" s="192" customFormat="1" ht="14.85" hidden="1" customHeight="1" x14ac:dyDescent="0.25">
      <c r="A186" s="147" t="s">
        <v>242</v>
      </c>
      <c r="B186" s="164">
        <v>43530</v>
      </c>
      <c r="C186" s="195">
        <v>620</v>
      </c>
      <c r="D186" s="149" t="s">
        <v>840</v>
      </c>
      <c r="E186" s="147" t="s">
        <v>140</v>
      </c>
      <c r="F186" s="158">
        <v>482083.92</v>
      </c>
      <c r="G186" s="150" t="s">
        <v>4739</v>
      </c>
      <c r="H186" s="148">
        <v>43516</v>
      </c>
      <c r="I186" s="149" t="s">
        <v>143</v>
      </c>
      <c r="J186" s="193"/>
      <c r="K186" s="194"/>
      <c r="L186" s="190"/>
    </row>
    <row r="187" spans="1:19" s="192" customFormat="1" ht="14.85" hidden="1" customHeight="1" x14ac:dyDescent="0.25">
      <c r="A187" s="147" t="s">
        <v>242</v>
      </c>
      <c r="B187" s="164">
        <v>43530</v>
      </c>
      <c r="C187" s="195">
        <v>620</v>
      </c>
      <c r="D187" s="149" t="s">
        <v>840</v>
      </c>
      <c r="E187" s="147" t="s">
        <v>140</v>
      </c>
      <c r="F187" s="158">
        <v>354746.6</v>
      </c>
      <c r="G187" s="150" t="s">
        <v>4736</v>
      </c>
      <c r="H187" s="148">
        <v>43516</v>
      </c>
      <c r="I187" s="149" t="s">
        <v>143</v>
      </c>
      <c r="J187" s="193"/>
      <c r="K187" s="194"/>
      <c r="L187" s="190"/>
    </row>
    <row r="188" spans="1:19" s="192" customFormat="1" hidden="1" x14ac:dyDescent="0.25">
      <c r="A188" s="147" t="s">
        <v>242</v>
      </c>
      <c r="B188" s="164">
        <v>43530</v>
      </c>
      <c r="C188" s="195">
        <v>621</v>
      </c>
      <c r="D188" s="233" t="s">
        <v>784</v>
      </c>
      <c r="E188" s="147" t="s">
        <v>140</v>
      </c>
      <c r="F188" s="158">
        <v>212656</v>
      </c>
      <c r="G188" s="150" t="s">
        <v>3236</v>
      </c>
      <c r="H188" s="148">
        <v>43524</v>
      </c>
      <c r="I188" s="233" t="s">
        <v>143</v>
      </c>
      <c r="J188" s="193"/>
      <c r="K188" s="194"/>
      <c r="L188" s="190"/>
    </row>
    <row r="189" spans="1:19" s="192" customFormat="1" hidden="1" x14ac:dyDescent="0.25">
      <c r="A189" s="147" t="s">
        <v>242</v>
      </c>
      <c r="B189" s="164">
        <v>43530</v>
      </c>
      <c r="C189" s="187">
        <v>622</v>
      </c>
      <c r="D189" s="149" t="s">
        <v>291</v>
      </c>
      <c r="E189" s="147" t="s">
        <v>140</v>
      </c>
      <c r="F189" s="158">
        <v>82400.399999999994</v>
      </c>
      <c r="G189" s="150" t="s">
        <v>2963</v>
      </c>
      <c r="H189" s="148">
        <v>43524</v>
      </c>
      <c r="I189" s="149" t="s">
        <v>143</v>
      </c>
      <c r="J189" s="193"/>
      <c r="K189" s="194"/>
      <c r="L189" s="190"/>
    </row>
    <row r="190" spans="1:19" s="192" customFormat="1" hidden="1" x14ac:dyDescent="0.25">
      <c r="A190" s="147" t="s">
        <v>242</v>
      </c>
      <c r="B190" s="164">
        <v>43530</v>
      </c>
      <c r="C190" s="187">
        <v>622</v>
      </c>
      <c r="D190" s="149" t="s">
        <v>291</v>
      </c>
      <c r="E190" s="147" t="s">
        <v>140</v>
      </c>
      <c r="F190" s="158">
        <v>115901.28</v>
      </c>
      <c r="G190" s="150" t="s">
        <v>2961</v>
      </c>
      <c r="H190" s="148">
        <v>43524</v>
      </c>
      <c r="I190" s="149" t="s">
        <v>143</v>
      </c>
      <c r="J190" s="193"/>
      <c r="K190" s="194"/>
      <c r="L190" s="190"/>
    </row>
    <row r="191" spans="1:19" s="192" customFormat="1" hidden="1" x14ac:dyDescent="0.25">
      <c r="A191" s="147" t="s">
        <v>242</v>
      </c>
      <c r="B191" s="164">
        <v>43530</v>
      </c>
      <c r="C191" s="187">
        <v>622</v>
      </c>
      <c r="D191" s="149" t="s">
        <v>291</v>
      </c>
      <c r="E191" s="147" t="s">
        <v>140</v>
      </c>
      <c r="F191" s="158">
        <v>91840</v>
      </c>
      <c r="G191" s="150" t="s">
        <v>2955</v>
      </c>
      <c r="H191" s="148">
        <v>43524</v>
      </c>
      <c r="I191" s="149" t="s">
        <v>143</v>
      </c>
      <c r="J191" s="193"/>
      <c r="K191" s="194"/>
      <c r="L191" s="190"/>
    </row>
    <row r="192" spans="1:19" ht="13.95" hidden="1" customHeight="1" x14ac:dyDescent="0.25">
      <c r="A192" s="68" t="s">
        <v>1637</v>
      </c>
      <c r="B192" s="14">
        <v>43530</v>
      </c>
      <c r="C192" s="13">
        <v>422</v>
      </c>
      <c r="D192" s="32" t="s">
        <v>1644</v>
      </c>
      <c r="E192" s="32" t="s">
        <v>62</v>
      </c>
      <c r="F192" s="4">
        <v>5000000</v>
      </c>
      <c r="G192" s="86" t="s">
        <v>4252</v>
      </c>
      <c r="H192" s="211"/>
      <c r="I192" s="84" t="s">
        <v>23</v>
      </c>
      <c r="J192" s="21"/>
      <c r="K192" s="228"/>
    </row>
    <row r="193" spans="1:19" ht="13.95" hidden="1" customHeight="1" x14ac:dyDescent="0.25">
      <c r="A193" s="32" t="s">
        <v>1285</v>
      </c>
      <c r="B193" s="14">
        <v>43530</v>
      </c>
      <c r="C193" s="13">
        <v>423</v>
      </c>
      <c r="D193" s="32" t="s">
        <v>1800</v>
      </c>
      <c r="E193" s="32" t="s">
        <v>62</v>
      </c>
      <c r="F193" s="4">
        <v>5000000</v>
      </c>
      <c r="G193" s="86" t="s">
        <v>816</v>
      </c>
      <c r="H193" s="211"/>
      <c r="I193" s="208" t="s">
        <v>361</v>
      </c>
      <c r="J193" s="21"/>
      <c r="K193" s="228"/>
    </row>
    <row r="194" spans="1:19" ht="13.95" hidden="1" customHeight="1" x14ac:dyDescent="0.25">
      <c r="A194" s="32" t="s">
        <v>668</v>
      </c>
      <c r="B194" s="14">
        <v>43530</v>
      </c>
      <c r="C194" s="13" t="s">
        <v>4829</v>
      </c>
      <c r="D194" s="13" t="s">
        <v>513</v>
      </c>
      <c r="E194" s="32" t="s">
        <v>62</v>
      </c>
      <c r="F194" s="4">
        <v>1000000</v>
      </c>
      <c r="G194" s="86" t="s">
        <v>1667</v>
      </c>
      <c r="H194" s="14"/>
      <c r="I194" s="4" t="s">
        <v>252</v>
      </c>
      <c r="J194" s="21"/>
      <c r="K194" s="228"/>
    </row>
    <row r="195" spans="1:19" ht="13.95" hidden="1" customHeight="1" x14ac:dyDescent="0.25">
      <c r="A195" s="61" t="s">
        <v>1363</v>
      </c>
      <c r="B195" s="14">
        <v>43530</v>
      </c>
      <c r="C195" s="13">
        <v>426</v>
      </c>
      <c r="D195" s="13" t="s">
        <v>632</v>
      </c>
      <c r="E195" s="32" t="s">
        <v>62</v>
      </c>
      <c r="F195" s="4">
        <v>600000</v>
      </c>
      <c r="G195" s="86" t="s">
        <v>1364</v>
      </c>
      <c r="H195" s="211"/>
      <c r="I195" s="4" t="s">
        <v>879</v>
      </c>
      <c r="J195" s="21"/>
      <c r="K195" s="228"/>
    </row>
    <row r="196" spans="1:19" hidden="1" x14ac:dyDescent="0.25">
      <c r="A196" s="32" t="s">
        <v>151</v>
      </c>
      <c r="B196" s="14">
        <v>43530</v>
      </c>
      <c r="C196" s="13">
        <v>427</v>
      </c>
      <c r="D196" s="32" t="s">
        <v>112</v>
      </c>
      <c r="E196" s="32" t="s">
        <v>62</v>
      </c>
      <c r="F196" s="4">
        <v>25600</v>
      </c>
      <c r="G196" s="13">
        <v>390</v>
      </c>
      <c r="H196" s="14">
        <v>43529</v>
      </c>
      <c r="I196" s="14" t="s">
        <v>4828</v>
      </c>
      <c r="J196" s="170"/>
      <c r="K196" s="167"/>
      <c r="L196" s="35"/>
    </row>
    <row r="197" spans="1:19" hidden="1" x14ac:dyDescent="0.25">
      <c r="A197" s="32" t="s">
        <v>151</v>
      </c>
      <c r="B197" s="14">
        <v>43530</v>
      </c>
      <c r="C197" s="67">
        <v>428</v>
      </c>
      <c r="D197" s="32" t="s">
        <v>3520</v>
      </c>
      <c r="E197" s="32" t="s">
        <v>62</v>
      </c>
      <c r="F197" s="4">
        <v>8000</v>
      </c>
      <c r="G197" s="28" t="s">
        <v>3522</v>
      </c>
      <c r="H197" s="14">
        <v>43405</v>
      </c>
      <c r="I197" s="4" t="s">
        <v>1324</v>
      </c>
      <c r="J197" s="22" t="s">
        <v>366</v>
      </c>
      <c r="K197" s="167"/>
      <c r="L197" s="35"/>
    </row>
    <row r="198" spans="1:19" hidden="1" x14ac:dyDescent="0.25">
      <c r="A198" s="32" t="s">
        <v>358</v>
      </c>
      <c r="B198" s="14">
        <v>43530</v>
      </c>
      <c r="C198" s="13">
        <v>25</v>
      </c>
      <c r="D198" s="32" t="s">
        <v>1392</v>
      </c>
      <c r="E198" s="32" t="s">
        <v>742</v>
      </c>
      <c r="F198" s="4">
        <v>5000000</v>
      </c>
      <c r="G198" s="28" t="s">
        <v>4958</v>
      </c>
      <c r="H198" s="14">
        <v>42929</v>
      </c>
      <c r="I198" s="41" t="s">
        <v>4959</v>
      </c>
      <c r="K198" s="63"/>
      <c r="L198" s="62"/>
    </row>
    <row r="199" spans="1:19" s="115" customFormat="1" ht="15.6" hidden="1" x14ac:dyDescent="0.25">
      <c r="A199" s="61" t="s">
        <v>166</v>
      </c>
      <c r="B199" s="14">
        <v>43530</v>
      </c>
      <c r="C199" s="13">
        <v>31</v>
      </c>
      <c r="D199" s="13" t="s">
        <v>3530</v>
      </c>
      <c r="E199" s="13" t="s">
        <v>76</v>
      </c>
      <c r="F199" s="4">
        <v>500000</v>
      </c>
      <c r="G199" s="29" t="s">
        <v>3965</v>
      </c>
      <c r="H199" s="14">
        <v>41177</v>
      </c>
      <c r="I199" s="41" t="s">
        <v>818</v>
      </c>
      <c r="J199" s="258"/>
      <c r="K199" s="116"/>
      <c r="L199" s="116"/>
      <c r="M199" s="116"/>
      <c r="N199" s="116"/>
      <c r="O199" s="117"/>
      <c r="P199" s="117"/>
      <c r="Q199" s="117"/>
      <c r="R199" s="117"/>
      <c r="S199" s="117"/>
    </row>
    <row r="200" spans="1:19" s="437" customFormat="1" ht="15.6" hidden="1" x14ac:dyDescent="0.25">
      <c r="A200" s="61" t="s">
        <v>651</v>
      </c>
      <c r="B200" s="14">
        <v>43530</v>
      </c>
      <c r="C200" s="13">
        <v>238</v>
      </c>
      <c r="D200" s="13" t="s">
        <v>813</v>
      </c>
      <c r="E200" s="13" t="s">
        <v>547</v>
      </c>
      <c r="F200" s="37">
        <v>6000000</v>
      </c>
      <c r="G200" s="29" t="s">
        <v>810</v>
      </c>
      <c r="H200" s="14">
        <v>42340</v>
      </c>
      <c r="I200" s="41" t="s">
        <v>1560</v>
      </c>
      <c r="J200" s="434"/>
      <c r="K200" s="435"/>
      <c r="L200" s="435"/>
      <c r="M200" s="435"/>
      <c r="N200" s="435"/>
      <c r="O200" s="436"/>
      <c r="P200" s="436"/>
      <c r="Q200" s="436"/>
      <c r="R200" s="436"/>
      <c r="S200" s="436"/>
    </row>
    <row r="201" spans="1:19" hidden="1" x14ac:dyDescent="0.25">
      <c r="A201" s="68" t="s">
        <v>151</v>
      </c>
      <c r="B201" s="14">
        <v>43530</v>
      </c>
      <c r="C201" s="13">
        <v>49</v>
      </c>
      <c r="D201" s="32" t="s">
        <v>1169</v>
      </c>
      <c r="E201" s="32" t="s">
        <v>178</v>
      </c>
      <c r="F201" s="4">
        <v>70000</v>
      </c>
      <c r="G201" s="210" t="s">
        <v>27</v>
      </c>
      <c r="H201" s="211">
        <v>43518</v>
      </c>
      <c r="I201" s="208" t="s">
        <v>4625</v>
      </c>
      <c r="J201" s="21"/>
      <c r="K201" s="228"/>
    </row>
    <row r="202" spans="1:19" s="115" customFormat="1" ht="27.6" hidden="1" x14ac:dyDescent="0.25">
      <c r="A202" s="68" t="s">
        <v>151</v>
      </c>
      <c r="B202" s="14">
        <v>43530</v>
      </c>
      <c r="C202" s="13">
        <v>182</v>
      </c>
      <c r="D202" s="32" t="s">
        <v>1169</v>
      </c>
      <c r="E202" s="13" t="s">
        <v>2021</v>
      </c>
      <c r="F202" s="37">
        <v>70000</v>
      </c>
      <c r="G202" s="210" t="s">
        <v>728</v>
      </c>
      <c r="H202" s="211">
        <v>43518</v>
      </c>
      <c r="I202" s="208" t="s">
        <v>4625</v>
      </c>
      <c r="J202" s="258"/>
      <c r="K202" s="116"/>
      <c r="L202" s="116"/>
      <c r="M202" s="116"/>
      <c r="N202" s="116"/>
      <c r="O202" s="117"/>
      <c r="P202" s="117"/>
      <c r="Q202" s="117"/>
      <c r="R202" s="117"/>
      <c r="S202" s="117"/>
    </row>
    <row r="203" spans="1:19" s="115" customFormat="1" ht="15.6" hidden="1" x14ac:dyDescent="0.25">
      <c r="A203" s="68" t="s">
        <v>151</v>
      </c>
      <c r="B203" s="14">
        <v>43530</v>
      </c>
      <c r="C203" s="13">
        <v>417</v>
      </c>
      <c r="D203" s="32" t="s">
        <v>1169</v>
      </c>
      <c r="E203" s="13" t="s">
        <v>808</v>
      </c>
      <c r="F203" s="37">
        <v>140000</v>
      </c>
      <c r="G203" s="210" t="s">
        <v>3143</v>
      </c>
      <c r="H203" s="211">
        <v>43518</v>
      </c>
      <c r="I203" s="208" t="s">
        <v>4625</v>
      </c>
      <c r="J203" s="258"/>
      <c r="K203" s="116"/>
      <c r="L203" s="116"/>
      <c r="M203" s="116"/>
      <c r="N203" s="116"/>
      <c r="O203" s="117"/>
      <c r="P203" s="117"/>
      <c r="Q203" s="117"/>
      <c r="R203" s="117"/>
      <c r="S203" s="117"/>
    </row>
    <row r="204" spans="1:19" s="115" customFormat="1" ht="15.6" hidden="1" x14ac:dyDescent="0.25">
      <c r="A204" s="68" t="s">
        <v>151</v>
      </c>
      <c r="B204" s="14">
        <v>43530</v>
      </c>
      <c r="C204" s="13">
        <v>237</v>
      </c>
      <c r="D204" s="32" t="s">
        <v>1169</v>
      </c>
      <c r="E204" s="13" t="s">
        <v>547</v>
      </c>
      <c r="F204" s="37">
        <v>70000</v>
      </c>
      <c r="G204" s="210" t="s">
        <v>459</v>
      </c>
      <c r="H204" s="211">
        <v>43518</v>
      </c>
      <c r="I204" s="208" t="s">
        <v>4625</v>
      </c>
      <c r="J204" s="258"/>
      <c r="K204" s="116"/>
      <c r="L204" s="116"/>
      <c r="M204" s="116"/>
      <c r="N204" s="116"/>
      <c r="O204" s="117"/>
      <c r="P204" s="117"/>
      <c r="Q204" s="117"/>
      <c r="R204" s="117"/>
      <c r="S204" s="117"/>
    </row>
    <row r="205" spans="1:19" s="115" customFormat="1" ht="15.6" hidden="1" x14ac:dyDescent="0.25">
      <c r="A205" s="68" t="s">
        <v>151</v>
      </c>
      <c r="B205" s="14">
        <v>43530</v>
      </c>
      <c r="C205" s="13">
        <v>77</v>
      </c>
      <c r="D205" s="32" t="s">
        <v>1169</v>
      </c>
      <c r="E205" s="13" t="s">
        <v>314</v>
      </c>
      <c r="F205" s="37">
        <v>70000</v>
      </c>
      <c r="G205" s="210" t="s">
        <v>478</v>
      </c>
      <c r="H205" s="211">
        <v>43518</v>
      </c>
      <c r="I205" s="208" t="s">
        <v>4625</v>
      </c>
      <c r="J205" s="258"/>
      <c r="K205" s="116"/>
      <c r="L205" s="116"/>
      <c r="M205" s="116"/>
      <c r="N205" s="116"/>
      <c r="O205" s="117"/>
      <c r="P205" s="117"/>
      <c r="Q205" s="117"/>
      <c r="R205" s="117"/>
      <c r="S205" s="117"/>
    </row>
    <row r="206" spans="1:19" s="115" customFormat="1" ht="15.6" hidden="1" x14ac:dyDescent="0.25">
      <c r="A206" s="68" t="s">
        <v>151</v>
      </c>
      <c r="B206" s="14">
        <v>43530</v>
      </c>
      <c r="C206" s="13">
        <v>417</v>
      </c>
      <c r="D206" s="32" t="s">
        <v>1169</v>
      </c>
      <c r="E206" s="13" t="s">
        <v>62</v>
      </c>
      <c r="F206" s="37">
        <v>140000</v>
      </c>
      <c r="G206" s="210" t="s">
        <v>3211</v>
      </c>
      <c r="H206" s="211">
        <v>43518</v>
      </c>
      <c r="I206" s="208" t="s">
        <v>4625</v>
      </c>
      <c r="J206" s="258"/>
      <c r="K206" s="116"/>
      <c r="L206" s="116"/>
      <c r="M206" s="116"/>
      <c r="N206" s="116"/>
      <c r="O206" s="117"/>
      <c r="P206" s="117"/>
      <c r="Q206" s="117"/>
      <c r="R206" s="117"/>
      <c r="S206" s="117"/>
    </row>
    <row r="207" spans="1:19" s="115" customFormat="1" ht="15.6" hidden="1" x14ac:dyDescent="0.25">
      <c r="A207" s="68" t="s">
        <v>151</v>
      </c>
      <c r="B207" s="14">
        <v>43530</v>
      </c>
      <c r="C207" s="13">
        <v>36</v>
      </c>
      <c r="D207" s="32" t="s">
        <v>1169</v>
      </c>
      <c r="E207" s="13" t="s">
        <v>4830</v>
      </c>
      <c r="F207" s="37">
        <v>60000</v>
      </c>
      <c r="G207" s="210" t="s">
        <v>26</v>
      </c>
      <c r="H207" s="211">
        <v>43518</v>
      </c>
      <c r="I207" s="208" t="s">
        <v>4625</v>
      </c>
      <c r="J207" s="258"/>
      <c r="K207" s="116"/>
      <c r="L207" s="116"/>
      <c r="M207" s="116"/>
      <c r="N207" s="116"/>
      <c r="O207" s="117"/>
      <c r="P207" s="117"/>
      <c r="Q207" s="117"/>
      <c r="R207" s="117"/>
      <c r="S207" s="117"/>
    </row>
    <row r="208" spans="1:19" s="115" customFormat="1" ht="15.6" hidden="1" x14ac:dyDescent="0.25">
      <c r="A208" s="68" t="s">
        <v>151</v>
      </c>
      <c r="B208" s="14">
        <v>43530</v>
      </c>
      <c r="C208" s="13">
        <v>30</v>
      </c>
      <c r="D208" s="32" t="s">
        <v>1169</v>
      </c>
      <c r="E208" s="13" t="s">
        <v>76</v>
      </c>
      <c r="F208" s="37">
        <v>70000</v>
      </c>
      <c r="G208" s="210" t="s">
        <v>196</v>
      </c>
      <c r="H208" s="211">
        <v>43518</v>
      </c>
      <c r="I208" s="208" t="s">
        <v>4625</v>
      </c>
      <c r="J208" s="258"/>
      <c r="K208" s="116"/>
      <c r="L208" s="116"/>
      <c r="M208" s="116"/>
      <c r="N208" s="116"/>
      <c r="O208" s="117"/>
      <c r="P208" s="117"/>
      <c r="Q208" s="117"/>
      <c r="R208" s="117"/>
      <c r="S208" s="117"/>
    </row>
    <row r="209" spans="1:12" ht="13.95" hidden="1" customHeight="1" x14ac:dyDescent="0.25">
      <c r="A209" s="68" t="s">
        <v>310</v>
      </c>
      <c r="B209" s="14">
        <v>43530</v>
      </c>
      <c r="C209" s="13">
        <v>98</v>
      </c>
      <c r="D209" s="32" t="s">
        <v>4487</v>
      </c>
      <c r="E209" s="32" t="s">
        <v>958</v>
      </c>
      <c r="F209" s="4">
        <v>20000000</v>
      </c>
      <c r="G209" s="86" t="s">
        <v>4486</v>
      </c>
      <c r="H209" s="211"/>
      <c r="I209" s="84" t="s">
        <v>273</v>
      </c>
      <c r="J209" s="21"/>
      <c r="K209" s="228"/>
    </row>
    <row r="210" spans="1:12" ht="13.95" hidden="1" customHeight="1" x14ac:dyDescent="0.25">
      <c r="A210" s="68" t="s">
        <v>310</v>
      </c>
      <c r="B210" s="14">
        <v>43530</v>
      </c>
      <c r="C210" s="13">
        <v>196</v>
      </c>
      <c r="D210" s="13" t="s">
        <v>510</v>
      </c>
      <c r="E210" s="32" t="s">
        <v>958</v>
      </c>
      <c r="F210" s="4">
        <v>5000000</v>
      </c>
      <c r="G210" s="86" t="s">
        <v>4467</v>
      </c>
      <c r="H210" s="14"/>
      <c r="I210" s="4" t="s">
        <v>237</v>
      </c>
      <c r="J210" s="71"/>
      <c r="K210" s="62"/>
      <c r="L210" s="62"/>
    </row>
    <row r="211" spans="1:12" ht="15" hidden="1" customHeight="1" x14ac:dyDescent="0.25">
      <c r="A211" s="68" t="s">
        <v>261</v>
      </c>
      <c r="B211" s="14">
        <v>43531</v>
      </c>
      <c r="C211" s="13">
        <v>455</v>
      </c>
      <c r="D211" s="32" t="s">
        <v>454</v>
      </c>
      <c r="E211" s="32" t="s">
        <v>130</v>
      </c>
      <c r="F211" s="4">
        <v>3000000</v>
      </c>
      <c r="G211" s="86" t="s">
        <v>4826</v>
      </c>
      <c r="H211" s="211">
        <v>43529</v>
      </c>
      <c r="I211" s="208" t="s">
        <v>4158</v>
      </c>
      <c r="J211" s="21"/>
      <c r="K211" s="228"/>
    </row>
    <row r="212" spans="1:12" hidden="1" x14ac:dyDescent="0.25">
      <c r="A212" s="32" t="s">
        <v>151</v>
      </c>
      <c r="B212" s="14">
        <v>43531</v>
      </c>
      <c r="C212" s="67">
        <v>426</v>
      </c>
      <c r="D212" s="32" t="s">
        <v>3520</v>
      </c>
      <c r="E212" s="32" t="s">
        <v>38</v>
      </c>
      <c r="F212" s="4">
        <v>8000</v>
      </c>
      <c r="G212" s="28" t="s">
        <v>1398</v>
      </c>
      <c r="H212" s="14">
        <v>43405</v>
      </c>
      <c r="I212" s="4" t="s">
        <v>1324</v>
      </c>
      <c r="J212" s="22" t="s">
        <v>366</v>
      </c>
      <c r="K212" s="167"/>
      <c r="L212" s="35"/>
    </row>
    <row r="213" spans="1:12" hidden="1" x14ac:dyDescent="0.25">
      <c r="A213" s="32" t="s">
        <v>151</v>
      </c>
      <c r="B213" s="14">
        <v>43531</v>
      </c>
      <c r="C213" s="13">
        <v>317</v>
      </c>
      <c r="D213" s="32" t="s">
        <v>112</v>
      </c>
      <c r="E213" s="32" t="s">
        <v>60</v>
      </c>
      <c r="F213" s="4">
        <v>33000</v>
      </c>
      <c r="G213" s="13">
        <v>384</v>
      </c>
      <c r="H213" s="14">
        <v>43529</v>
      </c>
      <c r="I213" s="14" t="s">
        <v>4827</v>
      </c>
      <c r="J213" s="170"/>
      <c r="K213" s="167"/>
      <c r="L213" s="35"/>
    </row>
    <row r="214" spans="1:12" hidden="1" x14ac:dyDescent="0.25">
      <c r="A214" s="32" t="s">
        <v>151</v>
      </c>
      <c r="B214" s="14">
        <v>43531</v>
      </c>
      <c r="C214" s="13">
        <v>318</v>
      </c>
      <c r="D214" s="32" t="s">
        <v>1678</v>
      </c>
      <c r="E214" s="32" t="s">
        <v>60</v>
      </c>
      <c r="F214" s="4">
        <v>7497.74</v>
      </c>
      <c r="G214" s="13">
        <v>330607484</v>
      </c>
      <c r="H214" s="14">
        <v>43531</v>
      </c>
      <c r="I214" s="14" t="s">
        <v>4957</v>
      </c>
      <c r="J214" s="170"/>
      <c r="K214" s="167"/>
      <c r="L214" s="35"/>
    </row>
    <row r="215" spans="1:12" ht="27.6" hidden="1" x14ac:dyDescent="0.25">
      <c r="A215" s="61" t="s">
        <v>460</v>
      </c>
      <c r="B215" s="14">
        <v>43531</v>
      </c>
      <c r="C215" s="13">
        <v>189</v>
      </c>
      <c r="D215" s="14" t="s">
        <v>3686</v>
      </c>
      <c r="E215" s="32" t="s">
        <v>144</v>
      </c>
      <c r="F215" s="4">
        <v>42075</v>
      </c>
      <c r="G215" s="86" t="s">
        <v>3687</v>
      </c>
      <c r="H215" s="211"/>
      <c r="I215" s="326"/>
      <c r="K215" s="62"/>
    </row>
    <row r="216" spans="1:12" hidden="1" x14ac:dyDescent="0.25">
      <c r="A216" s="61" t="s">
        <v>460</v>
      </c>
      <c r="B216" s="14">
        <v>43531</v>
      </c>
      <c r="C216" s="13">
        <v>190</v>
      </c>
      <c r="D216" s="14" t="s">
        <v>3688</v>
      </c>
      <c r="E216" s="32" t="s">
        <v>144</v>
      </c>
      <c r="F216" s="4">
        <v>57683</v>
      </c>
      <c r="G216" s="86" t="s">
        <v>3689</v>
      </c>
      <c r="H216" s="211"/>
      <c r="I216" s="326"/>
      <c r="K216" s="62"/>
    </row>
    <row r="217" spans="1:12" hidden="1" x14ac:dyDescent="0.25">
      <c r="A217" s="61" t="s">
        <v>460</v>
      </c>
      <c r="B217" s="14">
        <v>43531</v>
      </c>
      <c r="C217" s="13">
        <v>191</v>
      </c>
      <c r="D217" s="14" t="s">
        <v>3690</v>
      </c>
      <c r="E217" s="32" t="s">
        <v>144</v>
      </c>
      <c r="F217" s="4">
        <v>33099</v>
      </c>
      <c r="G217" s="86" t="s">
        <v>3691</v>
      </c>
      <c r="H217" s="211"/>
      <c r="I217" s="326"/>
      <c r="K217" s="62"/>
    </row>
    <row r="218" spans="1:12" hidden="1" x14ac:dyDescent="0.25">
      <c r="A218" s="61" t="s">
        <v>460</v>
      </c>
      <c r="B218" s="14">
        <v>43531</v>
      </c>
      <c r="C218" s="13">
        <v>192</v>
      </c>
      <c r="D218" s="14" t="s">
        <v>2348</v>
      </c>
      <c r="E218" s="32" t="s">
        <v>144</v>
      </c>
      <c r="F218" s="4">
        <v>40045</v>
      </c>
      <c r="G218" s="86" t="s">
        <v>2349</v>
      </c>
      <c r="H218" s="211"/>
      <c r="I218" s="326"/>
      <c r="K218" s="62"/>
    </row>
    <row r="219" spans="1:12" hidden="1" x14ac:dyDescent="0.25">
      <c r="A219" s="61" t="s">
        <v>460</v>
      </c>
      <c r="B219" s="14">
        <v>43531</v>
      </c>
      <c r="C219" s="13">
        <v>193</v>
      </c>
      <c r="D219" s="14" t="s">
        <v>3678</v>
      </c>
      <c r="E219" s="32" t="s">
        <v>144</v>
      </c>
      <c r="F219" s="4">
        <v>49742</v>
      </c>
      <c r="G219" s="86" t="s">
        <v>3679</v>
      </c>
      <c r="H219" s="211"/>
      <c r="I219" s="326"/>
      <c r="K219" s="62"/>
    </row>
    <row r="220" spans="1:12" hidden="1" x14ac:dyDescent="0.25">
      <c r="A220" s="61" t="s">
        <v>460</v>
      </c>
      <c r="B220" s="14">
        <v>43531</v>
      </c>
      <c r="C220" s="13">
        <v>194</v>
      </c>
      <c r="D220" s="14" t="s">
        <v>3694</v>
      </c>
      <c r="E220" s="32" t="s">
        <v>144</v>
      </c>
      <c r="F220" s="4">
        <v>33788</v>
      </c>
      <c r="G220" s="86" t="s">
        <v>3695</v>
      </c>
      <c r="H220" s="211"/>
      <c r="I220" s="326"/>
      <c r="K220" s="62"/>
    </row>
    <row r="221" spans="1:12" hidden="1" x14ac:dyDescent="0.25">
      <c r="A221" s="61" t="s">
        <v>460</v>
      </c>
      <c r="B221" s="14">
        <v>43531</v>
      </c>
      <c r="C221" s="13">
        <v>195</v>
      </c>
      <c r="D221" s="14" t="s">
        <v>3696</v>
      </c>
      <c r="E221" s="32" t="s">
        <v>144</v>
      </c>
      <c r="F221" s="4">
        <v>45496</v>
      </c>
      <c r="G221" s="86" t="s">
        <v>3697</v>
      </c>
      <c r="H221" s="211"/>
      <c r="I221" s="326"/>
      <c r="K221" s="62"/>
    </row>
    <row r="222" spans="1:12" hidden="1" x14ac:dyDescent="0.25">
      <c r="A222" s="61" t="s">
        <v>460</v>
      </c>
      <c r="B222" s="14">
        <v>43531</v>
      </c>
      <c r="C222" s="13">
        <v>196</v>
      </c>
      <c r="D222" s="14" t="s">
        <v>2464</v>
      </c>
      <c r="E222" s="32" t="s">
        <v>144</v>
      </c>
      <c r="F222" s="4">
        <v>37536</v>
      </c>
      <c r="G222" s="86" t="s">
        <v>3700</v>
      </c>
      <c r="H222" s="211"/>
      <c r="I222" s="326"/>
      <c r="K222" s="62"/>
    </row>
    <row r="223" spans="1:12" hidden="1" x14ac:dyDescent="0.25">
      <c r="A223" s="61" t="s">
        <v>460</v>
      </c>
      <c r="B223" s="14">
        <v>43531</v>
      </c>
      <c r="C223" s="13">
        <v>197</v>
      </c>
      <c r="D223" s="14" t="s">
        <v>3704</v>
      </c>
      <c r="E223" s="32" t="s">
        <v>144</v>
      </c>
      <c r="F223" s="4">
        <v>33944</v>
      </c>
      <c r="G223" s="86" t="s">
        <v>3705</v>
      </c>
      <c r="H223" s="211"/>
      <c r="I223" s="326"/>
      <c r="K223" s="62"/>
    </row>
    <row r="224" spans="1:12" hidden="1" x14ac:dyDescent="0.25">
      <c r="A224" s="61" t="s">
        <v>460</v>
      </c>
      <c r="B224" s="14">
        <v>43531</v>
      </c>
      <c r="C224" s="13">
        <v>198</v>
      </c>
      <c r="D224" s="14" t="s">
        <v>3935</v>
      </c>
      <c r="E224" s="32" t="s">
        <v>144</v>
      </c>
      <c r="F224" s="4">
        <v>45236</v>
      </c>
      <c r="G224" s="86" t="s">
        <v>3936</v>
      </c>
      <c r="H224" s="211"/>
      <c r="I224" s="326"/>
      <c r="K224" s="62"/>
    </row>
    <row r="225" spans="1:19" hidden="1" x14ac:dyDescent="0.25">
      <c r="A225" s="61" t="s">
        <v>460</v>
      </c>
      <c r="B225" s="14">
        <v>43531</v>
      </c>
      <c r="C225" s="13">
        <v>199</v>
      </c>
      <c r="D225" s="14" t="s">
        <v>3937</v>
      </c>
      <c r="E225" s="32" t="s">
        <v>144</v>
      </c>
      <c r="F225" s="4">
        <v>36957</v>
      </c>
      <c r="G225" s="86" t="s">
        <v>3938</v>
      </c>
      <c r="H225" s="211"/>
      <c r="I225" s="326"/>
      <c r="K225" s="62"/>
    </row>
    <row r="226" spans="1:19" hidden="1" x14ac:dyDescent="0.25">
      <c r="A226" s="61" t="s">
        <v>460</v>
      </c>
      <c r="B226" s="14">
        <v>43531</v>
      </c>
      <c r="C226" s="13">
        <v>200</v>
      </c>
      <c r="D226" s="14" t="s">
        <v>4592</v>
      </c>
      <c r="E226" s="32" t="s">
        <v>144</v>
      </c>
      <c r="F226" s="4">
        <v>63036</v>
      </c>
      <c r="G226" s="86" t="s">
        <v>4593</v>
      </c>
      <c r="H226" s="211"/>
      <c r="I226" s="326"/>
      <c r="K226" s="62"/>
    </row>
    <row r="227" spans="1:19" hidden="1" x14ac:dyDescent="0.25">
      <c r="A227" s="61" t="s">
        <v>460</v>
      </c>
      <c r="B227" s="14">
        <v>43531</v>
      </c>
      <c r="C227" s="13">
        <v>201</v>
      </c>
      <c r="D227" s="14" t="s">
        <v>3790</v>
      </c>
      <c r="E227" s="32" t="s">
        <v>144</v>
      </c>
      <c r="F227" s="4">
        <v>45493</v>
      </c>
      <c r="G227" s="86" t="s">
        <v>3791</v>
      </c>
      <c r="H227" s="211"/>
      <c r="I227" s="326"/>
      <c r="K227" s="62"/>
    </row>
    <row r="228" spans="1:19" hidden="1" x14ac:dyDescent="0.25">
      <c r="A228" s="61" t="s">
        <v>460</v>
      </c>
      <c r="B228" s="14">
        <v>43531</v>
      </c>
      <c r="C228" s="13">
        <v>202</v>
      </c>
      <c r="D228" s="14" t="s">
        <v>3792</v>
      </c>
      <c r="E228" s="32" t="s">
        <v>144</v>
      </c>
      <c r="F228" s="4">
        <v>44544</v>
      </c>
      <c r="G228" s="86" t="s">
        <v>3793</v>
      </c>
      <c r="H228" s="211"/>
      <c r="I228" s="326"/>
      <c r="K228" s="62"/>
    </row>
    <row r="229" spans="1:19" hidden="1" x14ac:dyDescent="0.25">
      <c r="A229" s="61" t="s">
        <v>460</v>
      </c>
      <c r="B229" s="14">
        <v>43531</v>
      </c>
      <c r="C229" s="13">
        <v>203</v>
      </c>
      <c r="D229" s="14" t="s">
        <v>3949</v>
      </c>
      <c r="E229" s="32" t="s">
        <v>144</v>
      </c>
      <c r="F229" s="4">
        <v>33788</v>
      </c>
      <c r="G229" s="86" t="s">
        <v>3950</v>
      </c>
      <c r="H229" s="211"/>
      <c r="I229" s="326"/>
      <c r="K229" s="62"/>
    </row>
    <row r="230" spans="1:19" hidden="1" x14ac:dyDescent="0.25">
      <c r="A230" s="61" t="s">
        <v>460</v>
      </c>
      <c r="B230" s="14">
        <v>43531</v>
      </c>
      <c r="C230" s="13">
        <v>204</v>
      </c>
      <c r="D230" s="14" t="s">
        <v>3955</v>
      </c>
      <c r="E230" s="32" t="s">
        <v>144</v>
      </c>
      <c r="F230" s="4">
        <v>38947</v>
      </c>
      <c r="G230" s="86" t="s">
        <v>3956</v>
      </c>
      <c r="H230" s="211"/>
      <c r="I230" s="326"/>
      <c r="K230" s="62"/>
    </row>
    <row r="231" spans="1:19" hidden="1" x14ac:dyDescent="0.25">
      <c r="A231" s="61" t="s">
        <v>460</v>
      </c>
      <c r="B231" s="14">
        <v>43531</v>
      </c>
      <c r="C231" s="13">
        <v>205</v>
      </c>
      <c r="D231" s="14" t="s">
        <v>4067</v>
      </c>
      <c r="E231" s="32" t="s">
        <v>144</v>
      </c>
      <c r="F231" s="4">
        <v>73846</v>
      </c>
      <c r="G231" s="86" t="s">
        <v>4068</v>
      </c>
      <c r="H231" s="211"/>
      <c r="I231" s="326"/>
      <c r="K231" s="62"/>
    </row>
    <row r="232" spans="1:19" hidden="1" x14ac:dyDescent="0.25">
      <c r="A232" s="61" t="s">
        <v>460</v>
      </c>
      <c r="B232" s="14">
        <v>43531</v>
      </c>
      <c r="C232" s="13">
        <v>206</v>
      </c>
      <c r="D232" s="14" t="s">
        <v>4202</v>
      </c>
      <c r="E232" s="32" t="s">
        <v>144</v>
      </c>
      <c r="F232" s="4">
        <v>35496</v>
      </c>
      <c r="G232" s="86" t="s">
        <v>4203</v>
      </c>
      <c r="H232" s="211"/>
      <c r="I232" s="326"/>
      <c r="K232" s="62"/>
    </row>
    <row r="233" spans="1:19" hidden="1" x14ac:dyDescent="0.25">
      <c r="A233" s="61" t="s">
        <v>460</v>
      </c>
      <c r="B233" s="14">
        <v>43531</v>
      </c>
      <c r="C233" s="13">
        <v>207</v>
      </c>
      <c r="D233" s="14" t="s">
        <v>4204</v>
      </c>
      <c r="E233" s="32" t="s">
        <v>144</v>
      </c>
      <c r="F233" s="4">
        <v>37200</v>
      </c>
      <c r="G233" s="86" t="s">
        <v>4205</v>
      </c>
      <c r="H233" s="211"/>
      <c r="I233" s="326"/>
      <c r="K233" s="62"/>
    </row>
    <row r="234" spans="1:19" ht="13.95" hidden="1" customHeight="1" x14ac:dyDescent="0.25">
      <c r="A234" s="13" t="s">
        <v>261</v>
      </c>
      <c r="B234" s="242">
        <v>43531</v>
      </c>
      <c r="C234" s="13">
        <v>421</v>
      </c>
      <c r="D234" s="13" t="s">
        <v>950</v>
      </c>
      <c r="E234" s="13" t="s">
        <v>808</v>
      </c>
      <c r="F234" s="4">
        <v>2000000</v>
      </c>
      <c r="G234" s="86" t="s">
        <v>957</v>
      </c>
      <c r="H234" s="14"/>
      <c r="I234" s="4" t="s">
        <v>361</v>
      </c>
      <c r="K234" s="228"/>
    </row>
    <row r="235" spans="1:19" ht="13.95" hidden="1" customHeight="1" x14ac:dyDescent="0.25">
      <c r="A235" s="61" t="s">
        <v>1316</v>
      </c>
      <c r="B235" s="242">
        <v>43531</v>
      </c>
      <c r="C235" s="13">
        <v>420</v>
      </c>
      <c r="D235" s="13" t="s">
        <v>432</v>
      </c>
      <c r="E235" s="32" t="s">
        <v>808</v>
      </c>
      <c r="F235" s="4">
        <v>1000000</v>
      </c>
      <c r="G235" s="86" t="s">
        <v>4008</v>
      </c>
      <c r="H235" s="211"/>
      <c r="I235" s="4" t="s">
        <v>24</v>
      </c>
      <c r="J235" s="21"/>
      <c r="K235" s="228"/>
    </row>
    <row r="236" spans="1:19" ht="13.95" hidden="1" customHeight="1" x14ac:dyDescent="0.25">
      <c r="A236" s="61" t="s">
        <v>261</v>
      </c>
      <c r="B236" s="242">
        <v>43531</v>
      </c>
      <c r="C236" s="13">
        <v>419</v>
      </c>
      <c r="D236" s="32" t="s">
        <v>588</v>
      </c>
      <c r="E236" s="32" t="s">
        <v>808</v>
      </c>
      <c r="F236" s="4">
        <v>1286388.8899999999</v>
      </c>
      <c r="G236" s="86" t="s">
        <v>1122</v>
      </c>
      <c r="H236" s="211"/>
      <c r="I236" s="4" t="s">
        <v>20</v>
      </c>
      <c r="J236" s="21"/>
      <c r="K236" s="228"/>
    </row>
    <row r="237" spans="1:19" ht="13.95" hidden="1" customHeight="1" x14ac:dyDescent="0.25">
      <c r="A237" s="61" t="s">
        <v>1148</v>
      </c>
      <c r="B237" s="242">
        <v>43531</v>
      </c>
      <c r="C237" s="13">
        <v>418</v>
      </c>
      <c r="D237" s="32" t="s">
        <v>588</v>
      </c>
      <c r="E237" s="32" t="s">
        <v>808</v>
      </c>
      <c r="F237" s="4">
        <v>700000</v>
      </c>
      <c r="G237" s="86" t="s">
        <v>3714</v>
      </c>
      <c r="H237" s="211"/>
      <c r="I237" s="4" t="s">
        <v>82</v>
      </c>
      <c r="J237" s="21"/>
      <c r="K237" s="228"/>
    </row>
    <row r="238" spans="1:19" hidden="1" x14ac:dyDescent="0.25">
      <c r="A238" s="32" t="s">
        <v>1350</v>
      </c>
      <c r="B238" s="14">
        <v>43531</v>
      </c>
      <c r="C238" s="67">
        <v>193</v>
      </c>
      <c r="D238" s="32" t="s">
        <v>1254</v>
      </c>
      <c r="E238" s="17" t="s">
        <v>691</v>
      </c>
      <c r="F238" s="4">
        <v>500</v>
      </c>
      <c r="G238" s="67">
        <v>428455</v>
      </c>
      <c r="H238" s="14">
        <v>43514</v>
      </c>
      <c r="I238" s="4" t="s">
        <v>4808</v>
      </c>
      <c r="J238" s="359"/>
      <c r="K238" s="50"/>
    </row>
    <row r="239" spans="1:19" hidden="1" x14ac:dyDescent="0.25">
      <c r="A239" s="13" t="s">
        <v>151</v>
      </c>
      <c r="B239" s="14">
        <v>43531</v>
      </c>
      <c r="C239" s="13">
        <v>60</v>
      </c>
      <c r="D239" s="13" t="s">
        <v>606</v>
      </c>
      <c r="E239" s="32" t="s">
        <v>22</v>
      </c>
      <c r="F239" s="4">
        <f>2335+4500</f>
        <v>6835</v>
      </c>
      <c r="G239" s="28" t="s">
        <v>4960</v>
      </c>
      <c r="H239" s="14">
        <v>43530</v>
      </c>
      <c r="I239" s="4" t="s">
        <v>4961</v>
      </c>
      <c r="J239" s="125"/>
    </row>
    <row r="240" spans="1:19" s="437" customFormat="1" ht="15.6" hidden="1" x14ac:dyDescent="0.25">
      <c r="A240" s="61" t="s">
        <v>651</v>
      </c>
      <c r="B240" s="14">
        <v>43531</v>
      </c>
      <c r="C240" s="13">
        <v>242</v>
      </c>
      <c r="D240" s="13" t="s">
        <v>813</v>
      </c>
      <c r="E240" s="13" t="s">
        <v>547</v>
      </c>
      <c r="F240" s="37">
        <v>670000</v>
      </c>
      <c r="G240" s="29" t="s">
        <v>810</v>
      </c>
      <c r="H240" s="14">
        <v>42340</v>
      </c>
      <c r="I240" s="41" t="s">
        <v>1560</v>
      </c>
      <c r="J240" s="434"/>
      <c r="K240" s="435"/>
      <c r="L240" s="435"/>
      <c r="M240" s="435"/>
      <c r="N240" s="435"/>
      <c r="O240" s="436"/>
      <c r="P240" s="436"/>
      <c r="Q240" s="436"/>
      <c r="R240" s="436"/>
      <c r="S240" s="436"/>
    </row>
    <row r="241" spans="1:19" hidden="1" x14ac:dyDescent="0.25">
      <c r="A241" s="13" t="s">
        <v>637</v>
      </c>
      <c r="B241" s="126">
        <v>43531</v>
      </c>
      <c r="C241" s="13">
        <v>104</v>
      </c>
      <c r="D241" s="13" t="s">
        <v>470</v>
      </c>
      <c r="E241" s="13" t="s">
        <v>691</v>
      </c>
      <c r="F241" s="37">
        <v>3200000</v>
      </c>
      <c r="G241" s="29" t="s">
        <v>1818</v>
      </c>
      <c r="H241" s="14"/>
      <c r="I241" s="208" t="s">
        <v>237</v>
      </c>
      <c r="J241" s="62"/>
      <c r="K241" s="62"/>
      <c r="L241" s="35"/>
      <c r="M241" s="35"/>
      <c r="N241" s="35"/>
      <c r="O241" s="35"/>
      <c r="P241" s="35"/>
    </row>
    <row r="242" spans="1:19" hidden="1" x14ac:dyDescent="0.25">
      <c r="A242" s="13" t="s">
        <v>637</v>
      </c>
      <c r="B242" s="126">
        <v>43531</v>
      </c>
      <c r="C242" s="13">
        <v>194</v>
      </c>
      <c r="D242" s="13" t="s">
        <v>470</v>
      </c>
      <c r="E242" s="13" t="s">
        <v>691</v>
      </c>
      <c r="F242" s="37">
        <v>6800000</v>
      </c>
      <c r="G242" s="29" t="s">
        <v>1818</v>
      </c>
      <c r="H242" s="14"/>
      <c r="I242" s="208" t="s">
        <v>237</v>
      </c>
      <c r="J242" s="62"/>
      <c r="K242" s="62"/>
      <c r="L242" s="35"/>
      <c r="M242" s="35"/>
      <c r="N242" s="35"/>
      <c r="O242" s="35"/>
      <c r="P242" s="35"/>
    </row>
    <row r="243" spans="1:19" s="62" customFormat="1" hidden="1" x14ac:dyDescent="0.25">
      <c r="A243" s="32" t="s">
        <v>311</v>
      </c>
      <c r="B243" s="14">
        <v>43535</v>
      </c>
      <c r="C243" s="13">
        <v>197</v>
      </c>
      <c r="D243" s="13" t="s">
        <v>589</v>
      </c>
      <c r="E243" s="13" t="s">
        <v>958</v>
      </c>
      <c r="F243" s="37">
        <v>1720000</v>
      </c>
      <c r="G243" s="189" t="s">
        <v>5155</v>
      </c>
      <c r="H243" s="14">
        <v>43529</v>
      </c>
      <c r="I243" s="4" t="s">
        <v>5156</v>
      </c>
      <c r="J243" s="22"/>
      <c r="L243" s="71"/>
      <c r="M243" s="170"/>
      <c r="N243" s="71"/>
      <c r="O243" s="71"/>
      <c r="P243" s="35"/>
      <c r="Q243" s="35"/>
      <c r="R243" s="35"/>
      <c r="S243" s="35"/>
    </row>
    <row r="244" spans="1:19" s="62" customFormat="1" hidden="1" x14ac:dyDescent="0.25">
      <c r="A244" s="32" t="s">
        <v>311</v>
      </c>
      <c r="B244" s="14">
        <v>43535</v>
      </c>
      <c r="C244" s="13">
        <v>198</v>
      </c>
      <c r="D244" s="13" t="s">
        <v>243</v>
      </c>
      <c r="E244" s="13" t="s">
        <v>958</v>
      </c>
      <c r="F244" s="37">
        <v>886892.82</v>
      </c>
      <c r="G244" s="189" t="s">
        <v>18</v>
      </c>
      <c r="H244" s="14">
        <v>43530</v>
      </c>
      <c r="I244" s="4" t="s">
        <v>5076</v>
      </c>
      <c r="J244" s="22"/>
      <c r="L244" s="71"/>
      <c r="M244" s="170"/>
      <c r="N244" s="71"/>
      <c r="O244" s="71"/>
      <c r="P244" s="35"/>
      <c r="Q244" s="35"/>
      <c r="R244" s="35"/>
      <c r="S244" s="35"/>
    </row>
    <row r="245" spans="1:19" s="62" customFormat="1" hidden="1" x14ac:dyDescent="0.25">
      <c r="A245" s="32" t="s">
        <v>311</v>
      </c>
      <c r="B245" s="14">
        <v>43535</v>
      </c>
      <c r="C245" s="13">
        <v>198</v>
      </c>
      <c r="D245" s="13" t="s">
        <v>243</v>
      </c>
      <c r="E245" s="13" t="s">
        <v>958</v>
      </c>
      <c r="F245" s="37">
        <v>880775.1</v>
      </c>
      <c r="G245" s="189" t="s">
        <v>176</v>
      </c>
      <c r="H245" s="14">
        <v>43531</v>
      </c>
      <c r="I245" s="4" t="s">
        <v>5076</v>
      </c>
      <c r="J245" s="22"/>
      <c r="L245" s="71"/>
      <c r="M245" s="170"/>
      <c r="N245" s="71"/>
      <c r="O245" s="71"/>
      <c r="P245" s="35"/>
      <c r="Q245" s="35"/>
      <c r="R245" s="35"/>
      <c r="S245" s="35"/>
    </row>
    <row r="246" spans="1:19" s="62" customFormat="1" hidden="1" x14ac:dyDescent="0.25">
      <c r="A246" s="32" t="s">
        <v>311</v>
      </c>
      <c r="B246" s="14">
        <v>43535</v>
      </c>
      <c r="C246" s="13">
        <v>199</v>
      </c>
      <c r="D246" s="13" t="s">
        <v>254</v>
      </c>
      <c r="E246" s="13" t="s">
        <v>958</v>
      </c>
      <c r="F246" s="37">
        <v>864000</v>
      </c>
      <c r="G246" s="189" t="s">
        <v>5158</v>
      </c>
      <c r="H246" s="14">
        <v>43528</v>
      </c>
      <c r="I246" s="4" t="s">
        <v>5076</v>
      </c>
      <c r="J246" s="22"/>
      <c r="L246" s="71"/>
      <c r="M246" s="170"/>
      <c r="N246" s="71"/>
      <c r="O246" s="71"/>
      <c r="P246" s="35"/>
      <c r="Q246" s="35"/>
      <c r="R246" s="35"/>
      <c r="S246" s="35"/>
    </row>
    <row r="247" spans="1:19" s="62" customFormat="1" hidden="1" x14ac:dyDescent="0.25">
      <c r="A247" s="32" t="s">
        <v>311</v>
      </c>
      <c r="B247" s="14">
        <v>43535</v>
      </c>
      <c r="C247" s="13">
        <v>199</v>
      </c>
      <c r="D247" s="13" t="s">
        <v>254</v>
      </c>
      <c r="E247" s="13" t="s">
        <v>958</v>
      </c>
      <c r="F247" s="37">
        <v>864000</v>
      </c>
      <c r="G247" s="189" t="s">
        <v>5157</v>
      </c>
      <c r="H247" s="14">
        <v>43528</v>
      </c>
      <c r="I247" s="4" t="s">
        <v>5076</v>
      </c>
      <c r="J247" s="22"/>
      <c r="L247" s="71"/>
      <c r="M247" s="170"/>
      <c r="N247" s="71"/>
      <c r="O247" s="71"/>
      <c r="P247" s="35"/>
      <c r="Q247" s="35"/>
      <c r="R247" s="35"/>
      <c r="S247" s="35"/>
    </row>
    <row r="248" spans="1:19" s="62" customFormat="1" hidden="1" x14ac:dyDescent="0.25">
      <c r="A248" s="32" t="s">
        <v>311</v>
      </c>
      <c r="B248" s="14">
        <v>43535</v>
      </c>
      <c r="C248" s="13">
        <v>200</v>
      </c>
      <c r="D248" s="13" t="s">
        <v>1082</v>
      </c>
      <c r="E248" s="13" t="s">
        <v>958</v>
      </c>
      <c r="F248" s="37">
        <v>888000</v>
      </c>
      <c r="G248" s="189" t="s">
        <v>66</v>
      </c>
      <c r="H248" s="14">
        <v>43530</v>
      </c>
      <c r="I248" s="4" t="s">
        <v>5159</v>
      </c>
      <c r="J248" s="22"/>
      <c r="L248" s="71"/>
      <c r="M248" s="170"/>
      <c r="N248" s="71"/>
      <c r="O248" s="71"/>
      <c r="P248" s="35"/>
      <c r="Q248" s="35"/>
      <c r="R248" s="35"/>
      <c r="S248" s="35"/>
    </row>
    <row r="249" spans="1:19" s="62" customFormat="1" hidden="1" x14ac:dyDescent="0.25">
      <c r="A249" s="32" t="s">
        <v>151</v>
      </c>
      <c r="B249" s="14">
        <v>43535</v>
      </c>
      <c r="C249" s="13">
        <v>201</v>
      </c>
      <c r="D249" s="13" t="s">
        <v>112</v>
      </c>
      <c r="E249" s="13" t="s">
        <v>958</v>
      </c>
      <c r="F249" s="37">
        <v>6000</v>
      </c>
      <c r="G249" s="189" t="s">
        <v>1009</v>
      </c>
      <c r="H249" s="14">
        <v>43531</v>
      </c>
      <c r="I249" s="4" t="s">
        <v>5182</v>
      </c>
      <c r="J249" s="22"/>
      <c r="L249" s="71"/>
      <c r="M249" s="170"/>
      <c r="N249" s="71"/>
      <c r="O249" s="71"/>
      <c r="P249" s="35"/>
      <c r="Q249" s="35"/>
      <c r="R249" s="35"/>
      <c r="S249" s="35"/>
    </row>
    <row r="250" spans="1:19" s="2" customFormat="1" hidden="1" x14ac:dyDescent="0.25">
      <c r="A250" s="61" t="s">
        <v>6</v>
      </c>
      <c r="B250" s="14">
        <v>43535</v>
      </c>
      <c r="C250" s="13">
        <v>116</v>
      </c>
      <c r="D250" s="32" t="s">
        <v>1882</v>
      </c>
      <c r="E250" s="13" t="s">
        <v>183</v>
      </c>
      <c r="F250" s="4">
        <v>153960.53</v>
      </c>
      <c r="G250" s="29" t="s">
        <v>3316</v>
      </c>
      <c r="H250" s="14">
        <v>43530</v>
      </c>
      <c r="I250" s="4" t="s">
        <v>246</v>
      </c>
      <c r="J250" s="341"/>
      <c r="K250" s="31"/>
      <c r="L250" s="31"/>
      <c r="M250" s="31"/>
      <c r="N250" s="31"/>
      <c r="O250" s="34"/>
      <c r="P250" s="34"/>
      <c r="Q250" s="34"/>
      <c r="R250" s="34"/>
      <c r="S250" s="34"/>
    </row>
    <row r="251" spans="1:19" ht="27.6" hidden="1" x14ac:dyDescent="0.25">
      <c r="A251" s="61" t="s">
        <v>460</v>
      </c>
      <c r="B251" s="14">
        <v>43535</v>
      </c>
      <c r="C251" s="13">
        <v>302</v>
      </c>
      <c r="D251" s="14" t="s">
        <v>3489</v>
      </c>
      <c r="E251" s="32" t="s">
        <v>2058</v>
      </c>
      <c r="F251" s="4">
        <v>118400</v>
      </c>
      <c r="G251" s="86" t="s">
        <v>3490</v>
      </c>
      <c r="H251" s="211"/>
      <c r="I251" s="326"/>
      <c r="K251" s="62"/>
    </row>
    <row r="252" spans="1:19" ht="27.6" hidden="1" x14ac:dyDescent="0.25">
      <c r="A252" s="61" t="s">
        <v>460</v>
      </c>
      <c r="B252" s="14">
        <v>43535</v>
      </c>
      <c r="C252" s="13">
        <v>303</v>
      </c>
      <c r="D252" s="14" t="s">
        <v>3692</v>
      </c>
      <c r="E252" s="32" t="s">
        <v>2058</v>
      </c>
      <c r="F252" s="4">
        <v>128340</v>
      </c>
      <c r="G252" s="86" t="s">
        <v>3693</v>
      </c>
      <c r="H252" s="211"/>
      <c r="I252" s="326"/>
      <c r="K252" s="62"/>
    </row>
    <row r="253" spans="1:19" ht="27.6" hidden="1" x14ac:dyDescent="0.25">
      <c r="A253" s="61" t="s">
        <v>460</v>
      </c>
      <c r="B253" s="14">
        <v>43535</v>
      </c>
      <c r="C253" s="13">
        <v>304</v>
      </c>
      <c r="D253" s="14" t="s">
        <v>3698</v>
      </c>
      <c r="E253" s="32" t="s">
        <v>2058</v>
      </c>
      <c r="F253" s="4">
        <v>95916</v>
      </c>
      <c r="G253" s="86" t="s">
        <v>3699</v>
      </c>
      <c r="H253" s="211"/>
      <c r="I253" s="326"/>
      <c r="K253" s="62"/>
    </row>
    <row r="254" spans="1:19" ht="27.6" hidden="1" x14ac:dyDescent="0.25">
      <c r="A254" s="61" t="s">
        <v>460</v>
      </c>
      <c r="B254" s="14">
        <v>43535</v>
      </c>
      <c r="C254" s="13">
        <v>305</v>
      </c>
      <c r="D254" s="14" t="s">
        <v>3788</v>
      </c>
      <c r="E254" s="32" t="s">
        <v>2058</v>
      </c>
      <c r="F254" s="4">
        <v>91444</v>
      </c>
      <c r="G254" s="86" t="s">
        <v>3789</v>
      </c>
      <c r="H254" s="211"/>
      <c r="I254" s="326"/>
      <c r="K254" s="62"/>
    </row>
    <row r="255" spans="1:19" ht="27.6" hidden="1" x14ac:dyDescent="0.25">
      <c r="A255" s="61" t="s">
        <v>460</v>
      </c>
      <c r="B255" s="14">
        <v>43535</v>
      </c>
      <c r="C255" s="13">
        <v>306</v>
      </c>
      <c r="D255" s="14" t="s">
        <v>3959</v>
      </c>
      <c r="E255" s="32" t="s">
        <v>2058</v>
      </c>
      <c r="F255" s="4">
        <v>108601</v>
      </c>
      <c r="G255" s="86" t="s">
        <v>3960</v>
      </c>
      <c r="H255" s="211"/>
      <c r="I255" s="326"/>
      <c r="K255" s="62"/>
    </row>
    <row r="256" spans="1:19" ht="27.6" hidden="1" x14ac:dyDescent="0.25">
      <c r="A256" s="61" t="s">
        <v>460</v>
      </c>
      <c r="B256" s="14">
        <v>43536</v>
      </c>
      <c r="C256" s="13">
        <v>307</v>
      </c>
      <c r="D256" s="14" t="s">
        <v>4552</v>
      </c>
      <c r="E256" s="32" t="s">
        <v>2058</v>
      </c>
      <c r="F256" s="4">
        <v>94587</v>
      </c>
      <c r="G256" s="86" t="s">
        <v>4560</v>
      </c>
      <c r="H256" s="211"/>
      <c r="I256" s="326"/>
      <c r="K256" s="62"/>
    </row>
    <row r="257" spans="1:12" ht="13.95" hidden="1" customHeight="1" x14ac:dyDescent="0.25">
      <c r="A257" s="68" t="s">
        <v>209</v>
      </c>
      <c r="B257" s="14">
        <v>43536</v>
      </c>
      <c r="C257" s="67">
        <v>46</v>
      </c>
      <c r="D257" s="32" t="s">
        <v>595</v>
      </c>
      <c r="E257" s="32" t="s">
        <v>134</v>
      </c>
      <c r="F257" s="4">
        <f>2050135.68-1000000*2</f>
        <v>50135.679999999935</v>
      </c>
      <c r="G257" s="28" t="s">
        <v>1600</v>
      </c>
      <c r="H257" s="14">
        <v>43465</v>
      </c>
      <c r="I257" s="41" t="s">
        <v>949</v>
      </c>
      <c r="J257" s="166" t="s">
        <v>327</v>
      </c>
      <c r="K257" s="167"/>
      <c r="L257" s="35"/>
    </row>
    <row r="258" spans="1:12" ht="13.95" hidden="1" customHeight="1" x14ac:dyDescent="0.25">
      <c r="A258" s="68" t="s">
        <v>209</v>
      </c>
      <c r="B258" s="14">
        <v>43536</v>
      </c>
      <c r="C258" s="67">
        <v>47</v>
      </c>
      <c r="D258" s="32" t="s">
        <v>595</v>
      </c>
      <c r="E258" s="32" t="s">
        <v>134</v>
      </c>
      <c r="F258" s="4">
        <v>949864.32</v>
      </c>
      <c r="G258" s="28" t="s">
        <v>346</v>
      </c>
      <c r="H258" s="14">
        <v>43496</v>
      </c>
      <c r="I258" s="41" t="s">
        <v>949</v>
      </c>
      <c r="J258" s="166" t="s">
        <v>239</v>
      </c>
      <c r="K258" s="167"/>
      <c r="L258" s="35"/>
    </row>
    <row r="259" spans="1:12" s="2" customFormat="1" hidden="1" x14ac:dyDescent="0.25">
      <c r="A259" s="32" t="s">
        <v>741</v>
      </c>
      <c r="B259" s="14">
        <v>43536</v>
      </c>
      <c r="C259" s="13">
        <v>269</v>
      </c>
      <c r="D259" s="13" t="s">
        <v>5162</v>
      </c>
      <c r="E259" s="13" t="s">
        <v>434</v>
      </c>
      <c r="F259" s="4">
        <v>29700</v>
      </c>
      <c r="G259" s="28" t="s">
        <v>42</v>
      </c>
      <c r="H259" s="14">
        <v>43531</v>
      </c>
      <c r="I259" s="4" t="s">
        <v>5163</v>
      </c>
      <c r="J259" s="121"/>
      <c r="K259" s="5"/>
    </row>
    <row r="260" spans="1:12" s="2" customFormat="1" hidden="1" x14ac:dyDescent="0.25">
      <c r="A260" s="32" t="s">
        <v>741</v>
      </c>
      <c r="B260" s="14">
        <v>43536</v>
      </c>
      <c r="C260" s="13">
        <v>268</v>
      </c>
      <c r="D260" s="13" t="s">
        <v>5164</v>
      </c>
      <c r="E260" s="13" t="s">
        <v>434</v>
      </c>
      <c r="F260" s="4">
        <v>33450</v>
      </c>
      <c r="G260" s="28" t="s">
        <v>1896</v>
      </c>
      <c r="H260" s="14">
        <v>43531</v>
      </c>
      <c r="I260" s="4" t="s">
        <v>5163</v>
      </c>
      <c r="J260" s="121"/>
      <c r="K260" s="5"/>
    </row>
    <row r="261" spans="1:12" s="192" customFormat="1" ht="14.85" hidden="1" customHeight="1" x14ac:dyDescent="0.25">
      <c r="A261" s="147" t="s">
        <v>242</v>
      </c>
      <c r="B261" s="164">
        <v>43536</v>
      </c>
      <c r="C261" s="195">
        <v>626</v>
      </c>
      <c r="D261" s="149" t="s">
        <v>840</v>
      </c>
      <c r="E261" s="147" t="s">
        <v>140</v>
      </c>
      <c r="F261" s="158">
        <v>374842.8</v>
      </c>
      <c r="G261" s="150" t="s">
        <v>4737</v>
      </c>
      <c r="H261" s="148">
        <v>43516</v>
      </c>
      <c r="I261" s="149" t="s">
        <v>143</v>
      </c>
      <c r="J261" s="193"/>
      <c r="K261" s="194"/>
      <c r="L261" s="190"/>
    </row>
    <row r="262" spans="1:12" s="192" customFormat="1" ht="14.85" hidden="1" customHeight="1" x14ac:dyDescent="0.25">
      <c r="A262" s="147" t="s">
        <v>242</v>
      </c>
      <c r="B262" s="164">
        <v>43536</v>
      </c>
      <c r="C262" s="195">
        <v>626</v>
      </c>
      <c r="D262" s="149" t="s">
        <v>840</v>
      </c>
      <c r="E262" s="147" t="s">
        <v>140</v>
      </c>
      <c r="F262" s="158">
        <v>114972.8</v>
      </c>
      <c r="G262" s="150" t="s">
        <v>4741</v>
      </c>
      <c r="H262" s="148">
        <v>43516</v>
      </c>
      <c r="I262" s="149" t="s">
        <v>143</v>
      </c>
      <c r="J262" s="193"/>
      <c r="K262" s="194"/>
      <c r="L262" s="190"/>
    </row>
    <row r="263" spans="1:12" s="97" customFormat="1" hidden="1" x14ac:dyDescent="0.25">
      <c r="A263" s="13" t="s">
        <v>92</v>
      </c>
      <c r="B263" s="164">
        <v>43536</v>
      </c>
      <c r="C263" s="13">
        <v>627</v>
      </c>
      <c r="D263" s="13" t="s">
        <v>3056</v>
      </c>
      <c r="E263" s="13" t="s">
        <v>140</v>
      </c>
      <c r="F263" s="4">
        <v>287200</v>
      </c>
      <c r="G263" s="29" t="s">
        <v>5232</v>
      </c>
      <c r="H263" s="14">
        <v>43524</v>
      </c>
      <c r="I263" s="4" t="s">
        <v>3057</v>
      </c>
      <c r="J263" s="358"/>
      <c r="K263" s="76"/>
      <c r="L263" s="134"/>
    </row>
    <row r="264" spans="1:12" ht="27.6" hidden="1" x14ac:dyDescent="0.25">
      <c r="A264" s="32" t="s">
        <v>2020</v>
      </c>
      <c r="B264" s="14">
        <v>43536</v>
      </c>
      <c r="C264" s="13">
        <v>299</v>
      </c>
      <c r="D264" s="32" t="s">
        <v>392</v>
      </c>
      <c r="E264" s="32" t="s">
        <v>2432</v>
      </c>
      <c r="F264" s="4">
        <f>2757077.17-2200000</f>
        <v>557077.16999999993</v>
      </c>
      <c r="G264" s="28" t="s">
        <v>170</v>
      </c>
      <c r="H264" s="14">
        <v>43497</v>
      </c>
      <c r="I264" s="41" t="s">
        <v>620</v>
      </c>
      <c r="J264" s="35" t="s">
        <v>239</v>
      </c>
      <c r="K264" s="167"/>
      <c r="L264" s="35"/>
    </row>
    <row r="265" spans="1:12" ht="55.2" hidden="1" x14ac:dyDescent="0.25">
      <c r="A265" s="13" t="s">
        <v>3262</v>
      </c>
      <c r="B265" s="14">
        <v>43536</v>
      </c>
      <c r="C265" s="13">
        <v>192</v>
      </c>
      <c r="D265" s="13" t="s">
        <v>3005</v>
      </c>
      <c r="E265" s="13" t="s">
        <v>3345</v>
      </c>
      <c r="F265" s="4">
        <v>6622.63</v>
      </c>
      <c r="G265" s="29" t="s">
        <v>3348</v>
      </c>
      <c r="H265" s="14">
        <v>43377</v>
      </c>
      <c r="I265" s="4" t="s">
        <v>3346</v>
      </c>
      <c r="J265" s="169" t="s">
        <v>5181</v>
      </c>
    </row>
    <row r="266" spans="1:12" ht="55.2" hidden="1" x14ac:dyDescent="0.25">
      <c r="A266" s="13" t="s">
        <v>3262</v>
      </c>
      <c r="B266" s="14">
        <v>43536</v>
      </c>
      <c r="C266" s="13">
        <v>193</v>
      </c>
      <c r="D266" s="13" t="s">
        <v>3005</v>
      </c>
      <c r="E266" s="13" t="s">
        <v>3345</v>
      </c>
      <c r="F266" s="4">
        <v>7087</v>
      </c>
      <c r="G266" s="29" t="s">
        <v>3349</v>
      </c>
      <c r="H266" s="14">
        <v>43377</v>
      </c>
      <c r="I266" s="4" t="s">
        <v>3347</v>
      </c>
      <c r="J266" s="169" t="s">
        <v>5181</v>
      </c>
    </row>
    <row r="267" spans="1:12" hidden="1" x14ac:dyDescent="0.25">
      <c r="A267" s="13" t="s">
        <v>184</v>
      </c>
      <c r="B267" s="14">
        <v>43536</v>
      </c>
      <c r="C267" s="13">
        <v>219</v>
      </c>
      <c r="D267" s="13" t="s">
        <v>781</v>
      </c>
      <c r="E267" s="13" t="s">
        <v>144</v>
      </c>
      <c r="F267" s="37">
        <v>24000</v>
      </c>
      <c r="G267" s="29" t="s">
        <v>199</v>
      </c>
      <c r="H267" s="14">
        <v>43522</v>
      </c>
      <c r="I267" s="4" t="s">
        <v>934</v>
      </c>
      <c r="J267" s="128" t="s">
        <v>366</v>
      </c>
    </row>
    <row r="268" spans="1:12" hidden="1" x14ac:dyDescent="0.25">
      <c r="A268" s="13" t="s">
        <v>184</v>
      </c>
      <c r="B268" s="14">
        <v>43536</v>
      </c>
      <c r="C268" s="13">
        <v>283</v>
      </c>
      <c r="D268" s="32" t="s">
        <v>747</v>
      </c>
      <c r="E268" s="32" t="s">
        <v>1121</v>
      </c>
      <c r="F268" s="4">
        <v>671040</v>
      </c>
      <c r="G268" s="28" t="s">
        <v>5202</v>
      </c>
      <c r="H268" s="14">
        <v>43517</v>
      </c>
      <c r="I268" s="4" t="s">
        <v>769</v>
      </c>
      <c r="J268" s="76" t="s">
        <v>366</v>
      </c>
    </row>
    <row r="269" spans="1:12" ht="15" hidden="1" customHeight="1" x14ac:dyDescent="0.25">
      <c r="A269" s="13" t="s">
        <v>184</v>
      </c>
      <c r="B269" s="14">
        <v>43536</v>
      </c>
      <c r="C269" s="13">
        <v>283</v>
      </c>
      <c r="D269" s="32" t="s">
        <v>747</v>
      </c>
      <c r="E269" s="32" t="s">
        <v>1121</v>
      </c>
      <c r="F269" s="4">
        <v>363378</v>
      </c>
      <c r="G269" s="28" t="s">
        <v>5203</v>
      </c>
      <c r="H269" s="14">
        <v>43517</v>
      </c>
      <c r="I269" s="4" t="s">
        <v>363</v>
      </c>
      <c r="J269" s="76" t="s">
        <v>366</v>
      </c>
    </row>
    <row r="270" spans="1:12" ht="15" hidden="1" customHeight="1" x14ac:dyDescent="0.25">
      <c r="A270" s="13" t="s">
        <v>184</v>
      </c>
      <c r="B270" s="14">
        <v>43536</v>
      </c>
      <c r="C270" s="13">
        <v>283</v>
      </c>
      <c r="D270" s="32" t="s">
        <v>747</v>
      </c>
      <c r="E270" s="32" t="s">
        <v>1121</v>
      </c>
      <c r="F270" s="4">
        <v>468379</v>
      </c>
      <c r="G270" s="28" t="s">
        <v>5204</v>
      </c>
      <c r="H270" s="14">
        <v>43517</v>
      </c>
      <c r="I270" s="4" t="s">
        <v>424</v>
      </c>
      <c r="J270" s="76" t="s">
        <v>366</v>
      </c>
    </row>
    <row r="271" spans="1:12" ht="15" hidden="1" customHeight="1" x14ac:dyDescent="0.25">
      <c r="A271" s="13" t="s">
        <v>184</v>
      </c>
      <c r="B271" s="14">
        <v>43536</v>
      </c>
      <c r="C271" s="13">
        <v>283</v>
      </c>
      <c r="D271" s="32" t="s">
        <v>747</v>
      </c>
      <c r="E271" s="32" t="s">
        <v>1121</v>
      </c>
      <c r="F271" s="4">
        <v>199064</v>
      </c>
      <c r="G271" s="28" t="s">
        <v>5206</v>
      </c>
      <c r="H271" s="14">
        <v>43517</v>
      </c>
      <c r="I271" s="4" t="s">
        <v>322</v>
      </c>
      <c r="J271" s="76" t="s">
        <v>366</v>
      </c>
    </row>
    <row r="272" spans="1:12" ht="15" hidden="1" customHeight="1" x14ac:dyDescent="0.25">
      <c r="A272" s="13" t="s">
        <v>184</v>
      </c>
      <c r="B272" s="14">
        <v>43536</v>
      </c>
      <c r="C272" s="13">
        <v>283</v>
      </c>
      <c r="D272" s="32" t="s">
        <v>747</v>
      </c>
      <c r="E272" s="32" t="s">
        <v>1121</v>
      </c>
      <c r="F272" s="4">
        <v>63000</v>
      </c>
      <c r="G272" s="28" t="s">
        <v>5205</v>
      </c>
      <c r="H272" s="14">
        <v>43517</v>
      </c>
      <c r="I272" s="4" t="s">
        <v>749</v>
      </c>
      <c r="J272" s="76" t="s">
        <v>366</v>
      </c>
    </row>
    <row r="273" spans="1:11" hidden="1" x14ac:dyDescent="0.25">
      <c r="A273" s="13" t="s">
        <v>184</v>
      </c>
      <c r="B273" s="14">
        <v>43536</v>
      </c>
      <c r="C273" s="13">
        <v>283</v>
      </c>
      <c r="D273" s="32" t="s">
        <v>747</v>
      </c>
      <c r="E273" s="32" t="s">
        <v>1121</v>
      </c>
      <c r="F273" s="4">
        <v>58641</v>
      </c>
      <c r="G273" s="28" t="s">
        <v>5207</v>
      </c>
      <c r="H273" s="14">
        <v>43517</v>
      </c>
      <c r="I273" s="4" t="s">
        <v>750</v>
      </c>
      <c r="J273" s="76" t="s">
        <v>366</v>
      </c>
    </row>
    <row r="274" spans="1:11" ht="15" hidden="1" customHeight="1" x14ac:dyDescent="0.25">
      <c r="A274" s="13" t="s">
        <v>184</v>
      </c>
      <c r="B274" s="14">
        <v>43536</v>
      </c>
      <c r="C274" s="13">
        <v>284</v>
      </c>
      <c r="D274" s="32" t="s">
        <v>747</v>
      </c>
      <c r="E274" s="32" t="s">
        <v>1121</v>
      </c>
      <c r="F274" s="4">
        <v>75395</v>
      </c>
      <c r="G274" s="28" t="s">
        <v>5209</v>
      </c>
      <c r="H274" s="14">
        <v>43517</v>
      </c>
      <c r="I274" s="4" t="s">
        <v>1139</v>
      </c>
      <c r="J274" s="76" t="s">
        <v>366</v>
      </c>
    </row>
    <row r="275" spans="1:11" ht="15" hidden="1" customHeight="1" x14ac:dyDescent="0.25">
      <c r="A275" s="13" t="s">
        <v>184</v>
      </c>
      <c r="B275" s="14">
        <v>43536</v>
      </c>
      <c r="C275" s="13">
        <v>284</v>
      </c>
      <c r="D275" s="32" t="s">
        <v>747</v>
      </c>
      <c r="E275" s="32" t="s">
        <v>1121</v>
      </c>
      <c r="F275" s="4">
        <v>81243</v>
      </c>
      <c r="G275" s="28" t="s">
        <v>5210</v>
      </c>
      <c r="H275" s="14">
        <v>43517</v>
      </c>
      <c r="I275" s="4" t="s">
        <v>748</v>
      </c>
      <c r="J275" s="76" t="s">
        <v>366</v>
      </c>
    </row>
    <row r="276" spans="1:11" ht="15" hidden="1" customHeight="1" x14ac:dyDescent="0.25">
      <c r="A276" s="13" t="s">
        <v>184</v>
      </c>
      <c r="B276" s="14">
        <v>43536</v>
      </c>
      <c r="C276" s="13">
        <v>284</v>
      </c>
      <c r="D276" s="32" t="s">
        <v>747</v>
      </c>
      <c r="E276" s="32" t="s">
        <v>1121</v>
      </c>
      <c r="F276" s="4">
        <v>66195</v>
      </c>
      <c r="G276" s="28" t="s">
        <v>5211</v>
      </c>
      <c r="H276" s="14">
        <v>43517</v>
      </c>
      <c r="I276" s="4" t="s">
        <v>357</v>
      </c>
      <c r="J276" s="76" t="s">
        <v>366</v>
      </c>
    </row>
    <row r="277" spans="1:11" ht="15" hidden="1" customHeight="1" x14ac:dyDescent="0.25">
      <c r="A277" s="13" t="s">
        <v>184</v>
      </c>
      <c r="B277" s="14">
        <v>43536</v>
      </c>
      <c r="C277" s="13">
        <v>284</v>
      </c>
      <c r="D277" s="32" t="s">
        <v>747</v>
      </c>
      <c r="E277" s="32" t="s">
        <v>1121</v>
      </c>
      <c r="F277" s="4">
        <v>51834</v>
      </c>
      <c r="G277" s="28" t="s">
        <v>5212</v>
      </c>
      <c r="H277" s="14">
        <v>43517</v>
      </c>
      <c r="I277" s="4" t="s">
        <v>492</v>
      </c>
      <c r="J277" s="76" t="s">
        <v>366</v>
      </c>
    </row>
    <row r="278" spans="1:11" ht="15" hidden="1" customHeight="1" x14ac:dyDescent="0.25">
      <c r="A278" s="13" t="s">
        <v>184</v>
      </c>
      <c r="B278" s="14">
        <v>43536</v>
      </c>
      <c r="C278" s="13">
        <v>284</v>
      </c>
      <c r="D278" s="32" t="s">
        <v>747</v>
      </c>
      <c r="E278" s="32" t="s">
        <v>1121</v>
      </c>
      <c r="F278" s="4">
        <v>80486</v>
      </c>
      <c r="G278" s="28" t="s">
        <v>5208</v>
      </c>
      <c r="H278" s="14">
        <v>43517</v>
      </c>
      <c r="I278" s="28">
        <v>78</v>
      </c>
      <c r="J278" s="76" t="s">
        <v>366</v>
      </c>
    </row>
    <row r="279" spans="1:11" hidden="1" x14ac:dyDescent="0.25">
      <c r="A279" s="13" t="s">
        <v>184</v>
      </c>
      <c r="B279" s="14">
        <v>43536</v>
      </c>
      <c r="C279" s="13">
        <v>284</v>
      </c>
      <c r="D279" s="32" t="s">
        <v>747</v>
      </c>
      <c r="E279" s="32" t="s">
        <v>1121</v>
      </c>
      <c r="F279" s="4">
        <v>58641</v>
      </c>
      <c r="G279" s="28" t="s">
        <v>5213</v>
      </c>
      <c r="H279" s="14">
        <v>43517</v>
      </c>
      <c r="I279" s="4" t="s">
        <v>425</v>
      </c>
      <c r="J279" s="76" t="s">
        <v>366</v>
      </c>
    </row>
    <row r="280" spans="1:11" hidden="1" x14ac:dyDescent="0.25">
      <c r="A280" s="13" t="s">
        <v>184</v>
      </c>
      <c r="B280" s="14">
        <v>43536</v>
      </c>
      <c r="C280" s="13">
        <v>288</v>
      </c>
      <c r="D280" s="13" t="s">
        <v>2651</v>
      </c>
      <c r="E280" s="32" t="s">
        <v>1121</v>
      </c>
      <c r="F280" s="4">
        <v>28900</v>
      </c>
      <c r="G280" s="29" t="s">
        <v>5165</v>
      </c>
      <c r="H280" s="14">
        <v>43523</v>
      </c>
      <c r="I280" s="4" t="s">
        <v>694</v>
      </c>
      <c r="J280" s="125" t="s">
        <v>651</v>
      </c>
    </row>
    <row r="281" spans="1:11" hidden="1" x14ac:dyDescent="0.25">
      <c r="A281" s="13" t="s">
        <v>184</v>
      </c>
      <c r="B281" s="14">
        <v>43536</v>
      </c>
      <c r="C281" s="13">
        <v>289</v>
      </c>
      <c r="D281" s="13" t="s">
        <v>812</v>
      </c>
      <c r="E281" s="32" t="s">
        <v>1121</v>
      </c>
      <c r="F281" s="4">
        <v>210000</v>
      </c>
      <c r="G281" s="28" t="s">
        <v>5167</v>
      </c>
      <c r="H281" s="14">
        <v>43497</v>
      </c>
      <c r="I281" s="4" t="s">
        <v>1483</v>
      </c>
      <c r="J281" s="125" t="s">
        <v>721</v>
      </c>
    </row>
    <row r="282" spans="1:11" ht="15" hidden="1" customHeight="1" x14ac:dyDescent="0.25">
      <c r="A282" s="13" t="s">
        <v>184</v>
      </c>
      <c r="B282" s="14">
        <v>43536</v>
      </c>
      <c r="C282" s="13">
        <v>290</v>
      </c>
      <c r="D282" s="32" t="s">
        <v>1359</v>
      </c>
      <c r="E282" s="32" t="s">
        <v>1121</v>
      </c>
      <c r="F282" s="4">
        <v>13000</v>
      </c>
      <c r="G282" s="28" t="s">
        <v>5201</v>
      </c>
      <c r="H282" s="14">
        <v>43503</v>
      </c>
      <c r="I282" s="4" t="s">
        <v>294</v>
      </c>
      <c r="J282" s="76" t="s">
        <v>653</v>
      </c>
    </row>
    <row r="283" spans="1:11" ht="15" hidden="1" customHeight="1" x14ac:dyDescent="0.25">
      <c r="A283" s="13" t="s">
        <v>184</v>
      </c>
      <c r="B283" s="14">
        <v>43536</v>
      </c>
      <c r="C283" s="13">
        <v>291</v>
      </c>
      <c r="D283" s="13" t="s">
        <v>1533</v>
      </c>
      <c r="E283" s="32" t="s">
        <v>1121</v>
      </c>
      <c r="F283" s="4">
        <v>229500</v>
      </c>
      <c r="G283" s="28" t="s">
        <v>5166</v>
      </c>
      <c r="H283" s="14">
        <v>43515</v>
      </c>
      <c r="I283" s="4" t="s">
        <v>1535</v>
      </c>
      <c r="J283" s="125" t="s">
        <v>366</v>
      </c>
    </row>
    <row r="284" spans="1:11" hidden="1" x14ac:dyDescent="0.25">
      <c r="A284" s="13" t="s">
        <v>184</v>
      </c>
      <c r="B284" s="14">
        <v>43536</v>
      </c>
      <c r="C284" s="13">
        <v>292</v>
      </c>
      <c r="D284" s="13" t="s">
        <v>1274</v>
      </c>
      <c r="E284" s="13" t="s">
        <v>1121</v>
      </c>
      <c r="F284" s="37">
        <v>26560</v>
      </c>
      <c r="G284" s="29" t="s">
        <v>5200</v>
      </c>
      <c r="H284" s="14">
        <v>43518</v>
      </c>
      <c r="I284" s="4" t="s">
        <v>2862</v>
      </c>
      <c r="J284" s="128"/>
    </row>
    <row r="285" spans="1:11" hidden="1" x14ac:dyDescent="0.25">
      <c r="A285" s="13" t="s">
        <v>964</v>
      </c>
      <c r="B285" s="14">
        <v>43536</v>
      </c>
      <c r="C285" s="13">
        <v>293</v>
      </c>
      <c r="D285" s="13" t="s">
        <v>1245</v>
      </c>
      <c r="E285" s="32" t="s">
        <v>1121</v>
      </c>
      <c r="F285" s="4">
        <v>21176.09</v>
      </c>
      <c r="G285" s="29" t="s">
        <v>5178</v>
      </c>
      <c r="H285" s="14">
        <v>43529</v>
      </c>
      <c r="I285" s="4" t="s">
        <v>1246</v>
      </c>
      <c r="J285" s="21" t="s">
        <v>721</v>
      </c>
      <c r="K285" s="50"/>
    </row>
    <row r="286" spans="1:11" ht="15" hidden="1" customHeight="1" x14ac:dyDescent="0.25">
      <c r="A286" s="13" t="s">
        <v>964</v>
      </c>
      <c r="B286" s="14">
        <v>43536</v>
      </c>
      <c r="C286" s="13">
        <v>294</v>
      </c>
      <c r="D286" s="13" t="s">
        <v>1885</v>
      </c>
      <c r="E286" s="32" t="s">
        <v>1121</v>
      </c>
      <c r="F286" s="4">
        <v>32400</v>
      </c>
      <c r="G286" s="28" t="s">
        <v>5219</v>
      </c>
      <c r="H286" s="14">
        <v>43524</v>
      </c>
      <c r="I286" s="4" t="s">
        <v>1892</v>
      </c>
      <c r="J286" s="76" t="s">
        <v>366</v>
      </c>
    </row>
    <row r="287" spans="1:11" ht="15" hidden="1" customHeight="1" x14ac:dyDescent="0.25">
      <c r="A287" s="13" t="s">
        <v>964</v>
      </c>
      <c r="B287" s="14">
        <v>43536</v>
      </c>
      <c r="C287" s="13">
        <v>295</v>
      </c>
      <c r="D287" s="13" t="s">
        <v>1886</v>
      </c>
      <c r="E287" s="32" t="s">
        <v>1121</v>
      </c>
      <c r="F287" s="4">
        <v>36000</v>
      </c>
      <c r="G287" s="28" t="s">
        <v>2648</v>
      </c>
      <c r="H287" s="14">
        <v>43506</v>
      </c>
      <c r="I287" s="4" t="s">
        <v>1887</v>
      </c>
      <c r="J287" s="76" t="s">
        <v>366</v>
      </c>
    </row>
    <row r="288" spans="1:11" ht="27.6" hidden="1" x14ac:dyDescent="0.25">
      <c r="A288" s="13" t="s">
        <v>964</v>
      </c>
      <c r="B288" s="14">
        <v>43536</v>
      </c>
      <c r="C288" s="13">
        <v>296</v>
      </c>
      <c r="D288" s="13" t="s">
        <v>5220</v>
      </c>
      <c r="E288" s="32" t="s">
        <v>1121</v>
      </c>
      <c r="F288" s="4">
        <v>65000</v>
      </c>
      <c r="G288" s="28" t="s">
        <v>5221</v>
      </c>
      <c r="H288" s="14">
        <v>43525</v>
      </c>
      <c r="I288" s="4" t="s">
        <v>5222</v>
      </c>
      <c r="J288" s="76" t="s">
        <v>366</v>
      </c>
    </row>
    <row r="289" spans="1:19" ht="15" hidden="1" customHeight="1" x14ac:dyDescent="0.25">
      <c r="A289" s="13" t="s">
        <v>964</v>
      </c>
      <c r="B289" s="14">
        <v>43536</v>
      </c>
      <c r="C289" s="13">
        <v>297</v>
      </c>
      <c r="D289" s="13" t="s">
        <v>5217</v>
      </c>
      <c r="E289" s="32" t="s">
        <v>1121</v>
      </c>
      <c r="F289" s="4">
        <v>50000</v>
      </c>
      <c r="G289" s="28" t="s">
        <v>730</v>
      </c>
      <c r="H289" s="14">
        <v>43508</v>
      </c>
      <c r="I289" s="4" t="s">
        <v>5218</v>
      </c>
      <c r="J289" s="76" t="s">
        <v>366</v>
      </c>
    </row>
    <row r="290" spans="1:19" s="192" customFormat="1" hidden="1" x14ac:dyDescent="0.25">
      <c r="A290" s="147" t="s">
        <v>242</v>
      </c>
      <c r="B290" s="14">
        <v>43536</v>
      </c>
      <c r="C290" s="195">
        <v>302</v>
      </c>
      <c r="D290" s="149" t="s">
        <v>784</v>
      </c>
      <c r="E290" s="147" t="s">
        <v>1121</v>
      </c>
      <c r="F290" s="158">
        <v>290356.68</v>
      </c>
      <c r="G290" s="150" t="s">
        <v>1155</v>
      </c>
      <c r="H290" s="148">
        <v>43524</v>
      </c>
      <c r="I290" s="149" t="s">
        <v>143</v>
      </c>
      <c r="J290" s="193"/>
      <c r="K290" s="194"/>
      <c r="L290" s="190"/>
    </row>
    <row r="291" spans="1:19" s="192" customFormat="1" hidden="1" x14ac:dyDescent="0.25">
      <c r="A291" s="147" t="s">
        <v>242</v>
      </c>
      <c r="B291" s="14">
        <v>43536</v>
      </c>
      <c r="C291" s="195">
        <v>302</v>
      </c>
      <c r="D291" s="149" t="s">
        <v>784</v>
      </c>
      <c r="E291" s="147" t="s">
        <v>1121</v>
      </c>
      <c r="F291" s="158">
        <v>178500</v>
      </c>
      <c r="G291" s="150" t="s">
        <v>479</v>
      </c>
      <c r="H291" s="148">
        <v>43524</v>
      </c>
      <c r="I291" s="149" t="s">
        <v>143</v>
      </c>
      <c r="J291" s="193"/>
      <c r="K291" s="194"/>
      <c r="L291" s="190"/>
    </row>
    <row r="292" spans="1:19" s="192" customFormat="1" hidden="1" x14ac:dyDescent="0.25">
      <c r="A292" s="147" t="s">
        <v>242</v>
      </c>
      <c r="B292" s="14">
        <v>43536</v>
      </c>
      <c r="C292" s="195">
        <v>302</v>
      </c>
      <c r="D292" s="149" t="s">
        <v>784</v>
      </c>
      <c r="E292" s="147" t="s">
        <v>1121</v>
      </c>
      <c r="F292" s="158">
        <v>266979.52</v>
      </c>
      <c r="G292" s="150" t="s">
        <v>308</v>
      </c>
      <c r="H292" s="148">
        <v>43524</v>
      </c>
      <c r="I292" s="149" t="s">
        <v>143</v>
      </c>
      <c r="J292" s="193"/>
      <c r="K292" s="194"/>
      <c r="L292" s="190"/>
    </row>
    <row r="293" spans="1:19" s="192" customFormat="1" hidden="1" x14ac:dyDescent="0.25">
      <c r="A293" s="147" t="s">
        <v>242</v>
      </c>
      <c r="B293" s="14">
        <v>43536</v>
      </c>
      <c r="C293" s="195">
        <v>302</v>
      </c>
      <c r="D293" s="149" t="s">
        <v>784</v>
      </c>
      <c r="E293" s="147" t="s">
        <v>1121</v>
      </c>
      <c r="F293" s="158">
        <v>173673.60000000001</v>
      </c>
      <c r="G293" s="150" t="s">
        <v>77</v>
      </c>
      <c r="H293" s="148">
        <v>43524</v>
      </c>
      <c r="I293" s="149" t="s">
        <v>143</v>
      </c>
      <c r="J293" s="193"/>
      <c r="K293" s="194"/>
      <c r="L293" s="190"/>
    </row>
    <row r="294" spans="1:19" s="192" customFormat="1" hidden="1" x14ac:dyDescent="0.25">
      <c r="A294" s="147" t="s">
        <v>242</v>
      </c>
      <c r="B294" s="14">
        <v>43536</v>
      </c>
      <c r="C294" s="195">
        <v>302</v>
      </c>
      <c r="D294" s="149" t="s">
        <v>784</v>
      </c>
      <c r="E294" s="147" t="s">
        <v>1121</v>
      </c>
      <c r="F294" s="158">
        <v>391916.48</v>
      </c>
      <c r="G294" s="150" t="s">
        <v>3592</v>
      </c>
      <c r="H294" s="148">
        <v>43524</v>
      </c>
      <c r="I294" s="149" t="s">
        <v>143</v>
      </c>
      <c r="J294" s="193"/>
      <c r="K294" s="194"/>
      <c r="L294" s="190"/>
    </row>
    <row r="295" spans="1:19" s="192" customFormat="1" ht="14.85" hidden="1" customHeight="1" x14ac:dyDescent="0.25">
      <c r="A295" s="147" t="s">
        <v>242</v>
      </c>
      <c r="B295" s="14">
        <v>43536</v>
      </c>
      <c r="C295" s="195">
        <v>304</v>
      </c>
      <c r="D295" s="149" t="s">
        <v>1816</v>
      </c>
      <c r="E295" s="147" t="s">
        <v>1121</v>
      </c>
      <c r="F295" s="158">
        <v>77677.600000000006</v>
      </c>
      <c r="G295" s="150" t="s">
        <v>299</v>
      </c>
      <c r="H295" s="148">
        <v>43524</v>
      </c>
      <c r="I295" s="149" t="s">
        <v>143</v>
      </c>
      <c r="J295" s="193"/>
      <c r="K295" s="194"/>
      <c r="L295" s="190"/>
    </row>
    <row r="296" spans="1:19" s="192" customFormat="1" ht="14.85" hidden="1" customHeight="1" x14ac:dyDescent="0.25">
      <c r="A296" s="147" t="s">
        <v>242</v>
      </c>
      <c r="B296" s="14">
        <v>43536</v>
      </c>
      <c r="C296" s="195">
        <v>304</v>
      </c>
      <c r="D296" s="149" t="s">
        <v>1816</v>
      </c>
      <c r="E296" s="147" t="s">
        <v>1121</v>
      </c>
      <c r="F296" s="158">
        <v>84872.03</v>
      </c>
      <c r="G296" s="150" t="s">
        <v>4</v>
      </c>
      <c r="H296" s="148">
        <v>43524</v>
      </c>
      <c r="I296" s="149" t="s">
        <v>143</v>
      </c>
      <c r="J296" s="193"/>
      <c r="K296" s="194"/>
      <c r="L296" s="190"/>
    </row>
    <row r="297" spans="1:19" s="192" customFormat="1" hidden="1" x14ac:dyDescent="0.25">
      <c r="A297" s="147" t="s">
        <v>242</v>
      </c>
      <c r="B297" s="14">
        <v>43536</v>
      </c>
      <c r="C297" s="187">
        <v>298</v>
      </c>
      <c r="D297" s="149" t="s">
        <v>2426</v>
      </c>
      <c r="E297" s="147" t="s">
        <v>1121</v>
      </c>
      <c r="F297" s="158">
        <v>263361.08</v>
      </c>
      <c r="G297" s="150" t="s">
        <v>1199</v>
      </c>
      <c r="H297" s="148">
        <v>43510</v>
      </c>
      <c r="I297" s="149" t="s">
        <v>143</v>
      </c>
      <c r="J297" s="193"/>
      <c r="K297" s="194"/>
      <c r="L297" s="190"/>
    </row>
    <row r="298" spans="1:19" s="192" customFormat="1" hidden="1" x14ac:dyDescent="0.25">
      <c r="A298" s="147" t="s">
        <v>242</v>
      </c>
      <c r="B298" s="14">
        <v>43536</v>
      </c>
      <c r="C298" s="187">
        <v>305</v>
      </c>
      <c r="D298" s="149" t="s">
        <v>388</v>
      </c>
      <c r="E298" s="147" t="s">
        <v>1121</v>
      </c>
      <c r="F298" s="158">
        <v>88196</v>
      </c>
      <c r="G298" s="150" t="s">
        <v>724</v>
      </c>
      <c r="H298" s="148">
        <v>43524</v>
      </c>
      <c r="I298" s="149" t="s">
        <v>143</v>
      </c>
      <c r="J298" s="193"/>
      <c r="K298" s="194"/>
      <c r="L298" s="190"/>
    </row>
    <row r="299" spans="1:19" s="192" customFormat="1" ht="14.85" hidden="1" customHeight="1" x14ac:dyDescent="0.25">
      <c r="A299" s="147" t="s">
        <v>242</v>
      </c>
      <c r="B299" s="14">
        <v>43536</v>
      </c>
      <c r="C299" s="195">
        <v>300</v>
      </c>
      <c r="D299" s="149" t="s">
        <v>840</v>
      </c>
      <c r="E299" s="147" t="s">
        <v>1121</v>
      </c>
      <c r="F299" s="158">
        <v>152826.17000000001</v>
      </c>
      <c r="G299" s="150" t="s">
        <v>4746</v>
      </c>
      <c r="H299" s="148">
        <v>43516</v>
      </c>
      <c r="I299" s="149" t="s">
        <v>143</v>
      </c>
      <c r="J299" s="193"/>
      <c r="K299" s="194"/>
      <c r="L299" s="190"/>
    </row>
    <row r="300" spans="1:19" s="192" customFormat="1" ht="14.85" hidden="1" customHeight="1" x14ac:dyDescent="0.25">
      <c r="A300" s="147" t="s">
        <v>242</v>
      </c>
      <c r="B300" s="14">
        <v>43536</v>
      </c>
      <c r="C300" s="195">
        <v>300</v>
      </c>
      <c r="D300" s="149" t="s">
        <v>840</v>
      </c>
      <c r="E300" s="147" t="s">
        <v>1121</v>
      </c>
      <c r="F300" s="158">
        <v>112507.85</v>
      </c>
      <c r="G300" s="150" t="s">
        <v>4745</v>
      </c>
      <c r="H300" s="148">
        <v>43516</v>
      </c>
      <c r="I300" s="149" t="s">
        <v>143</v>
      </c>
      <c r="J300" s="193"/>
      <c r="K300" s="194"/>
      <c r="L300" s="190"/>
    </row>
    <row r="301" spans="1:19" hidden="1" x14ac:dyDescent="0.25">
      <c r="A301" s="61" t="s">
        <v>460</v>
      </c>
      <c r="B301" s="14">
        <v>43536</v>
      </c>
      <c r="C301" s="13">
        <v>298</v>
      </c>
      <c r="D301" s="13" t="s">
        <v>3674</v>
      </c>
      <c r="E301" s="13" t="s">
        <v>494</v>
      </c>
      <c r="F301" s="256">
        <f>513569</f>
        <v>513569</v>
      </c>
      <c r="G301" s="69" t="s">
        <v>3675</v>
      </c>
      <c r="H301" s="14">
        <v>43487</v>
      </c>
      <c r="I301" s="274" t="s">
        <v>4629</v>
      </c>
      <c r="J301" s="169"/>
    </row>
    <row r="302" spans="1:19" s="129" customFormat="1" hidden="1" x14ac:dyDescent="0.25">
      <c r="A302" s="13" t="s">
        <v>151</v>
      </c>
      <c r="B302" s="14">
        <v>43536</v>
      </c>
      <c r="C302" s="28" t="s">
        <v>1524</v>
      </c>
      <c r="D302" s="13" t="s">
        <v>711</v>
      </c>
      <c r="E302" s="32" t="s">
        <v>1121</v>
      </c>
      <c r="F302" s="37">
        <f>2150+850+2900+4250+1800</f>
        <v>11950</v>
      </c>
      <c r="G302" s="28" t="s">
        <v>5169</v>
      </c>
      <c r="H302" s="28" t="s">
        <v>5168</v>
      </c>
      <c r="I302" s="4" t="s">
        <v>712</v>
      </c>
      <c r="J302" s="170"/>
      <c r="K302" s="136"/>
    </row>
    <row r="303" spans="1:19" s="62" customFormat="1" ht="15" hidden="1" customHeight="1" x14ac:dyDescent="0.25">
      <c r="A303" s="13" t="s">
        <v>151</v>
      </c>
      <c r="B303" s="14">
        <v>43536</v>
      </c>
      <c r="C303" s="28" t="s">
        <v>3977</v>
      </c>
      <c r="D303" s="13" t="s">
        <v>1555</v>
      </c>
      <c r="E303" s="32" t="s">
        <v>1121</v>
      </c>
      <c r="F303" s="37">
        <v>54142.02</v>
      </c>
      <c r="G303" s="29" t="s">
        <v>5177</v>
      </c>
      <c r="H303" s="14">
        <v>43524</v>
      </c>
      <c r="I303" s="4" t="s">
        <v>3277</v>
      </c>
      <c r="J303" s="71" t="s">
        <v>366</v>
      </c>
      <c r="O303" s="35"/>
      <c r="P303" s="35"/>
      <c r="Q303" s="35"/>
      <c r="R303" s="35"/>
      <c r="S303" s="35"/>
    </row>
    <row r="304" spans="1:19" ht="13.95" hidden="1" customHeight="1" x14ac:dyDescent="0.25">
      <c r="A304" s="32" t="s">
        <v>151</v>
      </c>
      <c r="B304" s="14">
        <v>43536</v>
      </c>
      <c r="C304" s="67" t="s">
        <v>5246</v>
      </c>
      <c r="D304" s="32" t="s">
        <v>116</v>
      </c>
      <c r="E304" s="32" t="s">
        <v>1121</v>
      </c>
      <c r="F304" s="4">
        <f>101.76+3840.19</f>
        <v>3941.9500000000003</v>
      </c>
      <c r="G304" s="28" t="s">
        <v>5216</v>
      </c>
      <c r="H304" s="14">
        <v>43524</v>
      </c>
      <c r="I304" s="4" t="s">
        <v>118</v>
      </c>
      <c r="J304" s="170"/>
      <c r="K304" s="167"/>
      <c r="L304" s="35"/>
    </row>
    <row r="305" spans="1:19" ht="13.95" hidden="1" customHeight="1" x14ac:dyDescent="0.25">
      <c r="A305" s="32" t="s">
        <v>151</v>
      </c>
      <c r="B305" s="14">
        <v>43536</v>
      </c>
      <c r="C305" s="67">
        <v>65</v>
      </c>
      <c r="D305" s="32" t="s">
        <v>5233</v>
      </c>
      <c r="E305" s="32" t="s">
        <v>22</v>
      </c>
      <c r="F305" s="4">
        <v>3540</v>
      </c>
      <c r="G305" s="28" t="s">
        <v>5234</v>
      </c>
      <c r="H305" s="14">
        <v>43531</v>
      </c>
      <c r="I305" s="4" t="s">
        <v>5235</v>
      </c>
      <c r="J305" s="170"/>
      <c r="K305" s="167"/>
      <c r="L305" s="35"/>
    </row>
    <row r="306" spans="1:19" hidden="1" x14ac:dyDescent="0.25">
      <c r="A306" s="68" t="s">
        <v>151</v>
      </c>
      <c r="B306" s="14">
        <v>43536</v>
      </c>
      <c r="C306" s="13">
        <v>68</v>
      </c>
      <c r="D306" s="32" t="s">
        <v>1169</v>
      </c>
      <c r="E306" s="32" t="s">
        <v>195</v>
      </c>
      <c r="F306" s="4">
        <v>70000</v>
      </c>
      <c r="G306" s="210" t="s">
        <v>71</v>
      </c>
      <c r="H306" s="211">
        <v>43518</v>
      </c>
      <c r="I306" s="208" t="s">
        <v>4625</v>
      </c>
      <c r="J306" s="21"/>
      <c r="K306" s="228"/>
    </row>
    <row r="307" spans="1:19" hidden="1" x14ac:dyDescent="0.25">
      <c r="A307" s="68" t="s">
        <v>151</v>
      </c>
      <c r="B307" s="14">
        <v>43536</v>
      </c>
      <c r="C307" s="13">
        <v>231</v>
      </c>
      <c r="D307" s="32" t="s">
        <v>1169</v>
      </c>
      <c r="E307" s="32" t="s">
        <v>136</v>
      </c>
      <c r="F307" s="4">
        <v>70000</v>
      </c>
      <c r="G307" s="210" t="s">
        <v>4</v>
      </c>
      <c r="H307" s="211">
        <v>43518</v>
      </c>
      <c r="I307" s="208" t="s">
        <v>4625</v>
      </c>
      <c r="J307" s="21"/>
      <c r="K307" s="228"/>
    </row>
    <row r="308" spans="1:19" hidden="1" x14ac:dyDescent="0.25">
      <c r="A308" s="68" t="s">
        <v>151</v>
      </c>
      <c r="B308" s="14">
        <v>43536</v>
      </c>
      <c r="C308" s="13">
        <v>140</v>
      </c>
      <c r="D308" s="32" t="s">
        <v>1169</v>
      </c>
      <c r="E308" s="32" t="s">
        <v>408</v>
      </c>
      <c r="F308" s="4">
        <v>70000</v>
      </c>
      <c r="G308" s="210" t="s">
        <v>306</v>
      </c>
      <c r="H308" s="211">
        <v>43518</v>
      </c>
      <c r="I308" s="208" t="s">
        <v>4625</v>
      </c>
      <c r="J308" s="21"/>
      <c r="K308" s="228"/>
    </row>
    <row r="309" spans="1:19" hidden="1" x14ac:dyDescent="0.25">
      <c r="A309" s="68" t="s">
        <v>151</v>
      </c>
      <c r="B309" s="14">
        <v>43536</v>
      </c>
      <c r="C309" s="13">
        <v>218</v>
      </c>
      <c r="D309" s="32" t="s">
        <v>1169</v>
      </c>
      <c r="E309" s="32" t="s">
        <v>144</v>
      </c>
      <c r="F309" s="4">
        <v>60000</v>
      </c>
      <c r="G309" s="210" t="s">
        <v>66</v>
      </c>
      <c r="H309" s="211">
        <v>43518</v>
      </c>
      <c r="I309" s="208" t="s">
        <v>4625</v>
      </c>
      <c r="J309" s="21"/>
      <c r="K309" s="228"/>
    </row>
    <row r="310" spans="1:19" hidden="1" x14ac:dyDescent="0.25">
      <c r="A310" s="68" t="s">
        <v>151</v>
      </c>
      <c r="B310" s="14">
        <v>43536</v>
      </c>
      <c r="C310" s="13">
        <v>20</v>
      </c>
      <c r="D310" s="32" t="s">
        <v>1169</v>
      </c>
      <c r="E310" s="32" t="s">
        <v>4603</v>
      </c>
      <c r="F310" s="4">
        <v>50000</v>
      </c>
      <c r="G310" s="210" t="s">
        <v>479</v>
      </c>
      <c r="H310" s="211">
        <v>43518</v>
      </c>
      <c r="I310" s="208" t="s">
        <v>4625</v>
      </c>
      <c r="J310" s="21"/>
      <c r="K310" s="228"/>
    </row>
    <row r="311" spans="1:19" hidden="1" x14ac:dyDescent="0.25">
      <c r="A311" s="68" t="s">
        <v>151</v>
      </c>
      <c r="B311" s="14">
        <v>43536</v>
      </c>
      <c r="C311" s="13">
        <v>14</v>
      </c>
      <c r="D311" s="32" t="s">
        <v>1169</v>
      </c>
      <c r="E311" s="32" t="s">
        <v>1221</v>
      </c>
      <c r="F311" s="4">
        <v>50000</v>
      </c>
      <c r="G311" s="210" t="s">
        <v>1155</v>
      </c>
      <c r="H311" s="211">
        <v>43518</v>
      </c>
      <c r="I311" s="208" t="s">
        <v>4625</v>
      </c>
      <c r="J311" s="21"/>
      <c r="K311" s="228"/>
    </row>
    <row r="312" spans="1:19" hidden="1" x14ac:dyDescent="0.25">
      <c r="A312" s="68" t="s">
        <v>151</v>
      </c>
      <c r="B312" s="14">
        <v>43536</v>
      </c>
      <c r="C312" s="13">
        <v>331</v>
      </c>
      <c r="D312" s="32" t="s">
        <v>1169</v>
      </c>
      <c r="E312" s="32" t="s">
        <v>60</v>
      </c>
      <c r="F312" s="4">
        <v>160000</v>
      </c>
      <c r="G312" s="210" t="s">
        <v>111</v>
      </c>
      <c r="H312" s="211">
        <v>43518</v>
      </c>
      <c r="I312" s="208" t="s">
        <v>4625</v>
      </c>
      <c r="J312" s="21"/>
      <c r="K312" s="228"/>
    </row>
    <row r="313" spans="1:19" hidden="1" x14ac:dyDescent="0.25">
      <c r="A313" s="68" t="s">
        <v>151</v>
      </c>
      <c r="B313" s="14">
        <v>43536</v>
      </c>
      <c r="C313" s="13">
        <v>189</v>
      </c>
      <c r="D313" s="32" t="s">
        <v>1169</v>
      </c>
      <c r="E313" s="32" t="s">
        <v>440</v>
      </c>
      <c r="F313" s="4">
        <v>70000</v>
      </c>
      <c r="G313" s="210" t="s">
        <v>145</v>
      </c>
      <c r="H313" s="211">
        <v>43518</v>
      </c>
      <c r="I313" s="208" t="s">
        <v>4625</v>
      </c>
      <c r="J313" s="21"/>
      <c r="K313" s="228"/>
    </row>
    <row r="314" spans="1:19" hidden="1" x14ac:dyDescent="0.25">
      <c r="A314" s="68" t="s">
        <v>151</v>
      </c>
      <c r="B314" s="14">
        <v>43536</v>
      </c>
      <c r="C314" s="13">
        <v>466</v>
      </c>
      <c r="D314" s="32" t="s">
        <v>2903</v>
      </c>
      <c r="E314" s="32" t="s">
        <v>130</v>
      </c>
      <c r="F314" s="4">
        <v>75000</v>
      </c>
      <c r="G314" s="210" t="s">
        <v>2111</v>
      </c>
      <c r="H314" s="211">
        <v>43528</v>
      </c>
      <c r="I314" s="208" t="s">
        <v>512</v>
      </c>
      <c r="J314" s="21"/>
      <c r="K314" s="228"/>
    </row>
    <row r="315" spans="1:19" hidden="1" x14ac:dyDescent="0.25">
      <c r="A315" s="68" t="s">
        <v>151</v>
      </c>
      <c r="B315" s="14">
        <v>43536</v>
      </c>
      <c r="C315" s="13">
        <v>28</v>
      </c>
      <c r="D315" s="32" t="s">
        <v>3641</v>
      </c>
      <c r="E315" s="32" t="s">
        <v>488</v>
      </c>
      <c r="F315" s="4">
        <v>6000</v>
      </c>
      <c r="G315" s="210" t="s">
        <v>5247</v>
      </c>
      <c r="H315" s="211">
        <v>43535</v>
      </c>
      <c r="I315" s="208" t="s">
        <v>512</v>
      </c>
      <c r="J315" s="21"/>
      <c r="K315" s="228"/>
    </row>
    <row r="316" spans="1:19" s="115" customFormat="1" ht="15.6" hidden="1" x14ac:dyDescent="0.25">
      <c r="A316" s="61" t="s">
        <v>651</v>
      </c>
      <c r="B316" s="14">
        <v>43536</v>
      </c>
      <c r="C316" s="13">
        <v>247</v>
      </c>
      <c r="D316" s="13" t="s">
        <v>813</v>
      </c>
      <c r="E316" s="13" t="s">
        <v>547</v>
      </c>
      <c r="F316" s="37">
        <v>250000</v>
      </c>
      <c r="G316" s="29" t="s">
        <v>810</v>
      </c>
      <c r="H316" s="14">
        <v>42340</v>
      </c>
      <c r="I316" s="41" t="s">
        <v>1560</v>
      </c>
      <c r="J316" s="258"/>
      <c r="K316" s="116"/>
      <c r="L316" s="116"/>
      <c r="M316" s="116"/>
      <c r="N316" s="116"/>
      <c r="O316" s="117"/>
      <c r="P316" s="117"/>
      <c r="Q316" s="117"/>
      <c r="R316" s="117"/>
      <c r="S316" s="117"/>
    </row>
    <row r="317" spans="1:19" ht="14.1" hidden="1" customHeight="1" x14ac:dyDescent="0.25">
      <c r="A317" s="68" t="s">
        <v>310</v>
      </c>
      <c r="B317" s="14">
        <v>43536</v>
      </c>
      <c r="C317" s="13">
        <v>100</v>
      </c>
      <c r="D317" s="32" t="s">
        <v>5516</v>
      </c>
      <c r="E317" s="13" t="s">
        <v>958</v>
      </c>
      <c r="F317" s="4">
        <v>3729000</v>
      </c>
      <c r="G317" s="86" t="s">
        <v>4991</v>
      </c>
      <c r="H317" s="211"/>
      <c r="I317" s="208" t="s">
        <v>229</v>
      </c>
      <c r="J317" s="21"/>
      <c r="K317" s="228"/>
    </row>
    <row r="318" spans="1:19" s="192" customFormat="1" hidden="1" x14ac:dyDescent="0.25">
      <c r="A318" s="147" t="s">
        <v>242</v>
      </c>
      <c r="B318" s="14">
        <v>43537</v>
      </c>
      <c r="C318" s="195">
        <v>299</v>
      </c>
      <c r="D318" s="149" t="s">
        <v>490</v>
      </c>
      <c r="E318" s="147" t="s">
        <v>1121</v>
      </c>
      <c r="F318" s="158">
        <v>459351.2</v>
      </c>
      <c r="G318" s="150" t="s">
        <v>4743</v>
      </c>
      <c r="H318" s="148">
        <v>43502</v>
      </c>
      <c r="I318" s="149" t="s">
        <v>143</v>
      </c>
      <c r="J318" s="193"/>
      <c r="K318" s="194"/>
      <c r="L318" s="190"/>
    </row>
    <row r="319" spans="1:19" s="192" customFormat="1" hidden="1" x14ac:dyDescent="0.25">
      <c r="A319" s="147" t="s">
        <v>242</v>
      </c>
      <c r="B319" s="14">
        <v>43537</v>
      </c>
      <c r="C319" s="187">
        <v>303</v>
      </c>
      <c r="D319" s="149" t="s">
        <v>291</v>
      </c>
      <c r="E319" s="147" t="s">
        <v>1121</v>
      </c>
      <c r="F319" s="158">
        <v>89325.6</v>
      </c>
      <c r="G319" s="150" t="s">
        <v>7</v>
      </c>
      <c r="H319" s="148">
        <v>43524</v>
      </c>
      <c r="I319" s="149" t="s">
        <v>143</v>
      </c>
      <c r="J319" s="193"/>
      <c r="K319" s="194"/>
      <c r="L319" s="190"/>
    </row>
    <row r="320" spans="1:19" s="192" customFormat="1" hidden="1" x14ac:dyDescent="0.25">
      <c r="A320" s="147" t="s">
        <v>242</v>
      </c>
      <c r="B320" s="14">
        <v>43537</v>
      </c>
      <c r="C320" s="187">
        <v>303</v>
      </c>
      <c r="D320" s="149" t="s">
        <v>291</v>
      </c>
      <c r="E320" s="147" t="s">
        <v>1121</v>
      </c>
      <c r="F320" s="158">
        <v>97643.7</v>
      </c>
      <c r="G320" s="150" t="s">
        <v>71</v>
      </c>
      <c r="H320" s="148">
        <v>43524</v>
      </c>
      <c r="I320" s="149" t="s">
        <v>143</v>
      </c>
      <c r="J320" s="193"/>
      <c r="K320" s="194"/>
      <c r="L320" s="190"/>
    </row>
    <row r="321" spans="1:19" s="192" customFormat="1" hidden="1" x14ac:dyDescent="0.25">
      <c r="A321" s="147" t="s">
        <v>242</v>
      </c>
      <c r="B321" s="14">
        <v>43537</v>
      </c>
      <c r="C321" s="187">
        <v>303</v>
      </c>
      <c r="D321" s="149" t="s">
        <v>291</v>
      </c>
      <c r="E321" s="147" t="s">
        <v>1121</v>
      </c>
      <c r="F321" s="158">
        <v>85486.77</v>
      </c>
      <c r="G321" s="150" t="s">
        <v>26</v>
      </c>
      <c r="H321" s="148">
        <v>43524</v>
      </c>
      <c r="I321" s="149" t="s">
        <v>143</v>
      </c>
      <c r="J321" s="193"/>
      <c r="K321" s="194"/>
      <c r="L321" s="190"/>
    </row>
    <row r="322" spans="1:19" ht="27.6" hidden="1" x14ac:dyDescent="0.25">
      <c r="A322" s="61" t="s">
        <v>460</v>
      </c>
      <c r="B322" s="14">
        <v>43537</v>
      </c>
      <c r="C322" s="13">
        <v>309</v>
      </c>
      <c r="D322" s="14" t="s">
        <v>5185</v>
      </c>
      <c r="E322" s="32" t="s">
        <v>2058</v>
      </c>
      <c r="F322" s="4">
        <v>22284</v>
      </c>
      <c r="G322" s="86" t="s">
        <v>5186</v>
      </c>
      <c r="H322" s="211"/>
      <c r="I322" s="326"/>
      <c r="K322" s="62"/>
    </row>
    <row r="323" spans="1:19" s="2" customFormat="1" ht="27.6" hidden="1" x14ac:dyDescent="0.25">
      <c r="A323" s="13" t="s">
        <v>6</v>
      </c>
      <c r="B323" s="14">
        <v>43537</v>
      </c>
      <c r="C323" s="13">
        <v>118</v>
      </c>
      <c r="D323" s="13" t="s">
        <v>1814</v>
      </c>
      <c r="E323" s="13" t="s">
        <v>183</v>
      </c>
      <c r="F323" s="4">
        <v>24000</v>
      </c>
      <c r="G323" s="29" t="s">
        <v>1158</v>
      </c>
      <c r="H323" s="14">
        <v>43529</v>
      </c>
      <c r="I323" s="4" t="s">
        <v>5160</v>
      </c>
      <c r="J323" s="341"/>
      <c r="K323" s="31"/>
      <c r="L323" s="31"/>
      <c r="M323" s="31"/>
      <c r="N323" s="31"/>
      <c r="O323" s="34"/>
      <c r="P323" s="34"/>
      <c r="Q323" s="34"/>
      <c r="R323" s="34"/>
      <c r="S323" s="34"/>
    </row>
    <row r="324" spans="1:19" s="2" customFormat="1" hidden="1" x14ac:dyDescent="0.25">
      <c r="A324" s="13" t="s">
        <v>6</v>
      </c>
      <c r="B324" s="14">
        <v>43537</v>
      </c>
      <c r="C324" s="13">
        <v>119</v>
      </c>
      <c r="D324" s="13" t="s">
        <v>768</v>
      </c>
      <c r="E324" s="13" t="s">
        <v>183</v>
      </c>
      <c r="F324" s="4">
        <v>90000</v>
      </c>
      <c r="G324" s="29" t="s">
        <v>3104</v>
      </c>
      <c r="H324" s="14">
        <v>43530</v>
      </c>
      <c r="I324" s="4" t="s">
        <v>5161</v>
      </c>
      <c r="J324" s="341"/>
      <c r="K324" s="31"/>
      <c r="L324" s="31"/>
      <c r="M324" s="31"/>
      <c r="N324" s="31"/>
      <c r="O324" s="34"/>
      <c r="P324" s="34"/>
      <c r="Q324" s="34"/>
      <c r="R324" s="34"/>
      <c r="S324" s="34"/>
    </row>
    <row r="325" spans="1:19" s="2" customFormat="1" ht="15" hidden="1" customHeight="1" x14ac:dyDescent="0.25">
      <c r="A325" s="13" t="s">
        <v>6</v>
      </c>
      <c r="B325" s="14">
        <v>43537</v>
      </c>
      <c r="C325" s="13">
        <v>120</v>
      </c>
      <c r="D325" s="32" t="s">
        <v>863</v>
      </c>
      <c r="E325" s="13" t="s">
        <v>183</v>
      </c>
      <c r="F325" s="4">
        <v>112640</v>
      </c>
      <c r="G325" s="29" t="s">
        <v>5214</v>
      </c>
      <c r="H325" s="14">
        <v>43516</v>
      </c>
      <c r="I325" s="4" t="s">
        <v>354</v>
      </c>
      <c r="J325" s="341"/>
      <c r="K325" s="31"/>
      <c r="L325" s="31"/>
      <c r="M325" s="31"/>
      <c r="N325" s="31"/>
      <c r="O325" s="34"/>
      <c r="P325" s="34"/>
      <c r="Q325" s="34"/>
      <c r="R325" s="34"/>
      <c r="S325" s="34"/>
    </row>
    <row r="326" spans="1:19" hidden="1" x14ac:dyDescent="0.25">
      <c r="A326" s="13" t="s">
        <v>311</v>
      </c>
      <c r="B326" s="14">
        <v>43537</v>
      </c>
      <c r="C326" s="13">
        <v>211</v>
      </c>
      <c r="D326" s="13" t="s">
        <v>5027</v>
      </c>
      <c r="E326" s="13" t="s">
        <v>958</v>
      </c>
      <c r="F326" s="4">
        <v>17500</v>
      </c>
      <c r="G326" s="28" t="s">
        <v>5028</v>
      </c>
      <c r="H326" s="14">
        <v>43465</v>
      </c>
      <c r="I326" s="4" t="s">
        <v>5029</v>
      </c>
      <c r="J326" s="341"/>
      <c r="K326" s="31"/>
      <c r="L326" s="21"/>
      <c r="M326" s="21"/>
      <c r="N326" s="21"/>
      <c r="O326" s="21"/>
    </row>
    <row r="327" spans="1:19" ht="27.6" hidden="1" x14ac:dyDescent="0.25">
      <c r="A327" s="68" t="s">
        <v>55</v>
      </c>
      <c r="B327" s="14">
        <v>43537</v>
      </c>
      <c r="C327" s="67">
        <v>475</v>
      </c>
      <c r="D327" s="32" t="s">
        <v>5226</v>
      </c>
      <c r="E327" s="32" t="s">
        <v>1427</v>
      </c>
      <c r="F327" s="4">
        <v>75000</v>
      </c>
      <c r="G327" s="28" t="s">
        <v>479</v>
      </c>
      <c r="H327" s="14">
        <v>192</v>
      </c>
      <c r="I327" s="41" t="s">
        <v>5227</v>
      </c>
      <c r="J327" s="35"/>
      <c r="K327" s="167"/>
      <c r="L327" s="35"/>
    </row>
    <row r="328" spans="1:19" hidden="1" x14ac:dyDescent="0.25">
      <c r="A328" s="13" t="s">
        <v>188</v>
      </c>
      <c r="B328" s="14">
        <v>43537</v>
      </c>
      <c r="C328" s="28" t="s">
        <v>3852</v>
      </c>
      <c r="D328" s="13" t="s">
        <v>5170</v>
      </c>
      <c r="E328" s="13" t="s">
        <v>483</v>
      </c>
      <c r="F328" s="37">
        <v>50000</v>
      </c>
      <c r="G328" s="69" t="s">
        <v>5193</v>
      </c>
      <c r="H328" s="14"/>
      <c r="I328" s="4" t="s">
        <v>1150</v>
      </c>
      <c r="J328" s="128"/>
    </row>
    <row r="329" spans="1:19" hidden="1" x14ac:dyDescent="0.25">
      <c r="A329" s="61" t="s">
        <v>460</v>
      </c>
      <c r="B329" s="14">
        <v>43537</v>
      </c>
      <c r="C329" s="13">
        <v>48</v>
      </c>
      <c r="D329" s="14" t="s">
        <v>3740</v>
      </c>
      <c r="E329" s="32" t="s">
        <v>483</v>
      </c>
      <c r="F329" s="4">
        <v>39015</v>
      </c>
      <c r="G329" s="86" t="s">
        <v>3741</v>
      </c>
      <c r="H329" s="211"/>
      <c r="I329" s="326"/>
      <c r="K329" s="62"/>
    </row>
    <row r="330" spans="1:19" hidden="1" x14ac:dyDescent="0.25">
      <c r="A330" s="61" t="s">
        <v>460</v>
      </c>
      <c r="B330" s="14">
        <v>43537</v>
      </c>
      <c r="C330" s="13">
        <v>49</v>
      </c>
      <c r="D330" s="14" t="s">
        <v>3742</v>
      </c>
      <c r="E330" s="32" t="s">
        <v>483</v>
      </c>
      <c r="F330" s="4">
        <v>51000</v>
      </c>
      <c r="G330" s="86" t="s">
        <v>3743</v>
      </c>
      <c r="H330" s="211"/>
      <c r="I330" s="326"/>
      <c r="K330" s="62"/>
    </row>
    <row r="331" spans="1:19" hidden="1" x14ac:dyDescent="0.25">
      <c r="A331" s="61" t="s">
        <v>460</v>
      </c>
      <c r="B331" s="14">
        <v>43537</v>
      </c>
      <c r="C331" s="13">
        <v>50</v>
      </c>
      <c r="D331" s="14" t="s">
        <v>3744</v>
      </c>
      <c r="E331" s="32" t="s">
        <v>483</v>
      </c>
      <c r="F331" s="4">
        <v>47060</v>
      </c>
      <c r="G331" s="86" t="s">
        <v>3747</v>
      </c>
      <c r="H331" s="211"/>
      <c r="I331" s="326"/>
      <c r="K331" s="62"/>
    </row>
    <row r="332" spans="1:19" hidden="1" x14ac:dyDescent="0.25">
      <c r="A332" s="61" t="s">
        <v>460</v>
      </c>
      <c r="B332" s="14">
        <v>43537</v>
      </c>
      <c r="C332" s="13">
        <v>51</v>
      </c>
      <c r="D332" s="14" t="s">
        <v>3745</v>
      </c>
      <c r="E332" s="32" t="s">
        <v>483</v>
      </c>
      <c r="F332" s="4">
        <v>49183</v>
      </c>
      <c r="G332" s="86" t="s">
        <v>3746</v>
      </c>
      <c r="H332" s="211"/>
      <c r="I332" s="326"/>
      <c r="K332" s="62"/>
    </row>
    <row r="333" spans="1:19" hidden="1" x14ac:dyDescent="0.25">
      <c r="A333" s="61" t="s">
        <v>460</v>
      </c>
      <c r="B333" s="14">
        <v>43537</v>
      </c>
      <c r="C333" s="13">
        <v>52</v>
      </c>
      <c r="D333" s="14" t="s">
        <v>3748</v>
      </c>
      <c r="E333" s="32" t="s">
        <v>483</v>
      </c>
      <c r="F333" s="4">
        <v>35992</v>
      </c>
      <c r="G333" s="86" t="s">
        <v>3749</v>
      </c>
      <c r="H333" s="211"/>
      <c r="I333" s="326"/>
      <c r="K333" s="62"/>
    </row>
    <row r="334" spans="1:19" hidden="1" x14ac:dyDescent="0.25">
      <c r="A334" s="61" t="s">
        <v>460</v>
      </c>
      <c r="B334" s="14">
        <v>43537</v>
      </c>
      <c r="C334" s="13">
        <v>19</v>
      </c>
      <c r="D334" s="13" t="s">
        <v>3682</v>
      </c>
      <c r="E334" s="13" t="s">
        <v>482</v>
      </c>
      <c r="F334" s="256">
        <v>94823</v>
      </c>
      <c r="G334" s="69" t="s">
        <v>3701</v>
      </c>
      <c r="H334" s="14"/>
      <c r="I334" s="274"/>
      <c r="J334" s="169"/>
    </row>
    <row r="335" spans="1:19" hidden="1" x14ac:dyDescent="0.25">
      <c r="A335" s="61" t="s">
        <v>460</v>
      </c>
      <c r="B335" s="14">
        <v>43537</v>
      </c>
      <c r="C335" s="13">
        <v>20</v>
      </c>
      <c r="D335" s="13" t="s">
        <v>3702</v>
      </c>
      <c r="E335" s="13" t="s">
        <v>482</v>
      </c>
      <c r="F335" s="256">
        <v>55106</v>
      </c>
      <c r="G335" s="69" t="s">
        <v>3703</v>
      </c>
      <c r="H335" s="14"/>
      <c r="I335" s="274"/>
      <c r="J335" s="169"/>
    </row>
    <row r="336" spans="1:19" hidden="1" x14ac:dyDescent="0.25">
      <c r="A336" s="61" t="s">
        <v>460</v>
      </c>
      <c r="B336" s="14">
        <v>43537</v>
      </c>
      <c r="C336" s="13">
        <v>21</v>
      </c>
      <c r="D336" s="13" t="s">
        <v>3957</v>
      </c>
      <c r="E336" s="13" t="s">
        <v>482</v>
      </c>
      <c r="F336" s="256">
        <v>61394</v>
      </c>
      <c r="G336" s="69" t="s">
        <v>3958</v>
      </c>
      <c r="H336" s="14"/>
      <c r="I336" s="274"/>
      <c r="J336" s="169"/>
    </row>
    <row r="337" spans="1:12" hidden="1" x14ac:dyDescent="0.25">
      <c r="A337" s="61" t="s">
        <v>460</v>
      </c>
      <c r="B337" s="14">
        <v>43537</v>
      </c>
      <c r="C337" s="13">
        <v>22</v>
      </c>
      <c r="D337" s="13" t="s">
        <v>4263</v>
      </c>
      <c r="E337" s="13" t="s">
        <v>482</v>
      </c>
      <c r="F337" s="256">
        <v>97951</v>
      </c>
      <c r="G337" s="69" t="s">
        <v>4264</v>
      </c>
      <c r="H337" s="14"/>
      <c r="I337" s="274"/>
      <c r="J337" s="169"/>
    </row>
    <row r="338" spans="1:12" hidden="1" x14ac:dyDescent="0.25">
      <c r="A338" s="61" t="s">
        <v>460</v>
      </c>
      <c r="B338" s="14">
        <v>43537</v>
      </c>
      <c r="C338" s="13">
        <v>23</v>
      </c>
      <c r="D338" s="13" t="s">
        <v>4580</v>
      </c>
      <c r="E338" s="13" t="s">
        <v>482</v>
      </c>
      <c r="F338" s="256">
        <v>59182</v>
      </c>
      <c r="G338" s="69" t="s">
        <v>4581</v>
      </c>
      <c r="H338" s="14"/>
      <c r="I338" s="274"/>
      <c r="J338" s="169"/>
    </row>
    <row r="339" spans="1:12" hidden="1" x14ac:dyDescent="0.25">
      <c r="A339" s="68" t="s">
        <v>637</v>
      </c>
      <c r="B339" s="14">
        <v>43537</v>
      </c>
      <c r="C339" s="13">
        <v>253</v>
      </c>
      <c r="D339" s="32" t="s">
        <v>1135</v>
      </c>
      <c r="E339" s="32" t="s">
        <v>547</v>
      </c>
      <c r="F339" s="4">
        <v>50848.800000000003</v>
      </c>
      <c r="G339" s="210" t="s">
        <v>5198</v>
      </c>
      <c r="H339" s="211">
        <v>43522</v>
      </c>
      <c r="I339" s="208" t="s">
        <v>5199</v>
      </c>
      <c r="J339" s="21"/>
      <c r="K339" s="228"/>
    </row>
    <row r="340" spans="1:12" hidden="1" x14ac:dyDescent="0.25">
      <c r="A340" s="68" t="s">
        <v>637</v>
      </c>
      <c r="B340" s="14">
        <v>43537</v>
      </c>
      <c r="C340" s="13">
        <v>252</v>
      </c>
      <c r="D340" s="32" t="s">
        <v>1135</v>
      </c>
      <c r="E340" s="32" t="s">
        <v>547</v>
      </c>
      <c r="F340" s="4">
        <v>38397.599999999999</v>
      </c>
      <c r="G340" s="210" t="s">
        <v>5194</v>
      </c>
      <c r="H340" s="211">
        <v>43528</v>
      </c>
      <c r="I340" s="208" t="s">
        <v>5195</v>
      </c>
      <c r="J340" s="21"/>
      <c r="K340" s="228"/>
    </row>
    <row r="341" spans="1:12" hidden="1" x14ac:dyDescent="0.25">
      <c r="A341" s="68" t="s">
        <v>637</v>
      </c>
      <c r="B341" s="14">
        <v>43537</v>
      </c>
      <c r="C341" s="13">
        <v>251</v>
      </c>
      <c r="D341" s="32" t="s">
        <v>1135</v>
      </c>
      <c r="E341" s="32" t="s">
        <v>547</v>
      </c>
      <c r="F341" s="4">
        <v>38674.800000000003</v>
      </c>
      <c r="G341" s="210" t="s">
        <v>5196</v>
      </c>
      <c r="H341" s="211">
        <v>43528</v>
      </c>
      <c r="I341" s="208" t="s">
        <v>5197</v>
      </c>
      <c r="J341" s="21"/>
      <c r="K341" s="228"/>
    </row>
    <row r="342" spans="1:12" s="97" customFormat="1" hidden="1" x14ac:dyDescent="0.25">
      <c r="A342" s="13" t="s">
        <v>637</v>
      </c>
      <c r="B342" s="14">
        <v>43537</v>
      </c>
      <c r="C342" s="13">
        <v>249</v>
      </c>
      <c r="D342" s="13" t="s">
        <v>3056</v>
      </c>
      <c r="E342" s="13" t="s">
        <v>547</v>
      </c>
      <c r="F342" s="4">
        <v>39700</v>
      </c>
      <c r="G342" s="29" t="s">
        <v>5231</v>
      </c>
      <c r="H342" s="14">
        <v>43524</v>
      </c>
      <c r="I342" s="4" t="s">
        <v>3057</v>
      </c>
      <c r="J342" s="358"/>
      <c r="K342" s="76"/>
      <c r="L342" s="134"/>
    </row>
    <row r="343" spans="1:12" s="97" customFormat="1" hidden="1" x14ac:dyDescent="0.25">
      <c r="A343" s="13" t="s">
        <v>639</v>
      </c>
      <c r="B343" s="14">
        <v>43537</v>
      </c>
      <c r="C343" s="13">
        <v>250</v>
      </c>
      <c r="D343" s="13" t="s">
        <v>3056</v>
      </c>
      <c r="E343" s="13" t="s">
        <v>547</v>
      </c>
      <c r="F343" s="4">
        <v>105700</v>
      </c>
      <c r="G343" s="29" t="s">
        <v>5231</v>
      </c>
      <c r="H343" s="14">
        <v>43524</v>
      </c>
      <c r="I343" s="4" t="s">
        <v>3057</v>
      </c>
      <c r="J343" s="358"/>
      <c r="K343" s="76"/>
      <c r="L343" s="134"/>
    </row>
    <row r="344" spans="1:12" ht="13.95" hidden="1" customHeight="1" x14ac:dyDescent="0.25">
      <c r="A344" s="68" t="s">
        <v>638</v>
      </c>
      <c r="B344" s="14">
        <v>43537</v>
      </c>
      <c r="C344" s="67">
        <v>254</v>
      </c>
      <c r="D344" s="32" t="s">
        <v>595</v>
      </c>
      <c r="E344" s="32" t="s">
        <v>547</v>
      </c>
      <c r="F344" s="4">
        <f>1448933.19-500000</f>
        <v>948933.19</v>
      </c>
      <c r="G344" s="28" t="s">
        <v>84</v>
      </c>
      <c r="H344" s="14">
        <v>43496</v>
      </c>
      <c r="I344" s="41" t="s">
        <v>949</v>
      </c>
      <c r="J344" s="166" t="s">
        <v>239</v>
      </c>
      <c r="K344" s="167"/>
      <c r="L344" s="35"/>
    </row>
    <row r="345" spans="1:12" ht="13.95" hidden="1" customHeight="1" x14ac:dyDescent="0.25">
      <c r="A345" s="13" t="s">
        <v>213</v>
      </c>
      <c r="B345" s="14">
        <v>43537</v>
      </c>
      <c r="C345" s="13">
        <v>235</v>
      </c>
      <c r="D345" s="13" t="s">
        <v>584</v>
      </c>
      <c r="E345" s="32" t="s">
        <v>136</v>
      </c>
      <c r="F345" s="4">
        <v>811296</v>
      </c>
      <c r="G345" s="69" t="s">
        <v>1593</v>
      </c>
      <c r="H345" s="14"/>
      <c r="I345" s="4" t="s">
        <v>20</v>
      </c>
      <c r="J345" s="21"/>
      <c r="K345" s="228"/>
    </row>
    <row r="346" spans="1:12" ht="13.95" hidden="1" customHeight="1" x14ac:dyDescent="0.25">
      <c r="A346" s="13" t="s">
        <v>91</v>
      </c>
      <c r="B346" s="14">
        <v>43537</v>
      </c>
      <c r="C346" s="13">
        <v>473</v>
      </c>
      <c r="D346" s="32" t="s">
        <v>1907</v>
      </c>
      <c r="E346" s="32" t="s">
        <v>130</v>
      </c>
      <c r="F346" s="4">
        <v>1000000</v>
      </c>
      <c r="G346" s="86" t="s">
        <v>2797</v>
      </c>
      <c r="H346" s="14"/>
      <c r="I346" s="41" t="s">
        <v>1834</v>
      </c>
      <c r="J346" s="21"/>
      <c r="K346" s="228"/>
    </row>
    <row r="347" spans="1:12" hidden="1" x14ac:dyDescent="0.25">
      <c r="A347" s="13" t="s">
        <v>151</v>
      </c>
      <c r="B347" s="14">
        <v>43537</v>
      </c>
      <c r="C347" s="28" t="s">
        <v>4956</v>
      </c>
      <c r="D347" s="13" t="s">
        <v>5188</v>
      </c>
      <c r="E347" s="13" t="s">
        <v>130</v>
      </c>
      <c r="F347" s="37">
        <v>15000</v>
      </c>
      <c r="G347" s="29" t="s">
        <v>2357</v>
      </c>
      <c r="H347" s="14">
        <v>43529</v>
      </c>
      <c r="I347" s="4" t="s">
        <v>5189</v>
      </c>
      <c r="J347" s="128"/>
    </row>
    <row r="348" spans="1:12" s="97" customFormat="1" hidden="1" x14ac:dyDescent="0.25">
      <c r="A348" s="61" t="s">
        <v>956</v>
      </c>
      <c r="B348" s="14">
        <v>43537</v>
      </c>
      <c r="C348" s="13">
        <v>158</v>
      </c>
      <c r="D348" s="13" t="s">
        <v>280</v>
      </c>
      <c r="E348" s="13" t="s">
        <v>481</v>
      </c>
      <c r="F348" s="37">
        <v>4832</v>
      </c>
      <c r="G348" s="29" t="s">
        <v>3964</v>
      </c>
      <c r="H348" s="14">
        <v>43504</v>
      </c>
      <c r="I348" s="4" t="s">
        <v>4125</v>
      </c>
      <c r="J348" s="133"/>
      <c r="K348" s="22"/>
      <c r="L348" s="134"/>
    </row>
    <row r="349" spans="1:12" s="97" customFormat="1" hidden="1" x14ac:dyDescent="0.25">
      <c r="A349" s="61" t="s">
        <v>956</v>
      </c>
      <c r="B349" s="14">
        <v>43537</v>
      </c>
      <c r="C349" s="13">
        <v>158</v>
      </c>
      <c r="D349" s="13" t="s">
        <v>280</v>
      </c>
      <c r="E349" s="13" t="s">
        <v>481</v>
      </c>
      <c r="F349" s="37">
        <v>8312</v>
      </c>
      <c r="G349" s="29" t="s">
        <v>25</v>
      </c>
      <c r="H349" s="14">
        <v>43508</v>
      </c>
      <c r="I349" s="4" t="s">
        <v>4371</v>
      </c>
      <c r="J349" s="133"/>
      <c r="K349" s="22"/>
      <c r="L349" s="134"/>
    </row>
    <row r="350" spans="1:12" hidden="1" x14ac:dyDescent="0.25">
      <c r="A350" s="32" t="s">
        <v>151</v>
      </c>
      <c r="B350" s="14">
        <v>43537</v>
      </c>
      <c r="C350" s="67">
        <v>159</v>
      </c>
      <c r="D350" s="32" t="s">
        <v>93</v>
      </c>
      <c r="E350" s="13" t="s">
        <v>481</v>
      </c>
      <c r="F350" s="4">
        <v>3000</v>
      </c>
      <c r="G350" s="67">
        <v>1165</v>
      </c>
      <c r="H350" s="14">
        <v>43536</v>
      </c>
      <c r="I350" s="4" t="s">
        <v>5224</v>
      </c>
      <c r="J350" s="21"/>
      <c r="K350" s="228"/>
    </row>
    <row r="351" spans="1:12" ht="13.95" hidden="1" customHeight="1" x14ac:dyDescent="0.25">
      <c r="A351" s="68" t="s">
        <v>1637</v>
      </c>
      <c r="B351" s="14">
        <v>43537</v>
      </c>
      <c r="C351" s="13">
        <v>439</v>
      </c>
      <c r="D351" s="32" t="s">
        <v>1644</v>
      </c>
      <c r="E351" s="32" t="s">
        <v>62</v>
      </c>
      <c r="F351" s="4">
        <v>7000000</v>
      </c>
      <c r="G351" s="86" t="s">
        <v>4252</v>
      </c>
      <c r="H351" s="211"/>
      <c r="I351" s="84" t="s">
        <v>23</v>
      </c>
      <c r="J351" s="21"/>
      <c r="K351" s="228"/>
    </row>
    <row r="352" spans="1:12" ht="15" hidden="1" customHeight="1" x14ac:dyDescent="0.25">
      <c r="A352" s="68" t="s">
        <v>92</v>
      </c>
      <c r="B352" s="14">
        <v>43537</v>
      </c>
      <c r="C352" s="13">
        <v>440</v>
      </c>
      <c r="D352" s="13" t="s">
        <v>969</v>
      </c>
      <c r="E352" s="32" t="s">
        <v>62</v>
      </c>
      <c r="F352" s="4">
        <v>10000000</v>
      </c>
      <c r="G352" s="86" t="s">
        <v>2035</v>
      </c>
      <c r="H352" s="14"/>
      <c r="I352" s="4" t="s">
        <v>229</v>
      </c>
      <c r="J352" s="71"/>
      <c r="K352" s="62"/>
      <c r="L352" s="62"/>
    </row>
    <row r="353" spans="1:12" ht="13.2" hidden="1" customHeight="1" x14ac:dyDescent="0.25">
      <c r="A353" s="32" t="s">
        <v>534</v>
      </c>
      <c r="B353" s="14">
        <v>43537</v>
      </c>
      <c r="C353" s="13">
        <v>441</v>
      </c>
      <c r="D353" s="32" t="s">
        <v>626</v>
      </c>
      <c r="E353" s="32" t="s">
        <v>62</v>
      </c>
      <c r="F353" s="4">
        <v>1000000</v>
      </c>
      <c r="G353" s="86" t="s">
        <v>625</v>
      </c>
      <c r="H353" s="211"/>
      <c r="I353" s="208" t="s">
        <v>427</v>
      </c>
      <c r="J353" s="21"/>
      <c r="K353" s="228"/>
    </row>
    <row r="354" spans="1:12" ht="13.95" hidden="1" customHeight="1" x14ac:dyDescent="0.25">
      <c r="A354" s="32" t="s">
        <v>442</v>
      </c>
      <c r="B354" s="14">
        <v>43537</v>
      </c>
      <c r="C354" s="13" t="s">
        <v>5330</v>
      </c>
      <c r="D354" s="13" t="s">
        <v>506</v>
      </c>
      <c r="E354" s="32" t="s">
        <v>62</v>
      </c>
      <c r="F354" s="4">
        <v>1000000</v>
      </c>
      <c r="G354" s="69" t="s">
        <v>1523</v>
      </c>
      <c r="H354" s="14"/>
      <c r="I354" s="4" t="s">
        <v>240</v>
      </c>
      <c r="J354" s="71">
        <f>F354-189132.66</f>
        <v>810867.34</v>
      </c>
      <c r="K354" s="228"/>
    </row>
    <row r="355" spans="1:12" ht="13.95" hidden="1" customHeight="1" x14ac:dyDescent="0.25">
      <c r="A355" s="61" t="s">
        <v>91</v>
      </c>
      <c r="B355" s="14">
        <v>43537</v>
      </c>
      <c r="C355" s="13">
        <v>444</v>
      </c>
      <c r="D355" s="13" t="s">
        <v>3301</v>
      </c>
      <c r="E355" s="32" t="s">
        <v>62</v>
      </c>
      <c r="F355" s="4">
        <v>1500000</v>
      </c>
      <c r="G355" s="86" t="s">
        <v>3302</v>
      </c>
      <c r="H355" s="211"/>
      <c r="I355" s="4" t="s">
        <v>3303</v>
      </c>
      <c r="J355" s="21"/>
      <c r="K355" s="228"/>
    </row>
    <row r="356" spans="1:12" ht="13.2" hidden="1" customHeight="1" x14ac:dyDescent="0.25">
      <c r="A356" s="32" t="s">
        <v>129</v>
      </c>
      <c r="B356" s="14">
        <v>43537</v>
      </c>
      <c r="C356" s="13">
        <v>445</v>
      </c>
      <c r="D356" s="32" t="s">
        <v>352</v>
      </c>
      <c r="E356" s="32" t="s">
        <v>62</v>
      </c>
      <c r="F356" s="4">
        <v>669395</v>
      </c>
      <c r="G356" s="69" t="s">
        <v>805</v>
      </c>
      <c r="H356" s="14"/>
      <c r="I356" s="4" t="s">
        <v>806</v>
      </c>
      <c r="J356" s="21"/>
      <c r="K356" s="228"/>
    </row>
    <row r="357" spans="1:12" ht="13.95" hidden="1" customHeight="1" x14ac:dyDescent="0.25">
      <c r="A357" s="61" t="s">
        <v>1285</v>
      </c>
      <c r="B357" s="14">
        <v>43537</v>
      </c>
      <c r="C357" s="13">
        <v>446</v>
      </c>
      <c r="D357" s="13" t="s">
        <v>352</v>
      </c>
      <c r="E357" s="32" t="s">
        <v>62</v>
      </c>
      <c r="F357" s="4">
        <v>330605</v>
      </c>
      <c r="G357" s="86" t="s">
        <v>1520</v>
      </c>
      <c r="H357" s="211"/>
      <c r="I357" s="4" t="s">
        <v>218</v>
      </c>
      <c r="J357" s="21"/>
      <c r="K357" s="228"/>
    </row>
    <row r="358" spans="1:12" s="97" customFormat="1" hidden="1" x14ac:dyDescent="0.25">
      <c r="A358" s="61" t="s">
        <v>442</v>
      </c>
      <c r="B358" s="14">
        <v>43537</v>
      </c>
      <c r="C358" s="13">
        <v>447</v>
      </c>
      <c r="D358" s="13" t="s">
        <v>2697</v>
      </c>
      <c r="E358" s="13" t="s">
        <v>62</v>
      </c>
      <c r="F358" s="37">
        <v>283232</v>
      </c>
      <c r="G358" s="29" t="s">
        <v>4296</v>
      </c>
      <c r="H358" s="14">
        <v>43517</v>
      </c>
      <c r="I358" s="4" t="s">
        <v>1244</v>
      </c>
      <c r="J358" s="133"/>
      <c r="K358" s="22"/>
      <c r="L358" s="134"/>
    </row>
    <row r="359" spans="1:12" s="97" customFormat="1" hidden="1" x14ac:dyDescent="0.25">
      <c r="A359" s="61" t="s">
        <v>442</v>
      </c>
      <c r="B359" s="14">
        <v>43537</v>
      </c>
      <c r="C359" s="13">
        <v>448</v>
      </c>
      <c r="D359" s="13" t="s">
        <v>740</v>
      </c>
      <c r="E359" s="13" t="s">
        <v>62</v>
      </c>
      <c r="F359" s="37">
        <v>109000</v>
      </c>
      <c r="G359" s="210" t="s">
        <v>2545</v>
      </c>
      <c r="H359" s="211">
        <v>43417</v>
      </c>
      <c r="I359" s="4" t="s">
        <v>900</v>
      </c>
      <c r="J359" s="133"/>
      <c r="K359" s="22"/>
      <c r="L359" s="134"/>
    </row>
    <row r="360" spans="1:12" s="97" customFormat="1" hidden="1" x14ac:dyDescent="0.25">
      <c r="A360" s="61" t="s">
        <v>91</v>
      </c>
      <c r="B360" s="14">
        <v>43537</v>
      </c>
      <c r="C360" s="13">
        <v>448</v>
      </c>
      <c r="D360" s="13" t="s">
        <v>740</v>
      </c>
      <c r="E360" s="13" t="s">
        <v>62</v>
      </c>
      <c r="F360" s="37">
        <v>554040</v>
      </c>
      <c r="G360" s="29" t="s">
        <v>2547</v>
      </c>
      <c r="H360" s="14">
        <v>43427</v>
      </c>
      <c r="I360" s="4" t="s">
        <v>2548</v>
      </c>
      <c r="J360" s="133"/>
      <c r="K360" s="22"/>
      <c r="L360" s="134"/>
    </row>
    <row r="361" spans="1:12" s="97" customFormat="1" hidden="1" x14ac:dyDescent="0.25">
      <c r="A361" s="61" t="s">
        <v>91</v>
      </c>
      <c r="B361" s="14">
        <v>43537</v>
      </c>
      <c r="C361" s="13">
        <v>448</v>
      </c>
      <c r="D361" s="13" t="s">
        <v>740</v>
      </c>
      <c r="E361" s="13" t="s">
        <v>62</v>
      </c>
      <c r="F361" s="37">
        <v>36625</v>
      </c>
      <c r="G361" s="29" t="s">
        <v>2549</v>
      </c>
      <c r="H361" s="14">
        <v>43430</v>
      </c>
      <c r="I361" s="4" t="s">
        <v>370</v>
      </c>
      <c r="J361" s="133"/>
      <c r="K361" s="22"/>
      <c r="L361" s="134"/>
    </row>
    <row r="362" spans="1:12" s="97" customFormat="1" hidden="1" x14ac:dyDescent="0.25">
      <c r="A362" s="13" t="s">
        <v>2706</v>
      </c>
      <c r="B362" s="14">
        <v>43537</v>
      </c>
      <c r="C362" s="13">
        <v>448</v>
      </c>
      <c r="D362" s="13" t="s">
        <v>740</v>
      </c>
      <c r="E362" s="13" t="s">
        <v>62</v>
      </c>
      <c r="F362" s="37">
        <v>8430</v>
      </c>
      <c r="G362" s="29" t="s">
        <v>2707</v>
      </c>
      <c r="H362" s="14">
        <v>43433</v>
      </c>
      <c r="I362" s="4" t="s">
        <v>2708</v>
      </c>
      <c r="J362" s="133"/>
      <c r="K362" s="22"/>
      <c r="L362" s="134"/>
    </row>
    <row r="363" spans="1:12" s="97" customFormat="1" hidden="1" x14ac:dyDescent="0.25">
      <c r="A363" s="61" t="s">
        <v>442</v>
      </c>
      <c r="B363" s="14">
        <v>43537</v>
      </c>
      <c r="C363" s="13">
        <v>449</v>
      </c>
      <c r="D363" s="13" t="s">
        <v>1353</v>
      </c>
      <c r="E363" s="13" t="s">
        <v>62</v>
      </c>
      <c r="F363" s="37">
        <v>3162</v>
      </c>
      <c r="G363" s="29" t="s">
        <v>1782</v>
      </c>
      <c r="H363" s="14">
        <v>43517</v>
      </c>
      <c r="I363" s="4" t="s">
        <v>108</v>
      </c>
      <c r="J363" s="133"/>
      <c r="K363" s="22"/>
      <c r="L363" s="134"/>
    </row>
    <row r="364" spans="1:12" s="97" customFormat="1" hidden="1" x14ac:dyDescent="0.25">
      <c r="A364" s="61" t="s">
        <v>92</v>
      </c>
      <c r="B364" s="14">
        <v>43537</v>
      </c>
      <c r="C364" s="13">
        <v>450</v>
      </c>
      <c r="D364" s="13" t="s">
        <v>1065</v>
      </c>
      <c r="E364" s="13" t="s">
        <v>62</v>
      </c>
      <c r="F364" s="37">
        <v>7517.52</v>
      </c>
      <c r="G364" s="29" t="s">
        <v>730</v>
      </c>
      <c r="H364" s="14">
        <v>43501</v>
      </c>
      <c r="I364" s="4" t="s">
        <v>3891</v>
      </c>
      <c r="J364" s="133"/>
      <c r="K364" s="22"/>
      <c r="L364" s="134"/>
    </row>
    <row r="365" spans="1:12" s="97" customFormat="1" hidden="1" x14ac:dyDescent="0.25">
      <c r="A365" s="32" t="s">
        <v>358</v>
      </c>
      <c r="B365" s="14">
        <v>43537</v>
      </c>
      <c r="C365" s="13">
        <v>450</v>
      </c>
      <c r="D365" s="13" t="s">
        <v>1065</v>
      </c>
      <c r="E365" s="13" t="s">
        <v>62</v>
      </c>
      <c r="F365" s="4">
        <v>1237.68</v>
      </c>
      <c r="G365" s="28" t="s">
        <v>1264</v>
      </c>
      <c r="H365" s="14">
        <v>43509</v>
      </c>
      <c r="I365" s="4" t="s">
        <v>4131</v>
      </c>
      <c r="J365" s="133"/>
      <c r="K365" s="22"/>
      <c r="L365" s="134"/>
    </row>
    <row r="366" spans="1:12" s="97" customFormat="1" hidden="1" x14ac:dyDescent="0.25">
      <c r="A366" s="61" t="s">
        <v>442</v>
      </c>
      <c r="B366" s="14">
        <v>43537</v>
      </c>
      <c r="C366" s="13">
        <v>451</v>
      </c>
      <c r="D366" s="13" t="s">
        <v>868</v>
      </c>
      <c r="E366" s="13" t="s">
        <v>62</v>
      </c>
      <c r="F366" s="37">
        <v>39672</v>
      </c>
      <c r="G366" s="29" t="s">
        <v>4377</v>
      </c>
      <c r="H366" s="14">
        <v>43510</v>
      </c>
      <c r="I366" s="4" t="s">
        <v>1494</v>
      </c>
      <c r="J366" s="133"/>
      <c r="K366" s="22"/>
      <c r="L366" s="134"/>
    </row>
    <row r="367" spans="1:12" s="97" customFormat="1" hidden="1" x14ac:dyDescent="0.25">
      <c r="A367" s="61" t="s">
        <v>442</v>
      </c>
      <c r="B367" s="14">
        <v>43537</v>
      </c>
      <c r="C367" s="13">
        <v>452</v>
      </c>
      <c r="D367" s="13" t="s">
        <v>280</v>
      </c>
      <c r="E367" s="13" t="s">
        <v>62</v>
      </c>
      <c r="F367" s="37">
        <v>142547.56</v>
      </c>
      <c r="G367" s="29" t="s">
        <v>26</v>
      </c>
      <c r="H367" s="14">
        <v>43501</v>
      </c>
      <c r="I367" s="4" t="s">
        <v>268</v>
      </c>
      <c r="J367" s="133"/>
      <c r="K367" s="22"/>
      <c r="L367" s="134"/>
    </row>
    <row r="368" spans="1:12" s="97" customFormat="1" hidden="1" x14ac:dyDescent="0.25">
      <c r="A368" s="61" t="s">
        <v>442</v>
      </c>
      <c r="B368" s="14">
        <v>43537</v>
      </c>
      <c r="C368" s="13">
        <v>452</v>
      </c>
      <c r="D368" s="13" t="s">
        <v>280</v>
      </c>
      <c r="E368" s="13" t="s">
        <v>62</v>
      </c>
      <c r="F368" s="37">
        <v>31345</v>
      </c>
      <c r="G368" s="29" t="s">
        <v>306</v>
      </c>
      <c r="H368" s="14">
        <v>43502</v>
      </c>
      <c r="I368" s="4" t="s">
        <v>4123</v>
      </c>
      <c r="J368" s="133"/>
      <c r="K368" s="22"/>
      <c r="L368" s="134"/>
    </row>
    <row r="369" spans="1:12" s="97" customFormat="1" hidden="1" x14ac:dyDescent="0.25">
      <c r="A369" s="61" t="s">
        <v>358</v>
      </c>
      <c r="B369" s="14">
        <v>43537</v>
      </c>
      <c r="C369" s="13">
        <v>452</v>
      </c>
      <c r="D369" s="13" t="s">
        <v>280</v>
      </c>
      <c r="E369" s="13" t="s">
        <v>62</v>
      </c>
      <c r="F369" s="37">
        <v>81245</v>
      </c>
      <c r="G369" s="29" t="s">
        <v>1155</v>
      </c>
      <c r="H369" s="14">
        <v>43502</v>
      </c>
      <c r="I369" s="4" t="s">
        <v>4124</v>
      </c>
      <c r="J369" s="133"/>
      <c r="K369" s="22"/>
      <c r="L369" s="134"/>
    </row>
    <row r="370" spans="1:12" s="97" customFormat="1" hidden="1" x14ac:dyDescent="0.25">
      <c r="A370" s="32" t="s">
        <v>92</v>
      </c>
      <c r="B370" s="14">
        <v>43537</v>
      </c>
      <c r="C370" s="13">
        <v>452</v>
      </c>
      <c r="D370" s="13" t="s">
        <v>280</v>
      </c>
      <c r="E370" s="13" t="s">
        <v>62</v>
      </c>
      <c r="F370" s="4">
        <v>4950</v>
      </c>
      <c r="G370" s="28" t="s">
        <v>1313</v>
      </c>
      <c r="H370" s="14">
        <v>43509</v>
      </c>
      <c r="I370" s="4" t="s">
        <v>4372</v>
      </c>
      <c r="J370" s="133"/>
      <c r="K370" s="22"/>
      <c r="L370" s="134"/>
    </row>
    <row r="371" spans="1:12" s="97" customFormat="1" hidden="1" x14ac:dyDescent="0.25">
      <c r="A371" s="14" t="s">
        <v>442</v>
      </c>
      <c r="B371" s="14">
        <v>43537</v>
      </c>
      <c r="C371" s="13">
        <v>452</v>
      </c>
      <c r="D371" s="13" t="s">
        <v>280</v>
      </c>
      <c r="E371" s="13" t="s">
        <v>62</v>
      </c>
      <c r="F371" s="37">
        <v>49390</v>
      </c>
      <c r="G371" s="210" t="s">
        <v>1146</v>
      </c>
      <c r="H371" s="211">
        <v>43510</v>
      </c>
      <c r="I371" s="4" t="s">
        <v>4374</v>
      </c>
      <c r="J371" s="133"/>
      <c r="K371" s="22"/>
      <c r="L371" s="134"/>
    </row>
    <row r="372" spans="1:12" s="97" customFormat="1" hidden="1" x14ac:dyDescent="0.25">
      <c r="A372" s="32" t="s">
        <v>442</v>
      </c>
      <c r="B372" s="14">
        <v>43537</v>
      </c>
      <c r="C372" s="13">
        <v>453</v>
      </c>
      <c r="D372" s="13" t="s">
        <v>814</v>
      </c>
      <c r="E372" s="13" t="s">
        <v>62</v>
      </c>
      <c r="F372" s="4">
        <v>23360</v>
      </c>
      <c r="G372" s="28" t="s">
        <v>3884</v>
      </c>
      <c r="H372" s="14">
        <v>43501</v>
      </c>
      <c r="I372" s="4" t="s">
        <v>45</v>
      </c>
      <c r="J372" s="133"/>
      <c r="K372" s="22"/>
      <c r="L372" s="134"/>
    </row>
    <row r="373" spans="1:12" s="97" customFormat="1" hidden="1" x14ac:dyDescent="0.25">
      <c r="A373" s="61" t="s">
        <v>91</v>
      </c>
      <c r="B373" s="14">
        <v>43537</v>
      </c>
      <c r="C373" s="13">
        <v>454</v>
      </c>
      <c r="D373" s="13" t="s">
        <v>304</v>
      </c>
      <c r="E373" s="13" t="s">
        <v>62</v>
      </c>
      <c r="F373" s="37">
        <v>34050</v>
      </c>
      <c r="G373" s="29" t="s">
        <v>4122</v>
      </c>
      <c r="H373" s="14">
        <v>43503</v>
      </c>
      <c r="I373" s="4" t="s">
        <v>374</v>
      </c>
      <c r="J373" s="133"/>
      <c r="K373" s="22"/>
      <c r="L373" s="134"/>
    </row>
    <row r="374" spans="1:12" s="97" customFormat="1" hidden="1" x14ac:dyDescent="0.25">
      <c r="A374" s="13" t="s">
        <v>91</v>
      </c>
      <c r="B374" s="14">
        <v>43537</v>
      </c>
      <c r="C374" s="13">
        <v>454</v>
      </c>
      <c r="D374" s="13" t="s">
        <v>304</v>
      </c>
      <c r="E374" s="13" t="s">
        <v>62</v>
      </c>
      <c r="F374" s="37">
        <v>60601</v>
      </c>
      <c r="G374" s="29" t="s">
        <v>4367</v>
      </c>
      <c r="H374" s="14">
        <v>43511</v>
      </c>
      <c r="I374" s="4" t="s">
        <v>4368</v>
      </c>
      <c r="J374" s="133"/>
      <c r="K374" s="22"/>
      <c r="L374" s="134"/>
    </row>
    <row r="375" spans="1:12" s="97" customFormat="1" hidden="1" x14ac:dyDescent="0.25">
      <c r="A375" s="13" t="s">
        <v>358</v>
      </c>
      <c r="B375" s="14">
        <v>43537</v>
      </c>
      <c r="C375" s="13">
        <v>455</v>
      </c>
      <c r="D375" s="13" t="s">
        <v>516</v>
      </c>
      <c r="E375" s="13" t="s">
        <v>62</v>
      </c>
      <c r="F375" s="37">
        <v>21756.68</v>
      </c>
      <c r="G375" s="29" t="s">
        <v>3874</v>
      </c>
      <c r="H375" s="14">
        <v>43495</v>
      </c>
      <c r="I375" s="4" t="s">
        <v>3875</v>
      </c>
      <c r="J375" s="133"/>
      <c r="K375" s="22"/>
      <c r="L375" s="134"/>
    </row>
    <row r="376" spans="1:12" hidden="1" x14ac:dyDescent="0.25">
      <c r="A376" s="32" t="s">
        <v>151</v>
      </c>
      <c r="B376" s="14">
        <v>43537</v>
      </c>
      <c r="C376" s="67">
        <v>456</v>
      </c>
      <c r="D376" s="32" t="s">
        <v>1254</v>
      </c>
      <c r="E376" s="17" t="s">
        <v>62</v>
      </c>
      <c r="F376" s="4">
        <v>18000</v>
      </c>
      <c r="G376" s="67">
        <v>432954</v>
      </c>
      <c r="H376" s="14">
        <v>43518</v>
      </c>
      <c r="I376" s="4" t="s">
        <v>1</v>
      </c>
      <c r="J376" s="359"/>
      <c r="K376" s="50"/>
    </row>
    <row r="377" spans="1:12" hidden="1" x14ac:dyDescent="0.25">
      <c r="A377" s="14" t="s">
        <v>442</v>
      </c>
      <c r="B377" s="14">
        <v>43537</v>
      </c>
      <c r="C377" s="13">
        <v>457</v>
      </c>
      <c r="D377" s="13" t="s">
        <v>1739</v>
      </c>
      <c r="E377" s="13" t="s">
        <v>62</v>
      </c>
      <c r="F377" s="37">
        <f>144000-72000</f>
        <v>72000</v>
      </c>
      <c r="G377" s="29" t="s">
        <v>493</v>
      </c>
      <c r="H377" s="14">
        <v>43503</v>
      </c>
      <c r="I377" s="4" t="s">
        <v>1237</v>
      </c>
      <c r="J377" s="128"/>
    </row>
    <row r="378" spans="1:12" s="2" customFormat="1" hidden="1" x14ac:dyDescent="0.25">
      <c r="A378" s="61" t="s">
        <v>442</v>
      </c>
      <c r="B378" s="14">
        <v>43537</v>
      </c>
      <c r="C378" s="13">
        <v>458</v>
      </c>
      <c r="D378" s="13" t="s">
        <v>1739</v>
      </c>
      <c r="E378" s="13" t="s">
        <v>62</v>
      </c>
      <c r="F378" s="37">
        <v>216000</v>
      </c>
      <c r="G378" s="29" t="s">
        <v>1510</v>
      </c>
      <c r="H378" s="14">
        <v>43509</v>
      </c>
      <c r="I378" s="4" t="s">
        <v>4097</v>
      </c>
      <c r="J378" s="121"/>
      <c r="K378" s="5"/>
    </row>
    <row r="379" spans="1:12" s="2" customFormat="1" hidden="1" x14ac:dyDescent="0.25">
      <c r="A379" s="61" t="s">
        <v>442</v>
      </c>
      <c r="B379" s="14">
        <v>43537</v>
      </c>
      <c r="C379" s="13">
        <v>458</v>
      </c>
      <c r="D379" s="13" t="s">
        <v>1739</v>
      </c>
      <c r="E379" s="13" t="s">
        <v>62</v>
      </c>
      <c r="F379" s="37">
        <v>168000</v>
      </c>
      <c r="G379" s="29" t="s">
        <v>3383</v>
      </c>
      <c r="H379" s="14">
        <v>43517</v>
      </c>
      <c r="I379" s="4" t="s">
        <v>1396</v>
      </c>
      <c r="J379" s="121"/>
      <c r="K379" s="5"/>
    </row>
    <row r="380" spans="1:12" hidden="1" x14ac:dyDescent="0.25">
      <c r="A380" s="61" t="s">
        <v>103</v>
      </c>
      <c r="B380" s="14">
        <v>43537</v>
      </c>
      <c r="C380" s="13">
        <v>459</v>
      </c>
      <c r="D380" s="13" t="s">
        <v>944</v>
      </c>
      <c r="E380" s="13" t="s">
        <v>62</v>
      </c>
      <c r="F380" s="37">
        <v>42000</v>
      </c>
      <c r="G380" s="29" t="s">
        <v>177</v>
      </c>
      <c r="H380" s="14">
        <v>43503</v>
      </c>
      <c r="I380" s="4" t="s">
        <v>337</v>
      </c>
    </row>
    <row r="381" spans="1:12" hidden="1" x14ac:dyDescent="0.25">
      <c r="A381" s="61" t="s">
        <v>92</v>
      </c>
      <c r="B381" s="14">
        <v>43537</v>
      </c>
      <c r="C381" s="13">
        <v>460</v>
      </c>
      <c r="D381" s="13" t="s">
        <v>282</v>
      </c>
      <c r="E381" s="13" t="s">
        <v>62</v>
      </c>
      <c r="F381" s="37">
        <v>3575</v>
      </c>
      <c r="G381" s="29" t="s">
        <v>4293</v>
      </c>
      <c r="H381" s="14">
        <v>43510</v>
      </c>
      <c r="I381" s="4" t="s">
        <v>283</v>
      </c>
    </row>
    <row r="382" spans="1:12" hidden="1" x14ac:dyDescent="0.25">
      <c r="A382" s="61" t="s">
        <v>442</v>
      </c>
      <c r="B382" s="14">
        <v>43537</v>
      </c>
      <c r="C382" s="13">
        <v>460</v>
      </c>
      <c r="D382" s="13" t="s">
        <v>282</v>
      </c>
      <c r="E382" s="13" t="s">
        <v>62</v>
      </c>
      <c r="F382" s="37">
        <v>22165</v>
      </c>
      <c r="G382" s="29" t="s">
        <v>4294</v>
      </c>
      <c r="H382" s="14">
        <v>43510</v>
      </c>
      <c r="I382" s="4" t="s">
        <v>283</v>
      </c>
    </row>
    <row r="383" spans="1:12" hidden="1" x14ac:dyDescent="0.25">
      <c r="A383" s="61" t="s">
        <v>358</v>
      </c>
      <c r="B383" s="14">
        <v>43537</v>
      </c>
      <c r="C383" s="13">
        <v>460</v>
      </c>
      <c r="D383" s="13" t="s">
        <v>282</v>
      </c>
      <c r="E383" s="13" t="s">
        <v>62</v>
      </c>
      <c r="F383" s="37">
        <v>4290</v>
      </c>
      <c r="G383" s="29" t="s">
        <v>4295</v>
      </c>
      <c r="H383" s="14">
        <v>43510</v>
      </c>
      <c r="I383" s="4" t="s">
        <v>283</v>
      </c>
    </row>
    <row r="384" spans="1:12" hidden="1" x14ac:dyDescent="0.25">
      <c r="A384" s="61" t="s">
        <v>91</v>
      </c>
      <c r="B384" s="14">
        <v>43537</v>
      </c>
      <c r="C384" s="13">
        <v>460</v>
      </c>
      <c r="D384" s="13" t="s">
        <v>282</v>
      </c>
      <c r="E384" s="13" t="s">
        <v>62</v>
      </c>
      <c r="F384" s="37">
        <v>23595</v>
      </c>
      <c r="G384" s="29" t="s">
        <v>4296</v>
      </c>
      <c r="H384" s="14">
        <v>43510</v>
      </c>
      <c r="I384" s="4" t="s">
        <v>283</v>
      </c>
    </row>
    <row r="385" spans="1:12" hidden="1" x14ac:dyDescent="0.25">
      <c r="A385" s="61" t="s">
        <v>55</v>
      </c>
      <c r="B385" s="14">
        <v>43537</v>
      </c>
      <c r="C385" s="13">
        <v>460</v>
      </c>
      <c r="D385" s="13" t="s">
        <v>282</v>
      </c>
      <c r="E385" s="13" t="s">
        <v>62</v>
      </c>
      <c r="F385" s="37">
        <v>715</v>
      </c>
      <c r="G385" s="29" t="s">
        <v>4297</v>
      </c>
      <c r="H385" s="14">
        <v>43510</v>
      </c>
      <c r="I385" s="4" t="s">
        <v>283</v>
      </c>
    </row>
    <row r="386" spans="1:12" hidden="1" x14ac:dyDescent="0.25">
      <c r="A386" s="61" t="s">
        <v>103</v>
      </c>
      <c r="B386" s="14">
        <v>43537</v>
      </c>
      <c r="C386" s="13">
        <v>461</v>
      </c>
      <c r="D386" s="13" t="s">
        <v>80</v>
      </c>
      <c r="E386" s="13" t="s">
        <v>62</v>
      </c>
      <c r="F386" s="4">
        <v>46480</v>
      </c>
      <c r="G386" s="28" t="s">
        <v>4303</v>
      </c>
      <c r="H386" s="14">
        <v>43510</v>
      </c>
      <c r="I386" s="4" t="s">
        <v>2157</v>
      </c>
    </row>
    <row r="387" spans="1:12" hidden="1" x14ac:dyDescent="0.25">
      <c r="A387" s="61" t="s">
        <v>442</v>
      </c>
      <c r="B387" s="14">
        <v>43537</v>
      </c>
      <c r="C387" s="13">
        <v>462</v>
      </c>
      <c r="D387" s="13" t="s">
        <v>692</v>
      </c>
      <c r="E387" s="13" t="s">
        <v>62</v>
      </c>
      <c r="F387" s="37">
        <v>198000</v>
      </c>
      <c r="G387" s="29" t="s">
        <v>3964</v>
      </c>
      <c r="H387" s="14">
        <v>43505</v>
      </c>
      <c r="I387" s="4" t="s">
        <v>419</v>
      </c>
    </row>
    <row r="388" spans="1:12" hidden="1" x14ac:dyDescent="0.25">
      <c r="A388" s="61" t="s">
        <v>103</v>
      </c>
      <c r="B388" s="14">
        <v>43537</v>
      </c>
      <c r="C388" s="13">
        <v>463</v>
      </c>
      <c r="D388" s="13" t="s">
        <v>862</v>
      </c>
      <c r="E388" s="13" t="s">
        <v>62</v>
      </c>
      <c r="F388" s="4">
        <v>21875</v>
      </c>
      <c r="G388" s="28" t="s">
        <v>4875</v>
      </c>
      <c r="H388" s="14">
        <v>43514</v>
      </c>
      <c r="I388" s="4" t="s">
        <v>354</v>
      </c>
    </row>
    <row r="389" spans="1:12" s="2" customFormat="1" hidden="1" x14ac:dyDescent="0.25">
      <c r="A389" s="32" t="s">
        <v>103</v>
      </c>
      <c r="B389" s="14">
        <v>43537</v>
      </c>
      <c r="C389" s="13">
        <v>464</v>
      </c>
      <c r="D389" s="13" t="s">
        <v>1690</v>
      </c>
      <c r="E389" s="13" t="s">
        <v>62</v>
      </c>
      <c r="F389" s="4">
        <v>12800</v>
      </c>
      <c r="G389" s="28" t="s">
        <v>4888</v>
      </c>
      <c r="H389" s="14">
        <v>43528</v>
      </c>
      <c r="I389" s="4" t="s">
        <v>1301</v>
      </c>
      <c r="J389" s="121"/>
      <c r="K389" s="5"/>
    </row>
    <row r="390" spans="1:12" s="97" customFormat="1" hidden="1" x14ac:dyDescent="0.25">
      <c r="A390" s="61" t="s">
        <v>1316</v>
      </c>
      <c r="B390" s="14">
        <v>43537</v>
      </c>
      <c r="C390" s="13">
        <v>441</v>
      </c>
      <c r="D390" s="13" t="s">
        <v>487</v>
      </c>
      <c r="E390" s="13" t="s">
        <v>808</v>
      </c>
      <c r="F390" s="37">
        <v>911200</v>
      </c>
      <c r="G390" s="210" t="s">
        <v>199</v>
      </c>
      <c r="H390" s="211">
        <v>43385</v>
      </c>
      <c r="I390" s="4" t="s">
        <v>443</v>
      </c>
      <c r="J390" s="133"/>
      <c r="K390" s="22"/>
      <c r="L390" s="134"/>
    </row>
    <row r="391" spans="1:12" s="97" customFormat="1" hidden="1" x14ac:dyDescent="0.25">
      <c r="A391" s="13" t="s">
        <v>1148</v>
      </c>
      <c r="B391" s="14">
        <v>43537</v>
      </c>
      <c r="C391" s="13">
        <v>442</v>
      </c>
      <c r="D391" s="13" t="s">
        <v>1206</v>
      </c>
      <c r="E391" s="13" t="s">
        <v>808</v>
      </c>
      <c r="F391" s="37">
        <v>792500</v>
      </c>
      <c r="G391" s="29" t="s">
        <v>4104</v>
      </c>
      <c r="H391" s="14">
        <v>43502</v>
      </c>
      <c r="I391" s="4" t="s">
        <v>735</v>
      </c>
      <c r="J391" s="133"/>
      <c r="K391" s="22"/>
      <c r="L391" s="134"/>
    </row>
    <row r="392" spans="1:12" ht="13.95" hidden="1" customHeight="1" x14ac:dyDescent="0.25">
      <c r="A392" s="61" t="s">
        <v>261</v>
      </c>
      <c r="B392" s="14">
        <v>43537</v>
      </c>
      <c r="C392" s="13">
        <v>440</v>
      </c>
      <c r="D392" s="32" t="s">
        <v>1087</v>
      </c>
      <c r="E392" s="32" t="s">
        <v>808</v>
      </c>
      <c r="F392" s="4">
        <v>989586.83</v>
      </c>
      <c r="G392" s="86" t="s">
        <v>1088</v>
      </c>
      <c r="H392" s="211"/>
      <c r="I392" s="4" t="s">
        <v>20</v>
      </c>
      <c r="J392" s="21"/>
      <c r="K392" s="228"/>
    </row>
    <row r="393" spans="1:12" hidden="1" x14ac:dyDescent="0.25">
      <c r="A393" s="32" t="s">
        <v>151</v>
      </c>
      <c r="B393" s="14">
        <v>43537</v>
      </c>
      <c r="C393" s="67">
        <v>443</v>
      </c>
      <c r="D393" s="32" t="s">
        <v>93</v>
      </c>
      <c r="E393" s="13" t="s">
        <v>808</v>
      </c>
      <c r="F393" s="4">
        <v>5000</v>
      </c>
      <c r="G393" s="67">
        <v>1166</v>
      </c>
      <c r="H393" s="14">
        <v>43536</v>
      </c>
      <c r="I393" s="4" t="s">
        <v>5223</v>
      </c>
      <c r="J393" s="21"/>
      <c r="K393" s="228"/>
    </row>
    <row r="394" spans="1:12" hidden="1" x14ac:dyDescent="0.25">
      <c r="A394" s="13" t="s">
        <v>151</v>
      </c>
      <c r="B394" s="14">
        <v>43537</v>
      </c>
      <c r="C394" s="28" t="s">
        <v>2029</v>
      </c>
      <c r="D394" s="13" t="s">
        <v>3024</v>
      </c>
      <c r="E394" s="13" t="s">
        <v>808</v>
      </c>
      <c r="F394" s="37">
        <v>9000</v>
      </c>
      <c r="G394" s="29" t="s">
        <v>318</v>
      </c>
      <c r="H394" s="14">
        <v>43524</v>
      </c>
      <c r="I394" s="4" t="s">
        <v>5187</v>
      </c>
      <c r="J394" s="128"/>
    </row>
    <row r="395" spans="1:12" s="97" customFormat="1" hidden="1" x14ac:dyDescent="0.25">
      <c r="A395" s="32" t="s">
        <v>1147</v>
      </c>
      <c r="B395" s="14">
        <v>43537</v>
      </c>
      <c r="C395" s="13">
        <v>445</v>
      </c>
      <c r="D395" s="13" t="s">
        <v>1065</v>
      </c>
      <c r="E395" s="13" t="s">
        <v>808</v>
      </c>
      <c r="F395" s="4">
        <v>12946.56</v>
      </c>
      <c r="G395" s="28" t="s">
        <v>4127</v>
      </c>
      <c r="H395" s="14">
        <v>43503</v>
      </c>
      <c r="I395" s="4" t="s">
        <v>4128</v>
      </c>
      <c r="J395" s="133"/>
      <c r="K395" s="22"/>
      <c r="L395" s="134"/>
    </row>
    <row r="396" spans="1:12" s="97" customFormat="1" hidden="1" x14ac:dyDescent="0.25">
      <c r="A396" s="13" t="s">
        <v>1149</v>
      </c>
      <c r="B396" s="14">
        <v>43537</v>
      </c>
      <c r="C396" s="13">
        <v>445</v>
      </c>
      <c r="D396" s="13" t="s">
        <v>1065</v>
      </c>
      <c r="E396" s="13" t="s">
        <v>808</v>
      </c>
      <c r="F396" s="37">
        <v>11272.8</v>
      </c>
      <c r="G396" s="29" t="s">
        <v>1347</v>
      </c>
      <c r="H396" s="14">
        <v>43507</v>
      </c>
      <c r="I396" s="4" t="s">
        <v>4129</v>
      </c>
      <c r="J396" s="133"/>
      <c r="K396" s="22"/>
      <c r="L396" s="134"/>
    </row>
    <row r="397" spans="1:12" s="97" customFormat="1" hidden="1" x14ac:dyDescent="0.25">
      <c r="A397" s="61" t="s">
        <v>1148</v>
      </c>
      <c r="B397" s="14">
        <v>43537</v>
      </c>
      <c r="C397" s="13">
        <v>446</v>
      </c>
      <c r="D397" s="13" t="s">
        <v>280</v>
      </c>
      <c r="E397" s="13" t="s">
        <v>808</v>
      </c>
      <c r="F397" s="37">
        <v>49700</v>
      </c>
      <c r="G397" s="29" t="s">
        <v>201</v>
      </c>
      <c r="H397" s="14">
        <v>43507</v>
      </c>
      <c r="I397" s="4" t="s">
        <v>718</v>
      </c>
      <c r="J397" s="133"/>
      <c r="K397" s="22"/>
      <c r="L397" s="134"/>
    </row>
    <row r="398" spans="1:12" s="97" customFormat="1" hidden="1" x14ac:dyDescent="0.25">
      <c r="A398" s="61" t="s">
        <v>1316</v>
      </c>
      <c r="B398" s="14">
        <v>43537</v>
      </c>
      <c r="C398" s="13">
        <v>446</v>
      </c>
      <c r="D398" s="13" t="s">
        <v>280</v>
      </c>
      <c r="E398" s="13" t="s">
        <v>808</v>
      </c>
      <c r="F398" s="37">
        <v>33695.15</v>
      </c>
      <c r="G398" s="210" t="s">
        <v>2911</v>
      </c>
      <c r="H398" s="211">
        <v>43509</v>
      </c>
      <c r="I398" s="4" t="s">
        <v>4373</v>
      </c>
      <c r="J398" s="133"/>
      <c r="K398" s="22"/>
      <c r="L398" s="134"/>
    </row>
    <row r="399" spans="1:12" s="97" customFormat="1" hidden="1" x14ac:dyDescent="0.25">
      <c r="A399" s="32" t="s">
        <v>1147</v>
      </c>
      <c r="B399" s="14">
        <v>43537</v>
      </c>
      <c r="C399" s="13">
        <v>447</v>
      </c>
      <c r="D399" s="13" t="s">
        <v>814</v>
      </c>
      <c r="E399" s="13" t="s">
        <v>808</v>
      </c>
      <c r="F399" s="4">
        <v>78498</v>
      </c>
      <c r="G399" s="28" t="s">
        <v>4369</v>
      </c>
      <c r="H399" s="14">
        <v>43508</v>
      </c>
      <c r="I399" s="4" t="s">
        <v>142</v>
      </c>
      <c r="J399" s="133"/>
      <c r="K399" s="22"/>
      <c r="L399" s="134"/>
    </row>
    <row r="400" spans="1:12" s="97" customFormat="1" hidden="1" x14ac:dyDescent="0.25">
      <c r="A400" s="61" t="s">
        <v>1316</v>
      </c>
      <c r="B400" s="14">
        <v>43537</v>
      </c>
      <c r="C400" s="13">
        <v>448</v>
      </c>
      <c r="D400" s="13" t="s">
        <v>72</v>
      </c>
      <c r="E400" s="13" t="s">
        <v>808</v>
      </c>
      <c r="F400" s="37">
        <v>41305.949999999997</v>
      </c>
      <c r="G400" s="29" t="s">
        <v>4120</v>
      </c>
      <c r="H400" s="14">
        <v>43504</v>
      </c>
      <c r="I400" s="4" t="s">
        <v>4121</v>
      </c>
      <c r="J400" s="133"/>
      <c r="K400" s="22"/>
      <c r="L400" s="134"/>
    </row>
    <row r="401" spans="1:12" s="97" customFormat="1" hidden="1" x14ac:dyDescent="0.25">
      <c r="A401" s="32" t="s">
        <v>1148</v>
      </c>
      <c r="B401" s="14">
        <v>43537</v>
      </c>
      <c r="C401" s="13">
        <v>449</v>
      </c>
      <c r="D401" s="13" t="s">
        <v>157</v>
      </c>
      <c r="E401" s="13" t="s">
        <v>808</v>
      </c>
      <c r="F401" s="4">
        <v>3318.8</v>
      </c>
      <c r="G401" s="28" t="s">
        <v>3878</v>
      </c>
      <c r="H401" s="14">
        <v>43502</v>
      </c>
      <c r="I401" s="4" t="s">
        <v>3879</v>
      </c>
      <c r="J401" s="133"/>
      <c r="K401" s="22"/>
      <c r="L401" s="134"/>
    </row>
    <row r="402" spans="1:12" s="97" customFormat="1" hidden="1" x14ac:dyDescent="0.25">
      <c r="A402" s="61" t="s">
        <v>1316</v>
      </c>
      <c r="B402" s="14">
        <v>43537</v>
      </c>
      <c r="C402" s="13">
        <v>450</v>
      </c>
      <c r="D402" s="13" t="s">
        <v>70</v>
      </c>
      <c r="E402" s="13" t="s">
        <v>808</v>
      </c>
      <c r="F402" s="37">
        <v>6980</v>
      </c>
      <c r="G402" s="29" t="s">
        <v>4116</v>
      </c>
      <c r="H402" s="14">
        <v>43503</v>
      </c>
      <c r="I402" s="4" t="s">
        <v>4117</v>
      </c>
      <c r="J402" s="133"/>
      <c r="K402" s="22"/>
      <c r="L402" s="134"/>
    </row>
    <row r="403" spans="1:12" s="97" customFormat="1" hidden="1" x14ac:dyDescent="0.25">
      <c r="A403" s="32" t="s">
        <v>1148</v>
      </c>
      <c r="B403" s="14">
        <v>43537</v>
      </c>
      <c r="C403" s="13">
        <v>451</v>
      </c>
      <c r="D403" s="13" t="s">
        <v>516</v>
      </c>
      <c r="E403" s="13" t="s">
        <v>808</v>
      </c>
      <c r="F403" s="4">
        <v>154597.9</v>
      </c>
      <c r="G403" s="28" t="s">
        <v>3519</v>
      </c>
      <c r="H403" s="14">
        <v>43496</v>
      </c>
      <c r="I403" s="4" t="s">
        <v>3876</v>
      </c>
      <c r="J403" s="133"/>
      <c r="K403" s="22"/>
      <c r="L403" s="134"/>
    </row>
    <row r="404" spans="1:12" s="97" customFormat="1" hidden="1" x14ac:dyDescent="0.25">
      <c r="A404" s="61" t="s">
        <v>1316</v>
      </c>
      <c r="B404" s="14">
        <v>43537</v>
      </c>
      <c r="C404" s="13">
        <v>451</v>
      </c>
      <c r="D404" s="13" t="s">
        <v>516</v>
      </c>
      <c r="E404" s="13" t="s">
        <v>808</v>
      </c>
      <c r="F404" s="37">
        <v>93752.6</v>
      </c>
      <c r="G404" s="29" t="s">
        <v>1390</v>
      </c>
      <c r="H404" s="14">
        <v>43507</v>
      </c>
      <c r="I404" s="4" t="s">
        <v>4115</v>
      </c>
      <c r="J404" s="133"/>
      <c r="K404" s="22"/>
      <c r="L404" s="134"/>
    </row>
    <row r="405" spans="1:12" hidden="1" x14ac:dyDescent="0.25">
      <c r="A405" s="61" t="s">
        <v>1316</v>
      </c>
      <c r="B405" s="14">
        <v>43537</v>
      </c>
      <c r="C405" s="67">
        <v>452</v>
      </c>
      <c r="D405" s="32" t="s">
        <v>4651</v>
      </c>
      <c r="E405" s="13" t="s">
        <v>808</v>
      </c>
      <c r="F405" s="4">
        <v>19700</v>
      </c>
      <c r="G405" s="67">
        <v>268</v>
      </c>
      <c r="H405" s="14">
        <v>43528</v>
      </c>
      <c r="I405" s="4" t="s">
        <v>4652</v>
      </c>
      <c r="J405" s="21"/>
      <c r="K405" s="228"/>
    </row>
    <row r="406" spans="1:12" hidden="1" x14ac:dyDescent="0.25">
      <c r="A406" s="61" t="s">
        <v>659</v>
      </c>
      <c r="B406" s="14">
        <v>43537</v>
      </c>
      <c r="C406" s="67">
        <v>452</v>
      </c>
      <c r="D406" s="32" t="s">
        <v>4651</v>
      </c>
      <c r="E406" s="13" t="s">
        <v>808</v>
      </c>
      <c r="F406" s="4">
        <v>19700</v>
      </c>
      <c r="G406" s="67">
        <v>315</v>
      </c>
      <c r="H406" s="14">
        <v>43531</v>
      </c>
      <c r="I406" s="4" t="s">
        <v>4652</v>
      </c>
      <c r="J406" s="21"/>
      <c r="K406" s="228"/>
    </row>
    <row r="407" spans="1:12" hidden="1" x14ac:dyDescent="0.25">
      <c r="A407" s="61" t="s">
        <v>1148</v>
      </c>
      <c r="B407" s="14">
        <v>43537</v>
      </c>
      <c r="C407" s="13">
        <v>453</v>
      </c>
      <c r="D407" s="13" t="s">
        <v>447</v>
      </c>
      <c r="E407" s="13" t="s">
        <v>808</v>
      </c>
      <c r="F407" s="37">
        <v>245000</v>
      </c>
      <c r="G407" s="29" t="s">
        <v>317</v>
      </c>
      <c r="H407" s="14">
        <v>43511</v>
      </c>
      <c r="I407" s="4" t="s">
        <v>1315</v>
      </c>
      <c r="J407" s="128"/>
    </row>
    <row r="408" spans="1:12" hidden="1" x14ac:dyDescent="0.25">
      <c r="A408" s="32" t="s">
        <v>495</v>
      </c>
      <c r="B408" s="14">
        <v>43537</v>
      </c>
      <c r="C408" s="13">
        <v>453</v>
      </c>
      <c r="D408" s="13" t="s">
        <v>447</v>
      </c>
      <c r="E408" s="13" t="s">
        <v>808</v>
      </c>
      <c r="F408" s="4">
        <v>35100</v>
      </c>
      <c r="G408" s="28" t="s">
        <v>3273</v>
      </c>
      <c r="H408" s="14">
        <v>43524</v>
      </c>
      <c r="I408" s="4" t="s">
        <v>1328</v>
      </c>
      <c r="J408" s="128"/>
    </row>
    <row r="409" spans="1:12" hidden="1" x14ac:dyDescent="0.25">
      <c r="A409" s="14" t="s">
        <v>659</v>
      </c>
      <c r="B409" s="14">
        <v>43537</v>
      </c>
      <c r="C409" s="13">
        <v>454</v>
      </c>
      <c r="D409" s="13" t="s">
        <v>1513</v>
      </c>
      <c r="E409" s="13" t="s">
        <v>808</v>
      </c>
      <c r="F409" s="37">
        <v>149700</v>
      </c>
      <c r="G409" s="29" t="s">
        <v>728</v>
      </c>
      <c r="H409" s="14">
        <v>43511</v>
      </c>
      <c r="I409" s="4" t="s">
        <v>1237</v>
      </c>
      <c r="J409" s="128"/>
    </row>
    <row r="410" spans="1:12" hidden="1" x14ac:dyDescent="0.25">
      <c r="A410" s="61" t="s">
        <v>659</v>
      </c>
      <c r="B410" s="14">
        <v>43537</v>
      </c>
      <c r="C410" s="13">
        <v>455</v>
      </c>
      <c r="D410" s="13" t="s">
        <v>381</v>
      </c>
      <c r="E410" s="13" t="s">
        <v>808</v>
      </c>
      <c r="F410" s="37">
        <v>16300</v>
      </c>
      <c r="G410" s="29" t="s">
        <v>3211</v>
      </c>
      <c r="H410" s="14">
        <v>43522</v>
      </c>
      <c r="I410" s="4" t="s">
        <v>441</v>
      </c>
      <c r="J410" s="128"/>
    </row>
    <row r="411" spans="1:12" hidden="1" x14ac:dyDescent="0.25">
      <c r="A411" s="61" t="s">
        <v>495</v>
      </c>
      <c r="B411" s="14">
        <v>43537</v>
      </c>
      <c r="C411" s="13">
        <v>455</v>
      </c>
      <c r="D411" s="13" t="s">
        <v>381</v>
      </c>
      <c r="E411" s="13" t="s">
        <v>808</v>
      </c>
      <c r="F411" s="37">
        <v>16500</v>
      </c>
      <c r="G411" s="29" t="s">
        <v>300</v>
      </c>
      <c r="H411" s="14">
        <v>43524</v>
      </c>
      <c r="I411" s="4" t="s">
        <v>1328</v>
      </c>
      <c r="J411" s="128"/>
    </row>
    <row r="412" spans="1:12" hidden="1" x14ac:dyDescent="0.25">
      <c r="A412" s="61" t="s">
        <v>4505</v>
      </c>
      <c r="B412" s="14">
        <v>43537</v>
      </c>
      <c r="C412" s="13">
        <v>455</v>
      </c>
      <c r="D412" s="13" t="s">
        <v>381</v>
      </c>
      <c r="E412" s="13" t="s">
        <v>808</v>
      </c>
      <c r="F412" s="37">
        <v>79500</v>
      </c>
      <c r="G412" s="29" t="s">
        <v>86</v>
      </c>
      <c r="H412" s="14">
        <v>43529</v>
      </c>
      <c r="I412" s="4" t="s">
        <v>1689</v>
      </c>
      <c r="J412" s="128"/>
    </row>
    <row r="413" spans="1:12" hidden="1" x14ac:dyDescent="0.25">
      <c r="A413" s="61" t="s">
        <v>1147</v>
      </c>
      <c r="B413" s="14">
        <v>43537</v>
      </c>
      <c r="C413" s="13">
        <v>456</v>
      </c>
      <c r="D413" s="13" t="s">
        <v>944</v>
      </c>
      <c r="E413" s="13" t="s">
        <v>808</v>
      </c>
      <c r="F413" s="37">
        <v>18000</v>
      </c>
      <c r="G413" s="29" t="s">
        <v>84</v>
      </c>
      <c r="H413" s="14">
        <v>43508</v>
      </c>
      <c r="I413" s="4" t="s">
        <v>402</v>
      </c>
    </row>
    <row r="414" spans="1:12" ht="27.6" hidden="1" x14ac:dyDescent="0.25">
      <c r="A414" s="61" t="s">
        <v>1806</v>
      </c>
      <c r="B414" s="14">
        <v>43537</v>
      </c>
      <c r="C414" s="13">
        <v>457</v>
      </c>
      <c r="D414" s="13" t="s">
        <v>80</v>
      </c>
      <c r="E414" s="13" t="s">
        <v>808</v>
      </c>
      <c r="F414" s="4">
        <v>50000</v>
      </c>
      <c r="G414" s="28" t="s">
        <v>4304</v>
      </c>
      <c r="H414" s="14">
        <v>43510</v>
      </c>
      <c r="I414" s="4" t="s">
        <v>2157</v>
      </c>
    </row>
    <row r="415" spans="1:12" hidden="1" x14ac:dyDescent="0.25">
      <c r="A415" s="32" t="s">
        <v>659</v>
      </c>
      <c r="B415" s="14">
        <v>43537</v>
      </c>
      <c r="C415" s="13">
        <v>458</v>
      </c>
      <c r="D415" s="13" t="s">
        <v>250</v>
      </c>
      <c r="E415" s="13" t="s">
        <v>808</v>
      </c>
      <c r="F415" s="4">
        <v>75125</v>
      </c>
      <c r="G415" s="28" t="s">
        <v>4307</v>
      </c>
      <c r="H415" s="14">
        <v>43496</v>
      </c>
      <c r="I415" s="4" t="s">
        <v>1895</v>
      </c>
    </row>
    <row r="416" spans="1:12" hidden="1" x14ac:dyDescent="0.25">
      <c r="A416" s="61" t="s">
        <v>1148</v>
      </c>
      <c r="B416" s="14">
        <v>43537</v>
      </c>
      <c r="C416" s="13">
        <v>459</v>
      </c>
      <c r="D416" s="13" t="s">
        <v>29</v>
      </c>
      <c r="E416" s="13" t="s">
        <v>808</v>
      </c>
      <c r="F416" s="37">
        <v>47250</v>
      </c>
      <c r="G416" s="29" t="s">
        <v>3852</v>
      </c>
      <c r="H416" s="14">
        <v>43493</v>
      </c>
      <c r="I416" s="4" t="s">
        <v>87</v>
      </c>
    </row>
    <row r="417" spans="1:11" hidden="1" x14ac:dyDescent="0.25">
      <c r="A417" s="32" t="s">
        <v>1148</v>
      </c>
      <c r="B417" s="14">
        <v>43537</v>
      </c>
      <c r="C417" s="13">
        <v>459</v>
      </c>
      <c r="D417" s="13" t="s">
        <v>29</v>
      </c>
      <c r="E417" s="32" t="s">
        <v>808</v>
      </c>
      <c r="F417" s="4">
        <v>19250</v>
      </c>
      <c r="G417" s="29" t="s">
        <v>1347</v>
      </c>
      <c r="H417" s="14">
        <v>43496</v>
      </c>
      <c r="I417" s="32" t="s">
        <v>511</v>
      </c>
    </row>
    <row r="418" spans="1:11" hidden="1" x14ac:dyDescent="0.25">
      <c r="A418" s="32" t="s">
        <v>1148</v>
      </c>
      <c r="B418" s="14">
        <v>43537</v>
      </c>
      <c r="C418" s="13">
        <v>459</v>
      </c>
      <c r="D418" s="13" t="s">
        <v>29</v>
      </c>
      <c r="E418" s="13" t="s">
        <v>808</v>
      </c>
      <c r="F418" s="4">
        <v>35800</v>
      </c>
      <c r="G418" s="28" t="s">
        <v>153</v>
      </c>
      <c r="H418" s="14">
        <v>43496</v>
      </c>
      <c r="I418" s="4" t="s">
        <v>87</v>
      </c>
    </row>
    <row r="419" spans="1:11" hidden="1" x14ac:dyDescent="0.25">
      <c r="A419" s="61" t="s">
        <v>659</v>
      </c>
      <c r="B419" s="14">
        <v>43537</v>
      </c>
      <c r="C419" s="13">
        <v>459</v>
      </c>
      <c r="D419" s="13" t="s">
        <v>29</v>
      </c>
      <c r="E419" s="13" t="s">
        <v>808</v>
      </c>
      <c r="F419" s="4">
        <v>15200</v>
      </c>
      <c r="G419" s="28" t="s">
        <v>1402</v>
      </c>
      <c r="H419" s="14">
        <v>43496</v>
      </c>
      <c r="I419" s="4" t="s">
        <v>87</v>
      </c>
    </row>
    <row r="420" spans="1:11" hidden="1" x14ac:dyDescent="0.25">
      <c r="A420" s="61" t="s">
        <v>659</v>
      </c>
      <c r="B420" s="14">
        <v>43537</v>
      </c>
      <c r="C420" s="13">
        <v>459</v>
      </c>
      <c r="D420" s="13" t="s">
        <v>29</v>
      </c>
      <c r="E420" s="13" t="s">
        <v>808</v>
      </c>
      <c r="F420" s="37">
        <v>13600</v>
      </c>
      <c r="G420" s="29" t="s">
        <v>3218</v>
      </c>
      <c r="H420" s="14">
        <v>43500</v>
      </c>
      <c r="I420" s="4" t="s">
        <v>87</v>
      </c>
    </row>
    <row r="421" spans="1:11" hidden="1" x14ac:dyDescent="0.25">
      <c r="A421" s="32" t="s">
        <v>659</v>
      </c>
      <c r="B421" s="14">
        <v>43537</v>
      </c>
      <c r="C421" s="13">
        <v>460</v>
      </c>
      <c r="D421" s="13" t="s">
        <v>1985</v>
      </c>
      <c r="E421" s="13" t="s">
        <v>808</v>
      </c>
      <c r="F421" s="4">
        <v>100000</v>
      </c>
      <c r="G421" s="28" t="s">
        <v>196</v>
      </c>
      <c r="H421" s="14">
        <v>43511</v>
      </c>
      <c r="I421" s="4" t="s">
        <v>4092</v>
      </c>
    </row>
    <row r="422" spans="1:11" hidden="1" x14ac:dyDescent="0.25">
      <c r="A422" s="32" t="s">
        <v>1147</v>
      </c>
      <c r="B422" s="14">
        <v>43537</v>
      </c>
      <c r="C422" s="13">
        <v>461</v>
      </c>
      <c r="D422" s="13" t="s">
        <v>2115</v>
      </c>
      <c r="E422" s="13" t="s">
        <v>808</v>
      </c>
      <c r="F422" s="4">
        <v>218675</v>
      </c>
      <c r="G422" s="28" t="s">
        <v>33</v>
      </c>
      <c r="H422" s="14">
        <v>43496</v>
      </c>
      <c r="I422" s="4" t="s">
        <v>164</v>
      </c>
    </row>
    <row r="423" spans="1:11" hidden="1" x14ac:dyDescent="0.25">
      <c r="A423" s="61" t="s">
        <v>1316</v>
      </c>
      <c r="B423" s="14">
        <v>43537</v>
      </c>
      <c r="C423" s="13">
        <v>462</v>
      </c>
      <c r="D423" s="13" t="s">
        <v>303</v>
      </c>
      <c r="E423" s="13" t="s">
        <v>808</v>
      </c>
      <c r="F423" s="37">
        <v>8700</v>
      </c>
      <c r="G423" s="29" t="s">
        <v>4096</v>
      </c>
      <c r="H423" s="14">
        <v>43507</v>
      </c>
      <c r="I423" s="4" t="s">
        <v>87</v>
      </c>
    </row>
    <row r="424" spans="1:11" hidden="1" x14ac:dyDescent="0.25">
      <c r="A424" s="32" t="s">
        <v>261</v>
      </c>
      <c r="B424" s="14">
        <v>43537</v>
      </c>
      <c r="C424" s="13">
        <v>463</v>
      </c>
      <c r="D424" s="13" t="s">
        <v>149</v>
      </c>
      <c r="E424" s="13" t="s">
        <v>808</v>
      </c>
      <c r="F424" s="4">
        <v>5000</v>
      </c>
      <c r="G424" s="28" t="s">
        <v>4876</v>
      </c>
      <c r="H424" s="14">
        <v>43131</v>
      </c>
      <c r="I424" s="4" t="s">
        <v>4877</v>
      </c>
    </row>
    <row r="425" spans="1:11" hidden="1" x14ac:dyDescent="0.25">
      <c r="A425" s="61" t="s">
        <v>1316</v>
      </c>
      <c r="B425" s="14">
        <v>43537</v>
      </c>
      <c r="C425" s="13">
        <v>463</v>
      </c>
      <c r="D425" s="13" t="s">
        <v>149</v>
      </c>
      <c r="E425" s="13" t="s">
        <v>808</v>
      </c>
      <c r="F425" s="4">
        <v>1000</v>
      </c>
      <c r="G425" s="28" t="s">
        <v>4878</v>
      </c>
      <c r="H425" s="14">
        <v>43312</v>
      </c>
      <c r="I425" s="4" t="s">
        <v>4879</v>
      </c>
    </row>
    <row r="426" spans="1:11" hidden="1" x14ac:dyDescent="0.25">
      <c r="A426" s="61" t="s">
        <v>1147</v>
      </c>
      <c r="B426" s="14">
        <v>43537</v>
      </c>
      <c r="C426" s="13">
        <v>463</v>
      </c>
      <c r="D426" s="13" t="s">
        <v>149</v>
      </c>
      <c r="E426" s="13" t="s">
        <v>808</v>
      </c>
      <c r="F426" s="37">
        <v>7000</v>
      </c>
      <c r="G426" s="29" t="s">
        <v>4880</v>
      </c>
      <c r="H426" s="14">
        <v>43343</v>
      </c>
      <c r="I426" s="4" t="s">
        <v>4881</v>
      </c>
    </row>
    <row r="427" spans="1:11" hidden="1" x14ac:dyDescent="0.25">
      <c r="A427" s="68" t="s">
        <v>261</v>
      </c>
      <c r="B427" s="14">
        <v>43537</v>
      </c>
      <c r="C427" s="13">
        <v>463</v>
      </c>
      <c r="D427" s="13" t="s">
        <v>149</v>
      </c>
      <c r="E427" s="13" t="s">
        <v>808</v>
      </c>
      <c r="F427" s="4">
        <v>7000</v>
      </c>
      <c r="G427" s="28" t="s">
        <v>4882</v>
      </c>
      <c r="H427" s="14">
        <v>43465</v>
      </c>
      <c r="I427" s="4" t="s">
        <v>3396</v>
      </c>
    </row>
    <row r="428" spans="1:11" hidden="1" x14ac:dyDescent="0.25">
      <c r="A428" s="32" t="s">
        <v>1148</v>
      </c>
      <c r="B428" s="14">
        <v>43537</v>
      </c>
      <c r="C428" s="13">
        <v>463</v>
      </c>
      <c r="D428" s="13" t="s">
        <v>149</v>
      </c>
      <c r="E428" s="13" t="s">
        <v>808</v>
      </c>
      <c r="F428" s="37">
        <v>1500</v>
      </c>
      <c r="G428" s="29" t="s">
        <v>3405</v>
      </c>
      <c r="H428" s="14">
        <v>43486</v>
      </c>
      <c r="I428" s="4" t="s">
        <v>3402</v>
      </c>
    </row>
    <row r="429" spans="1:11" hidden="1" x14ac:dyDescent="0.25">
      <c r="A429" s="61" t="s">
        <v>1316</v>
      </c>
      <c r="B429" s="14">
        <v>43537</v>
      </c>
      <c r="C429" s="13">
        <v>463</v>
      </c>
      <c r="D429" s="13" t="s">
        <v>149</v>
      </c>
      <c r="E429" s="13" t="s">
        <v>808</v>
      </c>
      <c r="F429" s="37">
        <v>22200</v>
      </c>
      <c r="G429" s="29" t="s">
        <v>3406</v>
      </c>
      <c r="H429" s="14">
        <v>43486</v>
      </c>
      <c r="I429" s="4" t="s">
        <v>3404</v>
      </c>
    </row>
    <row r="430" spans="1:11" s="2" customFormat="1" hidden="1" x14ac:dyDescent="0.25">
      <c r="A430" s="61" t="s">
        <v>741</v>
      </c>
      <c r="B430" s="14">
        <v>43537</v>
      </c>
      <c r="C430" s="13">
        <v>274</v>
      </c>
      <c r="D430" s="13" t="s">
        <v>1513</v>
      </c>
      <c r="E430" s="13" t="s">
        <v>434</v>
      </c>
      <c r="F430" s="37">
        <f>1852760-382760-510000</f>
        <v>960000</v>
      </c>
      <c r="G430" s="29" t="s">
        <v>459</v>
      </c>
      <c r="H430" s="14">
        <v>43501</v>
      </c>
      <c r="I430" s="4" t="s">
        <v>3857</v>
      </c>
      <c r="J430" s="121"/>
      <c r="K430" s="5"/>
    </row>
    <row r="431" spans="1:11" hidden="1" x14ac:dyDescent="0.25">
      <c r="A431" s="32" t="s">
        <v>741</v>
      </c>
      <c r="B431" s="14">
        <v>43537</v>
      </c>
      <c r="C431" s="13">
        <v>275</v>
      </c>
      <c r="D431" s="13" t="s">
        <v>307</v>
      </c>
      <c r="E431" s="13" t="s">
        <v>434</v>
      </c>
      <c r="F431" s="4">
        <f>976505-200000-327000-149505</f>
        <v>300000</v>
      </c>
      <c r="G431" s="28" t="s">
        <v>3121</v>
      </c>
      <c r="H431" s="14">
        <v>43479</v>
      </c>
      <c r="I431" s="4" t="s">
        <v>1781</v>
      </c>
      <c r="J431" s="128"/>
    </row>
    <row r="432" spans="1:11" s="2" customFormat="1" hidden="1" x14ac:dyDescent="0.25">
      <c r="A432" s="61" t="s">
        <v>741</v>
      </c>
      <c r="B432" s="14">
        <v>43537</v>
      </c>
      <c r="C432" s="13">
        <v>276</v>
      </c>
      <c r="D432" s="13" t="s">
        <v>2005</v>
      </c>
      <c r="E432" s="13" t="s">
        <v>434</v>
      </c>
      <c r="F432" s="37">
        <v>67300</v>
      </c>
      <c r="G432" s="210" t="s">
        <v>4665</v>
      </c>
      <c r="H432" s="211">
        <v>43524</v>
      </c>
      <c r="I432" s="4" t="s">
        <v>517</v>
      </c>
      <c r="J432" s="121"/>
      <c r="K432" s="5"/>
    </row>
    <row r="433" spans="1:16" s="2" customFormat="1" hidden="1" x14ac:dyDescent="0.25">
      <c r="A433" s="32" t="s">
        <v>741</v>
      </c>
      <c r="B433" s="14">
        <v>43537</v>
      </c>
      <c r="C433" s="13">
        <v>277</v>
      </c>
      <c r="D433" s="13" t="s">
        <v>262</v>
      </c>
      <c r="E433" s="13" t="s">
        <v>434</v>
      </c>
      <c r="F433" s="4">
        <v>18000</v>
      </c>
      <c r="G433" s="28" t="s">
        <v>77</v>
      </c>
      <c r="H433" s="14">
        <v>43525</v>
      </c>
      <c r="I433" s="4" t="s">
        <v>155</v>
      </c>
      <c r="J433" s="121"/>
      <c r="K433" s="5"/>
    </row>
    <row r="434" spans="1:16" s="2" customFormat="1" hidden="1" x14ac:dyDescent="0.25">
      <c r="A434" s="32" t="s">
        <v>741</v>
      </c>
      <c r="B434" s="14">
        <v>43537</v>
      </c>
      <c r="C434" s="13">
        <v>278</v>
      </c>
      <c r="D434" s="13" t="s">
        <v>4890</v>
      </c>
      <c r="E434" s="13" t="s">
        <v>434</v>
      </c>
      <c r="F434" s="4">
        <v>3900</v>
      </c>
      <c r="G434" s="28" t="s">
        <v>3317</v>
      </c>
      <c r="H434" s="14">
        <v>43528</v>
      </c>
      <c r="I434" s="4" t="s">
        <v>4891</v>
      </c>
      <c r="J434" s="121"/>
      <c r="K434" s="5"/>
    </row>
    <row r="435" spans="1:16" s="2" customFormat="1" hidden="1" x14ac:dyDescent="0.25">
      <c r="A435" s="32" t="s">
        <v>741</v>
      </c>
      <c r="B435" s="14">
        <v>43537</v>
      </c>
      <c r="C435" s="13">
        <v>279</v>
      </c>
      <c r="D435" s="13" t="s">
        <v>4892</v>
      </c>
      <c r="E435" s="13" t="s">
        <v>434</v>
      </c>
      <c r="F435" s="37">
        <v>138000</v>
      </c>
      <c r="G435" s="29" t="s">
        <v>50</v>
      </c>
      <c r="H435" s="14">
        <v>43528</v>
      </c>
      <c r="I435" s="4" t="s">
        <v>4893</v>
      </c>
      <c r="J435" s="121"/>
      <c r="K435" s="5"/>
    </row>
    <row r="436" spans="1:16" hidden="1" x14ac:dyDescent="0.25">
      <c r="A436" s="68" t="s">
        <v>637</v>
      </c>
      <c r="B436" s="242">
        <v>43537</v>
      </c>
      <c r="C436" s="13" t="s">
        <v>5329</v>
      </c>
      <c r="D436" s="32" t="s">
        <v>837</v>
      </c>
      <c r="E436" s="32" t="s">
        <v>691</v>
      </c>
      <c r="F436" s="4">
        <v>520000</v>
      </c>
      <c r="G436" s="210" t="s">
        <v>207</v>
      </c>
      <c r="H436" s="211"/>
      <c r="I436" s="208" t="s">
        <v>838</v>
      </c>
      <c r="J436" s="228"/>
      <c r="K436" s="228"/>
    </row>
    <row r="437" spans="1:16" hidden="1" x14ac:dyDescent="0.25">
      <c r="A437" s="13" t="s">
        <v>637</v>
      </c>
      <c r="B437" s="242">
        <v>43537</v>
      </c>
      <c r="C437" s="13">
        <v>201</v>
      </c>
      <c r="D437" s="13" t="s">
        <v>1539</v>
      </c>
      <c r="E437" s="13" t="s">
        <v>691</v>
      </c>
      <c r="F437" s="37">
        <v>880000</v>
      </c>
      <c r="G437" s="29" t="s">
        <v>1540</v>
      </c>
      <c r="H437" s="14"/>
      <c r="I437" s="208" t="s">
        <v>1418</v>
      </c>
      <c r="J437" s="62"/>
      <c r="K437" s="62"/>
      <c r="L437" s="35"/>
      <c r="M437" s="35"/>
      <c r="N437" s="35"/>
      <c r="O437" s="35"/>
      <c r="P437" s="35"/>
    </row>
    <row r="438" spans="1:16" hidden="1" x14ac:dyDescent="0.25">
      <c r="A438" s="13" t="s">
        <v>1350</v>
      </c>
      <c r="B438" s="242">
        <v>43537</v>
      </c>
      <c r="C438" s="13">
        <v>195</v>
      </c>
      <c r="D438" s="32" t="s">
        <v>3662</v>
      </c>
      <c r="E438" s="13" t="s">
        <v>691</v>
      </c>
      <c r="F438" s="4">
        <v>600652.80000000005</v>
      </c>
      <c r="G438" s="29" t="s">
        <v>5229</v>
      </c>
      <c r="H438" s="14">
        <v>43535</v>
      </c>
      <c r="I438" s="4" t="s">
        <v>3664</v>
      </c>
      <c r="J438" s="62"/>
      <c r="K438" s="62"/>
      <c r="L438" s="35"/>
      <c r="M438" s="35"/>
      <c r="N438" s="35"/>
      <c r="O438" s="35"/>
      <c r="P438" s="35"/>
    </row>
    <row r="439" spans="1:16" s="97" customFormat="1" hidden="1" x14ac:dyDescent="0.25">
      <c r="A439" s="32" t="s">
        <v>1350</v>
      </c>
      <c r="B439" s="242">
        <v>43537</v>
      </c>
      <c r="C439" s="13">
        <v>202</v>
      </c>
      <c r="D439" s="13" t="s">
        <v>276</v>
      </c>
      <c r="E439" s="13" t="s">
        <v>691</v>
      </c>
      <c r="F439" s="4">
        <v>11325</v>
      </c>
      <c r="G439" s="28" t="s">
        <v>3390</v>
      </c>
      <c r="H439" s="14">
        <v>43504</v>
      </c>
      <c r="I439" s="4" t="s">
        <v>4106</v>
      </c>
      <c r="J439" s="133"/>
      <c r="K439" s="22"/>
      <c r="L439" s="134"/>
    </row>
    <row r="440" spans="1:16" s="97" customFormat="1" hidden="1" x14ac:dyDescent="0.25">
      <c r="A440" s="32" t="s">
        <v>1350</v>
      </c>
      <c r="B440" s="242">
        <v>43537</v>
      </c>
      <c r="C440" s="13">
        <v>202</v>
      </c>
      <c r="D440" s="13" t="s">
        <v>276</v>
      </c>
      <c r="E440" s="13" t="s">
        <v>691</v>
      </c>
      <c r="F440" s="37">
        <v>3375</v>
      </c>
      <c r="G440" s="29" t="s">
        <v>86</v>
      </c>
      <c r="H440" s="14">
        <v>43504</v>
      </c>
      <c r="I440" s="4" t="s">
        <v>4106</v>
      </c>
      <c r="J440" s="133"/>
      <c r="K440" s="22"/>
      <c r="L440" s="134"/>
    </row>
    <row r="441" spans="1:16" s="97" customFormat="1" hidden="1" x14ac:dyDescent="0.25">
      <c r="A441" s="32" t="s">
        <v>1350</v>
      </c>
      <c r="B441" s="242">
        <v>43537</v>
      </c>
      <c r="C441" s="13">
        <v>202</v>
      </c>
      <c r="D441" s="13" t="s">
        <v>276</v>
      </c>
      <c r="E441" s="13" t="s">
        <v>691</v>
      </c>
      <c r="F441" s="37">
        <v>3825</v>
      </c>
      <c r="G441" s="29" t="s">
        <v>3104</v>
      </c>
      <c r="H441" s="14">
        <v>43504</v>
      </c>
      <c r="I441" s="4" t="s">
        <v>4106</v>
      </c>
      <c r="J441" s="133"/>
      <c r="K441" s="22"/>
      <c r="L441" s="134"/>
    </row>
    <row r="442" spans="1:16" s="97" customFormat="1" hidden="1" x14ac:dyDescent="0.25">
      <c r="A442" s="32" t="s">
        <v>1350</v>
      </c>
      <c r="B442" s="242">
        <v>43537</v>
      </c>
      <c r="C442" s="13">
        <v>202</v>
      </c>
      <c r="D442" s="13" t="s">
        <v>276</v>
      </c>
      <c r="E442" s="13" t="s">
        <v>691</v>
      </c>
      <c r="F442" s="37">
        <v>3420</v>
      </c>
      <c r="G442" s="29" t="s">
        <v>1158</v>
      </c>
      <c r="H442" s="14">
        <v>43504</v>
      </c>
      <c r="I442" s="4" t="s">
        <v>4106</v>
      </c>
      <c r="J442" s="133"/>
      <c r="K442" s="22"/>
      <c r="L442" s="134"/>
    </row>
    <row r="443" spans="1:16" s="97" customFormat="1" hidden="1" x14ac:dyDescent="0.25">
      <c r="A443" s="32" t="s">
        <v>1350</v>
      </c>
      <c r="B443" s="242">
        <v>43537</v>
      </c>
      <c r="C443" s="13">
        <v>202</v>
      </c>
      <c r="D443" s="13" t="s">
        <v>276</v>
      </c>
      <c r="E443" s="13" t="s">
        <v>691</v>
      </c>
      <c r="F443" s="37">
        <v>260970</v>
      </c>
      <c r="G443" s="29" t="s">
        <v>3141</v>
      </c>
      <c r="H443" s="14">
        <v>43504</v>
      </c>
      <c r="I443" s="4" t="s">
        <v>4107</v>
      </c>
      <c r="J443" s="133"/>
      <c r="K443" s="22"/>
      <c r="L443" s="134"/>
    </row>
    <row r="444" spans="1:16" s="97" customFormat="1" hidden="1" x14ac:dyDescent="0.25">
      <c r="A444" s="32" t="s">
        <v>1350</v>
      </c>
      <c r="B444" s="242">
        <v>43537</v>
      </c>
      <c r="C444" s="13">
        <v>202</v>
      </c>
      <c r="D444" s="13" t="s">
        <v>276</v>
      </c>
      <c r="E444" s="13" t="s">
        <v>691</v>
      </c>
      <c r="F444" s="37">
        <v>256695</v>
      </c>
      <c r="G444" s="29" t="s">
        <v>3142</v>
      </c>
      <c r="H444" s="14">
        <v>43504</v>
      </c>
      <c r="I444" s="4" t="s">
        <v>449</v>
      </c>
      <c r="J444" s="133"/>
      <c r="K444" s="22"/>
      <c r="L444" s="134"/>
    </row>
    <row r="445" spans="1:16" s="97" customFormat="1" hidden="1" x14ac:dyDescent="0.25">
      <c r="A445" s="61" t="s">
        <v>637</v>
      </c>
      <c r="B445" s="242">
        <v>43537</v>
      </c>
      <c r="C445" s="13">
        <v>196</v>
      </c>
      <c r="D445" s="13" t="s">
        <v>2697</v>
      </c>
      <c r="E445" s="13" t="s">
        <v>691</v>
      </c>
      <c r="F445" s="37">
        <v>120052.59</v>
      </c>
      <c r="G445" s="29" t="s">
        <v>2225</v>
      </c>
      <c r="H445" s="14">
        <v>43515</v>
      </c>
      <c r="I445" s="4" t="s">
        <v>4684</v>
      </c>
      <c r="J445" s="133"/>
      <c r="K445" s="22"/>
      <c r="L445" s="134"/>
    </row>
    <row r="446" spans="1:16" hidden="1" x14ac:dyDescent="0.25">
      <c r="A446" s="32" t="s">
        <v>151</v>
      </c>
      <c r="B446" s="242">
        <v>43537</v>
      </c>
      <c r="C446" s="67">
        <v>197</v>
      </c>
      <c r="D446" s="32" t="s">
        <v>93</v>
      </c>
      <c r="E446" s="13" t="s">
        <v>691</v>
      </c>
      <c r="F446" s="4">
        <v>5000</v>
      </c>
      <c r="G446" s="67">
        <v>1167</v>
      </c>
      <c r="H446" s="14">
        <v>43536</v>
      </c>
      <c r="I446" s="4" t="s">
        <v>5223</v>
      </c>
      <c r="J446" s="21"/>
      <c r="K446" s="228"/>
    </row>
    <row r="447" spans="1:16" hidden="1" x14ac:dyDescent="0.25">
      <c r="A447" s="61" t="s">
        <v>1350</v>
      </c>
      <c r="B447" s="242">
        <v>43537</v>
      </c>
      <c r="C447" s="13">
        <v>198</v>
      </c>
      <c r="D447" s="13" t="s">
        <v>944</v>
      </c>
      <c r="E447" s="13" t="s">
        <v>691</v>
      </c>
      <c r="F447" s="37">
        <v>42750</v>
      </c>
      <c r="G447" s="29" t="s">
        <v>1367</v>
      </c>
      <c r="H447" s="14">
        <v>43510</v>
      </c>
      <c r="I447" s="4" t="s">
        <v>402</v>
      </c>
    </row>
    <row r="448" spans="1:16" hidden="1" x14ac:dyDescent="0.25">
      <c r="A448" s="61" t="s">
        <v>659</v>
      </c>
      <c r="B448" s="242">
        <v>43537</v>
      </c>
      <c r="C448" s="13">
        <v>200</v>
      </c>
      <c r="D448" s="13" t="s">
        <v>250</v>
      </c>
      <c r="E448" s="13" t="s">
        <v>691</v>
      </c>
      <c r="F448" s="4">
        <v>9500</v>
      </c>
      <c r="G448" s="28" t="s">
        <v>4671</v>
      </c>
      <c r="H448" s="14">
        <v>43474</v>
      </c>
      <c r="I448" s="4" t="s">
        <v>4088</v>
      </c>
    </row>
    <row r="449" spans="1:19" hidden="1" x14ac:dyDescent="0.25">
      <c r="A449" s="61" t="s">
        <v>659</v>
      </c>
      <c r="B449" s="242">
        <v>43537</v>
      </c>
      <c r="C449" s="13">
        <v>200</v>
      </c>
      <c r="D449" s="13" t="s">
        <v>250</v>
      </c>
      <c r="E449" s="13" t="s">
        <v>691</v>
      </c>
      <c r="F449" s="4">
        <v>100750</v>
      </c>
      <c r="G449" s="28" t="s">
        <v>4672</v>
      </c>
      <c r="H449" s="14">
        <v>43475</v>
      </c>
      <c r="I449" s="4" t="s">
        <v>1895</v>
      </c>
    </row>
    <row r="450" spans="1:19" hidden="1" x14ac:dyDescent="0.25">
      <c r="A450" s="61" t="s">
        <v>1350</v>
      </c>
      <c r="B450" s="242">
        <v>43537</v>
      </c>
      <c r="C450" s="13">
        <v>200</v>
      </c>
      <c r="D450" s="13" t="s">
        <v>250</v>
      </c>
      <c r="E450" s="13" t="s">
        <v>691</v>
      </c>
      <c r="F450" s="4">
        <v>123500</v>
      </c>
      <c r="G450" s="28" t="s">
        <v>4673</v>
      </c>
      <c r="H450" s="14">
        <v>43496</v>
      </c>
      <c r="I450" s="4" t="s">
        <v>4088</v>
      </c>
    </row>
    <row r="451" spans="1:19" hidden="1" x14ac:dyDescent="0.25">
      <c r="A451" s="61" t="s">
        <v>1350</v>
      </c>
      <c r="B451" s="242">
        <v>43537</v>
      </c>
      <c r="C451" s="13">
        <v>200</v>
      </c>
      <c r="D451" s="13" t="s">
        <v>250</v>
      </c>
      <c r="E451" s="13" t="s">
        <v>691</v>
      </c>
      <c r="F451" s="37">
        <v>20187.5</v>
      </c>
      <c r="G451" s="29" t="s">
        <v>4674</v>
      </c>
      <c r="H451" s="14">
        <v>43498</v>
      </c>
      <c r="I451" s="4" t="s">
        <v>4088</v>
      </c>
    </row>
    <row r="452" spans="1:19" hidden="1" x14ac:dyDescent="0.25">
      <c r="A452" s="61" t="s">
        <v>1350</v>
      </c>
      <c r="B452" s="242">
        <v>43537</v>
      </c>
      <c r="C452" s="13">
        <v>199</v>
      </c>
      <c r="D452" s="13" t="s">
        <v>303</v>
      </c>
      <c r="E452" s="13" t="s">
        <v>691</v>
      </c>
      <c r="F452" s="37">
        <v>7830</v>
      </c>
      <c r="G452" s="29" t="s">
        <v>3389</v>
      </c>
      <c r="H452" s="14">
        <v>43503</v>
      </c>
      <c r="I452" s="4" t="s">
        <v>87</v>
      </c>
    </row>
    <row r="453" spans="1:19" hidden="1" x14ac:dyDescent="0.25">
      <c r="A453" s="13" t="s">
        <v>455</v>
      </c>
      <c r="B453" s="126">
        <v>43537</v>
      </c>
      <c r="C453" s="28" t="s">
        <v>3209</v>
      </c>
      <c r="D453" s="32" t="s">
        <v>432</v>
      </c>
      <c r="E453" s="32" t="s">
        <v>958</v>
      </c>
      <c r="F453" s="4">
        <v>95000</v>
      </c>
      <c r="G453" s="69" t="s">
        <v>4761</v>
      </c>
      <c r="H453" s="14">
        <v>42941</v>
      </c>
      <c r="I453" s="4" t="s">
        <v>433</v>
      </c>
      <c r="J453" s="21"/>
      <c r="K453" s="228"/>
    </row>
    <row r="454" spans="1:19" ht="14.1" hidden="1" customHeight="1" x14ac:dyDescent="0.25">
      <c r="A454" s="68" t="s">
        <v>311</v>
      </c>
      <c r="B454" s="14">
        <v>43537</v>
      </c>
      <c r="C454" s="13">
        <v>212</v>
      </c>
      <c r="D454" s="32" t="s">
        <v>5516</v>
      </c>
      <c r="E454" s="13" t="s">
        <v>958</v>
      </c>
      <c r="F454" s="4">
        <v>8514000</v>
      </c>
      <c r="G454" s="86" t="s">
        <v>4990</v>
      </c>
      <c r="H454" s="211"/>
      <c r="I454" s="208" t="s">
        <v>229</v>
      </c>
      <c r="J454" s="21"/>
      <c r="K454" s="228"/>
    </row>
    <row r="455" spans="1:19" ht="13.95" hidden="1" customHeight="1" x14ac:dyDescent="0.25">
      <c r="A455" s="13" t="s">
        <v>455</v>
      </c>
      <c r="B455" s="126">
        <v>43537</v>
      </c>
      <c r="C455" s="13">
        <v>102</v>
      </c>
      <c r="D455" s="13" t="s">
        <v>4431</v>
      </c>
      <c r="E455" s="32" t="s">
        <v>958</v>
      </c>
      <c r="F455" s="37">
        <v>1108059.5</v>
      </c>
      <c r="G455" s="69" t="s">
        <v>4430</v>
      </c>
      <c r="H455" s="14"/>
      <c r="I455" s="4" t="s">
        <v>4429</v>
      </c>
      <c r="J455" s="71"/>
      <c r="K455" s="62"/>
      <c r="L455" s="62"/>
      <c r="M455" s="35"/>
      <c r="N455" s="35"/>
      <c r="O455" s="35"/>
      <c r="P455" s="35"/>
      <c r="Q455" s="35"/>
    </row>
    <row r="456" spans="1:19" s="97" customFormat="1" hidden="1" x14ac:dyDescent="0.25">
      <c r="A456" s="68" t="s">
        <v>160</v>
      </c>
      <c r="B456" s="126">
        <v>43537</v>
      </c>
      <c r="C456" s="13">
        <v>103</v>
      </c>
      <c r="D456" s="13" t="s">
        <v>982</v>
      </c>
      <c r="E456" s="13" t="s">
        <v>958</v>
      </c>
      <c r="F456" s="37">
        <v>500000</v>
      </c>
      <c r="G456" s="29" t="s">
        <v>5230</v>
      </c>
      <c r="H456" s="14">
        <v>42601</v>
      </c>
      <c r="I456" s="4" t="s">
        <v>1093</v>
      </c>
      <c r="J456" s="133"/>
      <c r="K456" s="22"/>
      <c r="L456" s="134"/>
    </row>
    <row r="457" spans="1:19" s="62" customFormat="1" ht="15" hidden="1" customHeight="1" x14ac:dyDescent="0.25">
      <c r="A457" s="32" t="s">
        <v>455</v>
      </c>
      <c r="B457" s="126">
        <v>43537</v>
      </c>
      <c r="C457" s="13">
        <v>104</v>
      </c>
      <c r="D457" s="13" t="s">
        <v>257</v>
      </c>
      <c r="E457" s="13" t="s">
        <v>958</v>
      </c>
      <c r="F457" s="37">
        <v>917060</v>
      </c>
      <c r="G457" s="189" t="s">
        <v>5039</v>
      </c>
      <c r="H457" s="14">
        <v>43440</v>
      </c>
      <c r="I457" s="4" t="s">
        <v>5040</v>
      </c>
      <c r="J457" s="261" t="s">
        <v>3665</v>
      </c>
      <c r="K457" s="4" t="s">
        <v>4999</v>
      </c>
      <c r="L457" s="71"/>
      <c r="M457" s="170"/>
      <c r="N457" s="71"/>
      <c r="O457" s="71"/>
      <c r="P457" s="35"/>
      <c r="Q457" s="35"/>
      <c r="R457" s="35"/>
      <c r="S457" s="35"/>
    </row>
    <row r="458" spans="1:19" s="62" customFormat="1" ht="15" hidden="1" customHeight="1" x14ac:dyDescent="0.25">
      <c r="A458" s="32" t="s">
        <v>455</v>
      </c>
      <c r="B458" s="126">
        <v>43537</v>
      </c>
      <c r="C458" s="13">
        <v>105</v>
      </c>
      <c r="D458" s="13" t="s">
        <v>539</v>
      </c>
      <c r="E458" s="13" t="s">
        <v>958</v>
      </c>
      <c r="F458" s="37">
        <v>755788</v>
      </c>
      <c r="G458" s="189" t="s">
        <v>5043</v>
      </c>
      <c r="H458" s="14">
        <v>43510</v>
      </c>
      <c r="I458" s="4" t="s">
        <v>5036</v>
      </c>
      <c r="J458" s="261" t="s">
        <v>3665</v>
      </c>
      <c r="K458" s="4" t="s">
        <v>4999</v>
      </c>
      <c r="L458" s="71"/>
      <c r="M458" s="170"/>
      <c r="N458" s="71"/>
      <c r="O458" s="71"/>
      <c r="P458" s="35"/>
      <c r="Q458" s="35"/>
      <c r="R458" s="35"/>
      <c r="S458" s="35"/>
    </row>
    <row r="459" spans="1:19" s="62" customFormat="1" hidden="1" x14ac:dyDescent="0.25">
      <c r="A459" s="32" t="s">
        <v>455</v>
      </c>
      <c r="B459" s="126">
        <v>43537</v>
      </c>
      <c r="C459" s="13">
        <v>106</v>
      </c>
      <c r="D459" s="13" t="s">
        <v>5053</v>
      </c>
      <c r="E459" s="13" t="s">
        <v>958</v>
      </c>
      <c r="F459" s="37">
        <v>896000</v>
      </c>
      <c r="G459" s="189" t="s">
        <v>5054</v>
      </c>
      <c r="H459" s="14">
        <v>43458</v>
      </c>
      <c r="I459" s="4" t="s">
        <v>5055</v>
      </c>
      <c r="J459" s="261" t="s">
        <v>3665</v>
      </c>
      <c r="K459" s="4" t="s">
        <v>4999</v>
      </c>
      <c r="L459" s="71"/>
      <c r="M459" s="170"/>
      <c r="N459" s="71"/>
      <c r="O459" s="71"/>
      <c r="P459" s="35"/>
      <c r="Q459" s="35"/>
      <c r="R459" s="35"/>
      <c r="S459" s="35"/>
    </row>
    <row r="460" spans="1:19" s="62" customFormat="1" hidden="1" x14ac:dyDescent="0.25">
      <c r="A460" s="32" t="s">
        <v>455</v>
      </c>
      <c r="B460" s="126">
        <v>43537</v>
      </c>
      <c r="C460" s="13">
        <v>107</v>
      </c>
      <c r="D460" s="13" t="s">
        <v>589</v>
      </c>
      <c r="E460" s="13" t="s">
        <v>958</v>
      </c>
      <c r="F460" s="37">
        <v>1590059</v>
      </c>
      <c r="G460" s="189" t="s">
        <v>5068</v>
      </c>
      <c r="H460" s="14">
        <v>43446</v>
      </c>
      <c r="I460" s="4" t="s">
        <v>5069</v>
      </c>
      <c r="J460" s="261" t="s">
        <v>3665</v>
      </c>
      <c r="K460" s="4" t="s">
        <v>4999</v>
      </c>
      <c r="L460" s="71"/>
      <c r="M460" s="170"/>
      <c r="N460" s="71"/>
      <c r="O460" s="71"/>
      <c r="P460" s="35"/>
      <c r="Q460" s="35"/>
      <c r="R460" s="35"/>
      <c r="S460" s="35"/>
    </row>
    <row r="461" spans="1:19" s="62" customFormat="1" hidden="1" x14ac:dyDescent="0.25">
      <c r="A461" s="32" t="s">
        <v>455</v>
      </c>
      <c r="B461" s="126">
        <v>43537</v>
      </c>
      <c r="C461" s="13">
        <v>108</v>
      </c>
      <c r="D461" s="13" t="s">
        <v>243</v>
      </c>
      <c r="E461" s="13" t="s">
        <v>958</v>
      </c>
      <c r="F461" s="37">
        <v>919564.44</v>
      </c>
      <c r="G461" s="189" t="s">
        <v>4940</v>
      </c>
      <c r="H461" s="14">
        <v>43460</v>
      </c>
      <c r="I461" s="4" t="s">
        <v>5076</v>
      </c>
      <c r="J461" s="261" t="s">
        <v>3665</v>
      </c>
      <c r="K461" s="4" t="s">
        <v>4999</v>
      </c>
      <c r="L461" s="71"/>
      <c r="M461" s="170"/>
      <c r="N461" s="71"/>
      <c r="O461" s="71"/>
      <c r="P461" s="35"/>
      <c r="Q461" s="35"/>
      <c r="R461" s="35"/>
      <c r="S461" s="35"/>
    </row>
    <row r="462" spans="1:19" s="62" customFormat="1" ht="13.2" hidden="1" customHeight="1" x14ac:dyDescent="0.25">
      <c r="A462" s="32" t="s">
        <v>455</v>
      </c>
      <c r="B462" s="126">
        <v>43537</v>
      </c>
      <c r="C462" s="13">
        <v>109</v>
      </c>
      <c r="D462" s="13" t="s">
        <v>249</v>
      </c>
      <c r="E462" s="13" t="s">
        <v>958</v>
      </c>
      <c r="F462" s="37">
        <v>765767.03</v>
      </c>
      <c r="G462" s="189" t="s">
        <v>3362</v>
      </c>
      <c r="H462" s="14">
        <v>43482</v>
      </c>
      <c r="I462" s="4" t="s">
        <v>5041</v>
      </c>
      <c r="J462" s="261" t="s">
        <v>3665</v>
      </c>
      <c r="K462" s="4" t="s">
        <v>4999</v>
      </c>
      <c r="L462" s="71"/>
      <c r="M462" s="170"/>
      <c r="N462" s="71"/>
      <c r="O462" s="71"/>
      <c r="P462" s="35"/>
      <c r="Q462" s="35"/>
      <c r="R462" s="35"/>
      <c r="S462" s="35"/>
    </row>
    <row r="463" spans="1:19" s="62" customFormat="1" ht="13.2" hidden="1" customHeight="1" x14ac:dyDescent="0.25">
      <c r="A463" s="32" t="s">
        <v>455</v>
      </c>
      <c r="B463" s="126">
        <v>43537</v>
      </c>
      <c r="C463" s="13">
        <v>110</v>
      </c>
      <c r="D463" s="13" t="s">
        <v>249</v>
      </c>
      <c r="E463" s="13" t="s">
        <v>958</v>
      </c>
      <c r="F463" s="37">
        <v>88933.27</v>
      </c>
      <c r="G463" s="189" t="s">
        <v>1243</v>
      </c>
      <c r="H463" s="14">
        <v>43507</v>
      </c>
      <c r="I463" s="4" t="s">
        <v>5055</v>
      </c>
      <c r="J463" s="261" t="s">
        <v>3665</v>
      </c>
      <c r="K463" s="4" t="s">
        <v>4999</v>
      </c>
      <c r="L463" s="71"/>
      <c r="M463" s="170"/>
      <c r="N463" s="71"/>
      <c r="O463" s="71"/>
      <c r="P463" s="35"/>
      <c r="Q463" s="35"/>
      <c r="R463" s="35"/>
      <c r="S463" s="35"/>
    </row>
    <row r="464" spans="1:19" s="62" customFormat="1" hidden="1" x14ac:dyDescent="0.25">
      <c r="A464" s="32" t="s">
        <v>455</v>
      </c>
      <c r="B464" s="126">
        <v>43537</v>
      </c>
      <c r="C464" s="13">
        <v>111</v>
      </c>
      <c r="D464" s="13" t="s">
        <v>353</v>
      </c>
      <c r="E464" s="13" t="s">
        <v>958</v>
      </c>
      <c r="F464" s="37">
        <v>818593</v>
      </c>
      <c r="G464" s="189" t="s">
        <v>3209</v>
      </c>
      <c r="H464" s="14">
        <v>43460</v>
      </c>
      <c r="I464" s="4" t="s">
        <v>5124</v>
      </c>
      <c r="J464" s="261" t="s">
        <v>3665</v>
      </c>
      <c r="K464" s="4" t="s">
        <v>4999</v>
      </c>
      <c r="L464" s="71"/>
      <c r="M464" s="170"/>
      <c r="N464" s="71"/>
      <c r="O464" s="71"/>
      <c r="P464" s="35"/>
      <c r="Q464" s="35"/>
      <c r="R464" s="35"/>
      <c r="S464" s="35"/>
    </row>
    <row r="465" spans="1:15" s="97" customFormat="1" ht="15" hidden="1" customHeight="1" x14ac:dyDescent="0.25">
      <c r="A465" s="32" t="s">
        <v>455</v>
      </c>
      <c r="B465" s="126">
        <v>43537</v>
      </c>
      <c r="C465" s="13">
        <v>112</v>
      </c>
      <c r="D465" s="32" t="s">
        <v>5009</v>
      </c>
      <c r="E465" s="32" t="s">
        <v>958</v>
      </c>
      <c r="F465" s="4">
        <v>45600</v>
      </c>
      <c r="G465" s="28" t="s">
        <v>2356</v>
      </c>
      <c r="H465" s="14">
        <v>43500</v>
      </c>
      <c r="I465" s="32" t="s">
        <v>4317</v>
      </c>
      <c r="J465" s="442" t="s">
        <v>5010</v>
      </c>
      <c r="K465" s="32" t="s">
        <v>4999</v>
      </c>
      <c r="L465" s="22"/>
      <c r="M465" s="170"/>
      <c r="N465" s="22"/>
      <c r="O465" s="22"/>
    </row>
    <row r="466" spans="1:15" s="97" customFormat="1" ht="15" hidden="1" customHeight="1" x14ac:dyDescent="0.25">
      <c r="A466" s="32" t="s">
        <v>455</v>
      </c>
      <c r="B466" s="126">
        <v>43537</v>
      </c>
      <c r="C466" s="13">
        <v>112</v>
      </c>
      <c r="D466" s="32" t="s">
        <v>5009</v>
      </c>
      <c r="E466" s="32" t="s">
        <v>958</v>
      </c>
      <c r="F466" s="4">
        <v>41800</v>
      </c>
      <c r="G466" s="28" t="s">
        <v>5063</v>
      </c>
      <c r="H466" s="14">
        <v>43503</v>
      </c>
      <c r="I466" s="32" t="s">
        <v>4317</v>
      </c>
      <c r="J466" s="442" t="s">
        <v>5010</v>
      </c>
      <c r="K466" s="32" t="s">
        <v>4999</v>
      </c>
      <c r="L466" s="22"/>
      <c r="M466" s="170"/>
      <c r="N466" s="22"/>
      <c r="O466" s="22"/>
    </row>
    <row r="467" spans="1:15" s="97" customFormat="1" ht="15" hidden="1" customHeight="1" x14ac:dyDescent="0.25">
      <c r="A467" s="32" t="s">
        <v>455</v>
      </c>
      <c r="B467" s="126">
        <v>43537</v>
      </c>
      <c r="C467" s="13">
        <v>112</v>
      </c>
      <c r="D467" s="32" t="s">
        <v>5009</v>
      </c>
      <c r="E467" s="32" t="s">
        <v>958</v>
      </c>
      <c r="F467" s="4">
        <v>29700</v>
      </c>
      <c r="G467" s="28" t="s">
        <v>5064</v>
      </c>
      <c r="H467" s="14">
        <v>43504</v>
      </c>
      <c r="I467" s="32" t="s">
        <v>4317</v>
      </c>
      <c r="J467" s="442" t="s">
        <v>5010</v>
      </c>
      <c r="K467" s="32" t="s">
        <v>4999</v>
      </c>
      <c r="L467" s="22"/>
      <c r="M467" s="170"/>
      <c r="N467" s="22"/>
      <c r="O467" s="22"/>
    </row>
    <row r="468" spans="1:15" s="97" customFormat="1" ht="15" hidden="1" customHeight="1" x14ac:dyDescent="0.25">
      <c r="A468" s="32" t="s">
        <v>455</v>
      </c>
      <c r="B468" s="126">
        <v>43537</v>
      </c>
      <c r="C468" s="13">
        <v>112</v>
      </c>
      <c r="D468" s="32" t="s">
        <v>5009</v>
      </c>
      <c r="E468" s="32" t="s">
        <v>958</v>
      </c>
      <c r="F468" s="4">
        <v>29700</v>
      </c>
      <c r="G468" s="28" t="s">
        <v>3619</v>
      </c>
      <c r="H468" s="14">
        <v>43507</v>
      </c>
      <c r="I468" s="32" t="s">
        <v>4317</v>
      </c>
      <c r="J468" s="442" t="s">
        <v>5010</v>
      </c>
      <c r="K468" s="32" t="s">
        <v>4999</v>
      </c>
      <c r="L468" s="22"/>
      <c r="M468" s="170"/>
      <c r="N468" s="22"/>
      <c r="O468" s="22"/>
    </row>
    <row r="469" spans="1:15" s="97" customFormat="1" ht="15" hidden="1" customHeight="1" x14ac:dyDescent="0.25">
      <c r="A469" s="32" t="s">
        <v>455</v>
      </c>
      <c r="B469" s="126">
        <v>43537</v>
      </c>
      <c r="C469" s="13">
        <v>112</v>
      </c>
      <c r="D469" s="32" t="s">
        <v>5009</v>
      </c>
      <c r="E469" s="32" t="s">
        <v>958</v>
      </c>
      <c r="F469" s="4">
        <v>21600</v>
      </c>
      <c r="G469" s="28" t="s">
        <v>907</v>
      </c>
      <c r="H469" s="14">
        <v>43507</v>
      </c>
      <c r="I469" s="32" t="s">
        <v>4317</v>
      </c>
      <c r="J469" s="442" t="s">
        <v>5010</v>
      </c>
      <c r="K469" s="32" t="s">
        <v>4999</v>
      </c>
      <c r="L469" s="22"/>
      <c r="M469" s="170"/>
      <c r="N469" s="22"/>
      <c r="O469" s="22"/>
    </row>
    <row r="470" spans="1:15" s="97" customFormat="1" ht="15" hidden="1" customHeight="1" x14ac:dyDescent="0.25">
      <c r="A470" s="32" t="s">
        <v>455</v>
      </c>
      <c r="B470" s="126">
        <v>43537</v>
      </c>
      <c r="C470" s="13">
        <v>113</v>
      </c>
      <c r="D470" s="32" t="s">
        <v>4870</v>
      </c>
      <c r="E470" s="32" t="s">
        <v>958</v>
      </c>
      <c r="F470" s="4">
        <v>33600</v>
      </c>
      <c r="G470" s="28" t="s">
        <v>5079</v>
      </c>
      <c r="H470" s="14">
        <v>43434</v>
      </c>
      <c r="I470" s="32" t="s">
        <v>164</v>
      </c>
      <c r="J470" s="442" t="s">
        <v>5010</v>
      </c>
      <c r="K470" s="32" t="s">
        <v>4999</v>
      </c>
      <c r="L470" s="22"/>
      <c r="M470" s="170"/>
      <c r="N470" s="22"/>
      <c r="O470" s="22"/>
    </row>
    <row r="471" spans="1:15" s="97" customFormat="1" ht="15" hidden="1" customHeight="1" x14ac:dyDescent="0.25">
      <c r="A471" s="32" t="s">
        <v>455</v>
      </c>
      <c r="B471" s="126">
        <v>43537</v>
      </c>
      <c r="C471" s="13">
        <v>113</v>
      </c>
      <c r="D471" s="32" t="s">
        <v>4870</v>
      </c>
      <c r="E471" s="32" t="s">
        <v>958</v>
      </c>
      <c r="F471" s="4">
        <v>45000</v>
      </c>
      <c r="G471" s="28" t="s">
        <v>5080</v>
      </c>
      <c r="H471" s="14">
        <v>43428</v>
      </c>
      <c r="I471" s="32" t="s">
        <v>1941</v>
      </c>
      <c r="J471" s="442" t="s">
        <v>5010</v>
      </c>
      <c r="K471" s="32" t="s">
        <v>4999</v>
      </c>
      <c r="L471" s="22"/>
      <c r="M471" s="170"/>
      <c r="N471" s="22"/>
      <c r="O471" s="22"/>
    </row>
    <row r="472" spans="1:15" s="97" customFormat="1" ht="15" hidden="1" customHeight="1" x14ac:dyDescent="0.25">
      <c r="A472" s="32" t="s">
        <v>455</v>
      </c>
      <c r="B472" s="126">
        <v>43537</v>
      </c>
      <c r="C472" s="13">
        <v>113</v>
      </c>
      <c r="D472" s="32" t="s">
        <v>4870</v>
      </c>
      <c r="E472" s="32" t="s">
        <v>958</v>
      </c>
      <c r="F472" s="4">
        <v>84000</v>
      </c>
      <c r="G472" s="28" t="s">
        <v>5081</v>
      </c>
      <c r="H472" s="14">
        <v>43459</v>
      </c>
      <c r="I472" s="32" t="s">
        <v>2027</v>
      </c>
      <c r="J472" s="442" t="s">
        <v>5010</v>
      </c>
      <c r="K472" s="32" t="s">
        <v>4999</v>
      </c>
      <c r="L472" s="22"/>
      <c r="M472" s="170"/>
      <c r="N472" s="22"/>
      <c r="O472" s="22"/>
    </row>
    <row r="473" spans="1:15" s="97" customFormat="1" ht="15" hidden="1" customHeight="1" x14ac:dyDescent="0.25">
      <c r="A473" s="32" t="s">
        <v>455</v>
      </c>
      <c r="B473" s="126">
        <v>43537</v>
      </c>
      <c r="C473" s="13">
        <v>113</v>
      </c>
      <c r="D473" s="32" t="s">
        <v>4870</v>
      </c>
      <c r="E473" s="32" t="s">
        <v>958</v>
      </c>
      <c r="F473" s="4">
        <v>181000</v>
      </c>
      <c r="G473" s="28" t="s">
        <v>5082</v>
      </c>
      <c r="H473" s="14">
        <v>43458</v>
      </c>
      <c r="I473" s="32" t="s">
        <v>1941</v>
      </c>
      <c r="J473" s="442" t="s">
        <v>5010</v>
      </c>
      <c r="K473" s="32" t="s">
        <v>4999</v>
      </c>
      <c r="L473" s="22"/>
      <c r="M473" s="170"/>
      <c r="N473" s="22"/>
      <c r="O473" s="22"/>
    </row>
    <row r="474" spans="1:15" s="97" customFormat="1" ht="15" hidden="1" customHeight="1" x14ac:dyDescent="0.25">
      <c r="A474" s="32" t="s">
        <v>455</v>
      </c>
      <c r="B474" s="126">
        <v>43537</v>
      </c>
      <c r="C474" s="13">
        <v>113</v>
      </c>
      <c r="D474" s="32" t="s">
        <v>4870</v>
      </c>
      <c r="E474" s="32" t="s">
        <v>958</v>
      </c>
      <c r="F474" s="4">
        <v>28800</v>
      </c>
      <c r="G474" s="28" t="s">
        <v>5083</v>
      </c>
      <c r="H474" s="14">
        <v>43453</v>
      </c>
      <c r="I474" s="32" t="s">
        <v>164</v>
      </c>
      <c r="J474" s="442" t="s">
        <v>5010</v>
      </c>
      <c r="K474" s="32" t="s">
        <v>4999</v>
      </c>
      <c r="L474" s="22"/>
      <c r="M474" s="170"/>
      <c r="N474" s="22"/>
      <c r="O474" s="22"/>
    </row>
    <row r="475" spans="1:15" s="97" customFormat="1" ht="15" hidden="1" customHeight="1" x14ac:dyDescent="0.25">
      <c r="A475" s="32" t="s">
        <v>455</v>
      </c>
      <c r="B475" s="126">
        <v>43537</v>
      </c>
      <c r="C475" s="13">
        <v>114</v>
      </c>
      <c r="D475" s="32" t="s">
        <v>4870</v>
      </c>
      <c r="E475" s="32" t="s">
        <v>958</v>
      </c>
      <c r="F475" s="4">
        <v>115200</v>
      </c>
      <c r="G475" s="28" t="s">
        <v>5085</v>
      </c>
      <c r="H475" s="14">
        <v>43483</v>
      </c>
      <c r="I475" s="32" t="s">
        <v>164</v>
      </c>
      <c r="J475" s="442" t="s">
        <v>5010</v>
      </c>
      <c r="K475" s="32" t="s">
        <v>4999</v>
      </c>
      <c r="L475" s="22"/>
      <c r="M475" s="170"/>
      <c r="N475" s="22"/>
      <c r="O475" s="22"/>
    </row>
    <row r="476" spans="1:15" hidden="1" x14ac:dyDescent="0.25">
      <c r="A476" s="61" t="s">
        <v>455</v>
      </c>
      <c r="B476" s="126">
        <v>43537</v>
      </c>
      <c r="C476" s="13">
        <v>115</v>
      </c>
      <c r="D476" s="13" t="s">
        <v>4871</v>
      </c>
      <c r="E476" s="13" t="s">
        <v>958</v>
      </c>
      <c r="F476" s="37">
        <v>349500</v>
      </c>
      <c r="G476" s="29" t="s">
        <v>4872</v>
      </c>
      <c r="H476" s="14">
        <v>43495</v>
      </c>
      <c r="I476" s="4" t="s">
        <v>4873</v>
      </c>
    </row>
    <row r="477" spans="1:15" s="97" customFormat="1" ht="15" hidden="1" customHeight="1" x14ac:dyDescent="0.25">
      <c r="A477" s="32" t="s">
        <v>455</v>
      </c>
      <c r="B477" s="126">
        <v>43537</v>
      </c>
      <c r="C477" s="13">
        <v>115</v>
      </c>
      <c r="D477" s="32" t="s">
        <v>5111</v>
      </c>
      <c r="E477" s="32" t="s">
        <v>958</v>
      </c>
      <c r="F477" s="4">
        <v>49500</v>
      </c>
      <c r="G477" s="28" t="s">
        <v>5113</v>
      </c>
      <c r="H477" s="14">
        <v>43515</v>
      </c>
      <c r="I477" s="32" t="s">
        <v>4873</v>
      </c>
      <c r="J477" s="442" t="s">
        <v>5010</v>
      </c>
      <c r="K477" s="32" t="s">
        <v>4999</v>
      </c>
      <c r="L477" s="22"/>
      <c r="M477" s="170"/>
      <c r="N477" s="22"/>
      <c r="O477" s="22"/>
    </row>
    <row r="478" spans="1:15" s="129" customFormat="1" hidden="1" x14ac:dyDescent="0.25">
      <c r="A478" s="13" t="s">
        <v>151</v>
      </c>
      <c r="B478" s="126">
        <v>43537</v>
      </c>
      <c r="C478" s="28" t="s">
        <v>11</v>
      </c>
      <c r="D478" s="13" t="s">
        <v>401</v>
      </c>
      <c r="E478" s="13" t="s">
        <v>958</v>
      </c>
      <c r="F478" s="37">
        <v>23400</v>
      </c>
      <c r="G478" s="28" t="s">
        <v>5191</v>
      </c>
      <c r="H478" s="14">
        <v>43528</v>
      </c>
      <c r="I478" s="4" t="s">
        <v>5192</v>
      </c>
      <c r="J478" s="133"/>
      <c r="K478" s="275"/>
    </row>
    <row r="479" spans="1:15" hidden="1" x14ac:dyDescent="0.25">
      <c r="A479" s="13" t="s">
        <v>209</v>
      </c>
      <c r="B479" s="14">
        <v>43537</v>
      </c>
      <c r="C479" s="13">
        <v>49</v>
      </c>
      <c r="D479" s="13" t="s">
        <v>210</v>
      </c>
      <c r="E479" s="13" t="s">
        <v>134</v>
      </c>
      <c r="F479" s="37">
        <v>5528.92</v>
      </c>
      <c r="G479" s="67" t="s">
        <v>5264</v>
      </c>
      <c r="H479" s="14">
        <v>43536</v>
      </c>
      <c r="I479" s="4" t="s">
        <v>5265</v>
      </c>
      <c r="J479" s="21"/>
      <c r="K479" s="228"/>
    </row>
    <row r="480" spans="1:15" hidden="1" x14ac:dyDescent="0.25">
      <c r="A480" s="61" t="s">
        <v>311</v>
      </c>
      <c r="B480" s="14">
        <v>43537</v>
      </c>
      <c r="C480" s="13">
        <v>213</v>
      </c>
      <c r="D480" s="13" t="s">
        <v>5012</v>
      </c>
      <c r="E480" s="13" t="s">
        <v>958</v>
      </c>
      <c r="F480" s="37">
        <v>30907.37</v>
      </c>
      <c r="G480" s="29" t="s">
        <v>5013</v>
      </c>
      <c r="H480" s="14">
        <v>43494</v>
      </c>
      <c r="I480" s="4" t="s">
        <v>4997</v>
      </c>
      <c r="J480" s="22" t="s">
        <v>4998</v>
      </c>
      <c r="K480" s="21" t="s">
        <v>4999</v>
      </c>
      <c r="L480" s="21"/>
      <c r="M480" s="21"/>
      <c r="N480" s="21"/>
      <c r="O480" s="21"/>
    </row>
    <row r="481" spans="1:256" hidden="1" x14ac:dyDescent="0.25">
      <c r="A481" s="13" t="s">
        <v>311</v>
      </c>
      <c r="B481" s="14">
        <v>43537</v>
      </c>
      <c r="C481" s="13">
        <v>214</v>
      </c>
      <c r="D481" s="13" t="s">
        <v>5012</v>
      </c>
      <c r="E481" s="13" t="s">
        <v>958</v>
      </c>
      <c r="F481" s="4">
        <v>124827.9</v>
      </c>
      <c r="G481" s="28" t="s">
        <v>5016</v>
      </c>
      <c r="H481" s="14">
        <v>43494</v>
      </c>
      <c r="I481" s="4" t="s">
        <v>4997</v>
      </c>
      <c r="J481" s="22" t="s">
        <v>4998</v>
      </c>
      <c r="K481" s="21" t="s">
        <v>4999</v>
      </c>
      <c r="L481" s="21"/>
      <c r="M481" s="21"/>
      <c r="N481" s="21"/>
      <c r="O481" s="21"/>
    </row>
    <row r="482" spans="1:256" hidden="1" x14ac:dyDescent="0.25">
      <c r="A482" s="61" t="s">
        <v>311</v>
      </c>
      <c r="B482" s="14">
        <v>43537</v>
      </c>
      <c r="C482" s="13">
        <v>215</v>
      </c>
      <c r="D482" s="13" t="s">
        <v>5012</v>
      </c>
      <c r="E482" s="13" t="s">
        <v>958</v>
      </c>
      <c r="F482" s="37">
        <v>6050</v>
      </c>
      <c r="G482" s="29" t="s">
        <v>5014</v>
      </c>
      <c r="H482" s="14">
        <v>43510</v>
      </c>
      <c r="I482" s="4" t="s">
        <v>5015</v>
      </c>
      <c r="J482" s="22" t="s">
        <v>4998</v>
      </c>
      <c r="K482" s="21" t="s">
        <v>4999</v>
      </c>
      <c r="L482" s="21"/>
      <c r="M482" s="21"/>
      <c r="N482" s="21"/>
      <c r="O482" s="21"/>
    </row>
    <row r="483" spans="1:256" hidden="1" x14ac:dyDescent="0.25">
      <c r="A483" s="13" t="s">
        <v>311</v>
      </c>
      <c r="B483" s="14">
        <v>43537</v>
      </c>
      <c r="C483" s="13">
        <v>216</v>
      </c>
      <c r="D483" s="13" t="s">
        <v>5027</v>
      </c>
      <c r="E483" s="13" t="s">
        <v>958</v>
      </c>
      <c r="F483" s="37">
        <v>2000</v>
      </c>
      <c r="G483" s="29" t="s">
        <v>5031</v>
      </c>
      <c r="H483" s="14">
        <v>43486</v>
      </c>
      <c r="I483" s="4" t="s">
        <v>5032</v>
      </c>
      <c r="J483" s="22" t="s">
        <v>5030</v>
      </c>
      <c r="K483" s="21" t="s">
        <v>4999</v>
      </c>
      <c r="L483" s="21"/>
      <c r="M483" s="21"/>
      <c r="N483" s="21"/>
      <c r="O483" s="21"/>
    </row>
    <row r="484" spans="1:256" ht="27.6" hidden="1" x14ac:dyDescent="0.25">
      <c r="A484" s="13" t="s">
        <v>41</v>
      </c>
      <c r="B484" s="14">
        <v>43537</v>
      </c>
      <c r="C484" s="13">
        <v>70</v>
      </c>
      <c r="D484" s="13" t="s">
        <v>5272</v>
      </c>
      <c r="E484" s="13" t="s">
        <v>195</v>
      </c>
      <c r="F484" s="37">
        <v>5580</v>
      </c>
      <c r="G484" s="29" t="s">
        <v>1133</v>
      </c>
      <c r="H484" s="14">
        <v>43528</v>
      </c>
      <c r="I484" s="4" t="s">
        <v>5273</v>
      </c>
      <c r="L484" s="21"/>
      <c r="M484" s="21"/>
      <c r="N484" s="21"/>
      <c r="O484" s="21"/>
    </row>
    <row r="485" spans="1:256" s="115" customFormat="1" ht="15" hidden="1" customHeight="1" x14ac:dyDescent="0.25">
      <c r="A485" s="13" t="s">
        <v>2320</v>
      </c>
      <c r="B485" s="14">
        <v>43536</v>
      </c>
      <c r="C485" s="13">
        <v>233</v>
      </c>
      <c r="D485" s="13" t="s">
        <v>2615</v>
      </c>
      <c r="E485" s="13" t="s">
        <v>136</v>
      </c>
      <c r="F485" s="4">
        <v>305084.75</v>
      </c>
      <c r="G485" s="265" t="s">
        <v>2616</v>
      </c>
      <c r="H485" s="126">
        <v>43374</v>
      </c>
      <c r="I485" s="4" t="s">
        <v>2617</v>
      </c>
      <c r="J485" s="21" t="s">
        <v>366</v>
      </c>
      <c r="K485" s="116"/>
      <c r="L485" s="116"/>
      <c r="M485" s="116"/>
      <c r="N485" s="116"/>
      <c r="O485" s="117"/>
      <c r="P485" s="117"/>
      <c r="Q485" s="117"/>
      <c r="R485" s="117"/>
      <c r="S485" s="117"/>
    </row>
    <row r="486" spans="1:256" s="115" customFormat="1" ht="15" hidden="1" customHeight="1" x14ac:dyDescent="0.25">
      <c r="A486" s="13" t="s">
        <v>495</v>
      </c>
      <c r="B486" s="14">
        <v>43537</v>
      </c>
      <c r="C486" s="13">
        <v>29</v>
      </c>
      <c r="D486" s="13" t="s">
        <v>5331</v>
      </c>
      <c r="E486" s="13" t="s">
        <v>2093</v>
      </c>
      <c r="F486" s="4">
        <v>351271.25</v>
      </c>
      <c r="G486" s="29" t="s">
        <v>5333</v>
      </c>
      <c r="H486" s="126">
        <v>43280</v>
      </c>
      <c r="I486" s="4" t="s">
        <v>5332</v>
      </c>
      <c r="J486" s="21" t="s">
        <v>5334</v>
      </c>
      <c r="K486" s="116"/>
      <c r="L486" s="116"/>
      <c r="M486" s="116"/>
      <c r="N486" s="116"/>
      <c r="O486" s="117"/>
      <c r="P486" s="117"/>
      <c r="Q486" s="117"/>
      <c r="R486" s="117"/>
      <c r="S486" s="117"/>
    </row>
    <row r="487" spans="1:256" s="115" customFormat="1" ht="15" hidden="1" customHeight="1" x14ac:dyDescent="0.25">
      <c r="A487" s="13" t="s">
        <v>495</v>
      </c>
      <c r="B487" s="14">
        <v>43537</v>
      </c>
      <c r="C487" s="13">
        <v>30</v>
      </c>
      <c r="D487" s="13" t="s">
        <v>5331</v>
      </c>
      <c r="E487" s="13" t="s">
        <v>2093</v>
      </c>
      <c r="F487" s="4">
        <v>482301.01</v>
      </c>
      <c r="G487" s="29" t="s">
        <v>1875</v>
      </c>
      <c r="H487" s="126">
        <v>43434</v>
      </c>
      <c r="I487" s="4" t="s">
        <v>5332</v>
      </c>
      <c r="J487" s="21" t="s">
        <v>5335</v>
      </c>
      <c r="K487" s="116"/>
      <c r="L487" s="116"/>
      <c r="M487" s="116"/>
      <c r="N487" s="116"/>
      <c r="O487" s="117"/>
      <c r="P487" s="117"/>
      <c r="Q487" s="117"/>
      <c r="R487" s="117"/>
      <c r="S487" s="117"/>
    </row>
    <row r="488" spans="1:256" s="115" customFormat="1" ht="15" hidden="1" customHeight="1" x14ac:dyDescent="0.25">
      <c r="A488" s="13" t="s">
        <v>495</v>
      </c>
      <c r="B488" s="14">
        <v>43537</v>
      </c>
      <c r="C488" s="13">
        <v>31</v>
      </c>
      <c r="D488" s="13" t="s">
        <v>5331</v>
      </c>
      <c r="E488" s="13" t="s">
        <v>2093</v>
      </c>
      <c r="F488" s="4">
        <v>125670</v>
      </c>
      <c r="G488" s="29" t="s">
        <v>1854</v>
      </c>
      <c r="H488" s="126">
        <v>43460</v>
      </c>
      <c r="I488" s="4" t="s">
        <v>5332</v>
      </c>
      <c r="J488" s="454" t="s">
        <v>5336</v>
      </c>
      <c r="K488" s="116"/>
      <c r="L488" s="116"/>
      <c r="M488" s="116"/>
      <c r="N488" s="116"/>
      <c r="O488" s="117"/>
      <c r="P488" s="117"/>
      <c r="Q488" s="117"/>
      <c r="R488" s="117"/>
      <c r="S488" s="117"/>
    </row>
    <row r="489" spans="1:256" s="115" customFormat="1" ht="15" hidden="1" customHeight="1" x14ac:dyDescent="0.25">
      <c r="A489" s="13" t="s">
        <v>495</v>
      </c>
      <c r="B489" s="14">
        <v>43537</v>
      </c>
      <c r="C489" s="13">
        <v>32</v>
      </c>
      <c r="D489" s="13" t="s">
        <v>5331</v>
      </c>
      <c r="E489" s="13" t="s">
        <v>2093</v>
      </c>
      <c r="F489" s="4">
        <v>98087.5</v>
      </c>
      <c r="G489" s="29" t="s">
        <v>3578</v>
      </c>
      <c r="H489" s="126">
        <v>43463</v>
      </c>
      <c r="I489" s="4" t="s">
        <v>5332</v>
      </c>
      <c r="J489" s="454" t="s">
        <v>5337</v>
      </c>
      <c r="K489" s="116"/>
      <c r="L489" s="116"/>
      <c r="M489" s="116"/>
      <c r="N489" s="116"/>
      <c r="O489" s="117"/>
      <c r="P489" s="117"/>
      <c r="Q489" s="117"/>
      <c r="R489" s="117"/>
      <c r="S489" s="117"/>
    </row>
    <row r="490" spans="1:256" s="115" customFormat="1" ht="15" hidden="1" customHeight="1" x14ac:dyDescent="0.25">
      <c r="A490" s="13" t="s">
        <v>151</v>
      </c>
      <c r="B490" s="14">
        <v>43537</v>
      </c>
      <c r="C490" s="13">
        <v>234</v>
      </c>
      <c r="D490" s="13" t="s">
        <v>1443</v>
      </c>
      <c r="E490" s="13" t="s">
        <v>136</v>
      </c>
      <c r="F490" s="4">
        <v>250000</v>
      </c>
      <c r="G490" s="29" t="s">
        <v>33</v>
      </c>
      <c r="H490" s="126">
        <v>43537</v>
      </c>
      <c r="I490" s="4" t="s">
        <v>1444</v>
      </c>
      <c r="J490" s="454"/>
      <c r="K490" s="116"/>
      <c r="L490" s="116"/>
      <c r="M490" s="116"/>
      <c r="N490" s="116"/>
      <c r="O490" s="117"/>
      <c r="P490" s="117"/>
      <c r="Q490" s="117"/>
      <c r="R490" s="117"/>
      <c r="S490" s="117"/>
    </row>
    <row r="491" spans="1:256" hidden="1" x14ac:dyDescent="0.25">
      <c r="A491" s="13" t="s">
        <v>209</v>
      </c>
      <c r="B491" s="14">
        <v>43538</v>
      </c>
      <c r="C491" s="13">
        <v>50</v>
      </c>
      <c r="D491" s="13" t="s">
        <v>210</v>
      </c>
      <c r="E491" s="13" t="s">
        <v>134</v>
      </c>
      <c r="F491" s="37">
        <v>33346.6</v>
      </c>
      <c r="G491" s="67" t="s">
        <v>5275</v>
      </c>
      <c r="H491" s="14">
        <v>43531</v>
      </c>
      <c r="I491" s="4" t="s">
        <v>5276</v>
      </c>
      <c r="J491" s="407"/>
      <c r="K491" s="228"/>
    </row>
    <row r="492" spans="1:256" hidden="1" x14ac:dyDescent="0.25">
      <c r="A492" s="61" t="s">
        <v>460</v>
      </c>
      <c r="B492" s="14">
        <v>43538</v>
      </c>
      <c r="C492" s="13">
        <v>54</v>
      </c>
      <c r="D492" s="14" t="s">
        <v>3486</v>
      </c>
      <c r="E492" s="32" t="s">
        <v>483</v>
      </c>
      <c r="F492" s="4">
        <v>45611</v>
      </c>
      <c r="G492" s="86" t="s">
        <v>3488</v>
      </c>
      <c r="H492" s="211"/>
      <c r="I492" s="326"/>
      <c r="K492" s="62"/>
    </row>
    <row r="493" spans="1:256" s="97" customFormat="1" ht="13.2" hidden="1" customHeight="1" x14ac:dyDescent="0.25">
      <c r="A493" s="211" t="s">
        <v>311</v>
      </c>
      <c r="B493" s="14">
        <v>43538</v>
      </c>
      <c r="C493" s="455">
        <v>218</v>
      </c>
      <c r="D493" s="13" t="s">
        <v>5006</v>
      </c>
      <c r="E493" s="218" t="s">
        <v>958</v>
      </c>
      <c r="F493" s="4">
        <f>955476.8</f>
        <v>955476.8</v>
      </c>
      <c r="G493" s="70" t="s">
        <v>5422</v>
      </c>
      <c r="H493" s="211"/>
      <c r="I493" s="68" t="s">
        <v>1244</v>
      </c>
      <c r="J493" s="325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  <c r="DS493" s="50"/>
      <c r="DT493" s="50"/>
      <c r="DU493" s="50"/>
      <c r="DV493" s="50"/>
      <c r="DW493" s="50"/>
      <c r="DX493" s="50"/>
      <c r="DY493" s="50"/>
      <c r="DZ493" s="50"/>
      <c r="EA493" s="50"/>
      <c r="EB493" s="50"/>
      <c r="EC493" s="50"/>
      <c r="ED493" s="50"/>
      <c r="EE493" s="50"/>
      <c r="EF493" s="50"/>
      <c r="EG493" s="50"/>
      <c r="EH493" s="50"/>
      <c r="EI493" s="50"/>
      <c r="EJ493" s="50"/>
      <c r="EK493" s="50"/>
      <c r="EL493" s="50"/>
      <c r="EM493" s="50"/>
      <c r="EN493" s="50"/>
      <c r="EO493" s="50"/>
      <c r="EP493" s="50"/>
      <c r="EQ493" s="50"/>
      <c r="ER493" s="50"/>
      <c r="ES493" s="50"/>
      <c r="ET493" s="50"/>
      <c r="EU493" s="50"/>
      <c r="EV493" s="50"/>
      <c r="EW493" s="50"/>
      <c r="EX493" s="50"/>
      <c r="EY493" s="50"/>
      <c r="EZ493" s="50"/>
      <c r="FA493" s="50"/>
      <c r="FB493" s="50"/>
      <c r="FC493" s="50"/>
      <c r="FD493" s="50"/>
      <c r="FE493" s="50"/>
      <c r="FF493" s="50"/>
      <c r="FG493" s="50"/>
      <c r="FH493" s="50"/>
      <c r="FI493" s="50"/>
      <c r="FJ493" s="50"/>
      <c r="FK493" s="50"/>
      <c r="FL493" s="50"/>
      <c r="FM493" s="50"/>
      <c r="FN493" s="50"/>
      <c r="FO493" s="50"/>
      <c r="FP493" s="50"/>
      <c r="FQ493" s="50"/>
      <c r="FR493" s="50"/>
      <c r="FS493" s="50"/>
      <c r="FT493" s="50"/>
      <c r="FU493" s="50"/>
      <c r="FV493" s="50"/>
      <c r="FW493" s="50"/>
      <c r="FX493" s="50"/>
      <c r="FY493" s="50"/>
      <c r="FZ493" s="50"/>
      <c r="GA493" s="50"/>
      <c r="GB493" s="50"/>
      <c r="GC493" s="50"/>
      <c r="GD493" s="50"/>
      <c r="GE493" s="50"/>
      <c r="GF493" s="50"/>
      <c r="GG493" s="50"/>
      <c r="GH493" s="50"/>
      <c r="GI493" s="50"/>
      <c r="GJ493" s="50"/>
      <c r="GK493" s="50"/>
      <c r="GL493" s="50"/>
      <c r="GM493" s="50"/>
      <c r="GN493" s="50"/>
      <c r="GO493" s="50"/>
      <c r="GP493" s="50"/>
      <c r="GQ493" s="50"/>
      <c r="GR493" s="50"/>
      <c r="GS493" s="50"/>
      <c r="GT493" s="50"/>
      <c r="GU493" s="50"/>
      <c r="GV493" s="50"/>
      <c r="GW493" s="50"/>
      <c r="GX493" s="50"/>
      <c r="GY493" s="50"/>
      <c r="GZ493" s="50"/>
      <c r="HA493" s="50"/>
      <c r="HB493" s="50"/>
      <c r="HC493" s="50"/>
      <c r="HD493" s="50"/>
      <c r="HE493" s="50"/>
      <c r="HF493" s="50"/>
      <c r="HG493" s="50"/>
      <c r="HH493" s="50"/>
      <c r="HI493" s="50"/>
      <c r="HJ493" s="50"/>
      <c r="HK493" s="50"/>
      <c r="HL493" s="50"/>
      <c r="HM493" s="50"/>
      <c r="HN493" s="50"/>
      <c r="HO493" s="50"/>
      <c r="HP493" s="50"/>
      <c r="HQ493" s="50"/>
      <c r="HR493" s="50"/>
      <c r="HS493" s="50"/>
      <c r="HT493" s="50"/>
      <c r="HU493" s="50"/>
      <c r="HV493" s="50"/>
      <c r="HW493" s="50"/>
      <c r="HX493" s="50"/>
      <c r="HY493" s="50"/>
      <c r="HZ493" s="50"/>
      <c r="IA493" s="50"/>
      <c r="IB493" s="50"/>
      <c r="IC493" s="50"/>
      <c r="ID493" s="50"/>
      <c r="IE493" s="50"/>
      <c r="IF493" s="50"/>
      <c r="IG493" s="50"/>
      <c r="IH493" s="50"/>
      <c r="II493" s="50"/>
      <c r="IJ493" s="50"/>
      <c r="IK493" s="50"/>
      <c r="IL493" s="50"/>
      <c r="IM493" s="50"/>
      <c r="IN493" s="50"/>
      <c r="IO493" s="50"/>
      <c r="IP493" s="50"/>
      <c r="IQ493" s="50"/>
      <c r="IR493" s="50"/>
      <c r="IS493" s="50"/>
      <c r="IT493" s="50"/>
      <c r="IU493" s="50"/>
      <c r="IV493" s="50"/>
    </row>
    <row r="494" spans="1:256" s="62" customFormat="1" ht="15" hidden="1" customHeight="1" x14ac:dyDescent="0.25">
      <c r="A494" s="32" t="s">
        <v>455</v>
      </c>
      <c r="B494" s="14">
        <v>43538</v>
      </c>
      <c r="C494" s="13">
        <v>120</v>
      </c>
      <c r="D494" s="13" t="s">
        <v>5006</v>
      </c>
      <c r="E494" s="13" t="s">
        <v>958</v>
      </c>
      <c r="F494" s="37">
        <v>740534.2</v>
      </c>
      <c r="G494" s="70" t="s">
        <v>5422</v>
      </c>
      <c r="H494" s="14"/>
      <c r="I494" s="4" t="s">
        <v>1244</v>
      </c>
      <c r="J494" s="261" t="s">
        <v>5008</v>
      </c>
      <c r="K494" s="4" t="s">
        <v>4999</v>
      </c>
      <c r="L494" s="71"/>
      <c r="M494" s="170"/>
      <c r="N494" s="71"/>
      <c r="O494" s="71"/>
      <c r="P494" s="35"/>
      <c r="Q494" s="35"/>
      <c r="R494" s="35"/>
      <c r="S494" s="35"/>
    </row>
    <row r="495" spans="1:256" ht="13.2" hidden="1" customHeight="1" x14ac:dyDescent="0.25">
      <c r="A495" s="68" t="s">
        <v>310</v>
      </c>
      <c r="B495" s="14">
        <v>43538</v>
      </c>
      <c r="C495" s="13" t="s">
        <v>5442</v>
      </c>
      <c r="D495" s="32" t="s">
        <v>4487</v>
      </c>
      <c r="E495" s="32" t="s">
        <v>958</v>
      </c>
      <c r="F495" s="4">
        <v>20000000</v>
      </c>
      <c r="G495" s="86" t="s">
        <v>4486</v>
      </c>
      <c r="H495" s="211"/>
      <c r="I495" s="84" t="s">
        <v>273</v>
      </c>
      <c r="J495" s="21"/>
      <c r="K495" s="228"/>
    </row>
    <row r="496" spans="1:256" ht="13.2" hidden="1" customHeight="1" x14ac:dyDescent="0.25">
      <c r="A496" s="32" t="s">
        <v>455</v>
      </c>
      <c r="B496" s="14">
        <v>43538</v>
      </c>
      <c r="C496" s="13">
        <v>119</v>
      </c>
      <c r="D496" s="32" t="s">
        <v>5443</v>
      </c>
      <c r="E496" s="32" t="s">
        <v>958</v>
      </c>
      <c r="F496" s="4">
        <v>241911.16</v>
      </c>
      <c r="G496" s="210" t="s">
        <v>5444</v>
      </c>
      <c r="H496" s="211">
        <v>43191</v>
      </c>
      <c r="I496" s="84" t="s">
        <v>721</v>
      </c>
      <c r="J496" s="21"/>
      <c r="K496" s="228"/>
    </row>
    <row r="497" spans="1:11" ht="13.2" hidden="1" customHeight="1" x14ac:dyDescent="0.25">
      <c r="A497" s="32" t="s">
        <v>455</v>
      </c>
      <c r="B497" s="14">
        <v>43538</v>
      </c>
      <c r="C497" s="13">
        <v>122</v>
      </c>
      <c r="D497" s="32" t="s">
        <v>5443</v>
      </c>
      <c r="E497" s="32" t="s">
        <v>958</v>
      </c>
      <c r="F497" s="4">
        <v>82500</v>
      </c>
      <c r="G497" s="210" t="s">
        <v>5444</v>
      </c>
      <c r="H497" s="211">
        <v>43191</v>
      </c>
      <c r="I497" s="84" t="s">
        <v>721</v>
      </c>
      <c r="J497" s="21"/>
      <c r="K497" s="228"/>
    </row>
    <row r="498" spans="1:11" ht="13.95" hidden="1" customHeight="1" x14ac:dyDescent="0.25">
      <c r="A498" s="32" t="s">
        <v>198</v>
      </c>
      <c r="B498" s="14">
        <v>43539</v>
      </c>
      <c r="C498" s="67" t="s">
        <v>5466</v>
      </c>
      <c r="D498" s="32" t="s">
        <v>116</v>
      </c>
      <c r="E498" s="32" t="s">
        <v>195</v>
      </c>
      <c r="F498" s="4">
        <f>343.5+2131.2</f>
        <v>2474.6999999999998</v>
      </c>
      <c r="G498" s="28" t="s">
        <v>5190</v>
      </c>
      <c r="H498" s="14">
        <v>43524</v>
      </c>
      <c r="I498" s="4" t="s">
        <v>118</v>
      </c>
      <c r="J498" s="170"/>
      <c r="K498" s="246"/>
    </row>
    <row r="499" spans="1:11" ht="13.95" hidden="1" customHeight="1" x14ac:dyDescent="0.25">
      <c r="A499" s="32" t="s">
        <v>198</v>
      </c>
      <c r="B499" s="14">
        <v>43539</v>
      </c>
      <c r="C499" s="67">
        <v>79</v>
      </c>
      <c r="D499" s="32" t="s">
        <v>227</v>
      </c>
      <c r="E499" s="32" t="s">
        <v>195</v>
      </c>
      <c r="F499" s="4">
        <v>1656</v>
      </c>
      <c r="G499" s="28" t="s">
        <v>13</v>
      </c>
      <c r="H499" s="14">
        <v>43466</v>
      </c>
      <c r="I499" s="4" t="s">
        <v>367</v>
      </c>
      <c r="J499" s="71" t="s">
        <v>239</v>
      </c>
      <c r="K499" s="246"/>
    </row>
    <row r="500" spans="1:11" ht="13.95" hidden="1" customHeight="1" x14ac:dyDescent="0.25">
      <c r="A500" s="32" t="s">
        <v>198</v>
      </c>
      <c r="B500" s="14">
        <v>43539</v>
      </c>
      <c r="C500" s="67">
        <v>79</v>
      </c>
      <c r="D500" s="32" t="s">
        <v>227</v>
      </c>
      <c r="E500" s="32" t="s">
        <v>195</v>
      </c>
      <c r="F500" s="4">
        <v>1656</v>
      </c>
      <c r="G500" s="28" t="s">
        <v>1453</v>
      </c>
      <c r="H500" s="14">
        <v>43497</v>
      </c>
      <c r="I500" s="4" t="s">
        <v>367</v>
      </c>
      <c r="J500" s="71" t="s">
        <v>721</v>
      </c>
      <c r="K500" s="246"/>
    </row>
    <row r="501" spans="1:11" s="428" customFormat="1" hidden="1" x14ac:dyDescent="0.25">
      <c r="A501" s="32" t="s">
        <v>198</v>
      </c>
      <c r="B501" s="14">
        <v>43539</v>
      </c>
      <c r="C501" s="13">
        <v>78</v>
      </c>
      <c r="D501" s="32" t="s">
        <v>1003</v>
      </c>
      <c r="E501" s="32" t="s">
        <v>195</v>
      </c>
      <c r="F501" s="4">
        <v>10000</v>
      </c>
      <c r="G501" s="28" t="s">
        <v>2910</v>
      </c>
      <c r="H501" s="14">
        <v>43474</v>
      </c>
      <c r="I501" s="4" t="s">
        <v>326</v>
      </c>
      <c r="J501" s="170" t="s">
        <v>239</v>
      </c>
      <c r="K501" s="248"/>
    </row>
    <row r="502" spans="1:11" s="428" customFormat="1" hidden="1" x14ac:dyDescent="0.25">
      <c r="A502" s="32" t="s">
        <v>198</v>
      </c>
      <c r="B502" s="14">
        <v>43539</v>
      </c>
      <c r="C502" s="13">
        <v>78</v>
      </c>
      <c r="D502" s="32" t="s">
        <v>1003</v>
      </c>
      <c r="E502" s="32" t="s">
        <v>195</v>
      </c>
      <c r="F502" s="4">
        <v>10000</v>
      </c>
      <c r="G502" s="28" t="s">
        <v>502</v>
      </c>
      <c r="H502" s="14">
        <v>43525</v>
      </c>
      <c r="I502" s="4" t="s">
        <v>326</v>
      </c>
      <c r="J502" s="170" t="s">
        <v>366</v>
      </c>
      <c r="K502" s="248"/>
    </row>
    <row r="503" spans="1:11" s="93" customFormat="1" ht="13.95" hidden="1" customHeight="1" x14ac:dyDescent="0.25">
      <c r="A503" s="32" t="s">
        <v>198</v>
      </c>
      <c r="B503" s="14">
        <v>43539</v>
      </c>
      <c r="C503" s="13">
        <v>77</v>
      </c>
      <c r="D503" s="32" t="s">
        <v>329</v>
      </c>
      <c r="E503" s="32" t="s">
        <v>195</v>
      </c>
      <c r="F503" s="4">
        <v>3500</v>
      </c>
      <c r="G503" s="28" t="s">
        <v>3390</v>
      </c>
      <c r="H503" s="14">
        <v>43496</v>
      </c>
      <c r="I503" s="4" t="s">
        <v>330</v>
      </c>
      <c r="J503" s="170" t="s">
        <v>239</v>
      </c>
      <c r="K503" s="249"/>
    </row>
    <row r="504" spans="1:11" s="93" customFormat="1" ht="13.95" hidden="1" customHeight="1" x14ac:dyDescent="0.25">
      <c r="A504" s="32" t="s">
        <v>198</v>
      </c>
      <c r="B504" s="14">
        <v>43539</v>
      </c>
      <c r="C504" s="13">
        <v>77</v>
      </c>
      <c r="D504" s="32" t="s">
        <v>329</v>
      </c>
      <c r="E504" s="32" t="s">
        <v>195</v>
      </c>
      <c r="F504" s="4">
        <v>3500</v>
      </c>
      <c r="G504" s="28" t="s">
        <v>2932</v>
      </c>
      <c r="H504" s="14">
        <v>43524</v>
      </c>
      <c r="I504" s="4" t="s">
        <v>330</v>
      </c>
      <c r="J504" s="170" t="s">
        <v>721</v>
      </c>
      <c r="K504" s="249"/>
    </row>
    <row r="505" spans="1:11" s="93" customFormat="1" ht="13.95" hidden="1" customHeight="1" x14ac:dyDescent="0.25">
      <c r="A505" s="68" t="s">
        <v>198</v>
      </c>
      <c r="B505" s="14">
        <v>43539</v>
      </c>
      <c r="C505" s="13">
        <v>75</v>
      </c>
      <c r="D505" s="32" t="s">
        <v>73</v>
      </c>
      <c r="E505" s="32" t="s">
        <v>195</v>
      </c>
      <c r="F505" s="4">
        <v>4042.5</v>
      </c>
      <c r="G505" s="28" t="s">
        <v>5413</v>
      </c>
      <c r="H505" s="14">
        <v>43528</v>
      </c>
      <c r="I505" s="4" t="s">
        <v>332</v>
      </c>
      <c r="J505" s="170" t="s">
        <v>366</v>
      </c>
      <c r="K505" s="249"/>
    </row>
    <row r="506" spans="1:11" s="93" customFormat="1" ht="13.95" hidden="1" customHeight="1" x14ac:dyDescent="0.25">
      <c r="A506" s="68" t="s">
        <v>198</v>
      </c>
      <c r="B506" s="14">
        <v>43539</v>
      </c>
      <c r="C506" s="13">
        <v>76</v>
      </c>
      <c r="D506" s="32" t="s">
        <v>73</v>
      </c>
      <c r="E506" s="32" t="s">
        <v>195</v>
      </c>
      <c r="F506" s="4">
        <v>5197.5</v>
      </c>
      <c r="G506" s="28" t="s">
        <v>1435</v>
      </c>
      <c r="H506" s="14">
        <v>43528</v>
      </c>
      <c r="I506" s="4" t="s">
        <v>331</v>
      </c>
      <c r="J506" s="170" t="s">
        <v>366</v>
      </c>
      <c r="K506" s="249"/>
    </row>
    <row r="507" spans="1:11" ht="15" hidden="1" customHeight="1" x14ac:dyDescent="0.25">
      <c r="A507" s="68" t="s">
        <v>198</v>
      </c>
      <c r="B507" s="14">
        <v>43539</v>
      </c>
      <c r="C507" s="13">
        <v>73</v>
      </c>
      <c r="D507" s="32" t="s">
        <v>279</v>
      </c>
      <c r="E507" s="32" t="s">
        <v>195</v>
      </c>
      <c r="F507" s="4">
        <v>10679.04</v>
      </c>
      <c r="G507" s="28" t="s">
        <v>5414</v>
      </c>
      <c r="H507" s="14">
        <v>43524</v>
      </c>
      <c r="I507" s="4" t="s">
        <v>335</v>
      </c>
      <c r="J507" s="170" t="s">
        <v>721</v>
      </c>
      <c r="K507" s="246"/>
    </row>
    <row r="508" spans="1:11" ht="15" hidden="1" customHeight="1" x14ac:dyDescent="0.25">
      <c r="A508" s="68" t="s">
        <v>198</v>
      </c>
      <c r="B508" s="14">
        <v>43539</v>
      </c>
      <c r="C508" s="13">
        <v>74</v>
      </c>
      <c r="D508" s="32" t="s">
        <v>279</v>
      </c>
      <c r="E508" s="32" t="s">
        <v>195</v>
      </c>
      <c r="F508" s="4">
        <v>114132.61</v>
      </c>
      <c r="G508" s="28" t="s">
        <v>5259</v>
      </c>
      <c r="H508" s="14">
        <v>43496</v>
      </c>
      <c r="I508" s="4" t="s">
        <v>333</v>
      </c>
      <c r="J508" s="170" t="s">
        <v>239</v>
      </c>
      <c r="K508" s="246"/>
    </row>
    <row r="509" spans="1:11" hidden="1" x14ac:dyDescent="0.25">
      <c r="A509" s="68" t="s">
        <v>908</v>
      </c>
      <c r="B509" s="14">
        <v>43539</v>
      </c>
      <c r="C509" s="13">
        <v>443</v>
      </c>
      <c r="D509" s="32" t="s">
        <v>1077</v>
      </c>
      <c r="E509" s="32" t="s">
        <v>38</v>
      </c>
      <c r="F509" s="4">
        <v>10610973.77</v>
      </c>
      <c r="G509" s="86" t="s">
        <v>591</v>
      </c>
      <c r="H509" s="211"/>
      <c r="I509" s="208" t="s">
        <v>581</v>
      </c>
      <c r="J509" s="21"/>
      <c r="K509" s="228"/>
    </row>
    <row r="510" spans="1:11" ht="13.95" hidden="1" customHeight="1" x14ac:dyDescent="0.25">
      <c r="A510" s="61" t="s">
        <v>92</v>
      </c>
      <c r="B510" s="14">
        <v>43539</v>
      </c>
      <c r="C510" s="13">
        <v>467</v>
      </c>
      <c r="D510" s="32" t="s">
        <v>667</v>
      </c>
      <c r="E510" s="32" t="s">
        <v>62</v>
      </c>
      <c r="F510" s="4">
        <v>13000000</v>
      </c>
      <c r="G510" s="86" t="s">
        <v>5425</v>
      </c>
      <c r="H510" s="211"/>
      <c r="I510" s="208" t="s">
        <v>5426</v>
      </c>
      <c r="J510" s="21"/>
      <c r="K510" s="228"/>
    </row>
    <row r="511" spans="1:11" ht="13.95" hidden="1" customHeight="1" x14ac:dyDescent="0.25">
      <c r="A511" s="32" t="s">
        <v>92</v>
      </c>
      <c r="B511" s="14">
        <v>43539</v>
      </c>
      <c r="C511" s="13">
        <v>472</v>
      </c>
      <c r="D511" s="32" t="s">
        <v>1563</v>
      </c>
      <c r="E511" s="32" t="s">
        <v>62</v>
      </c>
      <c r="F511" s="4">
        <v>541165.28</v>
      </c>
      <c r="G511" s="69" t="s">
        <v>3524</v>
      </c>
      <c r="H511" s="14"/>
      <c r="I511" s="41" t="s">
        <v>82</v>
      </c>
      <c r="J511" s="21"/>
      <c r="K511" s="228"/>
    </row>
    <row r="512" spans="1:11" ht="13.95" hidden="1" customHeight="1" x14ac:dyDescent="0.25">
      <c r="A512" s="68" t="s">
        <v>91</v>
      </c>
      <c r="B512" s="14">
        <v>43539</v>
      </c>
      <c r="C512" s="13">
        <v>471</v>
      </c>
      <c r="D512" s="32" t="s">
        <v>543</v>
      </c>
      <c r="E512" s="32" t="s">
        <v>62</v>
      </c>
      <c r="F512" s="4">
        <v>850000</v>
      </c>
      <c r="G512" s="86" t="s">
        <v>544</v>
      </c>
      <c r="H512" s="211"/>
      <c r="I512" s="208" t="s">
        <v>79</v>
      </c>
      <c r="J512" s="21"/>
      <c r="K512" s="228"/>
    </row>
    <row r="513" spans="1:16" ht="13.95" hidden="1" customHeight="1" x14ac:dyDescent="0.25">
      <c r="A513" s="61" t="s">
        <v>442</v>
      </c>
      <c r="B513" s="14">
        <v>43539</v>
      </c>
      <c r="C513" s="13" t="s">
        <v>5467</v>
      </c>
      <c r="D513" s="13" t="s">
        <v>432</v>
      </c>
      <c r="E513" s="32" t="s">
        <v>62</v>
      </c>
      <c r="F513" s="4">
        <v>848600</v>
      </c>
      <c r="G513" s="86" t="s">
        <v>1939</v>
      </c>
      <c r="H513" s="211"/>
      <c r="I513" s="4" t="s">
        <v>788</v>
      </c>
      <c r="J513" s="21"/>
      <c r="K513" s="228"/>
    </row>
    <row r="514" spans="1:16" ht="13.95" hidden="1" customHeight="1" x14ac:dyDescent="0.25">
      <c r="A514" s="61" t="s">
        <v>1363</v>
      </c>
      <c r="B514" s="14">
        <v>43539</v>
      </c>
      <c r="C514" s="13">
        <v>468</v>
      </c>
      <c r="D514" s="13" t="s">
        <v>632</v>
      </c>
      <c r="E514" s="32" t="s">
        <v>62</v>
      </c>
      <c r="F514" s="4">
        <v>522038</v>
      </c>
      <c r="G514" s="86" t="s">
        <v>1364</v>
      </c>
      <c r="H514" s="211"/>
      <c r="I514" s="4" t="s">
        <v>879</v>
      </c>
      <c r="J514" s="21"/>
      <c r="K514" s="228"/>
    </row>
    <row r="515" spans="1:16" hidden="1" x14ac:dyDescent="0.25">
      <c r="A515" s="13" t="s">
        <v>91</v>
      </c>
      <c r="B515" s="14">
        <v>43542</v>
      </c>
      <c r="C515" s="13">
        <v>492</v>
      </c>
      <c r="D515" s="32" t="s">
        <v>1980</v>
      </c>
      <c r="E515" s="32" t="s">
        <v>130</v>
      </c>
      <c r="F515" s="4">
        <v>1500000</v>
      </c>
      <c r="G515" s="69" t="s">
        <v>5423</v>
      </c>
      <c r="H515" s="14"/>
      <c r="I515" s="41" t="s">
        <v>5424</v>
      </c>
      <c r="K515" s="62"/>
    </row>
    <row r="516" spans="1:16" ht="13.95" hidden="1" customHeight="1" x14ac:dyDescent="0.25">
      <c r="A516" s="61" t="s">
        <v>55</v>
      </c>
      <c r="B516" s="14">
        <v>43542</v>
      </c>
      <c r="C516" s="13">
        <v>493</v>
      </c>
      <c r="D516" s="13" t="s">
        <v>632</v>
      </c>
      <c r="E516" s="32" t="s">
        <v>130</v>
      </c>
      <c r="F516" s="4">
        <f>571588-500000</f>
        <v>71588</v>
      </c>
      <c r="G516" s="86" t="s">
        <v>3803</v>
      </c>
      <c r="H516" s="211"/>
      <c r="I516" s="4" t="s">
        <v>3804</v>
      </c>
      <c r="J516" s="21"/>
      <c r="K516" s="228"/>
    </row>
    <row r="517" spans="1:16" hidden="1" x14ac:dyDescent="0.25">
      <c r="A517" s="13" t="s">
        <v>637</v>
      </c>
      <c r="B517" s="126">
        <v>43542</v>
      </c>
      <c r="C517" s="28" t="s">
        <v>790</v>
      </c>
      <c r="D517" s="32" t="s">
        <v>432</v>
      </c>
      <c r="E517" s="32" t="s">
        <v>691</v>
      </c>
      <c r="F517" s="4">
        <v>751400</v>
      </c>
      <c r="G517" s="69" t="s">
        <v>3256</v>
      </c>
      <c r="H517" s="14"/>
      <c r="I517" s="4" t="s">
        <v>433</v>
      </c>
      <c r="J517" s="21"/>
      <c r="K517" s="228"/>
    </row>
    <row r="518" spans="1:16" ht="27.6" hidden="1" x14ac:dyDescent="0.25">
      <c r="A518" s="32" t="s">
        <v>151</v>
      </c>
      <c r="B518" s="126">
        <v>43542</v>
      </c>
      <c r="C518" s="127">
        <v>120</v>
      </c>
      <c r="D518" s="32" t="s">
        <v>4517</v>
      </c>
      <c r="E518" s="32" t="s">
        <v>691</v>
      </c>
      <c r="F518" s="4">
        <v>93840</v>
      </c>
      <c r="G518" s="29" t="s">
        <v>5322</v>
      </c>
      <c r="H518" s="14">
        <v>43535</v>
      </c>
      <c r="I518" s="4" t="s">
        <v>5556</v>
      </c>
      <c r="J518" s="21"/>
      <c r="K518" s="228"/>
    </row>
    <row r="519" spans="1:16" hidden="1" x14ac:dyDescent="0.25">
      <c r="A519" s="13" t="s">
        <v>151</v>
      </c>
      <c r="B519" s="126">
        <v>43542</v>
      </c>
      <c r="C519" s="28" t="s">
        <v>5527</v>
      </c>
      <c r="D519" s="13" t="s">
        <v>3024</v>
      </c>
      <c r="E519" s="13" t="s">
        <v>691</v>
      </c>
      <c r="F519" s="37">
        <v>4500</v>
      </c>
      <c r="G519" s="29" t="s">
        <v>730</v>
      </c>
      <c r="H519" s="14">
        <v>43515</v>
      </c>
      <c r="I519" s="4" t="s">
        <v>5431</v>
      </c>
      <c r="J519" s="128"/>
    </row>
    <row r="520" spans="1:16" hidden="1" x14ac:dyDescent="0.25">
      <c r="A520" s="68" t="s">
        <v>1350</v>
      </c>
      <c r="B520" s="126">
        <v>43542</v>
      </c>
      <c r="C520" s="127">
        <v>122</v>
      </c>
      <c r="D520" s="32" t="s">
        <v>1228</v>
      </c>
      <c r="E520" s="32" t="s">
        <v>691</v>
      </c>
      <c r="F520" s="4">
        <v>115000</v>
      </c>
      <c r="G520" s="29" t="s">
        <v>2095</v>
      </c>
      <c r="H520" s="14">
        <v>43452</v>
      </c>
      <c r="I520" s="208" t="s">
        <v>1786</v>
      </c>
      <c r="J520" s="21"/>
      <c r="K520" s="228"/>
    </row>
    <row r="521" spans="1:16" hidden="1" x14ac:dyDescent="0.25">
      <c r="A521" s="32" t="s">
        <v>659</v>
      </c>
      <c r="B521" s="126">
        <v>43542</v>
      </c>
      <c r="C521" s="13">
        <v>123</v>
      </c>
      <c r="D521" s="13" t="s">
        <v>4133</v>
      </c>
      <c r="E521" s="13" t="s">
        <v>691</v>
      </c>
      <c r="F521" s="4">
        <v>37200</v>
      </c>
      <c r="G521" s="28" t="s">
        <v>4134</v>
      </c>
      <c r="H521" s="14">
        <v>43461</v>
      </c>
      <c r="I521" s="4" t="s">
        <v>102</v>
      </c>
    </row>
    <row r="522" spans="1:16" hidden="1" x14ac:dyDescent="0.25">
      <c r="A522" s="13" t="s">
        <v>637</v>
      </c>
      <c r="B522" s="126">
        <v>43542</v>
      </c>
      <c r="C522" s="13">
        <v>124</v>
      </c>
      <c r="D522" s="13" t="s">
        <v>588</v>
      </c>
      <c r="E522" s="13" t="s">
        <v>691</v>
      </c>
      <c r="F522" s="37">
        <v>525000</v>
      </c>
      <c r="G522" s="29" t="s">
        <v>744</v>
      </c>
      <c r="H522" s="14"/>
      <c r="I522" s="4" t="s">
        <v>82</v>
      </c>
      <c r="J522" s="62"/>
      <c r="K522" s="62"/>
      <c r="L522" s="35"/>
      <c r="M522" s="35"/>
      <c r="N522" s="35"/>
      <c r="O522" s="35"/>
      <c r="P522" s="35"/>
    </row>
    <row r="523" spans="1:16" hidden="1" x14ac:dyDescent="0.25">
      <c r="A523" s="32" t="s">
        <v>1350</v>
      </c>
      <c r="B523" s="126">
        <v>43542</v>
      </c>
      <c r="C523" s="13">
        <v>125</v>
      </c>
      <c r="D523" s="32" t="s">
        <v>825</v>
      </c>
      <c r="E523" s="13" t="s">
        <v>691</v>
      </c>
      <c r="F523" s="37">
        <v>525000</v>
      </c>
      <c r="G523" s="29" t="s">
        <v>1643</v>
      </c>
      <c r="H523" s="211"/>
      <c r="I523" s="4" t="s">
        <v>82</v>
      </c>
      <c r="J523" s="228"/>
      <c r="K523" s="228"/>
    </row>
    <row r="524" spans="1:16" hidden="1" x14ac:dyDescent="0.25">
      <c r="A524" s="61" t="s">
        <v>460</v>
      </c>
      <c r="B524" s="14">
        <v>43542</v>
      </c>
      <c r="C524" s="13">
        <v>316</v>
      </c>
      <c r="D524" s="14" t="s">
        <v>3933</v>
      </c>
      <c r="E524" s="32" t="s">
        <v>1121</v>
      </c>
      <c r="F524" s="4">
        <v>46240</v>
      </c>
      <c r="G524" s="86" t="s">
        <v>3931</v>
      </c>
      <c r="H524" s="211"/>
      <c r="I524" s="326"/>
      <c r="K524" s="62"/>
    </row>
    <row r="525" spans="1:16" hidden="1" x14ac:dyDescent="0.25">
      <c r="A525" s="61" t="s">
        <v>460</v>
      </c>
      <c r="B525" s="14">
        <v>43542</v>
      </c>
      <c r="C525" s="13">
        <v>317</v>
      </c>
      <c r="D525" s="14" t="s">
        <v>3941</v>
      </c>
      <c r="E525" s="32" t="s">
        <v>1121</v>
      </c>
      <c r="F525" s="4">
        <v>74400</v>
      </c>
      <c r="G525" s="86" t="s">
        <v>3943</v>
      </c>
      <c r="H525" s="211"/>
      <c r="I525" s="326"/>
      <c r="K525" s="62"/>
    </row>
    <row r="526" spans="1:16" hidden="1" x14ac:dyDescent="0.25">
      <c r="A526" s="61" t="s">
        <v>460</v>
      </c>
      <c r="B526" s="14">
        <v>43542</v>
      </c>
      <c r="C526" s="13">
        <v>318</v>
      </c>
      <c r="D526" s="14" t="s">
        <v>3945</v>
      </c>
      <c r="E526" s="32" t="s">
        <v>1121</v>
      </c>
      <c r="F526" s="4">
        <v>40545</v>
      </c>
      <c r="G526" s="86" t="s">
        <v>3946</v>
      </c>
      <c r="H526" s="211"/>
      <c r="I526" s="326"/>
      <c r="K526" s="62"/>
    </row>
    <row r="527" spans="1:16" hidden="1" x14ac:dyDescent="0.25">
      <c r="A527" s="61" t="s">
        <v>460</v>
      </c>
      <c r="B527" s="14">
        <v>43542</v>
      </c>
      <c r="C527" s="13">
        <v>319</v>
      </c>
      <c r="D527" s="14" t="s">
        <v>4232</v>
      </c>
      <c r="E527" s="32" t="s">
        <v>1121</v>
      </c>
      <c r="F527" s="4">
        <v>60750</v>
      </c>
      <c r="G527" s="86" t="s">
        <v>4233</v>
      </c>
      <c r="H527" s="211"/>
      <c r="I527" s="326"/>
      <c r="K527" s="62"/>
    </row>
    <row r="528" spans="1:16" hidden="1" x14ac:dyDescent="0.25">
      <c r="A528" s="61" t="s">
        <v>460</v>
      </c>
      <c r="B528" s="14">
        <v>43542</v>
      </c>
      <c r="C528" s="13">
        <v>320</v>
      </c>
      <c r="D528" s="14" t="s">
        <v>4555</v>
      </c>
      <c r="E528" s="32" t="s">
        <v>1121</v>
      </c>
      <c r="F528" s="4">
        <v>44873</v>
      </c>
      <c r="G528" s="86" t="s">
        <v>4556</v>
      </c>
      <c r="H528" s="211"/>
      <c r="I528" s="326"/>
      <c r="K528" s="62"/>
    </row>
    <row r="529" spans="1:19" hidden="1" x14ac:dyDescent="0.25">
      <c r="A529" s="61" t="s">
        <v>460</v>
      </c>
      <c r="B529" s="14">
        <v>43542</v>
      </c>
      <c r="C529" s="13">
        <v>321</v>
      </c>
      <c r="D529" s="14" t="s">
        <v>4582</v>
      </c>
      <c r="E529" s="32" t="s">
        <v>1121</v>
      </c>
      <c r="F529" s="4">
        <v>56587</v>
      </c>
      <c r="G529" s="86" t="s">
        <v>4583</v>
      </c>
      <c r="H529" s="211"/>
      <c r="I529" s="326"/>
      <c r="K529" s="62"/>
    </row>
    <row r="530" spans="1:19" hidden="1" x14ac:dyDescent="0.25">
      <c r="A530" s="13" t="s">
        <v>184</v>
      </c>
      <c r="B530" s="14">
        <v>43542</v>
      </c>
      <c r="C530" s="13">
        <v>322</v>
      </c>
      <c r="D530" s="32" t="s">
        <v>1546</v>
      </c>
      <c r="E530" s="32" t="s">
        <v>1121</v>
      </c>
      <c r="F530" s="4">
        <v>21000</v>
      </c>
      <c r="G530" s="28" t="s">
        <v>5237</v>
      </c>
      <c r="H530" s="14">
        <v>43524</v>
      </c>
      <c r="I530" s="4" t="s">
        <v>915</v>
      </c>
      <c r="J530" s="22" t="s">
        <v>721</v>
      </c>
      <c r="K530" s="63"/>
      <c r="L530" s="62"/>
    </row>
    <row r="531" spans="1:19" hidden="1" x14ac:dyDescent="0.25">
      <c r="A531" s="13" t="s">
        <v>184</v>
      </c>
      <c r="B531" s="14">
        <v>43542</v>
      </c>
      <c r="C531" s="13">
        <v>323</v>
      </c>
      <c r="D531" s="32" t="s">
        <v>914</v>
      </c>
      <c r="E531" s="32" t="s">
        <v>1121</v>
      </c>
      <c r="F531" s="4">
        <v>63300</v>
      </c>
      <c r="G531" s="28" t="s">
        <v>5238</v>
      </c>
      <c r="H531" s="14">
        <v>43524</v>
      </c>
      <c r="I531" s="4" t="s">
        <v>1260</v>
      </c>
      <c r="J531" s="22" t="s">
        <v>721</v>
      </c>
      <c r="K531" s="63"/>
      <c r="L531" s="62"/>
    </row>
    <row r="532" spans="1:19" ht="15" hidden="1" customHeight="1" x14ac:dyDescent="0.25">
      <c r="A532" s="13" t="s">
        <v>184</v>
      </c>
      <c r="B532" s="14">
        <v>43542</v>
      </c>
      <c r="C532" s="13">
        <v>324</v>
      </c>
      <c r="D532" s="13" t="s">
        <v>1215</v>
      </c>
      <c r="E532" s="32" t="s">
        <v>1121</v>
      </c>
      <c r="F532" s="4">
        <v>34320</v>
      </c>
      <c r="G532" s="28" t="s">
        <v>1304</v>
      </c>
      <c r="H532" s="14">
        <v>43524</v>
      </c>
      <c r="I532" s="4" t="s">
        <v>3764</v>
      </c>
      <c r="J532" s="76" t="s">
        <v>366</v>
      </c>
    </row>
    <row r="533" spans="1:19" ht="15" hidden="1" customHeight="1" x14ac:dyDescent="0.25">
      <c r="A533" s="13" t="s">
        <v>184</v>
      </c>
      <c r="B533" s="14">
        <v>43542</v>
      </c>
      <c r="C533" s="13">
        <v>324</v>
      </c>
      <c r="D533" s="13" t="s">
        <v>1215</v>
      </c>
      <c r="E533" s="32" t="s">
        <v>1121</v>
      </c>
      <c r="F533" s="4">
        <v>38426</v>
      </c>
      <c r="G533" s="28" t="s">
        <v>3218</v>
      </c>
      <c r="H533" s="14">
        <v>43524</v>
      </c>
      <c r="I533" s="4" t="s">
        <v>1216</v>
      </c>
      <c r="J533" s="76" t="s">
        <v>366</v>
      </c>
    </row>
    <row r="534" spans="1:19" ht="15" hidden="1" customHeight="1" x14ac:dyDescent="0.25">
      <c r="A534" s="13" t="s">
        <v>184</v>
      </c>
      <c r="B534" s="14">
        <v>43542</v>
      </c>
      <c r="C534" s="67">
        <v>325</v>
      </c>
      <c r="D534" s="13" t="s">
        <v>238</v>
      </c>
      <c r="E534" s="32" t="s">
        <v>1121</v>
      </c>
      <c r="F534" s="4">
        <v>786</v>
      </c>
      <c r="G534" s="28" t="s">
        <v>1746</v>
      </c>
      <c r="H534" s="14">
        <v>43530</v>
      </c>
      <c r="I534" s="4" t="s">
        <v>5239</v>
      </c>
      <c r="J534" s="125"/>
    </row>
    <row r="535" spans="1:19" ht="15" hidden="1" customHeight="1" x14ac:dyDescent="0.25">
      <c r="A535" s="13" t="s">
        <v>184</v>
      </c>
      <c r="B535" s="14">
        <v>43542</v>
      </c>
      <c r="C535" s="13">
        <v>326</v>
      </c>
      <c r="D535" s="13" t="s">
        <v>47</v>
      </c>
      <c r="E535" s="32" t="s">
        <v>1121</v>
      </c>
      <c r="F535" s="4">
        <v>7970</v>
      </c>
      <c r="G535" s="28" t="s">
        <v>5256</v>
      </c>
      <c r="H535" s="14">
        <v>43528</v>
      </c>
      <c r="I535" s="4" t="s">
        <v>5255</v>
      </c>
    </row>
    <row r="536" spans="1:19" ht="15" hidden="1" customHeight="1" x14ac:dyDescent="0.25">
      <c r="A536" s="13" t="s">
        <v>184</v>
      </c>
      <c r="B536" s="14">
        <v>43542</v>
      </c>
      <c r="C536" s="13">
        <v>326</v>
      </c>
      <c r="D536" s="13" t="s">
        <v>47</v>
      </c>
      <c r="E536" s="32" t="s">
        <v>1121</v>
      </c>
      <c r="F536" s="4">
        <v>6460</v>
      </c>
      <c r="G536" s="28" t="s">
        <v>5254</v>
      </c>
      <c r="H536" s="14">
        <v>43529</v>
      </c>
      <c r="I536" s="4" t="s">
        <v>746</v>
      </c>
    </row>
    <row r="537" spans="1:19" hidden="1" x14ac:dyDescent="0.25">
      <c r="A537" s="13" t="s">
        <v>184</v>
      </c>
      <c r="B537" s="14">
        <v>43542</v>
      </c>
      <c r="C537" s="13">
        <v>327</v>
      </c>
      <c r="D537" s="13" t="s">
        <v>662</v>
      </c>
      <c r="E537" s="32" t="s">
        <v>1121</v>
      </c>
      <c r="F537" s="4">
        <v>27600</v>
      </c>
      <c r="G537" s="29" t="s">
        <v>3375</v>
      </c>
      <c r="H537" s="14">
        <v>43529</v>
      </c>
      <c r="I537" s="4" t="s">
        <v>3758</v>
      </c>
      <c r="J537" s="125" t="s">
        <v>5258</v>
      </c>
    </row>
    <row r="538" spans="1:19" ht="15" hidden="1" customHeight="1" x14ac:dyDescent="0.25">
      <c r="A538" s="13" t="s">
        <v>184</v>
      </c>
      <c r="B538" s="14">
        <v>43542</v>
      </c>
      <c r="C538" s="13">
        <v>328</v>
      </c>
      <c r="D538" s="13" t="s">
        <v>120</v>
      </c>
      <c r="E538" s="32" t="s">
        <v>1121</v>
      </c>
      <c r="F538" s="4">
        <v>30000</v>
      </c>
      <c r="G538" s="28" t="s">
        <v>5253</v>
      </c>
      <c r="H538" s="14">
        <v>43516</v>
      </c>
      <c r="I538" s="4" t="s">
        <v>1214</v>
      </c>
      <c r="J538" s="125">
        <v>43524</v>
      </c>
    </row>
    <row r="539" spans="1:19" s="192" customFormat="1" hidden="1" x14ac:dyDescent="0.25">
      <c r="A539" s="147" t="s">
        <v>242</v>
      </c>
      <c r="B539" s="14">
        <v>43542</v>
      </c>
      <c r="C539" s="187">
        <v>329</v>
      </c>
      <c r="D539" s="149" t="s">
        <v>388</v>
      </c>
      <c r="E539" s="147" t="s">
        <v>1121</v>
      </c>
      <c r="F539" s="158">
        <v>578822.80000000005</v>
      </c>
      <c r="G539" s="150" t="s">
        <v>2911</v>
      </c>
      <c r="H539" s="148">
        <v>43537</v>
      </c>
      <c r="I539" s="149" t="s">
        <v>143</v>
      </c>
      <c r="J539" s="193"/>
      <c r="K539" s="194"/>
      <c r="L539" s="190"/>
    </row>
    <row r="540" spans="1:19" s="62" customFormat="1" ht="15" hidden="1" customHeight="1" x14ac:dyDescent="0.25">
      <c r="A540" s="13" t="s">
        <v>151</v>
      </c>
      <c r="B540" s="14">
        <v>43542</v>
      </c>
      <c r="C540" s="67">
        <v>330</v>
      </c>
      <c r="D540" s="13" t="s">
        <v>43</v>
      </c>
      <c r="E540" s="32" t="s">
        <v>1121</v>
      </c>
      <c r="F540" s="37">
        <v>62697.36</v>
      </c>
      <c r="G540" s="29" t="s">
        <v>5316</v>
      </c>
      <c r="H540" s="14">
        <v>43524</v>
      </c>
      <c r="I540" s="4" t="s">
        <v>3277</v>
      </c>
      <c r="J540" s="71" t="s">
        <v>721</v>
      </c>
      <c r="O540" s="35"/>
      <c r="P540" s="35"/>
      <c r="Q540" s="35"/>
      <c r="R540" s="35"/>
      <c r="S540" s="35"/>
    </row>
    <row r="541" spans="1:19" ht="27.6" hidden="1" x14ac:dyDescent="0.25">
      <c r="A541" s="13" t="s">
        <v>151</v>
      </c>
      <c r="B541" s="14">
        <v>43542</v>
      </c>
      <c r="C541" s="13">
        <v>331</v>
      </c>
      <c r="D541" s="13" t="s">
        <v>1075</v>
      </c>
      <c r="E541" s="13" t="s">
        <v>1121</v>
      </c>
      <c r="F541" s="37">
        <v>10900</v>
      </c>
      <c r="G541" s="29" t="s">
        <v>886</v>
      </c>
      <c r="H541" s="14">
        <v>43059</v>
      </c>
      <c r="I541" s="4" t="s">
        <v>1076</v>
      </c>
      <c r="J541" s="22" t="s">
        <v>771</v>
      </c>
      <c r="K541" s="62"/>
    </row>
    <row r="542" spans="1:19" ht="16.5" hidden="1" customHeight="1" x14ac:dyDescent="0.25">
      <c r="A542" s="13" t="s">
        <v>184</v>
      </c>
      <c r="B542" s="14">
        <v>43542</v>
      </c>
      <c r="C542" s="67">
        <v>225</v>
      </c>
      <c r="D542" s="32" t="s">
        <v>2147</v>
      </c>
      <c r="E542" s="32" t="s">
        <v>144</v>
      </c>
      <c r="F542" s="4">
        <v>96390</v>
      </c>
      <c r="G542" s="28" t="s">
        <v>306</v>
      </c>
      <c r="H542" s="14">
        <v>43529</v>
      </c>
      <c r="I542" s="4" t="s">
        <v>2148</v>
      </c>
      <c r="J542" s="263"/>
      <c r="K542" s="63"/>
      <c r="L542" s="62"/>
    </row>
    <row r="543" spans="1:19" s="192" customFormat="1" ht="14.85" hidden="1" customHeight="1" x14ac:dyDescent="0.25">
      <c r="A543" s="147" t="s">
        <v>242</v>
      </c>
      <c r="B543" s="14">
        <v>43542</v>
      </c>
      <c r="C543" s="195">
        <v>226</v>
      </c>
      <c r="D543" s="149" t="s">
        <v>1816</v>
      </c>
      <c r="E543" s="147" t="s">
        <v>144</v>
      </c>
      <c r="F543" s="158">
        <v>100051.2</v>
      </c>
      <c r="G543" s="150" t="s">
        <v>71</v>
      </c>
      <c r="H543" s="148">
        <v>43537</v>
      </c>
      <c r="I543" s="149" t="s">
        <v>143</v>
      </c>
      <c r="J543" s="193"/>
      <c r="K543" s="194"/>
      <c r="L543" s="190"/>
    </row>
    <row r="544" spans="1:19" ht="27.6" hidden="1" customHeight="1" x14ac:dyDescent="0.25">
      <c r="A544" s="32" t="s">
        <v>151</v>
      </c>
      <c r="B544" s="14">
        <v>43542</v>
      </c>
      <c r="C544" s="13">
        <v>227</v>
      </c>
      <c r="D544" s="32" t="s">
        <v>412</v>
      </c>
      <c r="E544" s="32" t="s">
        <v>144</v>
      </c>
      <c r="F544" s="4">
        <v>90000</v>
      </c>
      <c r="G544" s="13">
        <v>21</v>
      </c>
      <c r="H544" s="14">
        <v>43525</v>
      </c>
      <c r="I544" s="4" t="s">
        <v>3969</v>
      </c>
      <c r="J544" s="22" t="s">
        <v>366</v>
      </c>
      <c r="K544" s="245"/>
    </row>
    <row r="545" spans="1:19" s="192" customFormat="1" ht="14.85" hidden="1" customHeight="1" x14ac:dyDescent="0.25">
      <c r="A545" s="147" t="s">
        <v>242</v>
      </c>
      <c r="B545" s="164">
        <v>43542</v>
      </c>
      <c r="C545" s="195">
        <v>634</v>
      </c>
      <c r="D545" s="149" t="s">
        <v>490</v>
      </c>
      <c r="E545" s="147" t="s">
        <v>140</v>
      </c>
      <c r="F545" s="158">
        <v>575599.05000000005</v>
      </c>
      <c r="G545" s="150" t="s">
        <v>5410</v>
      </c>
      <c r="H545" s="148">
        <v>43514</v>
      </c>
      <c r="I545" s="149" t="s">
        <v>143</v>
      </c>
      <c r="J545" s="193"/>
      <c r="K545" s="194"/>
      <c r="L545" s="190"/>
    </row>
    <row r="546" spans="1:19" s="192" customFormat="1" hidden="1" x14ac:dyDescent="0.25">
      <c r="A546" s="147" t="s">
        <v>242</v>
      </c>
      <c r="B546" s="164">
        <v>43542</v>
      </c>
      <c r="C546" s="195">
        <v>635</v>
      </c>
      <c r="D546" s="233" t="s">
        <v>784</v>
      </c>
      <c r="E546" s="147" t="s">
        <v>140</v>
      </c>
      <c r="F546" s="158">
        <v>1809543.4</v>
      </c>
      <c r="G546" s="150" t="s">
        <v>301</v>
      </c>
      <c r="H546" s="148">
        <v>43537</v>
      </c>
      <c r="I546" s="233" t="s">
        <v>143</v>
      </c>
      <c r="J546" s="193"/>
      <c r="K546" s="194"/>
      <c r="L546" s="190"/>
    </row>
    <row r="547" spans="1:19" s="192" customFormat="1" ht="14.85" hidden="1" customHeight="1" x14ac:dyDescent="0.25">
      <c r="A547" s="147" t="s">
        <v>242</v>
      </c>
      <c r="B547" s="164">
        <v>43542</v>
      </c>
      <c r="C547" s="195">
        <v>636</v>
      </c>
      <c r="D547" s="149" t="s">
        <v>840</v>
      </c>
      <c r="E547" s="147" t="s">
        <v>140</v>
      </c>
      <c r="F547" s="158">
        <v>85408.08</v>
      </c>
      <c r="G547" s="150" t="s">
        <v>5412</v>
      </c>
      <c r="H547" s="148">
        <v>43522</v>
      </c>
      <c r="I547" s="149" t="s">
        <v>143</v>
      </c>
      <c r="J547" s="193"/>
      <c r="K547" s="194"/>
      <c r="L547" s="190"/>
    </row>
    <row r="548" spans="1:19" s="129" customFormat="1" ht="27.6" hidden="1" x14ac:dyDescent="0.25">
      <c r="A548" s="13" t="s">
        <v>151</v>
      </c>
      <c r="B548" s="14">
        <v>43542</v>
      </c>
      <c r="C548" s="28" t="s">
        <v>1133</v>
      </c>
      <c r="D548" s="13" t="s">
        <v>1945</v>
      </c>
      <c r="E548" s="32" t="s">
        <v>2021</v>
      </c>
      <c r="F548" s="37">
        <v>15912</v>
      </c>
      <c r="G548" s="28" t="s">
        <v>2187</v>
      </c>
      <c r="H548" s="14">
        <v>43370</v>
      </c>
      <c r="I548" s="4" t="s">
        <v>1835</v>
      </c>
      <c r="J548" s="22" t="s">
        <v>771</v>
      </c>
      <c r="K548" s="136"/>
    </row>
    <row r="549" spans="1:19" s="129" customFormat="1" ht="27.6" hidden="1" x14ac:dyDescent="0.25">
      <c r="A549" s="13" t="s">
        <v>151</v>
      </c>
      <c r="B549" s="14">
        <v>43542</v>
      </c>
      <c r="C549" s="28" t="s">
        <v>1853</v>
      </c>
      <c r="D549" s="13" t="s">
        <v>1945</v>
      </c>
      <c r="E549" s="32" t="s">
        <v>1427</v>
      </c>
      <c r="F549" s="37">
        <v>14196</v>
      </c>
      <c r="G549" s="28" t="s">
        <v>2186</v>
      </c>
      <c r="H549" s="14">
        <v>43370</v>
      </c>
      <c r="I549" s="4" t="s">
        <v>1835</v>
      </c>
      <c r="J549" s="22" t="s">
        <v>771</v>
      </c>
      <c r="K549" s="136"/>
    </row>
    <row r="550" spans="1:19" ht="27.6" hidden="1" x14ac:dyDescent="0.25">
      <c r="A550" s="32" t="s">
        <v>214</v>
      </c>
      <c r="B550" s="14">
        <v>43542</v>
      </c>
      <c r="C550" s="67">
        <v>498</v>
      </c>
      <c r="D550" s="32" t="s">
        <v>373</v>
      </c>
      <c r="E550" s="32" t="s">
        <v>1427</v>
      </c>
      <c r="F550" s="4">
        <v>634288.48</v>
      </c>
      <c r="G550" s="28" t="s">
        <v>1407</v>
      </c>
      <c r="H550" s="14">
        <v>43152</v>
      </c>
      <c r="I550" s="4" t="s">
        <v>362</v>
      </c>
      <c r="J550" s="166" t="s">
        <v>721</v>
      </c>
      <c r="K550" s="167"/>
      <c r="L550" s="35"/>
    </row>
    <row r="551" spans="1:19" ht="15" hidden="1" customHeight="1" x14ac:dyDescent="0.25">
      <c r="A551" s="68" t="s">
        <v>166</v>
      </c>
      <c r="B551" s="14">
        <v>43542</v>
      </c>
      <c r="C551" s="67">
        <v>33</v>
      </c>
      <c r="D551" s="32" t="s">
        <v>156</v>
      </c>
      <c r="E551" s="32" t="s">
        <v>76</v>
      </c>
      <c r="F551" s="4">
        <v>63734.18</v>
      </c>
      <c r="G551" s="28" t="s">
        <v>5274</v>
      </c>
      <c r="H551" s="14">
        <v>43501</v>
      </c>
      <c r="I551" s="4" t="s">
        <v>752</v>
      </c>
      <c r="J551" s="166" t="s">
        <v>239</v>
      </c>
      <c r="K551" s="167"/>
      <c r="L551" s="35"/>
    </row>
    <row r="552" spans="1:19" ht="27.6" hidden="1" x14ac:dyDescent="0.25">
      <c r="A552" s="32" t="s">
        <v>35</v>
      </c>
      <c r="B552" s="14">
        <v>43542</v>
      </c>
      <c r="C552" s="67">
        <v>496</v>
      </c>
      <c r="D552" s="32" t="s">
        <v>435</v>
      </c>
      <c r="E552" s="32" t="s">
        <v>1642</v>
      </c>
      <c r="F552" s="4">
        <v>106233.14</v>
      </c>
      <c r="G552" s="28" t="s">
        <v>4244</v>
      </c>
      <c r="H552" s="14">
        <v>43507</v>
      </c>
      <c r="I552" s="4" t="s">
        <v>4044</v>
      </c>
      <c r="J552" s="166" t="s">
        <v>239</v>
      </c>
      <c r="K552" s="167"/>
      <c r="L552" s="35"/>
    </row>
    <row r="553" spans="1:19" ht="14.1" hidden="1" customHeight="1" x14ac:dyDescent="0.25">
      <c r="A553" s="32" t="s">
        <v>310</v>
      </c>
      <c r="B553" s="14">
        <v>43542</v>
      </c>
      <c r="C553" s="13">
        <v>128</v>
      </c>
      <c r="D553" s="32" t="s">
        <v>541</v>
      </c>
      <c r="E553" s="13" t="s">
        <v>958</v>
      </c>
      <c r="F553" s="4">
        <v>1936500</v>
      </c>
      <c r="G553" s="86" t="s">
        <v>4474</v>
      </c>
      <c r="H553" s="211"/>
      <c r="I553" s="208" t="s">
        <v>4473</v>
      </c>
      <c r="J553" s="21"/>
      <c r="K553" s="228"/>
    </row>
    <row r="554" spans="1:19" ht="13.95" hidden="1" customHeight="1" x14ac:dyDescent="0.25">
      <c r="A554" s="61" t="s">
        <v>310</v>
      </c>
      <c r="B554" s="14">
        <v>43542</v>
      </c>
      <c r="C554" s="13">
        <v>129</v>
      </c>
      <c r="D554" s="13" t="s">
        <v>30</v>
      </c>
      <c r="E554" s="32" t="s">
        <v>958</v>
      </c>
      <c r="F554" s="4">
        <v>3000000</v>
      </c>
      <c r="G554" s="86" t="s">
        <v>4463</v>
      </c>
      <c r="H554" s="211"/>
      <c r="I554" s="4" t="s">
        <v>20</v>
      </c>
      <c r="J554" s="21"/>
      <c r="K554" s="228"/>
    </row>
    <row r="555" spans="1:19" ht="13.95" hidden="1" customHeight="1" x14ac:dyDescent="0.25">
      <c r="A555" s="61" t="s">
        <v>310</v>
      </c>
      <c r="B555" s="14">
        <v>43542</v>
      </c>
      <c r="C555" s="13" t="s">
        <v>5526</v>
      </c>
      <c r="D555" s="32" t="s">
        <v>588</v>
      </c>
      <c r="E555" s="32" t="s">
        <v>958</v>
      </c>
      <c r="F555" s="4">
        <v>1052271.1000000001</v>
      </c>
      <c r="G555" s="86" t="s">
        <v>4450</v>
      </c>
      <c r="H555" s="211"/>
      <c r="I555" s="4" t="s">
        <v>82</v>
      </c>
      <c r="J555" s="21"/>
      <c r="K555" s="228"/>
    </row>
    <row r="556" spans="1:19" ht="13.95" hidden="1" customHeight="1" x14ac:dyDescent="0.25">
      <c r="A556" s="68" t="s">
        <v>310</v>
      </c>
      <c r="B556" s="14">
        <v>43542</v>
      </c>
      <c r="C556" s="13">
        <v>132</v>
      </c>
      <c r="D556" s="32" t="s">
        <v>269</v>
      </c>
      <c r="E556" s="32" t="s">
        <v>958</v>
      </c>
      <c r="F556" s="4">
        <v>1546354.85</v>
      </c>
      <c r="G556" s="86" t="s">
        <v>4440</v>
      </c>
      <c r="H556" s="211"/>
      <c r="I556" s="41" t="s">
        <v>202</v>
      </c>
      <c r="J556" s="21"/>
      <c r="K556" s="228"/>
    </row>
    <row r="557" spans="1:19" s="441" customFormat="1" ht="15" hidden="1" customHeight="1" x14ac:dyDescent="0.25">
      <c r="A557" s="32" t="s">
        <v>455</v>
      </c>
      <c r="B557" s="14">
        <v>43542</v>
      </c>
      <c r="C557" s="13">
        <v>133</v>
      </c>
      <c r="D557" s="13" t="s">
        <v>1377</v>
      </c>
      <c r="E557" s="13" t="s">
        <v>958</v>
      </c>
      <c r="F557" s="37">
        <f>930000</f>
        <v>930000</v>
      </c>
      <c r="G557" s="189" t="s">
        <v>3236</v>
      </c>
      <c r="H557" s="14">
        <v>43486</v>
      </c>
      <c r="I557" s="4" t="s">
        <v>5036</v>
      </c>
      <c r="J557" s="261" t="s">
        <v>3665</v>
      </c>
      <c r="K557" s="4" t="s">
        <v>4999</v>
      </c>
      <c r="L557" s="440"/>
      <c r="M557" s="440"/>
      <c r="N557" s="440"/>
      <c r="O557" s="440"/>
    </row>
    <row r="558" spans="1:19" s="62" customFormat="1" hidden="1" x14ac:dyDescent="0.25">
      <c r="A558" s="32" t="s">
        <v>455</v>
      </c>
      <c r="B558" s="14">
        <v>43542</v>
      </c>
      <c r="C558" s="13">
        <v>134</v>
      </c>
      <c r="D558" s="13" t="s">
        <v>589</v>
      </c>
      <c r="E558" s="13" t="s">
        <v>958</v>
      </c>
      <c r="F558" s="37">
        <v>830000</v>
      </c>
      <c r="G558" s="189" t="s">
        <v>5070</v>
      </c>
      <c r="H558" s="14">
        <v>43452</v>
      </c>
      <c r="I558" s="4" t="s">
        <v>5071</v>
      </c>
      <c r="J558" s="261" t="s">
        <v>3665</v>
      </c>
      <c r="K558" s="4" t="s">
        <v>4999</v>
      </c>
      <c r="L558" s="71"/>
      <c r="M558" s="170"/>
      <c r="N558" s="71"/>
      <c r="O558" s="71"/>
      <c r="P558" s="35"/>
      <c r="Q558" s="35"/>
      <c r="R558" s="35"/>
      <c r="S558" s="35"/>
    </row>
    <row r="559" spans="1:19" s="62" customFormat="1" hidden="1" x14ac:dyDescent="0.25">
      <c r="A559" s="32" t="s">
        <v>455</v>
      </c>
      <c r="B559" s="14">
        <v>43542</v>
      </c>
      <c r="C559" s="13">
        <v>134</v>
      </c>
      <c r="D559" s="13" t="s">
        <v>589</v>
      </c>
      <c r="E559" s="13" t="s">
        <v>958</v>
      </c>
      <c r="F559" s="37">
        <v>766383</v>
      </c>
      <c r="G559" s="189" t="s">
        <v>5072</v>
      </c>
      <c r="H559" s="14">
        <v>43439</v>
      </c>
      <c r="I559" s="4" t="s">
        <v>5041</v>
      </c>
      <c r="J559" s="261" t="s">
        <v>3665</v>
      </c>
      <c r="K559" s="4" t="s">
        <v>4999</v>
      </c>
      <c r="L559" s="71"/>
      <c r="M559" s="170"/>
      <c r="N559" s="71"/>
      <c r="O559" s="71"/>
      <c r="P559" s="35"/>
      <c r="Q559" s="35"/>
      <c r="R559" s="35"/>
      <c r="S559" s="35"/>
    </row>
    <row r="560" spans="1:19" s="441" customFormat="1" hidden="1" x14ac:dyDescent="0.25">
      <c r="A560" s="32" t="s">
        <v>455</v>
      </c>
      <c r="B560" s="14">
        <v>43542</v>
      </c>
      <c r="C560" s="13">
        <v>135</v>
      </c>
      <c r="D560" s="13" t="s">
        <v>1827</v>
      </c>
      <c r="E560" s="13" t="s">
        <v>958</v>
      </c>
      <c r="F560" s="37">
        <v>799600</v>
      </c>
      <c r="G560" s="189" t="s">
        <v>2893</v>
      </c>
      <c r="H560" s="14">
        <v>43481</v>
      </c>
      <c r="I560" s="4" t="s">
        <v>5036</v>
      </c>
      <c r="J560" s="261" t="s">
        <v>3665</v>
      </c>
      <c r="K560" s="4" t="s">
        <v>4999</v>
      </c>
      <c r="L560" s="440"/>
      <c r="M560" s="440"/>
      <c r="N560" s="440"/>
      <c r="O560" s="440"/>
    </row>
    <row r="561" spans="1:19" s="62" customFormat="1" hidden="1" x14ac:dyDescent="0.25">
      <c r="A561" s="32" t="s">
        <v>455</v>
      </c>
      <c r="B561" s="14">
        <v>43542</v>
      </c>
      <c r="C561" s="13">
        <v>136</v>
      </c>
      <c r="D561" s="13" t="s">
        <v>243</v>
      </c>
      <c r="E561" s="13" t="s">
        <v>958</v>
      </c>
      <c r="F561" s="37">
        <v>845487.5</v>
      </c>
      <c r="G561" s="189" t="s">
        <v>5114</v>
      </c>
      <c r="H561" s="14">
        <v>43459</v>
      </c>
      <c r="I561" s="4" t="s">
        <v>5036</v>
      </c>
      <c r="J561" s="261" t="s">
        <v>3665</v>
      </c>
      <c r="K561" s="4" t="s">
        <v>4999</v>
      </c>
      <c r="L561" s="71"/>
      <c r="M561" s="170"/>
      <c r="N561" s="71"/>
      <c r="O561" s="71"/>
      <c r="P561" s="35"/>
      <c r="Q561" s="35"/>
      <c r="R561" s="35"/>
      <c r="S561" s="35"/>
    </row>
    <row r="562" spans="1:19" s="62" customFormat="1" hidden="1" x14ac:dyDescent="0.25">
      <c r="A562" s="32" t="s">
        <v>455</v>
      </c>
      <c r="B562" s="14">
        <v>43542</v>
      </c>
      <c r="C562" s="13">
        <v>137</v>
      </c>
      <c r="D562" s="13" t="s">
        <v>353</v>
      </c>
      <c r="E562" s="13" t="s">
        <v>958</v>
      </c>
      <c r="F562" s="37">
        <v>814000.11</v>
      </c>
      <c r="G562" s="189" t="s">
        <v>13</v>
      </c>
      <c r="H562" s="14">
        <v>43460</v>
      </c>
      <c r="I562" s="4" t="s">
        <v>5041</v>
      </c>
      <c r="J562" s="261" t="s">
        <v>3665</v>
      </c>
      <c r="K562" s="4" t="s">
        <v>4999</v>
      </c>
      <c r="L562" s="71"/>
      <c r="M562" s="170"/>
      <c r="N562" s="71"/>
      <c r="O562" s="71"/>
      <c r="P562" s="35"/>
      <c r="Q562" s="35"/>
      <c r="R562" s="35"/>
      <c r="S562" s="35"/>
    </row>
    <row r="563" spans="1:19" s="62" customFormat="1" ht="15" hidden="1" customHeight="1" x14ac:dyDescent="0.25">
      <c r="A563" s="32" t="s">
        <v>455</v>
      </c>
      <c r="B563" s="14">
        <v>43542</v>
      </c>
      <c r="C563" s="13">
        <v>138</v>
      </c>
      <c r="D563" s="13" t="s">
        <v>5006</v>
      </c>
      <c r="E563" s="13" t="s">
        <v>958</v>
      </c>
      <c r="F563" s="37">
        <v>890450</v>
      </c>
      <c r="G563" s="70" t="s">
        <v>5422</v>
      </c>
      <c r="H563" s="14"/>
      <c r="I563" s="4" t="s">
        <v>1244</v>
      </c>
      <c r="J563" s="261" t="s">
        <v>5008</v>
      </c>
      <c r="K563" s="4" t="s">
        <v>4999</v>
      </c>
      <c r="L563" s="71"/>
      <c r="M563" s="170"/>
      <c r="N563" s="71"/>
      <c r="O563" s="71"/>
      <c r="P563" s="35"/>
      <c r="Q563" s="35"/>
      <c r="R563" s="35"/>
      <c r="S563" s="35"/>
    </row>
    <row r="564" spans="1:19" s="62" customFormat="1" ht="15" hidden="1" customHeight="1" x14ac:dyDescent="0.25">
      <c r="A564" s="32" t="s">
        <v>455</v>
      </c>
      <c r="B564" s="14">
        <v>43542</v>
      </c>
      <c r="C564" s="13">
        <v>148</v>
      </c>
      <c r="D564" s="13" t="s">
        <v>5427</v>
      </c>
      <c r="E564" s="13" t="s">
        <v>958</v>
      </c>
      <c r="F564" s="37">
        <v>6300</v>
      </c>
      <c r="G564" s="189" t="s">
        <v>5267</v>
      </c>
      <c r="H564" s="14"/>
      <c r="I564" s="4" t="s">
        <v>5045</v>
      </c>
      <c r="J564" s="359"/>
      <c r="K564" s="50"/>
      <c r="L564" s="71"/>
      <c r="M564" s="170"/>
      <c r="N564" s="71"/>
      <c r="O564" s="71"/>
      <c r="P564" s="35"/>
      <c r="Q564" s="35"/>
      <c r="R564" s="35"/>
      <c r="S564" s="35"/>
    </row>
    <row r="565" spans="1:19" s="97" customFormat="1" ht="15" hidden="1" customHeight="1" x14ac:dyDescent="0.25">
      <c r="A565" s="32" t="s">
        <v>455</v>
      </c>
      <c r="B565" s="14">
        <v>43542</v>
      </c>
      <c r="C565" s="13">
        <v>139</v>
      </c>
      <c r="D565" s="32" t="s">
        <v>5118</v>
      </c>
      <c r="E565" s="32" t="s">
        <v>958</v>
      </c>
      <c r="F565" s="4">
        <v>20750</v>
      </c>
      <c r="G565" s="28" t="s">
        <v>5119</v>
      </c>
      <c r="H565" s="14">
        <v>43503</v>
      </c>
      <c r="I565" s="32" t="s">
        <v>5120</v>
      </c>
      <c r="J565" s="442" t="s">
        <v>5030</v>
      </c>
      <c r="K565" s="32" t="s">
        <v>4994</v>
      </c>
      <c r="L565" s="22"/>
      <c r="M565" s="170"/>
      <c r="N565" s="22"/>
      <c r="O565" s="22"/>
    </row>
    <row r="566" spans="1:19" hidden="1" x14ac:dyDescent="0.25">
      <c r="A566" s="32" t="s">
        <v>455</v>
      </c>
      <c r="B566" s="14">
        <v>43542</v>
      </c>
      <c r="C566" s="13">
        <v>140</v>
      </c>
      <c r="D566" s="32" t="s">
        <v>5121</v>
      </c>
      <c r="E566" s="32" t="s">
        <v>958</v>
      </c>
      <c r="F566" s="4">
        <v>17500</v>
      </c>
      <c r="G566" s="28" t="s">
        <v>5122</v>
      </c>
      <c r="H566" s="14">
        <v>43508</v>
      </c>
      <c r="I566" s="32" t="s">
        <v>5123</v>
      </c>
      <c r="J566" s="448" t="s">
        <v>4998</v>
      </c>
      <c r="K566" s="4" t="s">
        <v>4999</v>
      </c>
      <c r="L566" s="446"/>
      <c r="M566" s="71"/>
      <c r="N566" s="71"/>
      <c r="O566" s="71"/>
      <c r="P566" s="35"/>
      <c r="Q566" s="35"/>
      <c r="R566" s="35"/>
      <c r="S566" s="35"/>
    </row>
    <row r="567" spans="1:19" s="62" customFormat="1" ht="15" hidden="1" customHeight="1" x14ac:dyDescent="0.25">
      <c r="A567" s="32" t="s">
        <v>310</v>
      </c>
      <c r="B567" s="14">
        <v>43542</v>
      </c>
      <c r="C567" s="13">
        <v>141</v>
      </c>
      <c r="D567" s="32" t="s">
        <v>5012</v>
      </c>
      <c r="E567" s="32" t="s">
        <v>958</v>
      </c>
      <c r="F567" s="4">
        <v>10290</v>
      </c>
      <c r="G567" s="28" t="s">
        <v>5144</v>
      </c>
      <c r="H567" s="14">
        <v>43483</v>
      </c>
      <c r="I567" s="32" t="s">
        <v>5145</v>
      </c>
      <c r="J567" s="442" t="s">
        <v>4998</v>
      </c>
      <c r="K567" s="4" t="s">
        <v>4999</v>
      </c>
      <c r="L567" s="443"/>
      <c r="M567" s="458"/>
      <c r="O567" s="35"/>
      <c r="P567" s="35"/>
      <c r="Q567" s="35"/>
      <c r="R567" s="35"/>
      <c r="S567" s="35"/>
    </row>
    <row r="568" spans="1:19" s="62" customFormat="1" ht="15" hidden="1" customHeight="1" x14ac:dyDescent="0.25">
      <c r="A568" s="32" t="s">
        <v>310</v>
      </c>
      <c r="B568" s="14">
        <v>43542</v>
      </c>
      <c r="C568" s="13">
        <v>141</v>
      </c>
      <c r="D568" s="32" t="s">
        <v>5012</v>
      </c>
      <c r="E568" s="32" t="s">
        <v>958</v>
      </c>
      <c r="F568" s="4">
        <v>1640</v>
      </c>
      <c r="G568" s="28" t="s">
        <v>5146</v>
      </c>
      <c r="H568" s="14">
        <v>43480</v>
      </c>
      <c r="I568" s="32" t="s">
        <v>4997</v>
      </c>
      <c r="J568" s="442" t="s">
        <v>4998</v>
      </c>
      <c r="K568" s="4" t="s">
        <v>4999</v>
      </c>
      <c r="L568" s="443"/>
      <c r="M568" s="458"/>
      <c r="O568" s="35"/>
      <c r="P568" s="35"/>
      <c r="Q568" s="35"/>
      <c r="R568" s="35"/>
      <c r="S568" s="35"/>
    </row>
    <row r="569" spans="1:19" s="62" customFormat="1" ht="15" hidden="1" customHeight="1" x14ac:dyDescent="0.25">
      <c r="A569" s="32" t="s">
        <v>455</v>
      </c>
      <c r="B569" s="14">
        <v>43542</v>
      </c>
      <c r="C569" s="13">
        <v>142</v>
      </c>
      <c r="D569" s="13" t="s">
        <v>1426</v>
      </c>
      <c r="E569" s="13" t="s">
        <v>958</v>
      </c>
      <c r="F569" s="37">
        <v>55000</v>
      </c>
      <c r="G569" s="189" t="s">
        <v>728</v>
      </c>
      <c r="H569" s="14">
        <v>43537</v>
      </c>
      <c r="I569" s="4" t="s">
        <v>5325</v>
      </c>
      <c r="J569" s="359"/>
      <c r="K569" s="50"/>
      <c r="L569" s="71"/>
      <c r="M569" s="170"/>
      <c r="N569" s="71"/>
      <c r="O569" s="71"/>
      <c r="P569" s="35"/>
      <c r="Q569" s="35"/>
      <c r="R569" s="35"/>
      <c r="S569" s="35"/>
    </row>
    <row r="570" spans="1:19" s="62" customFormat="1" ht="15" hidden="1" customHeight="1" x14ac:dyDescent="0.25">
      <c r="A570" s="32" t="s">
        <v>5373</v>
      </c>
      <c r="B570" s="14">
        <v>43542</v>
      </c>
      <c r="C570" s="13">
        <v>143</v>
      </c>
      <c r="D570" s="13" t="s">
        <v>5463</v>
      </c>
      <c r="E570" s="13" t="s">
        <v>958</v>
      </c>
      <c r="F570" s="37">
        <v>9550</v>
      </c>
      <c r="G570" s="189" t="s">
        <v>1340</v>
      </c>
      <c r="H570" s="14">
        <v>43539</v>
      </c>
      <c r="I570" s="4" t="s">
        <v>5464</v>
      </c>
      <c r="J570" s="359"/>
      <c r="K570" s="50"/>
      <c r="L570" s="71"/>
      <c r="M570" s="170"/>
      <c r="N570" s="71"/>
      <c r="O570" s="71"/>
      <c r="P570" s="35"/>
      <c r="Q570" s="35"/>
      <c r="R570" s="35"/>
      <c r="S570" s="35"/>
    </row>
    <row r="571" spans="1:19" s="97" customFormat="1" ht="15" hidden="1" customHeight="1" x14ac:dyDescent="0.25">
      <c r="A571" s="32" t="s">
        <v>455</v>
      </c>
      <c r="B571" s="14">
        <v>43542</v>
      </c>
      <c r="C571" s="13">
        <v>144</v>
      </c>
      <c r="D571" s="32" t="s">
        <v>282</v>
      </c>
      <c r="E571" s="32" t="s">
        <v>958</v>
      </c>
      <c r="F571" s="4">
        <v>21450</v>
      </c>
      <c r="G571" s="28" t="s">
        <v>540</v>
      </c>
      <c r="H571" s="14">
        <v>43510</v>
      </c>
      <c r="I571" s="32" t="s">
        <v>5129</v>
      </c>
      <c r="J571" s="442" t="s">
        <v>5030</v>
      </c>
      <c r="K571" s="32" t="s">
        <v>4999</v>
      </c>
      <c r="L571" s="22"/>
      <c r="M571" s="170"/>
      <c r="N571" s="22"/>
      <c r="O571" s="22"/>
    </row>
    <row r="572" spans="1:19" s="97" customFormat="1" ht="15" hidden="1" customHeight="1" x14ac:dyDescent="0.25">
      <c r="A572" s="32" t="s">
        <v>455</v>
      </c>
      <c r="B572" s="14">
        <v>43542</v>
      </c>
      <c r="C572" s="13">
        <v>144</v>
      </c>
      <c r="D572" s="32" t="s">
        <v>282</v>
      </c>
      <c r="E572" s="32" t="s">
        <v>958</v>
      </c>
      <c r="F572" s="4">
        <v>11440</v>
      </c>
      <c r="G572" s="28" t="s">
        <v>5130</v>
      </c>
      <c r="H572" s="14">
        <v>43496</v>
      </c>
      <c r="I572" s="32" t="s">
        <v>5129</v>
      </c>
      <c r="J572" s="442" t="s">
        <v>5030</v>
      </c>
      <c r="K572" s="32" t="s">
        <v>4999</v>
      </c>
      <c r="L572" s="22"/>
      <c r="M572" s="170"/>
      <c r="N572" s="22"/>
      <c r="O572" s="22"/>
    </row>
    <row r="573" spans="1:19" s="97" customFormat="1" ht="15" hidden="1" customHeight="1" x14ac:dyDescent="0.25">
      <c r="A573" s="32" t="s">
        <v>455</v>
      </c>
      <c r="B573" s="14">
        <v>43542</v>
      </c>
      <c r="C573" s="13">
        <v>144</v>
      </c>
      <c r="D573" s="32" t="s">
        <v>282</v>
      </c>
      <c r="E573" s="32" t="s">
        <v>958</v>
      </c>
      <c r="F573" s="4">
        <v>11440</v>
      </c>
      <c r="G573" s="28" t="s">
        <v>5131</v>
      </c>
      <c r="H573" s="14">
        <v>43503</v>
      </c>
      <c r="I573" s="32" t="s">
        <v>5129</v>
      </c>
      <c r="J573" s="442" t="s">
        <v>5030</v>
      </c>
      <c r="K573" s="32" t="s">
        <v>4999</v>
      </c>
      <c r="L573" s="22"/>
      <c r="M573" s="170"/>
      <c r="N573" s="22"/>
      <c r="O573" s="22"/>
    </row>
    <row r="574" spans="1:19" s="97" customFormat="1" ht="15" hidden="1" customHeight="1" x14ac:dyDescent="0.25">
      <c r="A574" s="32" t="s">
        <v>455</v>
      </c>
      <c r="B574" s="14">
        <v>43542</v>
      </c>
      <c r="C574" s="13">
        <v>145</v>
      </c>
      <c r="D574" s="32" t="s">
        <v>5027</v>
      </c>
      <c r="E574" s="32" t="s">
        <v>958</v>
      </c>
      <c r="F574" s="4">
        <v>7000</v>
      </c>
      <c r="G574" s="28" t="s">
        <v>5133</v>
      </c>
      <c r="H574" s="14">
        <v>43465</v>
      </c>
      <c r="I574" s="32" t="s">
        <v>5029</v>
      </c>
      <c r="J574" s="442" t="s">
        <v>5030</v>
      </c>
      <c r="K574" s="32" t="s">
        <v>4999</v>
      </c>
      <c r="L574" s="22"/>
      <c r="M574" s="170"/>
      <c r="N574" s="22"/>
      <c r="O574" s="22"/>
    </row>
    <row r="575" spans="1:19" s="97" customFormat="1" ht="15" hidden="1" customHeight="1" x14ac:dyDescent="0.25">
      <c r="A575" s="32" t="s">
        <v>310</v>
      </c>
      <c r="B575" s="14">
        <v>43542</v>
      </c>
      <c r="C575" s="13">
        <v>145</v>
      </c>
      <c r="D575" s="32" t="s">
        <v>5027</v>
      </c>
      <c r="E575" s="32" t="s">
        <v>958</v>
      </c>
      <c r="F575" s="4">
        <v>7000</v>
      </c>
      <c r="G575" s="28" t="s">
        <v>5153</v>
      </c>
      <c r="H575" s="14">
        <v>43465</v>
      </c>
      <c r="I575" s="32" t="s">
        <v>5029</v>
      </c>
      <c r="J575" s="442" t="s">
        <v>5030</v>
      </c>
      <c r="K575" s="32" t="s">
        <v>4999</v>
      </c>
      <c r="M575" s="444"/>
    </row>
    <row r="576" spans="1:19" s="62" customFormat="1" ht="15" hidden="1" customHeight="1" x14ac:dyDescent="0.25">
      <c r="A576" s="13" t="s">
        <v>455</v>
      </c>
      <c r="B576" s="14">
        <v>43542</v>
      </c>
      <c r="C576" s="28" t="s">
        <v>154</v>
      </c>
      <c r="D576" s="13" t="s">
        <v>1555</v>
      </c>
      <c r="E576" s="32" t="s">
        <v>958</v>
      </c>
      <c r="F576" s="37">
        <v>8400</v>
      </c>
      <c r="G576" s="29" t="s">
        <v>5174</v>
      </c>
      <c r="H576" s="14">
        <v>43524</v>
      </c>
      <c r="I576" s="4" t="s">
        <v>118</v>
      </c>
      <c r="J576" s="71" t="s">
        <v>366</v>
      </c>
      <c r="O576" s="35"/>
      <c r="P576" s="35"/>
      <c r="Q576" s="35"/>
      <c r="R576" s="35"/>
      <c r="S576" s="35"/>
    </row>
    <row r="577" spans="1:19" hidden="1" x14ac:dyDescent="0.25">
      <c r="A577" s="13" t="s">
        <v>151</v>
      </c>
      <c r="B577" s="14">
        <v>43542</v>
      </c>
      <c r="C577" s="28" t="s">
        <v>117</v>
      </c>
      <c r="D577" s="13" t="s">
        <v>596</v>
      </c>
      <c r="E577" s="13" t="s">
        <v>958</v>
      </c>
      <c r="F577" s="4">
        <v>1100</v>
      </c>
      <c r="G577" s="29" t="s">
        <v>4045</v>
      </c>
      <c r="H577" s="14">
        <v>43539</v>
      </c>
      <c r="I577" s="4" t="s">
        <v>1</v>
      </c>
      <c r="K577" s="260"/>
    </row>
    <row r="578" spans="1:19" s="129" customFormat="1" ht="29.4" hidden="1" customHeight="1" x14ac:dyDescent="0.25">
      <c r="A578" s="13" t="s">
        <v>151</v>
      </c>
      <c r="B578" s="14">
        <v>43542</v>
      </c>
      <c r="C578" s="28" t="s">
        <v>3519</v>
      </c>
      <c r="D578" s="13" t="s">
        <v>711</v>
      </c>
      <c r="E578" s="32" t="s">
        <v>1121</v>
      </c>
      <c r="F578" s="37">
        <f>17250+1800+520+3600+2200+2200+5600</f>
        <v>33170</v>
      </c>
      <c r="G578" s="28" t="s">
        <v>5324</v>
      </c>
      <c r="H578" s="28" t="s">
        <v>5323</v>
      </c>
      <c r="I578" s="4" t="s">
        <v>712</v>
      </c>
      <c r="J578" s="170"/>
      <c r="K578" s="136"/>
    </row>
    <row r="579" spans="1:19" hidden="1" x14ac:dyDescent="0.25">
      <c r="A579" s="13" t="s">
        <v>151</v>
      </c>
      <c r="B579" s="14">
        <v>43542</v>
      </c>
      <c r="C579" s="28" t="s">
        <v>177</v>
      </c>
      <c r="D579" s="13" t="s">
        <v>596</v>
      </c>
      <c r="E579" s="13" t="s">
        <v>22</v>
      </c>
      <c r="F579" s="4">
        <v>5060</v>
      </c>
      <c r="G579" s="29" t="s">
        <v>5450</v>
      </c>
      <c r="H579" s="14">
        <v>43539</v>
      </c>
      <c r="I579" s="4" t="s">
        <v>1</v>
      </c>
      <c r="K579" s="260"/>
    </row>
    <row r="580" spans="1:19" hidden="1" x14ac:dyDescent="0.25">
      <c r="A580" s="32" t="s">
        <v>151</v>
      </c>
      <c r="B580" s="14">
        <v>43542</v>
      </c>
      <c r="C580" s="13">
        <v>67</v>
      </c>
      <c r="D580" s="13" t="s">
        <v>223</v>
      </c>
      <c r="E580" s="32" t="s">
        <v>22</v>
      </c>
      <c r="F580" s="4">
        <v>15650</v>
      </c>
      <c r="G580" s="28" t="s">
        <v>27</v>
      </c>
      <c r="H580" s="14">
        <v>43490</v>
      </c>
      <c r="I580" s="4" t="s">
        <v>3072</v>
      </c>
      <c r="J580" s="76"/>
      <c r="K580" s="246"/>
    </row>
    <row r="581" spans="1:19" hidden="1" x14ac:dyDescent="0.25">
      <c r="A581" s="32" t="s">
        <v>151</v>
      </c>
      <c r="B581" s="14">
        <v>43542</v>
      </c>
      <c r="C581" s="13">
        <v>67</v>
      </c>
      <c r="D581" s="13" t="s">
        <v>223</v>
      </c>
      <c r="E581" s="32" t="s">
        <v>22</v>
      </c>
      <c r="F581" s="4">
        <v>23070</v>
      </c>
      <c r="G581" s="28" t="s">
        <v>145</v>
      </c>
      <c r="H581" s="14">
        <v>43496</v>
      </c>
      <c r="I581" s="4" t="s">
        <v>3072</v>
      </c>
      <c r="J581" s="76"/>
      <c r="K581" s="246"/>
    </row>
    <row r="582" spans="1:19" s="62" customFormat="1" ht="27.6" hidden="1" x14ac:dyDescent="0.25">
      <c r="A582" s="13" t="s">
        <v>91</v>
      </c>
      <c r="B582" s="14">
        <v>43542</v>
      </c>
      <c r="C582" s="13">
        <v>223</v>
      </c>
      <c r="D582" s="13" t="s">
        <v>745</v>
      </c>
      <c r="E582" s="32" t="s">
        <v>2021</v>
      </c>
      <c r="F582" s="37">
        <v>400000</v>
      </c>
      <c r="G582" s="29" t="s">
        <v>2018</v>
      </c>
      <c r="H582" s="14">
        <v>43377</v>
      </c>
      <c r="I582" s="4" t="s">
        <v>484</v>
      </c>
      <c r="J582" s="35"/>
      <c r="O582" s="35"/>
      <c r="P582" s="35"/>
      <c r="Q582" s="35"/>
      <c r="R582" s="35"/>
      <c r="S582" s="35"/>
    </row>
    <row r="583" spans="1:19" hidden="1" x14ac:dyDescent="0.25">
      <c r="A583" s="68" t="s">
        <v>637</v>
      </c>
      <c r="B583" s="14">
        <v>43542</v>
      </c>
      <c r="C583" s="13">
        <v>302</v>
      </c>
      <c r="D583" s="32" t="s">
        <v>1135</v>
      </c>
      <c r="E583" s="32" t="s">
        <v>547</v>
      </c>
      <c r="F583" s="4">
        <v>28744.799999999999</v>
      </c>
      <c r="G583" s="210" t="s">
        <v>5434</v>
      </c>
      <c r="H583" s="211">
        <v>43530</v>
      </c>
      <c r="I583" s="208" t="s">
        <v>5435</v>
      </c>
      <c r="J583" s="21"/>
      <c r="K583" s="228"/>
    </row>
    <row r="584" spans="1:19" hidden="1" x14ac:dyDescent="0.25">
      <c r="A584" s="32" t="s">
        <v>637</v>
      </c>
      <c r="B584" s="14">
        <v>43542</v>
      </c>
      <c r="C584" s="13">
        <v>303</v>
      </c>
      <c r="D584" s="32" t="s">
        <v>1135</v>
      </c>
      <c r="E584" s="32" t="s">
        <v>547</v>
      </c>
      <c r="F584" s="4">
        <v>42206.400000000001</v>
      </c>
      <c r="G584" s="210" t="s">
        <v>5436</v>
      </c>
      <c r="H584" s="211">
        <v>43524</v>
      </c>
      <c r="I584" s="208" t="s">
        <v>5437</v>
      </c>
      <c r="J584" s="21"/>
      <c r="K584" s="228"/>
    </row>
    <row r="585" spans="1:19" ht="15" hidden="1" customHeight="1" x14ac:dyDescent="0.25">
      <c r="A585" s="32" t="s">
        <v>1219</v>
      </c>
      <c r="B585" s="14">
        <v>43542</v>
      </c>
      <c r="C585" s="67">
        <v>15</v>
      </c>
      <c r="D585" s="32" t="s">
        <v>1220</v>
      </c>
      <c r="E585" s="32" t="s">
        <v>1221</v>
      </c>
      <c r="F585" s="4">
        <v>90000</v>
      </c>
      <c r="G585" s="28" t="s">
        <v>3184</v>
      </c>
      <c r="H585" s="14">
        <v>43525</v>
      </c>
      <c r="I585" s="41" t="s">
        <v>1325</v>
      </c>
      <c r="J585" s="167" t="s">
        <v>366</v>
      </c>
      <c r="K585" s="167"/>
      <c r="L585" s="35"/>
    </row>
    <row r="586" spans="1:19" ht="15" hidden="1" customHeight="1" x14ac:dyDescent="0.25">
      <c r="A586" s="32" t="s">
        <v>1219</v>
      </c>
      <c r="B586" s="14">
        <v>43542</v>
      </c>
      <c r="C586" s="67">
        <v>15</v>
      </c>
      <c r="D586" s="32" t="s">
        <v>1220</v>
      </c>
      <c r="E586" s="32" t="s">
        <v>1221</v>
      </c>
      <c r="F586" s="4">
        <v>14500</v>
      </c>
      <c r="G586" s="28" t="s">
        <v>3592</v>
      </c>
      <c r="H586" s="14">
        <v>43525</v>
      </c>
      <c r="I586" s="41" t="s">
        <v>1950</v>
      </c>
      <c r="J586" s="167" t="s">
        <v>721</v>
      </c>
      <c r="K586" s="167"/>
      <c r="L586" s="35"/>
    </row>
    <row r="587" spans="1:19" s="62" customFormat="1" ht="13.95" hidden="1" customHeight="1" x14ac:dyDescent="0.25">
      <c r="A587" s="13" t="s">
        <v>349</v>
      </c>
      <c r="B587" s="14">
        <v>43542</v>
      </c>
      <c r="C587" s="13">
        <v>488</v>
      </c>
      <c r="D587" s="13" t="s">
        <v>962</v>
      </c>
      <c r="E587" s="13" t="s">
        <v>130</v>
      </c>
      <c r="F587" s="37">
        <v>154980</v>
      </c>
      <c r="G587" s="29" t="s">
        <v>5457</v>
      </c>
      <c r="H587" s="14">
        <v>43521</v>
      </c>
      <c r="I587" s="4" t="s">
        <v>5458</v>
      </c>
      <c r="J587" s="71" t="s">
        <v>5459</v>
      </c>
      <c r="O587" s="35"/>
      <c r="P587" s="35"/>
      <c r="Q587" s="35"/>
      <c r="R587" s="35"/>
      <c r="S587" s="35"/>
    </row>
    <row r="588" spans="1:19" s="62" customFormat="1" ht="13.95" hidden="1" customHeight="1" x14ac:dyDescent="0.25">
      <c r="A588" s="13" t="s">
        <v>91</v>
      </c>
      <c r="B588" s="14">
        <v>43542</v>
      </c>
      <c r="C588" s="13">
        <v>489</v>
      </c>
      <c r="D588" s="13" t="s">
        <v>2928</v>
      </c>
      <c r="E588" s="13" t="s">
        <v>130</v>
      </c>
      <c r="F588" s="37">
        <v>344061</v>
      </c>
      <c r="G588" s="29" t="s">
        <v>5270</v>
      </c>
      <c r="H588" s="14">
        <v>43516</v>
      </c>
      <c r="I588" s="4" t="s">
        <v>2930</v>
      </c>
      <c r="J588" s="393" t="s">
        <v>5269</v>
      </c>
      <c r="O588" s="35"/>
      <c r="P588" s="35"/>
      <c r="Q588" s="35"/>
      <c r="R588" s="35"/>
      <c r="S588" s="35"/>
    </row>
    <row r="589" spans="1:19" ht="13.95" hidden="1" customHeight="1" x14ac:dyDescent="0.25">
      <c r="A589" s="13" t="s">
        <v>495</v>
      </c>
      <c r="B589" s="14">
        <v>43542</v>
      </c>
      <c r="C589" s="13">
        <v>490</v>
      </c>
      <c r="D589" s="32" t="s">
        <v>390</v>
      </c>
      <c r="E589" s="32" t="s">
        <v>130</v>
      </c>
      <c r="F589" s="4">
        <v>50000</v>
      </c>
      <c r="G589" s="210" t="s">
        <v>2062</v>
      </c>
      <c r="H589" s="211">
        <v>43402</v>
      </c>
      <c r="I589" s="84" t="s">
        <v>2063</v>
      </c>
      <c r="J589" s="21"/>
      <c r="K589" s="459"/>
      <c r="L589" s="460"/>
    </row>
    <row r="590" spans="1:19" hidden="1" x14ac:dyDescent="0.25">
      <c r="A590" s="61" t="s">
        <v>455</v>
      </c>
      <c r="B590" s="14">
        <v>43542</v>
      </c>
      <c r="C590" s="13">
        <v>491</v>
      </c>
      <c r="D590" s="13" t="s">
        <v>4843</v>
      </c>
      <c r="E590" s="13" t="s">
        <v>130</v>
      </c>
      <c r="F590" s="37">
        <v>54270</v>
      </c>
      <c r="G590" s="29" t="s">
        <v>4844</v>
      </c>
      <c r="H590" s="14">
        <v>43524</v>
      </c>
      <c r="I590" s="4" t="s">
        <v>182</v>
      </c>
    </row>
    <row r="591" spans="1:19" hidden="1" x14ac:dyDescent="0.25">
      <c r="A591" s="61" t="s">
        <v>188</v>
      </c>
      <c r="B591" s="14">
        <v>43542</v>
      </c>
      <c r="C591" s="13">
        <v>491</v>
      </c>
      <c r="D591" s="13" t="s">
        <v>4843</v>
      </c>
      <c r="E591" s="13" t="s">
        <v>130</v>
      </c>
      <c r="F591" s="37">
        <v>54270</v>
      </c>
      <c r="G591" s="29" t="s">
        <v>4845</v>
      </c>
      <c r="H591" s="14">
        <v>43524</v>
      </c>
      <c r="I591" s="4" t="s">
        <v>182</v>
      </c>
    </row>
    <row r="592" spans="1:19" ht="13.95" hidden="1" customHeight="1" x14ac:dyDescent="0.25">
      <c r="A592" s="68" t="s">
        <v>639</v>
      </c>
      <c r="B592" s="14">
        <v>43542</v>
      </c>
      <c r="C592" s="13">
        <v>349</v>
      </c>
      <c r="D592" s="32" t="s">
        <v>905</v>
      </c>
      <c r="E592" s="32" t="s">
        <v>60</v>
      </c>
      <c r="F592" s="4">
        <v>10000000</v>
      </c>
      <c r="G592" s="86" t="s">
        <v>1120</v>
      </c>
      <c r="H592" s="211"/>
      <c r="I592" s="208" t="s">
        <v>1119</v>
      </c>
      <c r="J592" s="21"/>
      <c r="K592" s="228"/>
    </row>
    <row r="593" spans="1:12" ht="14.1" hidden="1" customHeight="1" x14ac:dyDescent="0.25">
      <c r="A593" s="32" t="s">
        <v>236</v>
      </c>
      <c r="B593" s="14">
        <v>43542</v>
      </c>
      <c r="C593" s="13">
        <v>353</v>
      </c>
      <c r="D593" s="32" t="s">
        <v>5454</v>
      </c>
      <c r="E593" s="13" t="s">
        <v>60</v>
      </c>
      <c r="F593" s="4">
        <v>1600000</v>
      </c>
      <c r="G593" s="86" t="s">
        <v>5455</v>
      </c>
      <c r="H593" s="211">
        <v>43530</v>
      </c>
      <c r="I593" s="208" t="s">
        <v>5456</v>
      </c>
      <c r="J593" s="21"/>
      <c r="K593" s="228"/>
    </row>
    <row r="594" spans="1:12" hidden="1" x14ac:dyDescent="0.25">
      <c r="A594" s="61" t="s">
        <v>1972</v>
      </c>
      <c r="B594" s="14">
        <v>43542</v>
      </c>
      <c r="C594" s="13">
        <v>354</v>
      </c>
      <c r="D594" s="13" t="s">
        <v>149</v>
      </c>
      <c r="E594" s="13" t="s">
        <v>60</v>
      </c>
      <c r="F594" s="37">
        <v>7000</v>
      </c>
      <c r="G594" s="29" t="s">
        <v>2935</v>
      </c>
      <c r="H594" s="14">
        <v>43496</v>
      </c>
      <c r="I594" s="4" t="s">
        <v>4884</v>
      </c>
    </row>
    <row r="595" spans="1:12" ht="13.95" hidden="1" customHeight="1" x14ac:dyDescent="0.25">
      <c r="A595" s="13" t="s">
        <v>103</v>
      </c>
      <c r="B595" s="14">
        <v>43542</v>
      </c>
      <c r="C595" s="13">
        <v>474</v>
      </c>
      <c r="D595" s="32" t="s">
        <v>5317</v>
      </c>
      <c r="E595" s="32" t="s">
        <v>62</v>
      </c>
      <c r="F595" s="4">
        <v>22620</v>
      </c>
      <c r="G595" s="29" t="s">
        <v>5318</v>
      </c>
      <c r="H595" s="14">
        <v>43537</v>
      </c>
      <c r="I595" s="41" t="s">
        <v>5319</v>
      </c>
      <c r="J595" s="21"/>
      <c r="K595" s="228"/>
    </row>
    <row r="596" spans="1:12" ht="13.95" hidden="1" customHeight="1" x14ac:dyDescent="0.25">
      <c r="A596" s="32" t="s">
        <v>550</v>
      </c>
      <c r="B596" s="14">
        <v>43542</v>
      </c>
      <c r="C596" s="13">
        <v>478</v>
      </c>
      <c r="D596" s="32" t="s">
        <v>452</v>
      </c>
      <c r="E596" s="32" t="s">
        <v>62</v>
      </c>
      <c r="F596" s="4">
        <v>4900000</v>
      </c>
      <c r="G596" s="86" t="s">
        <v>453</v>
      </c>
      <c r="H596" s="211"/>
      <c r="I596" s="208" t="s">
        <v>671</v>
      </c>
      <c r="J596" s="21"/>
      <c r="K596" s="228"/>
    </row>
    <row r="597" spans="1:12" ht="14.1" hidden="1" customHeight="1" x14ac:dyDescent="0.25">
      <c r="A597" s="32" t="s">
        <v>91</v>
      </c>
      <c r="B597" s="14">
        <v>43542</v>
      </c>
      <c r="C597" s="13">
        <v>479</v>
      </c>
      <c r="D597" s="32" t="s">
        <v>541</v>
      </c>
      <c r="E597" s="13" t="s">
        <v>62</v>
      </c>
      <c r="F597" s="4">
        <v>1545000</v>
      </c>
      <c r="G597" s="86" t="s">
        <v>1288</v>
      </c>
      <c r="H597" s="211"/>
      <c r="I597" s="208" t="s">
        <v>297</v>
      </c>
      <c r="J597" s="21"/>
      <c r="K597" s="228"/>
    </row>
    <row r="598" spans="1:12" s="97" customFormat="1" hidden="1" x14ac:dyDescent="0.25">
      <c r="A598" s="32" t="s">
        <v>358</v>
      </c>
      <c r="B598" s="14">
        <v>43542</v>
      </c>
      <c r="C598" s="13">
        <v>480</v>
      </c>
      <c r="D598" s="13" t="s">
        <v>4894</v>
      </c>
      <c r="E598" s="13" t="s">
        <v>62</v>
      </c>
      <c r="F598" s="4">
        <v>141616</v>
      </c>
      <c r="G598" s="28" t="s">
        <v>3420</v>
      </c>
      <c r="H598" s="14">
        <v>43523</v>
      </c>
      <c r="I598" s="4" t="s">
        <v>1244</v>
      </c>
      <c r="J598" s="133"/>
      <c r="K598" s="22"/>
      <c r="L598" s="134"/>
    </row>
    <row r="599" spans="1:12" s="97" customFormat="1" hidden="1" x14ac:dyDescent="0.25">
      <c r="A599" s="68" t="s">
        <v>160</v>
      </c>
      <c r="B599" s="14">
        <v>43542</v>
      </c>
      <c r="C599" s="13">
        <v>481</v>
      </c>
      <c r="D599" s="13" t="s">
        <v>982</v>
      </c>
      <c r="E599" s="13" t="s">
        <v>62</v>
      </c>
      <c r="F599" s="37">
        <v>500000</v>
      </c>
      <c r="G599" s="29" t="s">
        <v>1296</v>
      </c>
      <c r="H599" s="14">
        <v>41319</v>
      </c>
      <c r="I599" s="4" t="s">
        <v>1093</v>
      </c>
      <c r="J599" s="133"/>
      <c r="K599" s="22"/>
      <c r="L599" s="134"/>
    </row>
    <row r="600" spans="1:12" s="97" customFormat="1" hidden="1" x14ac:dyDescent="0.25">
      <c r="A600" s="14" t="s">
        <v>358</v>
      </c>
      <c r="B600" s="14">
        <v>43542</v>
      </c>
      <c r="C600" s="13">
        <v>482</v>
      </c>
      <c r="D600" s="13" t="s">
        <v>740</v>
      </c>
      <c r="E600" s="13" t="s">
        <v>62</v>
      </c>
      <c r="F600" s="37">
        <v>42900</v>
      </c>
      <c r="G600" s="29" t="s">
        <v>2701</v>
      </c>
      <c r="H600" s="14">
        <v>43430</v>
      </c>
      <c r="I600" s="4" t="s">
        <v>1332</v>
      </c>
      <c r="J600" s="133"/>
      <c r="K600" s="22"/>
      <c r="L600" s="134"/>
    </row>
    <row r="601" spans="1:12" s="97" customFormat="1" hidden="1" x14ac:dyDescent="0.25">
      <c r="A601" s="13" t="s">
        <v>442</v>
      </c>
      <c r="B601" s="14">
        <v>43542</v>
      </c>
      <c r="C601" s="13">
        <v>482</v>
      </c>
      <c r="D601" s="13" t="s">
        <v>740</v>
      </c>
      <c r="E601" s="13" t="s">
        <v>62</v>
      </c>
      <c r="F601" s="37">
        <v>148700</v>
      </c>
      <c r="G601" s="29" t="s">
        <v>2709</v>
      </c>
      <c r="H601" s="14">
        <v>43440</v>
      </c>
      <c r="I601" s="4" t="s">
        <v>1332</v>
      </c>
      <c r="J601" s="133"/>
      <c r="K601" s="22"/>
      <c r="L601" s="134"/>
    </row>
    <row r="602" spans="1:12" s="97" customFormat="1" hidden="1" x14ac:dyDescent="0.25">
      <c r="A602" s="61" t="s">
        <v>442</v>
      </c>
      <c r="B602" s="14">
        <v>43542</v>
      </c>
      <c r="C602" s="13">
        <v>482</v>
      </c>
      <c r="D602" s="13" t="s">
        <v>740</v>
      </c>
      <c r="E602" s="13" t="s">
        <v>62</v>
      </c>
      <c r="F602" s="37">
        <v>42600</v>
      </c>
      <c r="G602" s="29" t="s">
        <v>2710</v>
      </c>
      <c r="H602" s="14">
        <v>43446</v>
      </c>
      <c r="I602" s="4" t="s">
        <v>245</v>
      </c>
      <c r="J602" s="133"/>
      <c r="K602" s="22"/>
      <c r="L602" s="134"/>
    </row>
    <row r="603" spans="1:12" s="97" customFormat="1" hidden="1" x14ac:dyDescent="0.25">
      <c r="A603" s="13" t="s">
        <v>55</v>
      </c>
      <c r="B603" s="14">
        <v>43542</v>
      </c>
      <c r="C603" s="13">
        <v>482</v>
      </c>
      <c r="D603" s="13" t="s">
        <v>740</v>
      </c>
      <c r="E603" s="13" t="s">
        <v>62</v>
      </c>
      <c r="F603" s="37">
        <v>33600</v>
      </c>
      <c r="G603" s="29" t="s">
        <v>4337</v>
      </c>
      <c r="H603" s="14">
        <v>43489</v>
      </c>
      <c r="I603" s="4" t="s">
        <v>4338</v>
      </c>
      <c r="J603" s="133"/>
      <c r="K603" s="22"/>
      <c r="L603" s="134"/>
    </row>
    <row r="604" spans="1:12" s="97" customFormat="1" hidden="1" x14ac:dyDescent="0.25">
      <c r="A604" s="61" t="s">
        <v>442</v>
      </c>
      <c r="B604" s="14">
        <v>43542</v>
      </c>
      <c r="C604" s="13">
        <v>483</v>
      </c>
      <c r="D604" s="13" t="s">
        <v>254</v>
      </c>
      <c r="E604" s="13" t="s">
        <v>62</v>
      </c>
      <c r="F604" s="37">
        <v>840000</v>
      </c>
      <c r="G604" s="29" t="s">
        <v>4110</v>
      </c>
      <c r="H604" s="14">
        <v>43507</v>
      </c>
      <c r="I604" s="4" t="s">
        <v>443</v>
      </c>
      <c r="J604" s="133"/>
      <c r="K604" s="22"/>
      <c r="L604" s="134"/>
    </row>
    <row r="605" spans="1:12" s="97" customFormat="1" hidden="1" x14ac:dyDescent="0.25">
      <c r="A605" s="13" t="s">
        <v>442</v>
      </c>
      <c r="B605" s="14">
        <v>43542</v>
      </c>
      <c r="C605" s="13">
        <v>484</v>
      </c>
      <c r="D605" s="13" t="s">
        <v>1032</v>
      </c>
      <c r="E605" s="13" t="s">
        <v>62</v>
      </c>
      <c r="F605" s="4">
        <v>85050</v>
      </c>
      <c r="G605" s="28" t="s">
        <v>4949</v>
      </c>
      <c r="H605" s="14">
        <v>43508</v>
      </c>
      <c r="I605" s="4" t="s">
        <v>142</v>
      </c>
      <c r="J605" s="133"/>
      <c r="K605" s="22"/>
      <c r="L605" s="134"/>
    </row>
    <row r="606" spans="1:12" s="97" customFormat="1" hidden="1" x14ac:dyDescent="0.25">
      <c r="A606" s="32" t="s">
        <v>442</v>
      </c>
      <c r="B606" s="14">
        <v>43542</v>
      </c>
      <c r="C606" s="13">
        <v>485</v>
      </c>
      <c r="D606" s="13" t="s">
        <v>100</v>
      </c>
      <c r="E606" s="13" t="s">
        <v>62</v>
      </c>
      <c r="F606" s="37">
        <v>200000</v>
      </c>
      <c r="G606" s="29" t="s">
        <v>4132</v>
      </c>
      <c r="H606" s="14">
        <v>43508</v>
      </c>
      <c r="I606" s="4" t="s">
        <v>572</v>
      </c>
      <c r="J606" s="133"/>
      <c r="K606" s="22"/>
      <c r="L606" s="134"/>
    </row>
    <row r="607" spans="1:12" s="97" customFormat="1" hidden="1" x14ac:dyDescent="0.25">
      <c r="A607" s="32" t="s">
        <v>442</v>
      </c>
      <c r="B607" s="14">
        <v>43542</v>
      </c>
      <c r="C607" s="13">
        <v>486</v>
      </c>
      <c r="D607" s="13" t="s">
        <v>280</v>
      </c>
      <c r="E607" s="13" t="s">
        <v>62</v>
      </c>
      <c r="F607" s="4">
        <v>38331</v>
      </c>
      <c r="G607" s="28" t="s">
        <v>1125</v>
      </c>
      <c r="H607" s="14">
        <v>43511</v>
      </c>
      <c r="I607" s="4" t="s">
        <v>4375</v>
      </c>
      <c r="J607" s="133"/>
      <c r="K607" s="22"/>
      <c r="L607" s="134"/>
    </row>
    <row r="608" spans="1:12" s="97" customFormat="1" hidden="1" x14ac:dyDescent="0.25">
      <c r="A608" s="61" t="s">
        <v>91</v>
      </c>
      <c r="B608" s="14">
        <v>43542</v>
      </c>
      <c r="C608" s="13">
        <v>487</v>
      </c>
      <c r="D608" s="13" t="s">
        <v>157</v>
      </c>
      <c r="E608" s="13" t="s">
        <v>62</v>
      </c>
      <c r="F608" s="37">
        <v>49235</v>
      </c>
      <c r="G608" s="29" t="s">
        <v>4361</v>
      </c>
      <c r="H608" s="14">
        <v>43511</v>
      </c>
      <c r="I608" s="4" t="s">
        <v>4362</v>
      </c>
      <c r="J608" s="133"/>
      <c r="K608" s="22"/>
      <c r="L608" s="134"/>
    </row>
    <row r="609" spans="1:19" s="62" customFormat="1" ht="15" hidden="1" customHeight="1" x14ac:dyDescent="0.25">
      <c r="A609" s="32" t="s">
        <v>349</v>
      </c>
      <c r="B609" s="14">
        <v>43542</v>
      </c>
      <c r="C609" s="13">
        <v>488</v>
      </c>
      <c r="D609" s="13" t="s">
        <v>5463</v>
      </c>
      <c r="E609" s="13" t="s">
        <v>62</v>
      </c>
      <c r="F609" s="37">
        <v>5750</v>
      </c>
      <c r="G609" s="189" t="s">
        <v>901</v>
      </c>
      <c r="H609" s="14">
        <v>43539</v>
      </c>
      <c r="I609" s="4" t="s">
        <v>5464</v>
      </c>
      <c r="J609" s="359"/>
      <c r="K609" s="50"/>
      <c r="L609" s="71"/>
      <c r="M609" s="170"/>
      <c r="N609" s="71"/>
      <c r="O609" s="71"/>
      <c r="P609" s="35"/>
      <c r="Q609" s="35"/>
      <c r="R609" s="35"/>
      <c r="S609" s="35"/>
    </row>
    <row r="610" spans="1:19" ht="13.95" hidden="1" customHeight="1" x14ac:dyDescent="0.25">
      <c r="A610" s="13" t="s">
        <v>442</v>
      </c>
      <c r="B610" s="14">
        <v>43542</v>
      </c>
      <c r="C610" s="13">
        <v>475</v>
      </c>
      <c r="D610" s="32" t="s">
        <v>5432</v>
      </c>
      <c r="E610" s="32" t="s">
        <v>62</v>
      </c>
      <c r="F610" s="4">
        <v>79200</v>
      </c>
      <c r="G610" s="29" t="s">
        <v>3362</v>
      </c>
      <c r="H610" s="14">
        <v>43537</v>
      </c>
      <c r="I610" s="41" t="s">
        <v>5433</v>
      </c>
      <c r="J610" s="21" t="s">
        <v>315</v>
      </c>
      <c r="K610" s="228"/>
    </row>
    <row r="611" spans="1:19" s="62" customFormat="1" ht="15" hidden="1" customHeight="1" x14ac:dyDescent="0.25">
      <c r="A611" s="13" t="s">
        <v>358</v>
      </c>
      <c r="B611" s="14">
        <v>43542</v>
      </c>
      <c r="C611" s="28" t="s">
        <v>5524</v>
      </c>
      <c r="D611" s="13" t="s">
        <v>1555</v>
      </c>
      <c r="E611" s="32" t="s">
        <v>62</v>
      </c>
      <c r="F611" s="37">
        <v>14400</v>
      </c>
      <c r="G611" s="29" t="s">
        <v>5175</v>
      </c>
      <c r="H611" s="14">
        <v>43524</v>
      </c>
      <c r="I611" s="4" t="s">
        <v>118</v>
      </c>
      <c r="J611" s="71" t="s">
        <v>366</v>
      </c>
      <c r="O611" s="35"/>
      <c r="P611" s="35"/>
      <c r="Q611" s="35"/>
      <c r="R611" s="35"/>
      <c r="S611" s="35"/>
    </row>
    <row r="612" spans="1:19" hidden="1" x14ac:dyDescent="0.25">
      <c r="A612" s="13" t="s">
        <v>151</v>
      </c>
      <c r="B612" s="14">
        <v>43542</v>
      </c>
      <c r="C612" s="28" t="s">
        <v>5525</v>
      </c>
      <c r="D612" s="13" t="s">
        <v>3352</v>
      </c>
      <c r="E612" s="13" t="s">
        <v>62</v>
      </c>
      <c r="F612" s="37">
        <v>8470</v>
      </c>
      <c r="G612" s="29" t="s">
        <v>5451</v>
      </c>
      <c r="H612" s="14">
        <v>43527</v>
      </c>
      <c r="I612" s="4" t="s">
        <v>5452</v>
      </c>
      <c r="J612" s="128"/>
    </row>
    <row r="613" spans="1:19" hidden="1" x14ac:dyDescent="0.25">
      <c r="A613" s="13" t="s">
        <v>91</v>
      </c>
      <c r="B613" s="14">
        <v>43542</v>
      </c>
      <c r="C613" s="13">
        <v>490</v>
      </c>
      <c r="D613" s="13" t="s">
        <v>148</v>
      </c>
      <c r="E613" s="13" t="s">
        <v>62</v>
      </c>
      <c r="F613" s="4">
        <v>9500</v>
      </c>
      <c r="G613" s="28" t="s">
        <v>302</v>
      </c>
      <c r="H613" s="14">
        <v>43479</v>
      </c>
      <c r="I613" s="4" t="s">
        <v>1373</v>
      </c>
    </row>
    <row r="614" spans="1:19" hidden="1" x14ac:dyDescent="0.25">
      <c r="A614" s="68" t="s">
        <v>92</v>
      </c>
      <c r="B614" s="14">
        <v>43542</v>
      </c>
      <c r="C614" s="13">
        <v>491</v>
      </c>
      <c r="D614" s="13" t="s">
        <v>250</v>
      </c>
      <c r="E614" s="13" t="s">
        <v>62</v>
      </c>
      <c r="F614" s="4">
        <v>20625</v>
      </c>
      <c r="G614" s="28" t="s">
        <v>4309</v>
      </c>
      <c r="H614" s="14">
        <v>43505</v>
      </c>
      <c r="I614" s="4" t="s">
        <v>337</v>
      </c>
    </row>
    <row r="615" spans="1:19" hidden="1" x14ac:dyDescent="0.25">
      <c r="A615" s="61" t="s">
        <v>92</v>
      </c>
      <c r="B615" s="14">
        <v>43542</v>
      </c>
      <c r="C615" s="13">
        <v>491</v>
      </c>
      <c r="D615" s="13" t="s">
        <v>250</v>
      </c>
      <c r="E615" s="13" t="s">
        <v>62</v>
      </c>
      <c r="F615" s="37">
        <v>12375</v>
      </c>
      <c r="G615" s="29" t="s">
        <v>4310</v>
      </c>
      <c r="H615" s="14">
        <v>43507</v>
      </c>
      <c r="I615" s="4" t="s">
        <v>337</v>
      </c>
    </row>
    <row r="616" spans="1:19" hidden="1" x14ac:dyDescent="0.25">
      <c r="A616" s="61" t="s">
        <v>442</v>
      </c>
      <c r="B616" s="14">
        <v>43542</v>
      </c>
      <c r="C616" s="13">
        <v>492</v>
      </c>
      <c r="D616" s="13" t="s">
        <v>29</v>
      </c>
      <c r="E616" s="13" t="s">
        <v>62</v>
      </c>
      <c r="F616" s="4">
        <v>48000</v>
      </c>
      <c r="G616" s="28" t="s">
        <v>1243</v>
      </c>
      <c r="H616" s="14">
        <v>43510</v>
      </c>
      <c r="I616" s="4" t="s">
        <v>87</v>
      </c>
    </row>
    <row r="617" spans="1:19" hidden="1" x14ac:dyDescent="0.25">
      <c r="A617" s="13" t="s">
        <v>92</v>
      </c>
      <c r="B617" s="14">
        <v>43542</v>
      </c>
      <c r="C617" s="13">
        <v>492</v>
      </c>
      <c r="D617" s="13" t="s">
        <v>29</v>
      </c>
      <c r="E617" s="13" t="s">
        <v>62</v>
      </c>
      <c r="F617" s="4">
        <v>88400</v>
      </c>
      <c r="G617" s="28" t="s">
        <v>4607</v>
      </c>
      <c r="H617" s="14">
        <v>43511</v>
      </c>
      <c r="I617" s="4" t="s">
        <v>95</v>
      </c>
    </row>
    <row r="618" spans="1:19" ht="13.95" hidden="1" customHeight="1" x14ac:dyDescent="0.25">
      <c r="A618" s="32" t="s">
        <v>1316</v>
      </c>
      <c r="B618" s="14">
        <v>43542</v>
      </c>
      <c r="C618" s="13">
        <v>467</v>
      </c>
      <c r="D618" s="32" t="s">
        <v>1725</v>
      </c>
      <c r="E618" s="32" t="s">
        <v>808</v>
      </c>
      <c r="F618" s="4">
        <v>500000</v>
      </c>
      <c r="G618" s="69" t="s">
        <v>1532</v>
      </c>
      <c r="H618" s="14"/>
      <c r="I618" s="4" t="s">
        <v>24</v>
      </c>
      <c r="J618" s="21"/>
      <c r="K618" s="228"/>
    </row>
    <row r="619" spans="1:19" s="97" customFormat="1" hidden="1" x14ac:dyDescent="0.25">
      <c r="A619" s="32" t="s">
        <v>1316</v>
      </c>
      <c r="B619" s="14">
        <v>43542</v>
      </c>
      <c r="C619" s="13">
        <v>468</v>
      </c>
      <c r="D619" s="13" t="s">
        <v>4894</v>
      </c>
      <c r="E619" s="13" t="s">
        <v>808</v>
      </c>
      <c r="F619" s="4">
        <v>72608</v>
      </c>
      <c r="G619" s="28" t="s">
        <v>2065</v>
      </c>
      <c r="H619" s="14">
        <v>43522</v>
      </c>
      <c r="I619" s="4" t="s">
        <v>1244</v>
      </c>
      <c r="J619" s="133"/>
      <c r="K619" s="22"/>
      <c r="L619" s="134"/>
    </row>
    <row r="620" spans="1:19" s="97" customFormat="1" hidden="1" x14ac:dyDescent="0.25">
      <c r="A620" s="61" t="s">
        <v>1148</v>
      </c>
      <c r="B620" s="14">
        <v>43542</v>
      </c>
      <c r="C620" s="13">
        <v>469</v>
      </c>
      <c r="D620" s="13" t="s">
        <v>740</v>
      </c>
      <c r="E620" s="13" t="s">
        <v>808</v>
      </c>
      <c r="F620" s="37">
        <v>142500</v>
      </c>
      <c r="G620" s="210" t="s">
        <v>2714</v>
      </c>
      <c r="H620" s="211">
        <v>43448</v>
      </c>
      <c r="I620" s="4" t="s">
        <v>2535</v>
      </c>
      <c r="J620" s="133"/>
      <c r="K620" s="22"/>
      <c r="L620" s="134"/>
    </row>
    <row r="621" spans="1:19" s="97" customFormat="1" hidden="1" x14ac:dyDescent="0.25">
      <c r="A621" s="13" t="s">
        <v>1147</v>
      </c>
      <c r="B621" s="14">
        <v>43542</v>
      </c>
      <c r="C621" s="13">
        <v>469</v>
      </c>
      <c r="D621" s="13" t="s">
        <v>740</v>
      </c>
      <c r="E621" s="13" t="s">
        <v>808</v>
      </c>
      <c r="F621" s="4">
        <v>57500</v>
      </c>
      <c r="G621" s="28" t="s">
        <v>4327</v>
      </c>
      <c r="H621" s="14">
        <v>43448</v>
      </c>
      <c r="I621" s="4" t="s">
        <v>4328</v>
      </c>
      <c r="J621" s="133"/>
      <c r="K621" s="22"/>
      <c r="L621" s="134"/>
    </row>
    <row r="622" spans="1:19" s="97" customFormat="1" hidden="1" x14ac:dyDescent="0.25">
      <c r="A622" s="13" t="s">
        <v>659</v>
      </c>
      <c r="B622" s="14">
        <v>43542</v>
      </c>
      <c r="C622" s="13">
        <v>470</v>
      </c>
      <c r="D622" s="13" t="s">
        <v>539</v>
      </c>
      <c r="E622" s="13" t="s">
        <v>808</v>
      </c>
      <c r="F622" s="37">
        <v>724280</v>
      </c>
      <c r="G622" s="29" t="s">
        <v>1368</v>
      </c>
      <c r="H622" s="14">
        <v>43508</v>
      </c>
      <c r="I622" s="4" t="s">
        <v>423</v>
      </c>
      <c r="J622" s="133"/>
      <c r="K622" s="22"/>
      <c r="L622" s="134"/>
    </row>
    <row r="623" spans="1:19" s="97" customFormat="1" hidden="1" x14ac:dyDescent="0.25">
      <c r="A623" s="61" t="s">
        <v>1316</v>
      </c>
      <c r="B623" s="14">
        <v>43542</v>
      </c>
      <c r="C623" s="13">
        <v>471</v>
      </c>
      <c r="D623" s="13" t="s">
        <v>589</v>
      </c>
      <c r="E623" s="13" t="s">
        <v>808</v>
      </c>
      <c r="F623" s="37">
        <v>759250.2</v>
      </c>
      <c r="G623" s="29" t="s">
        <v>4344</v>
      </c>
      <c r="H623" s="14">
        <v>43509</v>
      </c>
      <c r="I623" s="4" t="s">
        <v>443</v>
      </c>
      <c r="J623" s="133"/>
      <c r="K623" s="22"/>
      <c r="L623" s="134"/>
    </row>
    <row r="624" spans="1:19" s="97" customFormat="1" hidden="1" x14ac:dyDescent="0.25">
      <c r="A624" s="32" t="s">
        <v>1316</v>
      </c>
      <c r="B624" s="14">
        <v>43542</v>
      </c>
      <c r="C624" s="13">
        <v>472</v>
      </c>
      <c r="D624" s="13" t="s">
        <v>1353</v>
      </c>
      <c r="E624" s="13" t="s">
        <v>808</v>
      </c>
      <c r="F624" s="4">
        <v>2772</v>
      </c>
      <c r="G624" s="28" t="s">
        <v>4956</v>
      </c>
      <c r="H624" s="14">
        <v>43514</v>
      </c>
      <c r="I624" s="4" t="s">
        <v>108</v>
      </c>
      <c r="J624" s="133"/>
      <c r="K624" s="22"/>
      <c r="L624" s="134"/>
    </row>
    <row r="625" spans="1:19" s="97" customFormat="1" hidden="1" x14ac:dyDescent="0.25">
      <c r="A625" s="32" t="s">
        <v>1147</v>
      </c>
      <c r="B625" s="14">
        <v>43542</v>
      </c>
      <c r="C625" s="13">
        <v>473</v>
      </c>
      <c r="D625" s="13" t="s">
        <v>1032</v>
      </c>
      <c r="E625" s="13" t="s">
        <v>808</v>
      </c>
      <c r="F625" s="4">
        <v>22050</v>
      </c>
      <c r="G625" s="28" t="s">
        <v>4947</v>
      </c>
      <c r="H625" s="14">
        <v>43502</v>
      </c>
      <c r="I625" s="4" t="s">
        <v>4948</v>
      </c>
      <c r="J625" s="133"/>
      <c r="K625" s="22"/>
      <c r="L625" s="134"/>
    </row>
    <row r="626" spans="1:19" s="97" customFormat="1" hidden="1" x14ac:dyDescent="0.25">
      <c r="A626" s="32" t="s">
        <v>1149</v>
      </c>
      <c r="B626" s="14">
        <v>43542</v>
      </c>
      <c r="C626" s="13">
        <v>474</v>
      </c>
      <c r="D626" s="13" t="s">
        <v>280</v>
      </c>
      <c r="E626" s="13" t="s">
        <v>808</v>
      </c>
      <c r="F626" s="4">
        <v>38133</v>
      </c>
      <c r="G626" s="28" t="s">
        <v>42</v>
      </c>
      <c r="H626" s="14">
        <v>43514</v>
      </c>
      <c r="I626" s="4" t="s">
        <v>4376</v>
      </c>
      <c r="J626" s="133"/>
      <c r="K626" s="22"/>
      <c r="L626" s="134"/>
    </row>
    <row r="627" spans="1:19" s="97" customFormat="1" hidden="1" x14ac:dyDescent="0.25">
      <c r="A627" s="32" t="s">
        <v>1316</v>
      </c>
      <c r="B627" s="14">
        <v>43542</v>
      </c>
      <c r="C627" s="13">
        <v>475</v>
      </c>
      <c r="D627" s="13" t="s">
        <v>3438</v>
      </c>
      <c r="E627" s="13" t="s">
        <v>808</v>
      </c>
      <c r="F627" s="4">
        <v>24400</v>
      </c>
      <c r="G627" s="28" t="s">
        <v>2933</v>
      </c>
      <c r="H627" s="14">
        <v>43509</v>
      </c>
      <c r="I627" s="4" t="s">
        <v>3441</v>
      </c>
      <c r="J627" s="133"/>
      <c r="K627" s="22"/>
      <c r="L627" s="134"/>
    </row>
    <row r="628" spans="1:19" s="97" customFormat="1" hidden="1" x14ac:dyDescent="0.25">
      <c r="A628" s="61" t="s">
        <v>1316</v>
      </c>
      <c r="B628" s="14">
        <v>43542</v>
      </c>
      <c r="C628" s="13">
        <v>476</v>
      </c>
      <c r="D628" s="13" t="s">
        <v>666</v>
      </c>
      <c r="E628" s="13" t="s">
        <v>808</v>
      </c>
      <c r="F628" s="37">
        <v>3750</v>
      </c>
      <c r="G628" s="29" t="s">
        <v>346</v>
      </c>
      <c r="H628" s="14">
        <v>43507</v>
      </c>
      <c r="I628" s="4" t="s">
        <v>1303</v>
      </c>
      <c r="J628" s="133"/>
      <c r="K628" s="22"/>
      <c r="L628" s="134"/>
    </row>
    <row r="629" spans="1:19" s="97" customFormat="1" hidden="1" x14ac:dyDescent="0.25">
      <c r="A629" s="61" t="s">
        <v>659</v>
      </c>
      <c r="B629" s="14">
        <v>43542</v>
      </c>
      <c r="C629" s="13">
        <v>477</v>
      </c>
      <c r="D629" s="13" t="s">
        <v>516</v>
      </c>
      <c r="E629" s="13" t="s">
        <v>808</v>
      </c>
      <c r="F629" s="37">
        <v>50400</v>
      </c>
      <c r="G629" s="29" t="s">
        <v>1454</v>
      </c>
      <c r="H629" s="14">
        <v>43494</v>
      </c>
      <c r="I629" s="4" t="s">
        <v>4353</v>
      </c>
      <c r="J629" s="133"/>
      <c r="K629" s="22"/>
      <c r="L629" s="134"/>
    </row>
    <row r="630" spans="1:19" s="62" customFormat="1" ht="15" hidden="1" customHeight="1" x14ac:dyDescent="0.25">
      <c r="A630" s="13" t="s">
        <v>1316</v>
      </c>
      <c r="B630" s="14">
        <v>43542</v>
      </c>
      <c r="C630" s="28" t="s">
        <v>1824</v>
      </c>
      <c r="D630" s="13" t="s">
        <v>1555</v>
      </c>
      <c r="E630" s="32" t="s">
        <v>808</v>
      </c>
      <c r="F630" s="37">
        <v>18840</v>
      </c>
      <c r="G630" s="29" t="s">
        <v>5176</v>
      </c>
      <c r="H630" s="14">
        <v>43524</v>
      </c>
      <c r="I630" s="4" t="s">
        <v>118</v>
      </c>
      <c r="J630" s="71" t="s">
        <v>366</v>
      </c>
      <c r="O630" s="35"/>
      <c r="P630" s="35"/>
      <c r="Q630" s="35"/>
      <c r="R630" s="35"/>
      <c r="S630" s="35"/>
    </row>
    <row r="631" spans="1:19" s="62" customFormat="1" ht="15" hidden="1" customHeight="1" x14ac:dyDescent="0.25">
      <c r="A631" s="32" t="s">
        <v>160</v>
      </c>
      <c r="B631" s="14">
        <v>43542</v>
      </c>
      <c r="C631" s="13">
        <v>479</v>
      </c>
      <c r="D631" s="13" t="s">
        <v>5463</v>
      </c>
      <c r="E631" s="13" t="s">
        <v>808</v>
      </c>
      <c r="F631" s="37">
        <v>19100</v>
      </c>
      <c r="G631" s="189" t="s">
        <v>5465</v>
      </c>
      <c r="H631" s="14">
        <v>43539</v>
      </c>
      <c r="I631" s="4" t="s">
        <v>5464</v>
      </c>
      <c r="J631" s="359"/>
      <c r="K631" s="50"/>
      <c r="L631" s="71"/>
      <c r="M631" s="170"/>
      <c r="N631" s="71"/>
      <c r="O631" s="71"/>
      <c r="P631" s="35"/>
      <c r="Q631" s="35"/>
      <c r="R631" s="35"/>
      <c r="S631" s="35"/>
    </row>
    <row r="632" spans="1:19" s="62" customFormat="1" ht="15" hidden="1" customHeight="1" x14ac:dyDescent="0.25">
      <c r="A632" s="32" t="s">
        <v>1148</v>
      </c>
      <c r="B632" s="14">
        <v>43542</v>
      </c>
      <c r="C632" s="13">
        <v>480</v>
      </c>
      <c r="D632" s="13" t="s">
        <v>298</v>
      </c>
      <c r="E632" s="13" t="s">
        <v>808</v>
      </c>
      <c r="F632" s="37">
        <v>11000</v>
      </c>
      <c r="G632" s="189" t="s">
        <v>500</v>
      </c>
      <c r="H632" s="14">
        <v>43537</v>
      </c>
      <c r="I632" s="4" t="s">
        <v>1297</v>
      </c>
      <c r="J632" s="359"/>
      <c r="K632" s="50"/>
      <c r="L632" s="71"/>
      <c r="M632" s="170"/>
      <c r="N632" s="71"/>
      <c r="O632" s="71"/>
      <c r="P632" s="35"/>
      <c r="Q632" s="35"/>
      <c r="R632" s="35"/>
      <c r="S632" s="35"/>
    </row>
    <row r="633" spans="1:19" hidden="1" x14ac:dyDescent="0.25">
      <c r="A633" s="61" t="s">
        <v>495</v>
      </c>
      <c r="B633" s="14">
        <v>43542</v>
      </c>
      <c r="C633" s="13">
        <v>481</v>
      </c>
      <c r="D633" s="13" t="s">
        <v>944</v>
      </c>
      <c r="E633" s="13" t="s">
        <v>808</v>
      </c>
      <c r="F633" s="37">
        <v>13500</v>
      </c>
      <c r="G633" s="29" t="s">
        <v>3870</v>
      </c>
      <c r="H633" s="14">
        <v>43514</v>
      </c>
      <c r="I633" s="4" t="s">
        <v>337</v>
      </c>
    </row>
    <row r="634" spans="1:19" hidden="1" x14ac:dyDescent="0.25">
      <c r="A634" s="61" t="s">
        <v>659</v>
      </c>
      <c r="B634" s="14">
        <v>43542</v>
      </c>
      <c r="C634" s="13">
        <v>482</v>
      </c>
      <c r="D634" s="13" t="s">
        <v>1099</v>
      </c>
      <c r="E634" s="13" t="s">
        <v>808</v>
      </c>
      <c r="F634" s="37">
        <v>14076.6</v>
      </c>
      <c r="G634" s="29" t="s">
        <v>1976</v>
      </c>
      <c r="H634" s="14">
        <v>43507</v>
      </c>
      <c r="I634" s="4" t="s">
        <v>461</v>
      </c>
    </row>
    <row r="635" spans="1:19" hidden="1" x14ac:dyDescent="0.25">
      <c r="A635" s="32" t="s">
        <v>1316</v>
      </c>
      <c r="B635" s="14">
        <v>43542</v>
      </c>
      <c r="C635" s="13">
        <v>483</v>
      </c>
      <c r="D635" s="13" t="s">
        <v>282</v>
      </c>
      <c r="E635" s="13" t="s">
        <v>808</v>
      </c>
      <c r="F635" s="4">
        <v>2860</v>
      </c>
      <c r="G635" s="28" t="s">
        <v>1234</v>
      </c>
      <c r="H635" s="14">
        <v>43510</v>
      </c>
      <c r="I635" s="4" t="s">
        <v>283</v>
      </c>
    </row>
    <row r="636" spans="1:19" hidden="1" x14ac:dyDescent="0.25">
      <c r="A636" s="61" t="s">
        <v>1148</v>
      </c>
      <c r="B636" s="14">
        <v>43542</v>
      </c>
      <c r="C636" s="13">
        <v>483</v>
      </c>
      <c r="D636" s="13" t="s">
        <v>282</v>
      </c>
      <c r="E636" s="13" t="s">
        <v>808</v>
      </c>
      <c r="F636" s="4">
        <v>4290</v>
      </c>
      <c r="G636" s="28" t="s">
        <v>4299</v>
      </c>
      <c r="H636" s="14">
        <v>43510</v>
      </c>
      <c r="I636" s="4" t="s">
        <v>283</v>
      </c>
    </row>
    <row r="637" spans="1:19" hidden="1" x14ac:dyDescent="0.25">
      <c r="A637" s="61" t="s">
        <v>659</v>
      </c>
      <c r="B637" s="14">
        <v>43542</v>
      </c>
      <c r="C637" s="13">
        <v>483</v>
      </c>
      <c r="D637" s="13" t="s">
        <v>282</v>
      </c>
      <c r="E637" s="13" t="s">
        <v>808</v>
      </c>
      <c r="F637" s="4">
        <v>2860</v>
      </c>
      <c r="G637" s="28" t="s">
        <v>1235</v>
      </c>
      <c r="H637" s="14">
        <v>43510</v>
      </c>
      <c r="I637" s="4" t="s">
        <v>283</v>
      </c>
    </row>
    <row r="638" spans="1:19" hidden="1" x14ac:dyDescent="0.25">
      <c r="A638" s="61" t="s">
        <v>659</v>
      </c>
      <c r="B638" s="14">
        <v>43542</v>
      </c>
      <c r="C638" s="13">
        <v>484</v>
      </c>
      <c r="D638" s="13" t="s">
        <v>1395</v>
      </c>
      <c r="E638" s="13" t="s">
        <v>808</v>
      </c>
      <c r="F638" s="37">
        <v>41800</v>
      </c>
      <c r="G638" s="29" t="s">
        <v>4265</v>
      </c>
      <c r="H638" s="14">
        <v>43493</v>
      </c>
      <c r="I638" s="4" t="s">
        <v>3839</v>
      </c>
    </row>
    <row r="639" spans="1:19" hidden="1" x14ac:dyDescent="0.25">
      <c r="A639" s="61" t="s">
        <v>659</v>
      </c>
      <c r="B639" s="14">
        <v>43542</v>
      </c>
      <c r="C639" s="13">
        <v>484</v>
      </c>
      <c r="D639" s="13" t="s">
        <v>1395</v>
      </c>
      <c r="E639" s="13" t="s">
        <v>808</v>
      </c>
      <c r="F639" s="37">
        <v>41000</v>
      </c>
      <c r="G639" s="29" t="s">
        <v>1808</v>
      </c>
      <c r="H639" s="14">
        <v>43524</v>
      </c>
      <c r="I639" s="4" t="s">
        <v>4854</v>
      </c>
    </row>
    <row r="640" spans="1:19" ht="27.6" hidden="1" x14ac:dyDescent="0.25">
      <c r="A640" s="61" t="s">
        <v>1806</v>
      </c>
      <c r="B640" s="14">
        <v>43542</v>
      </c>
      <c r="C640" s="13">
        <v>485</v>
      </c>
      <c r="D640" s="13" t="s">
        <v>80</v>
      </c>
      <c r="E640" s="13" t="s">
        <v>808</v>
      </c>
      <c r="F640" s="4">
        <v>257300</v>
      </c>
      <c r="G640" s="28" t="s">
        <v>4865</v>
      </c>
      <c r="H640" s="14">
        <v>43524</v>
      </c>
      <c r="I640" s="4" t="s">
        <v>2157</v>
      </c>
    </row>
    <row r="641" spans="1:12" hidden="1" x14ac:dyDescent="0.25">
      <c r="A641" s="32" t="s">
        <v>659</v>
      </c>
      <c r="B641" s="14">
        <v>43542</v>
      </c>
      <c r="C641" s="13">
        <v>486</v>
      </c>
      <c r="D641" s="13" t="s">
        <v>250</v>
      </c>
      <c r="E641" s="13" t="s">
        <v>808</v>
      </c>
      <c r="F641" s="4">
        <f>155125-75125</f>
        <v>80000</v>
      </c>
      <c r="G641" s="28" t="s">
        <v>4307</v>
      </c>
      <c r="H641" s="14">
        <v>43496</v>
      </c>
      <c r="I641" s="4" t="s">
        <v>1895</v>
      </c>
    </row>
    <row r="642" spans="1:12" hidden="1" x14ac:dyDescent="0.25">
      <c r="A642" s="68" t="s">
        <v>659</v>
      </c>
      <c r="B642" s="14">
        <v>43542</v>
      </c>
      <c r="C642" s="13">
        <v>487</v>
      </c>
      <c r="D642" s="13" t="s">
        <v>250</v>
      </c>
      <c r="E642" s="13" t="s">
        <v>808</v>
      </c>
      <c r="F642" s="4">
        <v>167437.5</v>
      </c>
      <c r="G642" s="28" t="s">
        <v>4308</v>
      </c>
      <c r="H642" s="14">
        <v>43496</v>
      </c>
      <c r="I642" s="4" t="s">
        <v>4088</v>
      </c>
    </row>
    <row r="643" spans="1:12" hidden="1" x14ac:dyDescent="0.25">
      <c r="A643" s="61" t="s">
        <v>1147</v>
      </c>
      <c r="B643" s="14">
        <v>43542</v>
      </c>
      <c r="C643" s="13">
        <v>487</v>
      </c>
      <c r="D643" s="13" t="s">
        <v>250</v>
      </c>
      <c r="E643" s="13" t="s">
        <v>808</v>
      </c>
      <c r="F643" s="37">
        <v>51000</v>
      </c>
      <c r="G643" s="29" t="s">
        <v>4311</v>
      </c>
      <c r="H643" s="14">
        <v>43508</v>
      </c>
      <c r="I643" s="4" t="s">
        <v>4312</v>
      </c>
    </row>
    <row r="644" spans="1:12" ht="27.6" hidden="1" x14ac:dyDescent="0.25">
      <c r="A644" s="61" t="s">
        <v>5368</v>
      </c>
      <c r="B644" s="14">
        <v>43542</v>
      </c>
      <c r="C644" s="13">
        <v>488</v>
      </c>
      <c r="D644" s="13" t="s">
        <v>29</v>
      </c>
      <c r="E644" s="13" t="s">
        <v>808</v>
      </c>
      <c r="F644" s="37">
        <v>40800</v>
      </c>
      <c r="G644" s="29" t="s">
        <v>1320</v>
      </c>
      <c r="H644" s="14">
        <v>43502</v>
      </c>
      <c r="I644" s="4" t="s">
        <v>95</v>
      </c>
    </row>
    <row r="645" spans="1:12" hidden="1" x14ac:dyDescent="0.25">
      <c r="A645" s="61" t="s">
        <v>659</v>
      </c>
      <c r="B645" s="14">
        <v>43542</v>
      </c>
      <c r="C645" s="13">
        <v>488</v>
      </c>
      <c r="D645" s="13" t="s">
        <v>29</v>
      </c>
      <c r="E645" s="13" t="s">
        <v>808</v>
      </c>
      <c r="F645" s="4">
        <v>25500</v>
      </c>
      <c r="G645" s="28" t="s">
        <v>3813</v>
      </c>
      <c r="H645" s="14">
        <v>43507</v>
      </c>
      <c r="I645" s="4" t="s">
        <v>419</v>
      </c>
    </row>
    <row r="646" spans="1:12" hidden="1" x14ac:dyDescent="0.25">
      <c r="A646" s="32" t="s">
        <v>1147</v>
      </c>
      <c r="B646" s="14">
        <v>43542</v>
      </c>
      <c r="C646" s="13">
        <v>488</v>
      </c>
      <c r="D646" s="13" t="s">
        <v>29</v>
      </c>
      <c r="E646" s="13" t="s">
        <v>808</v>
      </c>
      <c r="F646" s="4">
        <v>6750</v>
      </c>
      <c r="G646" s="28" t="s">
        <v>5369</v>
      </c>
      <c r="H646" s="14">
        <v>43511</v>
      </c>
      <c r="I646" s="4" t="s">
        <v>87</v>
      </c>
    </row>
    <row r="647" spans="1:12" ht="27.6" hidden="1" x14ac:dyDescent="0.25">
      <c r="A647" s="68" t="s">
        <v>1894</v>
      </c>
      <c r="B647" s="14">
        <v>43542</v>
      </c>
      <c r="C647" s="13">
        <v>489</v>
      </c>
      <c r="D647" s="13" t="s">
        <v>2047</v>
      </c>
      <c r="E647" s="13" t="s">
        <v>808</v>
      </c>
      <c r="F647" s="4">
        <v>37400</v>
      </c>
      <c r="G647" s="28" t="s">
        <v>3592</v>
      </c>
      <c r="H647" s="14">
        <v>43500</v>
      </c>
      <c r="I647" s="4" t="s">
        <v>95</v>
      </c>
    </row>
    <row r="648" spans="1:12" ht="27.6" hidden="1" x14ac:dyDescent="0.25">
      <c r="A648" s="61" t="s">
        <v>3851</v>
      </c>
      <c r="B648" s="14">
        <v>43542</v>
      </c>
      <c r="C648" s="13">
        <v>489</v>
      </c>
      <c r="D648" s="13" t="s">
        <v>2047</v>
      </c>
      <c r="E648" s="13" t="s">
        <v>808</v>
      </c>
      <c r="F648" s="37">
        <v>35700</v>
      </c>
      <c r="G648" s="29" t="s">
        <v>42</v>
      </c>
      <c r="H648" s="14">
        <v>43514</v>
      </c>
      <c r="I648" s="4" t="s">
        <v>95</v>
      </c>
    </row>
    <row r="649" spans="1:12" hidden="1" x14ac:dyDescent="0.25">
      <c r="A649" s="32" t="s">
        <v>659</v>
      </c>
      <c r="B649" s="14">
        <v>43542</v>
      </c>
      <c r="C649" s="13">
        <v>490</v>
      </c>
      <c r="D649" s="13" t="s">
        <v>1985</v>
      </c>
      <c r="E649" s="13" t="s">
        <v>808</v>
      </c>
      <c r="F649" s="4">
        <f>201400-100000</f>
        <v>101400</v>
      </c>
      <c r="G649" s="28" t="s">
        <v>196</v>
      </c>
      <c r="H649" s="14">
        <v>43511</v>
      </c>
      <c r="I649" s="4" t="s">
        <v>4092</v>
      </c>
    </row>
    <row r="650" spans="1:12" hidden="1" x14ac:dyDescent="0.25">
      <c r="A650" s="61" t="s">
        <v>1147</v>
      </c>
      <c r="B650" s="14">
        <v>43542</v>
      </c>
      <c r="C650" s="13">
        <v>491</v>
      </c>
      <c r="D650" s="13" t="s">
        <v>692</v>
      </c>
      <c r="E650" s="13" t="s">
        <v>808</v>
      </c>
      <c r="F650" s="37">
        <v>229500</v>
      </c>
      <c r="G650" s="29" t="s">
        <v>201</v>
      </c>
      <c r="H650" s="14">
        <v>43505</v>
      </c>
      <c r="I650" s="4" t="s">
        <v>2027</v>
      </c>
    </row>
    <row r="651" spans="1:12" hidden="1" x14ac:dyDescent="0.25">
      <c r="A651" s="61" t="s">
        <v>495</v>
      </c>
      <c r="B651" s="14">
        <v>43542</v>
      </c>
      <c r="C651" s="13">
        <v>492</v>
      </c>
      <c r="D651" s="13" t="s">
        <v>862</v>
      </c>
      <c r="E651" s="13" t="s">
        <v>808</v>
      </c>
      <c r="F651" s="4">
        <v>19500</v>
      </c>
      <c r="G651" s="28" t="s">
        <v>1138</v>
      </c>
      <c r="H651" s="14">
        <v>43518</v>
      </c>
      <c r="I651" s="4" t="s">
        <v>95</v>
      </c>
    </row>
    <row r="652" spans="1:12" hidden="1" x14ac:dyDescent="0.25">
      <c r="A652" s="68" t="s">
        <v>4883</v>
      </c>
      <c r="B652" s="14">
        <v>43542</v>
      </c>
      <c r="C652" s="13">
        <v>493</v>
      </c>
      <c r="D652" s="13" t="s">
        <v>149</v>
      </c>
      <c r="E652" s="13" t="s">
        <v>808</v>
      </c>
      <c r="F652" s="4">
        <v>14000</v>
      </c>
      <c r="G652" s="28" t="s">
        <v>1312</v>
      </c>
      <c r="H652" s="14">
        <v>43496</v>
      </c>
      <c r="I652" s="4" t="s">
        <v>4884</v>
      </c>
    </row>
    <row r="653" spans="1:12" hidden="1" x14ac:dyDescent="0.25">
      <c r="A653" s="14" t="s">
        <v>741</v>
      </c>
      <c r="B653" s="14">
        <v>43542</v>
      </c>
      <c r="C653" s="13">
        <v>281</v>
      </c>
      <c r="D653" s="13" t="s">
        <v>5469</v>
      </c>
      <c r="E653" s="13" t="s">
        <v>434</v>
      </c>
      <c r="F653" s="37">
        <v>83400</v>
      </c>
      <c r="G653" s="29" t="s">
        <v>359</v>
      </c>
      <c r="H653" s="14">
        <v>43539</v>
      </c>
      <c r="I653" s="4" t="s">
        <v>5470</v>
      </c>
      <c r="J653" s="128"/>
    </row>
    <row r="654" spans="1:12" ht="27.6" hidden="1" x14ac:dyDescent="0.25">
      <c r="A654" s="32" t="s">
        <v>151</v>
      </c>
      <c r="B654" s="14">
        <v>43542</v>
      </c>
      <c r="C654" s="13">
        <v>313</v>
      </c>
      <c r="D654" s="13" t="s">
        <v>5471</v>
      </c>
      <c r="E654" s="32" t="s">
        <v>1121</v>
      </c>
      <c r="F654" s="4">
        <v>79335</v>
      </c>
      <c r="G654" s="28" t="s">
        <v>5472</v>
      </c>
      <c r="H654" s="14">
        <v>43539</v>
      </c>
      <c r="I654" s="4" t="s">
        <v>5473</v>
      </c>
      <c r="J654" s="76"/>
      <c r="K654" s="246"/>
    </row>
    <row r="655" spans="1:12" ht="15.6" hidden="1" customHeight="1" x14ac:dyDescent="0.25">
      <c r="A655" s="68" t="s">
        <v>311</v>
      </c>
      <c r="B655" s="14">
        <v>43542</v>
      </c>
      <c r="C655" s="13">
        <v>150</v>
      </c>
      <c r="D655" s="32" t="s">
        <v>281</v>
      </c>
      <c r="E655" s="32" t="s">
        <v>408</v>
      </c>
      <c r="F655" s="4">
        <v>536005.6</v>
      </c>
      <c r="G655" s="29" t="s">
        <v>5502</v>
      </c>
      <c r="H655" s="14">
        <v>43536</v>
      </c>
      <c r="I655" s="41" t="s">
        <v>362</v>
      </c>
      <c r="J655" s="35" t="s">
        <v>721</v>
      </c>
      <c r="K655" s="35"/>
      <c r="L655" s="35"/>
    </row>
    <row r="656" spans="1:12" ht="15" hidden="1" customHeight="1" x14ac:dyDescent="0.25">
      <c r="A656" s="32" t="s">
        <v>311</v>
      </c>
      <c r="B656" s="14">
        <v>43542</v>
      </c>
      <c r="C656" s="13">
        <v>151</v>
      </c>
      <c r="D656" s="32" t="s">
        <v>281</v>
      </c>
      <c r="E656" s="32" t="s">
        <v>408</v>
      </c>
      <c r="F656" s="4">
        <v>632199</v>
      </c>
      <c r="G656" s="29" t="s">
        <v>4190</v>
      </c>
      <c r="H656" s="14">
        <v>43508</v>
      </c>
      <c r="I656" s="41" t="s">
        <v>847</v>
      </c>
      <c r="J656" s="35" t="s">
        <v>366</v>
      </c>
      <c r="K656" s="35"/>
      <c r="L656" s="35"/>
    </row>
    <row r="657" spans="1:12" ht="15" hidden="1" customHeight="1" x14ac:dyDescent="0.25">
      <c r="A657" s="32" t="s">
        <v>495</v>
      </c>
      <c r="B657" s="14">
        <v>43542</v>
      </c>
      <c r="C657" s="13">
        <v>37</v>
      </c>
      <c r="D657" s="32" t="s">
        <v>5528</v>
      </c>
      <c r="E657" s="32" t="s">
        <v>2093</v>
      </c>
      <c r="F657" s="4">
        <v>1792500</v>
      </c>
      <c r="G657" s="29" t="s">
        <v>3011</v>
      </c>
      <c r="H657" s="14">
        <v>43536</v>
      </c>
      <c r="I657" s="41" t="s">
        <v>5529</v>
      </c>
      <c r="J657" s="35"/>
      <c r="K657" s="35"/>
      <c r="L657" s="35"/>
    </row>
    <row r="658" spans="1:12" ht="27.6" hidden="1" x14ac:dyDescent="0.25">
      <c r="A658" s="13" t="s">
        <v>55</v>
      </c>
      <c r="B658" s="14">
        <v>43543</v>
      </c>
      <c r="C658" s="13">
        <v>500</v>
      </c>
      <c r="D658" s="13" t="s">
        <v>2928</v>
      </c>
      <c r="E658" s="32" t="s">
        <v>1427</v>
      </c>
      <c r="F658" s="4">
        <v>30000</v>
      </c>
      <c r="G658" s="29" t="s">
        <v>3383</v>
      </c>
      <c r="H658" s="14">
        <v>43537</v>
      </c>
      <c r="I658" s="4" t="s">
        <v>5453</v>
      </c>
      <c r="J658" s="21"/>
      <c r="K658" s="228"/>
    </row>
    <row r="659" spans="1:12" s="97" customFormat="1" hidden="1" x14ac:dyDescent="0.25">
      <c r="A659" s="32" t="s">
        <v>1350</v>
      </c>
      <c r="B659" s="14">
        <v>43543</v>
      </c>
      <c r="C659" s="13">
        <v>127</v>
      </c>
      <c r="D659" s="13" t="s">
        <v>1353</v>
      </c>
      <c r="E659" s="13" t="s">
        <v>691</v>
      </c>
      <c r="F659" s="4">
        <v>12576</v>
      </c>
      <c r="G659" s="28" t="s">
        <v>1233</v>
      </c>
      <c r="H659" s="14">
        <v>43516</v>
      </c>
      <c r="I659" s="4" t="s">
        <v>108</v>
      </c>
      <c r="J659" s="133"/>
      <c r="K659" s="22"/>
      <c r="L659" s="134"/>
    </row>
    <row r="660" spans="1:12" s="97" customFormat="1" hidden="1" x14ac:dyDescent="0.25">
      <c r="A660" s="13" t="s">
        <v>1350</v>
      </c>
      <c r="B660" s="14">
        <v>43543</v>
      </c>
      <c r="C660" s="13">
        <v>128</v>
      </c>
      <c r="D660" s="13" t="s">
        <v>869</v>
      </c>
      <c r="E660" s="13" t="s">
        <v>691</v>
      </c>
      <c r="F660" s="37">
        <v>45548.74</v>
      </c>
      <c r="G660" s="29" t="s">
        <v>2028</v>
      </c>
      <c r="H660" s="14">
        <v>43511</v>
      </c>
      <c r="I660" s="4" t="s">
        <v>268</v>
      </c>
      <c r="J660" s="133"/>
      <c r="K660" s="22"/>
      <c r="L660" s="134"/>
    </row>
    <row r="661" spans="1:12" s="97" customFormat="1" hidden="1" x14ac:dyDescent="0.25">
      <c r="A661" s="32" t="s">
        <v>637</v>
      </c>
      <c r="B661" s="14">
        <v>43543</v>
      </c>
      <c r="C661" s="13">
        <v>128</v>
      </c>
      <c r="D661" s="13" t="s">
        <v>869</v>
      </c>
      <c r="E661" s="13" t="s">
        <v>691</v>
      </c>
      <c r="F661" s="4">
        <v>79067.429999999993</v>
      </c>
      <c r="G661" s="28" t="s">
        <v>4381</v>
      </c>
      <c r="H661" s="14">
        <v>43514</v>
      </c>
      <c r="I661" s="4" t="s">
        <v>572</v>
      </c>
      <c r="J661" s="133"/>
      <c r="K661" s="22"/>
      <c r="L661" s="134"/>
    </row>
    <row r="662" spans="1:12" s="97" customFormat="1" hidden="1" x14ac:dyDescent="0.25">
      <c r="A662" s="32" t="s">
        <v>1350</v>
      </c>
      <c r="B662" s="14">
        <v>43543</v>
      </c>
      <c r="C662" s="13">
        <v>129</v>
      </c>
      <c r="D662" s="13" t="s">
        <v>1065</v>
      </c>
      <c r="E662" s="13" t="s">
        <v>691</v>
      </c>
      <c r="F662" s="4">
        <v>133798.24</v>
      </c>
      <c r="G662" s="28" t="s">
        <v>152</v>
      </c>
      <c r="H662" s="14">
        <v>43508</v>
      </c>
      <c r="I662" s="4" t="s">
        <v>4130</v>
      </c>
      <c r="J662" s="133"/>
      <c r="K662" s="22"/>
      <c r="L662" s="134"/>
    </row>
    <row r="663" spans="1:12" s="97" customFormat="1" hidden="1" x14ac:dyDescent="0.25">
      <c r="A663" s="61" t="s">
        <v>637</v>
      </c>
      <c r="B663" s="14">
        <v>43543</v>
      </c>
      <c r="C663" s="13">
        <v>130</v>
      </c>
      <c r="D663" s="13" t="s">
        <v>868</v>
      </c>
      <c r="E663" s="13" t="s">
        <v>691</v>
      </c>
      <c r="F663" s="37">
        <v>83630</v>
      </c>
      <c r="G663" s="29" t="s">
        <v>4379</v>
      </c>
      <c r="H663" s="14">
        <v>43514</v>
      </c>
      <c r="I663" s="4" t="s">
        <v>1314</v>
      </c>
      <c r="J663" s="133"/>
      <c r="K663" s="22"/>
      <c r="L663" s="134"/>
    </row>
    <row r="664" spans="1:12" s="97" customFormat="1" hidden="1" x14ac:dyDescent="0.25">
      <c r="A664" s="61" t="s">
        <v>1350</v>
      </c>
      <c r="B664" s="14">
        <v>43543</v>
      </c>
      <c r="C664" s="13">
        <v>131</v>
      </c>
      <c r="D664" s="13" t="s">
        <v>72</v>
      </c>
      <c r="E664" s="13" t="s">
        <v>691</v>
      </c>
      <c r="F664" s="37">
        <v>42937.5</v>
      </c>
      <c r="G664" s="29" t="s">
        <v>4365</v>
      </c>
      <c r="H664" s="14">
        <v>43516</v>
      </c>
      <c r="I664" s="4" t="s">
        <v>4366</v>
      </c>
      <c r="J664" s="133"/>
      <c r="K664" s="22"/>
      <c r="L664" s="134"/>
    </row>
    <row r="665" spans="1:12" s="97" customFormat="1" hidden="1" x14ac:dyDescent="0.25">
      <c r="A665" s="61" t="s">
        <v>1350</v>
      </c>
      <c r="B665" s="14">
        <v>43543</v>
      </c>
      <c r="C665" s="13">
        <v>132</v>
      </c>
      <c r="D665" s="13" t="s">
        <v>516</v>
      </c>
      <c r="E665" s="13" t="s">
        <v>691</v>
      </c>
      <c r="F665" s="37">
        <v>32782</v>
      </c>
      <c r="G665" s="29" t="s">
        <v>4354</v>
      </c>
      <c r="H665" s="14">
        <v>43509</v>
      </c>
      <c r="I665" s="4" t="s">
        <v>4355</v>
      </c>
      <c r="J665" s="133"/>
      <c r="K665" s="22"/>
      <c r="L665" s="134"/>
    </row>
    <row r="666" spans="1:12" s="97" customFormat="1" hidden="1" x14ac:dyDescent="0.25">
      <c r="A666" s="61" t="s">
        <v>1350</v>
      </c>
      <c r="B666" s="14">
        <v>43543</v>
      </c>
      <c r="C666" s="13">
        <v>132</v>
      </c>
      <c r="D666" s="13" t="s">
        <v>516</v>
      </c>
      <c r="E666" s="13" t="s">
        <v>691</v>
      </c>
      <c r="F666" s="37">
        <v>66608</v>
      </c>
      <c r="G666" s="29" t="s">
        <v>1209</v>
      </c>
      <c r="H666" s="14">
        <v>43509</v>
      </c>
      <c r="I666" s="4" t="s">
        <v>4356</v>
      </c>
      <c r="J666" s="133"/>
      <c r="K666" s="22"/>
      <c r="L666" s="134"/>
    </row>
    <row r="667" spans="1:12" hidden="1" x14ac:dyDescent="0.25">
      <c r="A667" s="68" t="s">
        <v>659</v>
      </c>
      <c r="B667" s="14">
        <v>43543</v>
      </c>
      <c r="C667" s="127">
        <v>133</v>
      </c>
      <c r="D667" s="32" t="s">
        <v>1555</v>
      </c>
      <c r="E667" s="32" t="s">
        <v>691</v>
      </c>
      <c r="F667" s="4">
        <v>8400</v>
      </c>
      <c r="G667" s="29" t="s">
        <v>5250</v>
      </c>
      <c r="H667" s="14">
        <v>43524</v>
      </c>
      <c r="I667" s="4" t="s">
        <v>118</v>
      </c>
      <c r="J667" s="21" t="s">
        <v>366</v>
      </c>
      <c r="K667" s="228"/>
    </row>
    <row r="668" spans="1:12" hidden="1" x14ac:dyDescent="0.25">
      <c r="A668" s="61" t="s">
        <v>1350</v>
      </c>
      <c r="B668" s="14">
        <v>43543</v>
      </c>
      <c r="C668" s="13">
        <v>134</v>
      </c>
      <c r="D668" s="13" t="s">
        <v>944</v>
      </c>
      <c r="E668" s="13" t="s">
        <v>691</v>
      </c>
      <c r="F668" s="37">
        <v>63000</v>
      </c>
      <c r="G668" s="29" t="s">
        <v>1264</v>
      </c>
      <c r="H668" s="14">
        <v>43515</v>
      </c>
      <c r="I668" s="4" t="s">
        <v>402</v>
      </c>
    </row>
    <row r="669" spans="1:12" hidden="1" x14ac:dyDescent="0.25">
      <c r="A669" s="61" t="s">
        <v>637</v>
      </c>
      <c r="B669" s="14">
        <v>43543</v>
      </c>
      <c r="C669" s="13">
        <v>135</v>
      </c>
      <c r="D669" s="13" t="s">
        <v>282</v>
      </c>
      <c r="E669" s="13" t="s">
        <v>691</v>
      </c>
      <c r="F669" s="4">
        <v>7865</v>
      </c>
      <c r="G669" s="28" t="s">
        <v>4666</v>
      </c>
      <c r="H669" s="14">
        <v>43517</v>
      </c>
      <c r="I669" s="4" t="s">
        <v>283</v>
      </c>
    </row>
    <row r="670" spans="1:12" hidden="1" x14ac:dyDescent="0.25">
      <c r="A670" s="61" t="s">
        <v>1350</v>
      </c>
      <c r="B670" s="14">
        <v>43543</v>
      </c>
      <c r="C670" s="13">
        <v>136</v>
      </c>
      <c r="D670" s="13" t="s">
        <v>692</v>
      </c>
      <c r="E670" s="13" t="s">
        <v>691</v>
      </c>
      <c r="F670" s="37">
        <v>12375</v>
      </c>
      <c r="G670" s="29" t="s">
        <v>4091</v>
      </c>
      <c r="H670" s="14">
        <v>43505</v>
      </c>
      <c r="I670" s="4" t="s">
        <v>419</v>
      </c>
    </row>
    <row r="671" spans="1:12" hidden="1" x14ac:dyDescent="0.25">
      <c r="A671" s="61" t="s">
        <v>637</v>
      </c>
      <c r="B671" s="14">
        <v>43543</v>
      </c>
      <c r="C671" s="13">
        <v>137</v>
      </c>
      <c r="D671" s="13" t="s">
        <v>2115</v>
      </c>
      <c r="E671" s="13" t="s">
        <v>691</v>
      </c>
      <c r="F671" s="37">
        <v>237150</v>
      </c>
      <c r="G671" s="29" t="s">
        <v>458</v>
      </c>
      <c r="H671" s="14">
        <v>43496</v>
      </c>
      <c r="I671" s="4" t="s">
        <v>1602</v>
      </c>
    </row>
    <row r="672" spans="1:12" hidden="1" x14ac:dyDescent="0.25">
      <c r="A672" s="61" t="s">
        <v>1455</v>
      </c>
      <c r="B672" s="14">
        <v>43543</v>
      </c>
      <c r="C672" s="13">
        <v>138</v>
      </c>
      <c r="D672" s="13" t="s">
        <v>149</v>
      </c>
      <c r="E672" s="13" t="s">
        <v>691</v>
      </c>
      <c r="F672" s="37">
        <v>28000</v>
      </c>
      <c r="G672" s="29" t="s">
        <v>2936</v>
      </c>
      <c r="H672" s="14">
        <v>43496</v>
      </c>
      <c r="I672" s="4" t="s">
        <v>4884</v>
      </c>
    </row>
    <row r="673" spans="1:12" hidden="1" x14ac:dyDescent="0.25">
      <c r="A673" s="13" t="s">
        <v>2953</v>
      </c>
      <c r="B673" s="14">
        <v>43543</v>
      </c>
      <c r="C673" s="13">
        <v>8</v>
      </c>
      <c r="D673" s="13" t="s">
        <v>2928</v>
      </c>
      <c r="E673" s="32" t="s">
        <v>2954</v>
      </c>
      <c r="F673" s="4">
        <f>175800-87900</f>
        <v>87900</v>
      </c>
      <c r="G673" s="29" t="s">
        <v>13</v>
      </c>
      <c r="H673" s="14">
        <v>43522</v>
      </c>
      <c r="I673" s="4" t="s">
        <v>1470</v>
      </c>
      <c r="J673" s="21"/>
      <c r="K673" s="228"/>
    </row>
    <row r="674" spans="1:12" hidden="1" x14ac:dyDescent="0.25">
      <c r="A674" s="61" t="s">
        <v>460</v>
      </c>
      <c r="B674" s="14">
        <v>43543</v>
      </c>
      <c r="C674" s="13">
        <v>229</v>
      </c>
      <c r="D674" s="13" t="s">
        <v>5478</v>
      </c>
      <c r="E674" s="32" t="s">
        <v>144</v>
      </c>
      <c r="F674" s="4">
        <v>49020</v>
      </c>
      <c r="G674" s="86" t="s">
        <v>5479</v>
      </c>
      <c r="H674" s="211"/>
      <c r="I674" s="326"/>
      <c r="K674" s="62"/>
    </row>
    <row r="675" spans="1:12" s="192" customFormat="1" ht="14.85" hidden="1" customHeight="1" x14ac:dyDescent="0.25">
      <c r="A675" s="147" t="s">
        <v>242</v>
      </c>
      <c r="B675" s="164">
        <v>43543</v>
      </c>
      <c r="C675" s="195">
        <v>230</v>
      </c>
      <c r="D675" s="149" t="s">
        <v>840</v>
      </c>
      <c r="E675" s="147" t="s">
        <v>144</v>
      </c>
      <c r="F675" s="158">
        <v>72543.240000000005</v>
      </c>
      <c r="G675" s="150" t="s">
        <v>5340</v>
      </c>
      <c r="H675" s="148">
        <v>43531</v>
      </c>
      <c r="I675" s="149" t="s">
        <v>143</v>
      </c>
      <c r="J675" s="193"/>
      <c r="K675" s="194"/>
      <c r="L675" s="190"/>
    </row>
    <row r="676" spans="1:12" ht="15" hidden="1" customHeight="1" x14ac:dyDescent="0.25">
      <c r="A676" s="13" t="s">
        <v>184</v>
      </c>
      <c r="B676" s="14">
        <v>43543</v>
      </c>
      <c r="C676" s="13">
        <v>335</v>
      </c>
      <c r="D676" s="13" t="s">
        <v>1215</v>
      </c>
      <c r="E676" s="32" t="s">
        <v>1121</v>
      </c>
      <c r="F676" s="4">
        <v>176800</v>
      </c>
      <c r="G676" s="28" t="s">
        <v>1529</v>
      </c>
      <c r="H676" s="14">
        <v>43524</v>
      </c>
      <c r="I676" s="4" t="s">
        <v>1865</v>
      </c>
      <c r="J676" s="76" t="s">
        <v>366</v>
      </c>
    </row>
    <row r="677" spans="1:12" ht="15" hidden="1" customHeight="1" x14ac:dyDescent="0.25">
      <c r="A677" s="13" t="s">
        <v>184</v>
      </c>
      <c r="B677" s="14">
        <v>43543</v>
      </c>
      <c r="C677" s="13">
        <v>335</v>
      </c>
      <c r="D677" s="13" t="s">
        <v>1215</v>
      </c>
      <c r="E677" s="32" t="s">
        <v>1121</v>
      </c>
      <c r="F677" s="4">
        <v>268600</v>
      </c>
      <c r="G677" s="28" t="s">
        <v>1493</v>
      </c>
      <c r="H677" s="14">
        <v>43524</v>
      </c>
      <c r="I677" s="4" t="s">
        <v>2218</v>
      </c>
      <c r="J677" s="76" t="s">
        <v>366</v>
      </c>
    </row>
    <row r="678" spans="1:12" ht="15" hidden="1" customHeight="1" x14ac:dyDescent="0.25">
      <c r="A678" s="13" t="s">
        <v>184</v>
      </c>
      <c r="B678" s="14">
        <v>43543</v>
      </c>
      <c r="C678" s="13">
        <v>336</v>
      </c>
      <c r="D678" s="13" t="s">
        <v>531</v>
      </c>
      <c r="E678" s="32" t="s">
        <v>1121</v>
      </c>
      <c r="F678" s="4">
        <v>36300</v>
      </c>
      <c r="G678" s="28" t="s">
        <v>5257</v>
      </c>
      <c r="H678" s="14">
        <v>43529</v>
      </c>
      <c r="I678" s="4" t="s">
        <v>532</v>
      </c>
      <c r="J678" s="125">
        <v>43537</v>
      </c>
    </row>
    <row r="679" spans="1:12" hidden="1" x14ac:dyDescent="0.25">
      <c r="A679" s="13" t="s">
        <v>964</v>
      </c>
      <c r="B679" s="14">
        <v>43543</v>
      </c>
      <c r="C679" s="13">
        <v>337</v>
      </c>
      <c r="D679" s="13" t="s">
        <v>5530</v>
      </c>
      <c r="E679" s="32" t="s">
        <v>1121</v>
      </c>
      <c r="F679" s="4">
        <v>30000</v>
      </c>
      <c r="G679" s="28" t="s">
        <v>3104</v>
      </c>
      <c r="H679" s="14">
        <v>43542</v>
      </c>
      <c r="I679" s="4" t="s">
        <v>5531</v>
      </c>
      <c r="J679" s="76"/>
    </row>
    <row r="680" spans="1:12" s="192" customFormat="1" hidden="1" x14ac:dyDescent="0.25">
      <c r="A680" s="147" t="s">
        <v>242</v>
      </c>
      <c r="B680" s="14">
        <v>43543</v>
      </c>
      <c r="C680" s="195">
        <v>338</v>
      </c>
      <c r="D680" s="149" t="s">
        <v>784</v>
      </c>
      <c r="E680" s="147" t="s">
        <v>1121</v>
      </c>
      <c r="F680" s="158">
        <v>91468</v>
      </c>
      <c r="G680" s="150" t="s">
        <v>1146</v>
      </c>
      <c r="H680" s="148">
        <v>43537</v>
      </c>
      <c r="I680" s="149" t="s">
        <v>143</v>
      </c>
      <c r="J680" s="193"/>
      <c r="K680" s="194"/>
      <c r="L680" s="190"/>
    </row>
    <row r="681" spans="1:12" s="192" customFormat="1" hidden="1" x14ac:dyDescent="0.25">
      <c r="A681" s="147" t="s">
        <v>242</v>
      </c>
      <c r="B681" s="14">
        <v>43543</v>
      </c>
      <c r="C681" s="195">
        <v>338</v>
      </c>
      <c r="D681" s="149" t="s">
        <v>784</v>
      </c>
      <c r="E681" s="147" t="s">
        <v>1121</v>
      </c>
      <c r="F681" s="158">
        <v>1325268.04</v>
      </c>
      <c r="G681" s="150" t="s">
        <v>1125</v>
      </c>
      <c r="H681" s="148">
        <v>43537</v>
      </c>
      <c r="I681" s="149" t="s">
        <v>143</v>
      </c>
      <c r="J681" s="193"/>
      <c r="K681" s="194"/>
      <c r="L681" s="190"/>
    </row>
    <row r="682" spans="1:12" s="192" customFormat="1" hidden="1" x14ac:dyDescent="0.25">
      <c r="A682" s="147" t="s">
        <v>242</v>
      </c>
      <c r="B682" s="14">
        <v>43543</v>
      </c>
      <c r="C682" s="187">
        <v>339</v>
      </c>
      <c r="D682" s="149" t="s">
        <v>291</v>
      </c>
      <c r="E682" s="147" t="s">
        <v>1121</v>
      </c>
      <c r="F682" s="158">
        <v>78778</v>
      </c>
      <c r="G682" s="150" t="s">
        <v>201</v>
      </c>
      <c r="H682" s="148">
        <v>43537</v>
      </c>
      <c r="I682" s="149" t="s">
        <v>143</v>
      </c>
      <c r="J682" s="193"/>
      <c r="K682" s="194"/>
      <c r="L682" s="190"/>
    </row>
    <row r="683" spans="1:12" s="192" customFormat="1" hidden="1" x14ac:dyDescent="0.25">
      <c r="A683" s="147" t="s">
        <v>242</v>
      </c>
      <c r="B683" s="14">
        <v>43543</v>
      </c>
      <c r="C683" s="195">
        <v>340</v>
      </c>
      <c r="D683" s="149" t="s">
        <v>490</v>
      </c>
      <c r="E683" s="147" t="s">
        <v>1121</v>
      </c>
      <c r="F683" s="158">
        <v>974608.08</v>
      </c>
      <c r="G683" s="150" t="s">
        <v>5341</v>
      </c>
      <c r="H683" s="148">
        <v>43514</v>
      </c>
      <c r="I683" s="149" t="s">
        <v>143</v>
      </c>
      <c r="J683" s="193"/>
      <c r="K683" s="194"/>
      <c r="L683" s="190"/>
    </row>
    <row r="684" spans="1:12" s="192" customFormat="1" hidden="1" x14ac:dyDescent="0.25">
      <c r="A684" s="147" t="s">
        <v>242</v>
      </c>
      <c r="B684" s="14">
        <v>43543</v>
      </c>
      <c r="C684" s="187">
        <v>341</v>
      </c>
      <c r="D684" s="149" t="s">
        <v>388</v>
      </c>
      <c r="E684" s="147" t="s">
        <v>1121</v>
      </c>
      <c r="F684" s="158">
        <v>131224.51999999999</v>
      </c>
      <c r="G684" s="150" t="s">
        <v>1313</v>
      </c>
      <c r="H684" s="148">
        <v>43537</v>
      </c>
      <c r="I684" s="149" t="s">
        <v>143</v>
      </c>
      <c r="J684" s="193"/>
      <c r="K684" s="194"/>
      <c r="L684" s="190"/>
    </row>
    <row r="685" spans="1:12" ht="27.6" hidden="1" x14ac:dyDescent="0.25">
      <c r="A685" s="32" t="s">
        <v>151</v>
      </c>
      <c r="B685" s="14">
        <v>43543</v>
      </c>
      <c r="C685" s="67">
        <v>342</v>
      </c>
      <c r="D685" s="32" t="s">
        <v>412</v>
      </c>
      <c r="E685" s="13" t="s">
        <v>1121</v>
      </c>
      <c r="F685" s="4">
        <v>96000</v>
      </c>
      <c r="G685" s="13">
        <v>19</v>
      </c>
      <c r="H685" s="14">
        <v>43525</v>
      </c>
      <c r="I685" s="4" t="s">
        <v>2078</v>
      </c>
      <c r="J685" s="22" t="s">
        <v>366</v>
      </c>
      <c r="K685" s="245"/>
    </row>
    <row r="686" spans="1:12" ht="13.95" hidden="1" customHeight="1" x14ac:dyDescent="0.25">
      <c r="A686" s="32" t="s">
        <v>151</v>
      </c>
      <c r="B686" s="14">
        <v>43543</v>
      </c>
      <c r="C686" s="13">
        <v>343</v>
      </c>
      <c r="D686" s="13" t="s">
        <v>223</v>
      </c>
      <c r="E686" s="32" t="s">
        <v>1121</v>
      </c>
      <c r="F686" s="4">
        <v>15000</v>
      </c>
      <c r="G686" s="28" t="s">
        <v>3184</v>
      </c>
      <c r="H686" s="14">
        <v>43525</v>
      </c>
      <c r="I686" s="4" t="s">
        <v>3970</v>
      </c>
      <c r="J686" s="22" t="s">
        <v>366</v>
      </c>
      <c r="K686" s="246"/>
    </row>
    <row r="687" spans="1:12" s="129" customFormat="1" ht="27.6" hidden="1" x14ac:dyDescent="0.25">
      <c r="A687" s="13" t="s">
        <v>151</v>
      </c>
      <c r="B687" s="14">
        <v>43543</v>
      </c>
      <c r="C687" s="28" t="s">
        <v>1188</v>
      </c>
      <c r="D687" s="13" t="s">
        <v>711</v>
      </c>
      <c r="E687" s="32" t="s">
        <v>1121</v>
      </c>
      <c r="F687" s="37">
        <f>3400+950+4200+500+1650+3600+2700</f>
        <v>17000</v>
      </c>
      <c r="G687" s="28" t="s">
        <v>5418</v>
      </c>
      <c r="H687" s="28" t="s">
        <v>5417</v>
      </c>
      <c r="I687" s="4" t="s">
        <v>712</v>
      </c>
      <c r="J687" s="170"/>
      <c r="K687" s="136"/>
    </row>
    <row r="688" spans="1:12" s="129" customFormat="1" hidden="1" x14ac:dyDescent="0.25">
      <c r="A688" s="13" t="s">
        <v>151</v>
      </c>
      <c r="B688" s="14">
        <v>43543</v>
      </c>
      <c r="C688" s="28" t="s">
        <v>2075</v>
      </c>
      <c r="D688" s="13" t="s">
        <v>1846</v>
      </c>
      <c r="E688" s="32" t="s">
        <v>1121</v>
      </c>
      <c r="F688" s="4">
        <v>13628</v>
      </c>
      <c r="G688" s="28" t="s">
        <v>5482</v>
      </c>
      <c r="H688" s="14">
        <v>43537</v>
      </c>
      <c r="I688" s="4" t="s">
        <v>5483</v>
      </c>
      <c r="J688" s="22"/>
      <c r="K688" s="136"/>
    </row>
    <row r="689" spans="1:19" s="129" customFormat="1" hidden="1" x14ac:dyDescent="0.25">
      <c r="A689" s="13" t="s">
        <v>151</v>
      </c>
      <c r="B689" s="14">
        <v>43543</v>
      </c>
      <c r="C689" s="28" t="s">
        <v>42</v>
      </c>
      <c r="D689" s="13" t="s">
        <v>1846</v>
      </c>
      <c r="E689" s="13" t="s">
        <v>22</v>
      </c>
      <c r="F689" s="4">
        <v>15093</v>
      </c>
      <c r="G689" s="28" t="s">
        <v>5480</v>
      </c>
      <c r="H689" s="14">
        <v>43537</v>
      </c>
      <c r="I689" s="4" t="s">
        <v>5481</v>
      </c>
      <c r="J689" s="22"/>
      <c r="K689" s="136"/>
    </row>
    <row r="690" spans="1:19" hidden="1" x14ac:dyDescent="0.25">
      <c r="A690" s="68" t="s">
        <v>206</v>
      </c>
      <c r="B690" s="14">
        <v>43543</v>
      </c>
      <c r="C690" s="13">
        <v>54</v>
      </c>
      <c r="D690" s="32" t="s">
        <v>1135</v>
      </c>
      <c r="E690" s="32" t="s">
        <v>178</v>
      </c>
      <c r="F690" s="4">
        <v>30285.599999999999</v>
      </c>
      <c r="G690" s="210" t="s">
        <v>5515</v>
      </c>
      <c r="H690" s="211">
        <v>43530</v>
      </c>
      <c r="I690" s="208" t="s">
        <v>5514</v>
      </c>
      <c r="J690" s="21"/>
      <c r="K690" s="228"/>
    </row>
    <row r="691" spans="1:19" s="192" customFormat="1" ht="14.85" hidden="1" customHeight="1" x14ac:dyDescent="0.25">
      <c r="A691" s="147" t="s">
        <v>242</v>
      </c>
      <c r="B691" s="164">
        <v>43543</v>
      </c>
      <c r="C691" s="195">
        <v>641</v>
      </c>
      <c r="D691" s="149" t="s">
        <v>1816</v>
      </c>
      <c r="E691" s="147" t="s">
        <v>140</v>
      </c>
      <c r="F691" s="158">
        <v>118138.28</v>
      </c>
      <c r="G691" s="150" t="s">
        <v>111</v>
      </c>
      <c r="H691" s="148">
        <v>43537</v>
      </c>
      <c r="I691" s="149" t="s">
        <v>143</v>
      </c>
      <c r="J691" s="193"/>
      <c r="K691" s="194"/>
      <c r="L691" s="190"/>
    </row>
    <row r="692" spans="1:19" hidden="1" x14ac:dyDescent="0.25">
      <c r="A692" s="13" t="s">
        <v>213</v>
      </c>
      <c r="B692" s="14">
        <v>43543</v>
      </c>
      <c r="C692" s="13">
        <v>270</v>
      </c>
      <c r="D692" s="13" t="s">
        <v>210</v>
      </c>
      <c r="E692" s="13" t="s">
        <v>136</v>
      </c>
      <c r="F692" s="37">
        <v>59700.6</v>
      </c>
      <c r="G692" s="29" t="s">
        <v>5262</v>
      </c>
      <c r="H692" s="14">
        <v>43531</v>
      </c>
      <c r="I692" s="4" t="s">
        <v>426</v>
      </c>
      <c r="J692" s="22" t="s">
        <v>721</v>
      </c>
    </row>
    <row r="693" spans="1:19" s="129" customFormat="1" hidden="1" x14ac:dyDescent="0.25">
      <c r="A693" s="13" t="s">
        <v>213</v>
      </c>
      <c r="B693" s="14">
        <v>43543</v>
      </c>
      <c r="C693" s="13">
        <v>271</v>
      </c>
      <c r="D693" s="13" t="s">
        <v>210</v>
      </c>
      <c r="E693" s="13" t="s">
        <v>136</v>
      </c>
      <c r="F693" s="37">
        <v>59700.6</v>
      </c>
      <c r="G693" s="29" t="s">
        <v>5263</v>
      </c>
      <c r="H693" s="14">
        <v>43531</v>
      </c>
      <c r="I693" s="4" t="s">
        <v>546</v>
      </c>
      <c r="J693" s="35" t="s">
        <v>721</v>
      </c>
      <c r="K693" s="136"/>
    </row>
    <row r="694" spans="1:19" s="129" customFormat="1" hidden="1" x14ac:dyDescent="0.25">
      <c r="A694" s="13" t="s">
        <v>2320</v>
      </c>
      <c r="B694" s="14">
        <v>43543</v>
      </c>
      <c r="C694" s="13">
        <v>272</v>
      </c>
      <c r="D694" s="13" t="s">
        <v>210</v>
      </c>
      <c r="E694" s="13" t="s">
        <v>136</v>
      </c>
      <c r="F694" s="37">
        <v>55964.58</v>
      </c>
      <c r="G694" s="29" t="s">
        <v>5271</v>
      </c>
      <c r="H694" s="14">
        <v>43530</v>
      </c>
      <c r="I694" s="4" t="s">
        <v>1728</v>
      </c>
      <c r="J694" s="35" t="s">
        <v>721</v>
      </c>
      <c r="K694" s="136"/>
    </row>
    <row r="695" spans="1:19" s="62" customFormat="1" ht="15" hidden="1" customHeight="1" x14ac:dyDescent="0.25">
      <c r="A695" s="13" t="s">
        <v>125</v>
      </c>
      <c r="B695" s="14">
        <v>43543</v>
      </c>
      <c r="C695" s="13">
        <v>307</v>
      </c>
      <c r="D695" s="13" t="s">
        <v>156</v>
      </c>
      <c r="E695" s="13" t="s">
        <v>547</v>
      </c>
      <c r="F695" s="37">
        <v>4839.95</v>
      </c>
      <c r="G695" s="29" t="s">
        <v>5449</v>
      </c>
      <c r="H695" s="14">
        <v>43529</v>
      </c>
      <c r="I695" s="4" t="s">
        <v>1561</v>
      </c>
      <c r="J695" s="456" t="s">
        <v>721</v>
      </c>
      <c r="O695" s="35"/>
      <c r="P695" s="35"/>
      <c r="Q695" s="35"/>
      <c r="R695" s="35"/>
      <c r="S695" s="35"/>
    </row>
    <row r="696" spans="1:19" hidden="1" x14ac:dyDescent="0.25">
      <c r="A696" s="68" t="s">
        <v>455</v>
      </c>
      <c r="B696" s="14">
        <v>43543</v>
      </c>
      <c r="C696" s="13">
        <v>198</v>
      </c>
      <c r="D696" s="32" t="s">
        <v>485</v>
      </c>
      <c r="E696" s="32" t="s">
        <v>440</v>
      </c>
      <c r="F696" s="4">
        <v>41599.370000000003</v>
      </c>
      <c r="G696" s="29" t="s">
        <v>5261</v>
      </c>
      <c r="H696" s="14">
        <v>43531</v>
      </c>
      <c r="I696" s="41" t="s">
        <v>546</v>
      </c>
      <c r="J696" s="22" t="s">
        <v>721</v>
      </c>
      <c r="K696" s="22"/>
      <c r="L696" s="63"/>
      <c r="M696" s="62"/>
    </row>
    <row r="697" spans="1:19" ht="15" hidden="1" customHeight="1" x14ac:dyDescent="0.25">
      <c r="A697" s="68" t="s">
        <v>455</v>
      </c>
      <c r="B697" s="14">
        <v>43543</v>
      </c>
      <c r="C697" s="13">
        <v>199</v>
      </c>
      <c r="D697" s="32" t="s">
        <v>281</v>
      </c>
      <c r="E697" s="32" t="s">
        <v>440</v>
      </c>
      <c r="F697" s="4">
        <v>126907.63</v>
      </c>
      <c r="G697" s="29" t="s">
        <v>5508</v>
      </c>
      <c r="H697" s="14">
        <v>43537</v>
      </c>
      <c r="I697" s="41" t="s">
        <v>362</v>
      </c>
      <c r="J697" s="35" t="s">
        <v>721</v>
      </c>
      <c r="K697" s="35"/>
      <c r="L697" s="35"/>
    </row>
    <row r="698" spans="1:19" hidden="1" x14ac:dyDescent="0.25">
      <c r="A698" s="13" t="s">
        <v>310</v>
      </c>
      <c r="B698" s="14">
        <v>43543</v>
      </c>
      <c r="C698" s="13">
        <v>83</v>
      </c>
      <c r="D698" s="13" t="s">
        <v>210</v>
      </c>
      <c r="E698" s="13" t="s">
        <v>314</v>
      </c>
      <c r="F698" s="37">
        <v>1297.56</v>
      </c>
      <c r="G698" s="29" t="s">
        <v>5416</v>
      </c>
      <c r="H698" s="14">
        <v>43531</v>
      </c>
      <c r="I698" s="4" t="s">
        <v>426</v>
      </c>
      <c r="J698" s="22" t="s">
        <v>721</v>
      </c>
    </row>
    <row r="699" spans="1:19" s="129" customFormat="1" hidden="1" x14ac:dyDescent="0.25">
      <c r="A699" s="13" t="s">
        <v>310</v>
      </c>
      <c r="B699" s="14">
        <v>43543</v>
      </c>
      <c r="C699" s="13">
        <v>84</v>
      </c>
      <c r="D699" s="13" t="s">
        <v>210</v>
      </c>
      <c r="E699" s="13" t="s">
        <v>314</v>
      </c>
      <c r="F699" s="37">
        <v>10436.02</v>
      </c>
      <c r="G699" s="29" t="s">
        <v>5415</v>
      </c>
      <c r="H699" s="14">
        <v>43531</v>
      </c>
      <c r="I699" s="4" t="s">
        <v>546</v>
      </c>
      <c r="J699" s="22" t="s">
        <v>721</v>
      </c>
      <c r="K699" s="136"/>
    </row>
    <row r="700" spans="1:19" ht="15" hidden="1" customHeight="1" x14ac:dyDescent="0.25">
      <c r="A700" s="68" t="s">
        <v>310</v>
      </c>
      <c r="B700" s="14">
        <v>43543</v>
      </c>
      <c r="C700" s="13">
        <v>85</v>
      </c>
      <c r="D700" s="32" t="s">
        <v>281</v>
      </c>
      <c r="E700" s="32" t="s">
        <v>314</v>
      </c>
      <c r="F700" s="4">
        <v>340402.83</v>
      </c>
      <c r="G700" s="29" t="s">
        <v>5499</v>
      </c>
      <c r="H700" s="14">
        <v>43536</v>
      </c>
      <c r="I700" s="41" t="s">
        <v>362</v>
      </c>
      <c r="J700" s="35" t="s">
        <v>721</v>
      </c>
      <c r="K700" s="35"/>
      <c r="L700" s="35"/>
    </row>
    <row r="701" spans="1:19" hidden="1" x14ac:dyDescent="0.25">
      <c r="A701" s="68" t="s">
        <v>741</v>
      </c>
      <c r="B701" s="14">
        <v>43543</v>
      </c>
      <c r="C701" s="13">
        <v>286</v>
      </c>
      <c r="D701" s="32" t="s">
        <v>5517</v>
      </c>
      <c r="E701" s="32" t="s">
        <v>434</v>
      </c>
      <c r="F701" s="4">
        <v>9620.27</v>
      </c>
      <c r="G701" s="210" t="s">
        <v>3391</v>
      </c>
      <c r="H701" s="211">
        <v>43542</v>
      </c>
      <c r="I701" s="208" t="s">
        <v>5518</v>
      </c>
      <c r="J701" s="21"/>
      <c r="K701" s="228"/>
    </row>
    <row r="702" spans="1:19" hidden="1" x14ac:dyDescent="0.25">
      <c r="A702" s="68" t="s">
        <v>151</v>
      </c>
      <c r="B702" s="14">
        <v>43543</v>
      </c>
      <c r="C702" s="13">
        <v>126</v>
      </c>
      <c r="D702" s="32" t="s">
        <v>1169</v>
      </c>
      <c r="E702" s="32" t="s">
        <v>691</v>
      </c>
      <c r="F702" s="4">
        <v>140000</v>
      </c>
      <c r="G702" s="210" t="s">
        <v>7</v>
      </c>
      <c r="H702" s="211">
        <v>43518</v>
      </c>
      <c r="I702" s="208" t="s">
        <v>5547</v>
      </c>
      <c r="J702" s="21"/>
      <c r="K702" s="228"/>
    </row>
    <row r="703" spans="1:19" ht="27.6" hidden="1" x14ac:dyDescent="0.25">
      <c r="A703" s="68" t="s">
        <v>151</v>
      </c>
      <c r="B703" s="14">
        <v>43543</v>
      </c>
      <c r="C703" s="13">
        <v>499</v>
      </c>
      <c r="D703" s="32" t="s">
        <v>1169</v>
      </c>
      <c r="E703" s="32" t="s">
        <v>1642</v>
      </c>
      <c r="F703" s="4">
        <v>70000</v>
      </c>
      <c r="G703" s="210" t="s">
        <v>317</v>
      </c>
      <c r="H703" s="211">
        <v>43518</v>
      </c>
      <c r="I703" s="208" t="s">
        <v>4625</v>
      </c>
      <c r="J703" s="21"/>
      <c r="K703" s="228"/>
    </row>
    <row r="704" spans="1:19" s="62" customFormat="1" hidden="1" x14ac:dyDescent="0.25">
      <c r="A704" s="32" t="s">
        <v>311</v>
      </c>
      <c r="B704" s="14">
        <v>43544</v>
      </c>
      <c r="C704" s="13">
        <v>155</v>
      </c>
      <c r="D704" s="13" t="s">
        <v>1135</v>
      </c>
      <c r="E704" s="13" t="s">
        <v>408</v>
      </c>
      <c r="F704" s="37">
        <v>37800</v>
      </c>
      <c r="G704" s="189" t="s">
        <v>5183</v>
      </c>
      <c r="H704" s="14">
        <v>43535</v>
      </c>
      <c r="I704" s="4" t="s">
        <v>5184</v>
      </c>
      <c r="J704" s="22"/>
      <c r="L704" s="71"/>
      <c r="M704" s="170"/>
      <c r="N704" s="71"/>
      <c r="O704" s="71"/>
      <c r="P704" s="35"/>
      <c r="Q704" s="35"/>
      <c r="R704" s="35"/>
      <c r="S704" s="35"/>
    </row>
    <row r="705" spans="1:19" hidden="1" x14ac:dyDescent="0.25">
      <c r="A705" s="32" t="s">
        <v>311</v>
      </c>
      <c r="B705" s="14">
        <v>43544</v>
      </c>
      <c r="C705" s="13">
        <v>156</v>
      </c>
      <c r="D705" s="32" t="s">
        <v>485</v>
      </c>
      <c r="E705" s="32" t="s">
        <v>408</v>
      </c>
      <c r="F705" s="4">
        <v>41602.36</v>
      </c>
      <c r="G705" s="29" t="s">
        <v>5225</v>
      </c>
      <c r="H705" s="14">
        <v>43535</v>
      </c>
      <c r="I705" s="41" t="s">
        <v>546</v>
      </c>
      <c r="J705" s="22" t="s">
        <v>721</v>
      </c>
      <c r="K705" s="22"/>
      <c r="L705" s="63"/>
      <c r="M705" s="62"/>
    </row>
    <row r="706" spans="1:19" s="115" customFormat="1" ht="15" hidden="1" customHeight="1" x14ac:dyDescent="0.25">
      <c r="A706" s="13" t="s">
        <v>311</v>
      </c>
      <c r="B706" s="14">
        <v>43544</v>
      </c>
      <c r="C706" s="13">
        <v>157</v>
      </c>
      <c r="D706" s="13" t="s">
        <v>253</v>
      </c>
      <c r="E706" s="13" t="s">
        <v>408</v>
      </c>
      <c r="F706" s="37">
        <v>310</v>
      </c>
      <c r="G706" s="29" t="s">
        <v>5236</v>
      </c>
      <c r="H706" s="14">
        <v>43524</v>
      </c>
      <c r="I706" s="4" t="s">
        <v>1608</v>
      </c>
      <c r="J706" s="71" t="s">
        <v>721</v>
      </c>
      <c r="K706" s="116"/>
      <c r="L706" s="116"/>
      <c r="M706" s="116"/>
      <c r="N706" s="116"/>
      <c r="O706" s="117"/>
      <c r="P706" s="117"/>
      <c r="Q706" s="117"/>
      <c r="R706" s="117"/>
      <c r="S706" s="117"/>
    </row>
    <row r="707" spans="1:19" hidden="1" x14ac:dyDescent="0.25">
      <c r="A707" s="13" t="s">
        <v>311</v>
      </c>
      <c r="B707" s="14">
        <v>43544</v>
      </c>
      <c r="C707" s="28" t="s">
        <v>346</v>
      </c>
      <c r="D707" s="13" t="s">
        <v>5170</v>
      </c>
      <c r="E707" s="13" t="s">
        <v>408</v>
      </c>
      <c r="F707" s="37">
        <v>50000</v>
      </c>
      <c r="G707" s="69" t="s">
        <v>5266</v>
      </c>
      <c r="H707" s="14"/>
      <c r="I707" s="4" t="s">
        <v>1150</v>
      </c>
      <c r="J707" s="128"/>
    </row>
    <row r="708" spans="1:19" hidden="1" x14ac:dyDescent="0.25">
      <c r="A708" s="13" t="s">
        <v>311</v>
      </c>
      <c r="B708" s="14">
        <v>43544</v>
      </c>
      <c r="C708" s="28" t="s">
        <v>5587</v>
      </c>
      <c r="D708" s="13" t="s">
        <v>3056</v>
      </c>
      <c r="E708" s="13" t="s">
        <v>408</v>
      </c>
      <c r="F708" s="37">
        <v>6700</v>
      </c>
      <c r="G708" s="29" t="s">
        <v>5268</v>
      </c>
      <c r="H708" s="14">
        <v>43524</v>
      </c>
      <c r="I708" s="4" t="s">
        <v>3057</v>
      </c>
      <c r="J708" s="128"/>
    </row>
    <row r="709" spans="1:19" ht="13.95" hidden="1" customHeight="1" x14ac:dyDescent="0.25">
      <c r="A709" s="68" t="s">
        <v>311</v>
      </c>
      <c r="B709" s="14">
        <v>43544</v>
      </c>
      <c r="C709" s="67">
        <v>160</v>
      </c>
      <c r="D709" s="32" t="s">
        <v>595</v>
      </c>
      <c r="E709" s="32" t="s">
        <v>408</v>
      </c>
      <c r="F709" s="4">
        <v>1116214.5</v>
      </c>
      <c r="G709" s="28" t="s">
        <v>5533</v>
      </c>
      <c r="H709" s="14">
        <v>43524</v>
      </c>
      <c r="I709" s="41" t="s">
        <v>949</v>
      </c>
      <c r="J709" s="166" t="s">
        <v>721</v>
      </c>
      <c r="K709" s="167"/>
      <c r="L709" s="35"/>
    </row>
    <row r="710" spans="1:19" s="62" customFormat="1" ht="13.95" hidden="1" customHeight="1" x14ac:dyDescent="0.25">
      <c r="A710" s="13" t="s">
        <v>311</v>
      </c>
      <c r="B710" s="14">
        <v>43544</v>
      </c>
      <c r="C710" s="13">
        <v>511</v>
      </c>
      <c r="D710" s="13" t="s">
        <v>267</v>
      </c>
      <c r="E710" s="13" t="s">
        <v>130</v>
      </c>
      <c r="F710" s="37">
        <v>85400</v>
      </c>
      <c r="G710" s="29" t="s">
        <v>3142</v>
      </c>
      <c r="H710" s="14">
        <v>43524</v>
      </c>
      <c r="I710" s="4" t="s">
        <v>576</v>
      </c>
      <c r="J710" s="71"/>
      <c r="O710" s="35"/>
      <c r="P710" s="35"/>
      <c r="Q710" s="35"/>
      <c r="R710" s="35"/>
      <c r="S710" s="35"/>
    </row>
    <row r="711" spans="1:19" hidden="1" x14ac:dyDescent="0.25">
      <c r="A711" s="13" t="s">
        <v>311</v>
      </c>
      <c r="B711" s="14">
        <v>43544</v>
      </c>
      <c r="C711" s="13">
        <v>512</v>
      </c>
      <c r="D711" s="13" t="s">
        <v>4843</v>
      </c>
      <c r="E711" s="13" t="s">
        <v>130</v>
      </c>
      <c r="F711" s="37">
        <v>325620</v>
      </c>
      <c r="G711" s="29" t="s">
        <v>4846</v>
      </c>
      <c r="H711" s="14">
        <v>43524</v>
      </c>
      <c r="I711" s="4" t="s">
        <v>182</v>
      </c>
    </row>
    <row r="712" spans="1:19" hidden="1" x14ac:dyDescent="0.25">
      <c r="A712" s="61" t="s">
        <v>311</v>
      </c>
      <c r="B712" s="14">
        <v>43544</v>
      </c>
      <c r="C712" s="13">
        <v>223</v>
      </c>
      <c r="D712" s="13" t="s">
        <v>4995</v>
      </c>
      <c r="E712" s="13" t="s">
        <v>958</v>
      </c>
      <c r="F712" s="37">
        <v>105944.8</v>
      </c>
      <c r="G712" s="29" t="s">
        <v>4996</v>
      </c>
      <c r="H712" s="14">
        <v>43509</v>
      </c>
      <c r="I712" s="4" t="s">
        <v>4997</v>
      </c>
      <c r="J712" s="22" t="s">
        <v>4998</v>
      </c>
      <c r="K712" s="21" t="s">
        <v>4999</v>
      </c>
      <c r="L712" s="21"/>
      <c r="M712" s="21"/>
      <c r="N712" s="21"/>
      <c r="O712" s="21"/>
    </row>
    <row r="713" spans="1:19" hidden="1" x14ac:dyDescent="0.25">
      <c r="A713" s="13" t="s">
        <v>311</v>
      </c>
      <c r="B713" s="14">
        <v>43544</v>
      </c>
      <c r="C713" s="13">
        <v>224</v>
      </c>
      <c r="D713" s="13" t="s">
        <v>5484</v>
      </c>
      <c r="E713" s="13" t="s">
        <v>958</v>
      </c>
      <c r="F713" s="37">
        <v>82520.399999999994</v>
      </c>
      <c r="G713" s="29" t="s">
        <v>5485</v>
      </c>
      <c r="H713" s="14">
        <v>43538</v>
      </c>
      <c r="I713" s="4" t="s">
        <v>5486</v>
      </c>
      <c r="L713" s="21"/>
      <c r="M713" s="21"/>
      <c r="N713" s="21"/>
      <c r="O713" s="21"/>
    </row>
    <row r="714" spans="1:19" hidden="1" x14ac:dyDescent="0.25">
      <c r="A714" s="61" t="s">
        <v>311</v>
      </c>
      <c r="B714" s="14">
        <v>43544</v>
      </c>
      <c r="C714" s="13">
        <v>225</v>
      </c>
      <c r="D714" s="13" t="s">
        <v>5000</v>
      </c>
      <c r="E714" s="13" t="s">
        <v>958</v>
      </c>
      <c r="F714" s="37">
        <v>3129.3</v>
      </c>
      <c r="G714" s="29" t="s">
        <v>3120</v>
      </c>
      <c r="H714" s="14">
        <v>43493</v>
      </c>
      <c r="I714" s="4" t="s">
        <v>5001</v>
      </c>
      <c r="J714" s="22" t="s">
        <v>4998</v>
      </c>
      <c r="K714" s="21" t="s">
        <v>4999</v>
      </c>
      <c r="L714" s="21"/>
      <c r="M714" s="21"/>
      <c r="N714" s="21"/>
      <c r="O714" s="21"/>
    </row>
    <row r="715" spans="1:19" hidden="1" x14ac:dyDescent="0.25">
      <c r="A715" s="61" t="s">
        <v>311</v>
      </c>
      <c r="B715" s="14">
        <v>43544</v>
      </c>
      <c r="C715" s="13">
        <v>225</v>
      </c>
      <c r="D715" s="13" t="s">
        <v>5000</v>
      </c>
      <c r="E715" s="13" t="s">
        <v>958</v>
      </c>
      <c r="F715" s="37">
        <v>175394.72</v>
      </c>
      <c r="G715" s="29" t="s">
        <v>0</v>
      </c>
      <c r="H715" s="14">
        <v>43497</v>
      </c>
      <c r="I715" s="4" t="s">
        <v>5002</v>
      </c>
      <c r="J715" s="22" t="s">
        <v>4998</v>
      </c>
      <c r="K715" s="21" t="s">
        <v>4999</v>
      </c>
      <c r="L715" s="21"/>
      <c r="M715" s="21"/>
      <c r="N715" s="21"/>
      <c r="O715" s="21"/>
    </row>
    <row r="716" spans="1:19" hidden="1" x14ac:dyDescent="0.25">
      <c r="A716" s="61" t="s">
        <v>311</v>
      </c>
      <c r="B716" s="14">
        <v>43544</v>
      </c>
      <c r="C716" s="13">
        <v>226</v>
      </c>
      <c r="D716" s="13" t="s">
        <v>666</v>
      </c>
      <c r="E716" s="13" t="s">
        <v>958</v>
      </c>
      <c r="F716" s="37">
        <v>13600</v>
      </c>
      <c r="G716" s="29" t="s">
        <v>480</v>
      </c>
      <c r="H716" s="14">
        <v>43507</v>
      </c>
      <c r="I716" s="4" t="s">
        <v>266</v>
      </c>
      <c r="J716" s="22" t="s">
        <v>4998</v>
      </c>
      <c r="K716" s="21" t="s">
        <v>4999</v>
      </c>
      <c r="L716" s="21"/>
      <c r="M716" s="21"/>
      <c r="N716" s="21"/>
      <c r="O716" s="21"/>
    </row>
    <row r="717" spans="1:19" hidden="1" x14ac:dyDescent="0.25">
      <c r="A717" s="61" t="s">
        <v>311</v>
      </c>
      <c r="B717" s="14">
        <v>43544</v>
      </c>
      <c r="C717" s="13">
        <v>226</v>
      </c>
      <c r="D717" s="13" t="s">
        <v>666</v>
      </c>
      <c r="E717" s="13" t="s">
        <v>958</v>
      </c>
      <c r="F717" s="37">
        <v>37800</v>
      </c>
      <c r="G717" s="29" t="s">
        <v>74</v>
      </c>
      <c r="H717" s="14">
        <v>43511</v>
      </c>
      <c r="I717" s="4" t="s">
        <v>5026</v>
      </c>
      <c r="J717" s="22" t="s">
        <v>4998</v>
      </c>
      <c r="K717" s="21" t="s">
        <v>4999</v>
      </c>
      <c r="L717" s="21"/>
      <c r="M717" s="21"/>
      <c r="N717" s="21"/>
      <c r="O717" s="21"/>
    </row>
    <row r="718" spans="1:19" hidden="1" x14ac:dyDescent="0.25">
      <c r="A718" s="13" t="s">
        <v>311</v>
      </c>
      <c r="B718" s="14">
        <v>43544</v>
      </c>
      <c r="C718" s="13">
        <v>227</v>
      </c>
      <c r="D718" s="13" t="s">
        <v>5019</v>
      </c>
      <c r="E718" s="13" t="s">
        <v>958</v>
      </c>
      <c r="F718" s="4">
        <v>43200</v>
      </c>
      <c r="G718" s="28" t="s">
        <v>5020</v>
      </c>
      <c r="H718" s="14">
        <v>43496</v>
      </c>
      <c r="I718" s="4" t="s">
        <v>95</v>
      </c>
      <c r="J718" s="22" t="s">
        <v>5010</v>
      </c>
      <c r="K718" s="21" t="s">
        <v>4999</v>
      </c>
      <c r="L718" s="21"/>
      <c r="M718" s="21"/>
      <c r="N718" s="21"/>
      <c r="O718" s="21"/>
    </row>
    <row r="719" spans="1:19" hidden="1" x14ac:dyDescent="0.25">
      <c r="A719" s="13" t="s">
        <v>311</v>
      </c>
      <c r="B719" s="14">
        <v>43544</v>
      </c>
      <c r="C719" s="13">
        <v>227</v>
      </c>
      <c r="D719" s="13" t="s">
        <v>5019</v>
      </c>
      <c r="E719" s="13" t="s">
        <v>958</v>
      </c>
      <c r="F719" s="37">
        <v>58500</v>
      </c>
      <c r="G719" s="29" t="s">
        <v>5021</v>
      </c>
      <c r="H719" s="14">
        <v>43496</v>
      </c>
      <c r="I719" s="4" t="s">
        <v>2027</v>
      </c>
      <c r="J719" s="22" t="s">
        <v>5010</v>
      </c>
      <c r="K719" s="21" t="s">
        <v>4999</v>
      </c>
      <c r="L719" s="21"/>
      <c r="M719" s="21"/>
      <c r="N719" s="21"/>
      <c r="O719" s="21"/>
    </row>
    <row r="720" spans="1:19" hidden="1" x14ac:dyDescent="0.25">
      <c r="A720" s="13" t="s">
        <v>311</v>
      </c>
      <c r="B720" s="14">
        <v>43544</v>
      </c>
      <c r="C720" s="13">
        <v>228</v>
      </c>
      <c r="D720" s="13" t="s">
        <v>5009</v>
      </c>
      <c r="E720" s="13" t="s">
        <v>958</v>
      </c>
      <c r="F720" s="4">
        <v>35100</v>
      </c>
      <c r="G720" s="28" t="s">
        <v>3580</v>
      </c>
      <c r="H720" s="14">
        <v>43518</v>
      </c>
      <c r="I720" s="4" t="s">
        <v>4317</v>
      </c>
      <c r="J720" s="22" t="s">
        <v>5010</v>
      </c>
      <c r="K720" s="21" t="s">
        <v>4999</v>
      </c>
      <c r="L720" s="21"/>
      <c r="M720" s="21"/>
      <c r="N720" s="21"/>
      <c r="O720" s="21"/>
    </row>
    <row r="721" spans="1:15" hidden="1" x14ac:dyDescent="0.25">
      <c r="A721" s="13" t="s">
        <v>311</v>
      </c>
      <c r="B721" s="14">
        <v>43544</v>
      </c>
      <c r="C721" s="13">
        <v>228</v>
      </c>
      <c r="D721" s="13" t="s">
        <v>5009</v>
      </c>
      <c r="E721" s="13" t="s">
        <v>958</v>
      </c>
      <c r="F721" s="37">
        <v>24300</v>
      </c>
      <c r="G721" s="29" t="s">
        <v>5011</v>
      </c>
      <c r="H721" s="14">
        <v>43515</v>
      </c>
      <c r="I721" s="4" t="s">
        <v>4317</v>
      </c>
      <c r="J721" s="22" t="s">
        <v>5010</v>
      </c>
      <c r="K721" s="21" t="s">
        <v>4999</v>
      </c>
      <c r="L721" s="21"/>
      <c r="M721" s="21"/>
      <c r="N721" s="21"/>
      <c r="O721" s="21"/>
    </row>
    <row r="722" spans="1:15" hidden="1" x14ac:dyDescent="0.25">
      <c r="A722" s="13" t="s">
        <v>311</v>
      </c>
      <c r="B722" s="14">
        <v>43544</v>
      </c>
      <c r="C722" s="13">
        <v>229</v>
      </c>
      <c r="D722" s="13" t="s">
        <v>4870</v>
      </c>
      <c r="E722" s="13" t="s">
        <v>958</v>
      </c>
      <c r="F722" s="4">
        <v>40800</v>
      </c>
      <c r="G722" s="28" t="s">
        <v>5018</v>
      </c>
      <c r="H722" s="14">
        <v>43496</v>
      </c>
      <c r="I722" s="4" t="s">
        <v>164</v>
      </c>
      <c r="J722" s="22" t="s">
        <v>5010</v>
      </c>
      <c r="K722" s="21" t="s">
        <v>4999</v>
      </c>
      <c r="L722" s="21"/>
      <c r="M722" s="21"/>
      <c r="N722" s="21"/>
      <c r="O722" s="21"/>
    </row>
    <row r="723" spans="1:15" hidden="1" x14ac:dyDescent="0.25">
      <c r="A723" s="13" t="s">
        <v>311</v>
      </c>
      <c r="B723" s="14">
        <v>43544</v>
      </c>
      <c r="C723" s="13">
        <v>229</v>
      </c>
      <c r="D723" s="13" t="s">
        <v>4870</v>
      </c>
      <c r="E723" s="13" t="s">
        <v>958</v>
      </c>
      <c r="F723" s="4">
        <v>49200</v>
      </c>
      <c r="G723" s="28" t="s">
        <v>5017</v>
      </c>
      <c r="H723" s="14">
        <v>43511</v>
      </c>
      <c r="I723" s="4" t="s">
        <v>164</v>
      </c>
      <c r="J723" s="22" t="s">
        <v>5010</v>
      </c>
      <c r="K723" s="21" t="s">
        <v>4999</v>
      </c>
      <c r="L723" s="21"/>
      <c r="M723" s="21"/>
      <c r="N723" s="21"/>
      <c r="O723" s="21"/>
    </row>
    <row r="724" spans="1:15" hidden="1" x14ac:dyDescent="0.25">
      <c r="A724" s="61" t="s">
        <v>460</v>
      </c>
      <c r="B724" s="14">
        <v>43544</v>
      </c>
      <c r="C724" s="13">
        <v>55</v>
      </c>
      <c r="D724" s="14" t="s">
        <v>3750</v>
      </c>
      <c r="E724" s="32" t="s">
        <v>483</v>
      </c>
      <c r="F724" s="4">
        <v>43948</v>
      </c>
      <c r="G724" s="86" t="s">
        <v>3751</v>
      </c>
      <c r="H724" s="211"/>
      <c r="I724" s="326"/>
      <c r="K724" s="62"/>
    </row>
    <row r="725" spans="1:15" hidden="1" x14ac:dyDescent="0.25">
      <c r="A725" s="61" t="s">
        <v>460</v>
      </c>
      <c r="B725" s="14">
        <v>43544</v>
      </c>
      <c r="C725" s="13">
        <v>56</v>
      </c>
      <c r="D725" s="14" t="s">
        <v>3934</v>
      </c>
      <c r="E725" s="32" t="s">
        <v>483</v>
      </c>
      <c r="F725" s="4">
        <v>51122</v>
      </c>
      <c r="G725" s="86" t="s">
        <v>3932</v>
      </c>
      <c r="H725" s="211"/>
      <c r="I725" s="326"/>
      <c r="K725" s="62"/>
    </row>
    <row r="726" spans="1:15" hidden="1" x14ac:dyDescent="0.25">
      <c r="A726" s="61" t="s">
        <v>460</v>
      </c>
      <c r="B726" s="14">
        <v>43544</v>
      </c>
      <c r="C726" s="13">
        <v>57</v>
      </c>
      <c r="D726" s="14" t="s">
        <v>3939</v>
      </c>
      <c r="E726" s="32" t="s">
        <v>483</v>
      </c>
      <c r="F726" s="4">
        <v>35064</v>
      </c>
      <c r="G726" s="86" t="s">
        <v>3940</v>
      </c>
      <c r="H726" s="211"/>
      <c r="I726" s="326"/>
      <c r="K726" s="62"/>
    </row>
    <row r="727" spans="1:15" hidden="1" x14ac:dyDescent="0.25">
      <c r="A727" s="61" t="s">
        <v>460</v>
      </c>
      <c r="B727" s="14">
        <v>43544</v>
      </c>
      <c r="C727" s="13">
        <v>58</v>
      </c>
      <c r="D727" s="14" t="s">
        <v>3942</v>
      </c>
      <c r="E727" s="32" t="s">
        <v>483</v>
      </c>
      <c r="F727" s="4">
        <v>33834</v>
      </c>
      <c r="G727" s="86" t="s">
        <v>3944</v>
      </c>
      <c r="H727" s="211"/>
      <c r="I727" s="326"/>
      <c r="K727" s="62"/>
    </row>
    <row r="728" spans="1:15" hidden="1" x14ac:dyDescent="0.25">
      <c r="A728" s="61" t="s">
        <v>460</v>
      </c>
      <c r="B728" s="14">
        <v>43544</v>
      </c>
      <c r="C728" s="13">
        <v>59</v>
      </c>
      <c r="D728" s="14" t="s">
        <v>3947</v>
      </c>
      <c r="E728" s="32" t="s">
        <v>483</v>
      </c>
      <c r="F728" s="4">
        <v>44688</v>
      </c>
      <c r="G728" s="86" t="s">
        <v>3948</v>
      </c>
      <c r="H728" s="211"/>
      <c r="I728" s="326"/>
      <c r="K728" s="62"/>
    </row>
    <row r="729" spans="1:15" hidden="1" x14ac:dyDescent="0.25">
      <c r="A729" s="61" t="s">
        <v>460</v>
      </c>
      <c r="B729" s="14">
        <v>43544</v>
      </c>
      <c r="C729" s="13">
        <v>60</v>
      </c>
      <c r="D729" s="14" t="s">
        <v>3951</v>
      </c>
      <c r="E729" s="32" t="s">
        <v>483</v>
      </c>
      <c r="F729" s="4">
        <v>34409</v>
      </c>
      <c r="G729" s="86" t="s">
        <v>3952</v>
      </c>
      <c r="H729" s="211"/>
      <c r="I729" s="326"/>
      <c r="K729" s="62"/>
    </row>
    <row r="730" spans="1:15" hidden="1" x14ac:dyDescent="0.25">
      <c r="A730" s="61" t="s">
        <v>460</v>
      </c>
      <c r="B730" s="14">
        <v>43544</v>
      </c>
      <c r="C730" s="13">
        <v>61</v>
      </c>
      <c r="D730" s="14" t="s">
        <v>3953</v>
      </c>
      <c r="E730" s="32" t="s">
        <v>483</v>
      </c>
      <c r="F730" s="4">
        <v>40786</v>
      </c>
      <c r="G730" s="86" t="s">
        <v>3954</v>
      </c>
      <c r="H730" s="211"/>
      <c r="I730" s="326"/>
      <c r="K730" s="62"/>
    </row>
    <row r="731" spans="1:15" hidden="1" x14ac:dyDescent="0.25">
      <c r="A731" s="61" t="s">
        <v>460</v>
      </c>
      <c r="B731" s="14">
        <v>43544</v>
      </c>
      <c r="C731" s="13">
        <v>62</v>
      </c>
      <c r="D731" s="14" t="s">
        <v>4234</v>
      </c>
      <c r="E731" s="32" t="s">
        <v>483</v>
      </c>
      <c r="F731" s="4">
        <v>42400</v>
      </c>
      <c r="G731" s="86" t="s">
        <v>4235</v>
      </c>
      <c r="H731" s="211"/>
      <c r="I731" s="326"/>
      <c r="K731" s="62"/>
    </row>
    <row r="732" spans="1:15" hidden="1" x14ac:dyDescent="0.25">
      <c r="A732" s="61" t="s">
        <v>460</v>
      </c>
      <c r="B732" s="14">
        <v>43544</v>
      </c>
      <c r="C732" s="13">
        <v>63</v>
      </c>
      <c r="D732" s="14" t="s">
        <v>4236</v>
      </c>
      <c r="E732" s="32" t="s">
        <v>483</v>
      </c>
      <c r="F732" s="4">
        <v>51590</v>
      </c>
      <c r="G732" s="86" t="s">
        <v>4237</v>
      </c>
      <c r="H732" s="211"/>
      <c r="I732" s="326"/>
      <c r="K732" s="62"/>
    </row>
    <row r="733" spans="1:15" hidden="1" x14ac:dyDescent="0.25">
      <c r="A733" s="14" t="s">
        <v>358</v>
      </c>
      <c r="B733" s="14">
        <v>43544</v>
      </c>
      <c r="C733" s="13">
        <v>33</v>
      </c>
      <c r="D733" s="13" t="s">
        <v>5536</v>
      </c>
      <c r="E733" s="13" t="s">
        <v>742</v>
      </c>
      <c r="F733" s="37">
        <v>5000000</v>
      </c>
      <c r="G733" s="29" t="s">
        <v>5538</v>
      </c>
      <c r="H733" s="14"/>
      <c r="I733" s="4" t="s">
        <v>5537</v>
      </c>
      <c r="J733" s="128"/>
    </row>
    <row r="734" spans="1:15" hidden="1" x14ac:dyDescent="0.25">
      <c r="A734" s="68" t="s">
        <v>166</v>
      </c>
      <c r="B734" s="14">
        <v>43544</v>
      </c>
      <c r="C734" s="13">
        <v>36</v>
      </c>
      <c r="D734" s="32" t="s">
        <v>1135</v>
      </c>
      <c r="E734" s="32" t="s">
        <v>76</v>
      </c>
      <c r="F734" s="4">
        <v>60571.199999999997</v>
      </c>
      <c r="G734" s="210" t="s">
        <v>5513</v>
      </c>
      <c r="H734" s="211">
        <v>43530</v>
      </c>
      <c r="I734" s="208" t="s">
        <v>5514</v>
      </c>
      <c r="J734" s="21"/>
      <c r="K734" s="228"/>
    </row>
    <row r="735" spans="1:15" ht="27.6" hidden="1" x14ac:dyDescent="0.25">
      <c r="A735" s="32" t="s">
        <v>2019</v>
      </c>
      <c r="B735" s="14">
        <v>43516</v>
      </c>
      <c r="C735" s="13">
        <v>513</v>
      </c>
      <c r="D735" s="32" t="s">
        <v>392</v>
      </c>
      <c r="E735" s="32" t="s">
        <v>5586</v>
      </c>
      <c r="F735" s="4">
        <v>1623837.73</v>
      </c>
      <c r="G735" s="28" t="s">
        <v>5494</v>
      </c>
      <c r="H735" s="14">
        <v>43525</v>
      </c>
      <c r="I735" s="41" t="s">
        <v>621</v>
      </c>
      <c r="J735" s="35" t="s">
        <v>721</v>
      </c>
      <c r="K735" s="167"/>
      <c r="L735" s="35"/>
    </row>
    <row r="736" spans="1:15" ht="13.95" hidden="1" customHeight="1" x14ac:dyDescent="0.25">
      <c r="A736" s="68" t="s">
        <v>358</v>
      </c>
      <c r="B736" s="14">
        <v>43544</v>
      </c>
      <c r="C736" s="13">
        <v>457</v>
      </c>
      <c r="D736" s="32" t="s">
        <v>1077</v>
      </c>
      <c r="E736" s="32" t="s">
        <v>38</v>
      </c>
      <c r="F736" s="4">
        <v>5000000</v>
      </c>
      <c r="G736" s="86" t="s">
        <v>410</v>
      </c>
      <c r="H736" s="211"/>
      <c r="I736" s="208" t="s">
        <v>581</v>
      </c>
      <c r="J736" s="21"/>
      <c r="K736" s="228"/>
    </row>
    <row r="737" spans="1:19" ht="13.95" hidden="1" customHeight="1" x14ac:dyDescent="0.25">
      <c r="A737" s="32" t="s">
        <v>35</v>
      </c>
      <c r="B737" s="14">
        <v>43544</v>
      </c>
      <c r="C737" s="13">
        <v>366</v>
      </c>
      <c r="D737" s="32" t="s">
        <v>39</v>
      </c>
      <c r="E737" s="32" t="s">
        <v>963</v>
      </c>
      <c r="F737" s="4">
        <v>5000000</v>
      </c>
      <c r="G737" s="86" t="s">
        <v>1019</v>
      </c>
      <c r="H737" s="211"/>
      <c r="I737" s="41" t="s">
        <v>97</v>
      </c>
      <c r="J737" s="21"/>
      <c r="K737" s="228"/>
    </row>
    <row r="738" spans="1:19" ht="13.95" hidden="1" customHeight="1" x14ac:dyDescent="0.25">
      <c r="A738" s="61" t="s">
        <v>92</v>
      </c>
      <c r="B738" s="14">
        <v>43544</v>
      </c>
      <c r="C738" s="13">
        <v>504</v>
      </c>
      <c r="D738" s="32" t="s">
        <v>667</v>
      </c>
      <c r="E738" s="32" t="s">
        <v>62</v>
      </c>
      <c r="F738" s="4">
        <v>5000000</v>
      </c>
      <c r="G738" s="86" t="s">
        <v>5425</v>
      </c>
      <c r="H738" s="211"/>
      <c r="I738" s="208" t="s">
        <v>5426</v>
      </c>
      <c r="J738" s="21"/>
      <c r="K738" s="228"/>
    </row>
    <row r="739" spans="1:19" ht="15" hidden="1" customHeight="1" x14ac:dyDescent="0.25">
      <c r="A739" s="68" t="s">
        <v>92</v>
      </c>
      <c r="B739" s="14">
        <v>43544</v>
      </c>
      <c r="C739" s="13">
        <v>505</v>
      </c>
      <c r="D739" s="13" t="s">
        <v>969</v>
      </c>
      <c r="E739" s="32" t="s">
        <v>62</v>
      </c>
      <c r="F739" s="4">
        <v>5000000</v>
      </c>
      <c r="G739" s="86" t="s">
        <v>2035</v>
      </c>
      <c r="H739" s="14"/>
      <c r="I739" s="4" t="s">
        <v>229</v>
      </c>
      <c r="J739" s="71"/>
      <c r="K739" s="62"/>
      <c r="L739" s="62"/>
    </row>
    <row r="740" spans="1:19" s="129" customFormat="1" hidden="1" x14ac:dyDescent="0.25">
      <c r="A740" s="13" t="s">
        <v>151</v>
      </c>
      <c r="B740" s="14">
        <v>43544</v>
      </c>
      <c r="C740" s="28" t="s">
        <v>5588</v>
      </c>
      <c r="D740" s="13" t="s">
        <v>2952</v>
      </c>
      <c r="E740" s="13" t="s">
        <v>481</v>
      </c>
      <c r="F740" s="4">
        <f>15*3500</f>
        <v>52500</v>
      </c>
      <c r="G740" s="28"/>
      <c r="H740" s="14"/>
      <c r="I740" s="4" t="s">
        <v>5532</v>
      </c>
      <c r="J740" s="22"/>
      <c r="K740" s="136"/>
    </row>
    <row r="741" spans="1:19" hidden="1" x14ac:dyDescent="0.25">
      <c r="A741" s="13" t="s">
        <v>637</v>
      </c>
      <c r="B741" s="126">
        <v>43544</v>
      </c>
      <c r="C741" s="13">
        <v>141</v>
      </c>
      <c r="D741" s="13" t="s">
        <v>528</v>
      </c>
      <c r="E741" s="13" t="s">
        <v>691</v>
      </c>
      <c r="F741" s="4">
        <v>5000000</v>
      </c>
      <c r="G741" s="29" t="s">
        <v>1649</v>
      </c>
      <c r="H741" s="14"/>
      <c r="I741" s="4" t="s">
        <v>1650</v>
      </c>
      <c r="J741" s="62"/>
      <c r="K741" s="62"/>
      <c r="L741" s="35"/>
      <c r="M741" s="35"/>
      <c r="N741" s="35"/>
      <c r="O741" s="35"/>
      <c r="P741" s="35"/>
    </row>
    <row r="742" spans="1:19" ht="13.95" hidden="1" customHeight="1" x14ac:dyDescent="0.25">
      <c r="A742" s="68" t="s">
        <v>1148</v>
      </c>
      <c r="B742" s="14">
        <v>43544</v>
      </c>
      <c r="C742" s="13">
        <v>499</v>
      </c>
      <c r="D742" s="32" t="s">
        <v>1736</v>
      </c>
      <c r="E742" s="32" t="s">
        <v>808</v>
      </c>
      <c r="F742" s="4">
        <v>260650</v>
      </c>
      <c r="G742" s="86" t="s">
        <v>2596</v>
      </c>
      <c r="H742" s="211"/>
      <c r="I742" s="41" t="s">
        <v>24</v>
      </c>
      <c r="J742" s="21" t="s">
        <v>5539</v>
      </c>
      <c r="K742" s="228"/>
    </row>
    <row r="743" spans="1:19" ht="13.95" hidden="1" customHeight="1" x14ac:dyDescent="0.25">
      <c r="A743" s="68" t="s">
        <v>1148</v>
      </c>
      <c r="B743" s="14">
        <v>43544</v>
      </c>
      <c r="C743" s="13">
        <v>500</v>
      </c>
      <c r="D743" s="32" t="s">
        <v>1736</v>
      </c>
      <c r="E743" s="32" t="s">
        <v>808</v>
      </c>
      <c r="F743" s="4">
        <v>2239350</v>
      </c>
      <c r="G743" s="86" t="s">
        <v>2596</v>
      </c>
      <c r="H743" s="211"/>
      <c r="I743" s="41" t="s">
        <v>24</v>
      </c>
      <c r="J743" s="21" t="s">
        <v>5540</v>
      </c>
      <c r="K743" s="228"/>
    </row>
    <row r="744" spans="1:19" s="129" customFormat="1" hidden="1" x14ac:dyDescent="0.25">
      <c r="A744" s="13" t="s">
        <v>1316</v>
      </c>
      <c r="B744" s="14">
        <v>43544</v>
      </c>
      <c r="C744" s="28" t="s">
        <v>715</v>
      </c>
      <c r="D744" s="13" t="s">
        <v>1846</v>
      </c>
      <c r="E744" s="32" t="s">
        <v>808</v>
      </c>
      <c r="F744" s="4">
        <v>18076</v>
      </c>
      <c r="G744" s="28" t="s">
        <v>5488</v>
      </c>
      <c r="H744" s="14">
        <v>43542</v>
      </c>
      <c r="I744" s="4" t="s">
        <v>5489</v>
      </c>
      <c r="J744" s="22"/>
      <c r="K744" s="136"/>
    </row>
    <row r="745" spans="1:19" s="2" customFormat="1" ht="15" hidden="1" customHeight="1" x14ac:dyDescent="0.25">
      <c r="A745" s="61" t="s">
        <v>6</v>
      </c>
      <c r="B745" s="14">
        <v>43544</v>
      </c>
      <c r="C745" s="13">
        <v>135</v>
      </c>
      <c r="D745" s="13" t="s">
        <v>225</v>
      </c>
      <c r="E745" s="13" t="s">
        <v>183</v>
      </c>
      <c r="F745" s="4">
        <v>6000</v>
      </c>
      <c r="G745" s="29" t="s">
        <v>766</v>
      </c>
      <c r="H745" s="14">
        <v>43524</v>
      </c>
      <c r="I745" s="4" t="s">
        <v>1441</v>
      </c>
      <c r="J745" s="341" t="s">
        <v>366</v>
      </c>
      <c r="K745" s="31"/>
      <c r="L745" s="31"/>
      <c r="M745" s="31"/>
      <c r="N745" s="31"/>
      <c r="O745" s="34"/>
      <c r="P745" s="34"/>
      <c r="Q745" s="34"/>
      <c r="R745" s="34"/>
      <c r="S745" s="34"/>
    </row>
    <row r="746" spans="1:19" s="2" customFormat="1" ht="15" hidden="1" customHeight="1" x14ac:dyDescent="0.25">
      <c r="A746" s="13" t="s">
        <v>6</v>
      </c>
      <c r="B746" s="14">
        <v>43544</v>
      </c>
      <c r="C746" s="13">
        <v>136</v>
      </c>
      <c r="D746" s="13" t="s">
        <v>1591</v>
      </c>
      <c r="E746" s="13" t="s">
        <v>183</v>
      </c>
      <c r="F746" s="4">
        <v>68980</v>
      </c>
      <c r="G746" s="29" t="s">
        <v>5548</v>
      </c>
      <c r="H746" s="14">
        <v>43543</v>
      </c>
      <c r="I746" s="4" t="s">
        <v>5549</v>
      </c>
      <c r="J746" s="341"/>
      <c r="K746" s="31"/>
      <c r="L746" s="31"/>
      <c r="M746" s="31"/>
      <c r="N746" s="31"/>
      <c r="O746" s="34"/>
      <c r="P746" s="34"/>
      <c r="Q746" s="34"/>
      <c r="R746" s="34"/>
      <c r="S746" s="34"/>
    </row>
    <row r="747" spans="1:19" s="2" customFormat="1" ht="15" hidden="1" customHeight="1" x14ac:dyDescent="0.25">
      <c r="A747" s="13" t="s">
        <v>6</v>
      </c>
      <c r="B747" s="14">
        <v>43544</v>
      </c>
      <c r="C747" s="13">
        <v>137</v>
      </c>
      <c r="D747" s="13" t="s">
        <v>896</v>
      </c>
      <c r="E747" s="13" t="s">
        <v>183</v>
      </c>
      <c r="F747" s="4">
        <v>54500</v>
      </c>
      <c r="G747" s="29" t="s">
        <v>5550</v>
      </c>
      <c r="H747" s="14">
        <v>43508</v>
      </c>
      <c r="I747" s="4" t="s">
        <v>208</v>
      </c>
      <c r="J747" s="341"/>
      <c r="K747" s="31"/>
      <c r="L747" s="31"/>
      <c r="M747" s="31"/>
      <c r="N747" s="31"/>
      <c r="O747" s="34"/>
      <c r="P747" s="34"/>
      <c r="Q747" s="34"/>
      <c r="R747" s="34"/>
      <c r="S747" s="34"/>
    </row>
    <row r="748" spans="1:19" s="2" customFormat="1" hidden="1" x14ac:dyDescent="0.25">
      <c r="A748" s="13" t="s">
        <v>6</v>
      </c>
      <c r="B748" s="14">
        <v>43544</v>
      </c>
      <c r="C748" s="13">
        <v>139</v>
      </c>
      <c r="D748" s="13" t="s">
        <v>743</v>
      </c>
      <c r="E748" s="13" t="s">
        <v>183</v>
      </c>
      <c r="F748" s="4">
        <v>45000</v>
      </c>
      <c r="G748" s="29" t="s">
        <v>5260</v>
      </c>
      <c r="H748" s="14">
        <v>43530</v>
      </c>
      <c r="I748" s="4" t="s">
        <v>4649</v>
      </c>
      <c r="J748" s="341"/>
      <c r="K748" s="31"/>
      <c r="L748" s="31"/>
      <c r="M748" s="31"/>
      <c r="N748" s="31"/>
      <c r="O748" s="34"/>
      <c r="P748" s="34"/>
      <c r="Q748" s="34"/>
      <c r="R748" s="34"/>
      <c r="S748" s="34"/>
    </row>
    <row r="749" spans="1:19" s="2" customFormat="1" hidden="1" x14ac:dyDescent="0.25">
      <c r="A749" s="13" t="s">
        <v>6</v>
      </c>
      <c r="B749" s="14">
        <v>43544</v>
      </c>
      <c r="C749" s="13">
        <v>139</v>
      </c>
      <c r="D749" s="13" t="s">
        <v>743</v>
      </c>
      <c r="E749" s="13" t="s">
        <v>183</v>
      </c>
      <c r="F749" s="4">
        <v>57000</v>
      </c>
      <c r="G749" s="29" t="s">
        <v>5534</v>
      </c>
      <c r="H749" s="14">
        <v>43538</v>
      </c>
      <c r="I749" s="4" t="s">
        <v>208</v>
      </c>
      <c r="J749" s="341"/>
      <c r="K749" s="31"/>
      <c r="L749" s="31"/>
      <c r="M749" s="31"/>
      <c r="N749" s="31"/>
      <c r="O749" s="34"/>
      <c r="P749" s="34"/>
      <c r="Q749" s="34"/>
      <c r="R749" s="34"/>
      <c r="S749" s="34"/>
    </row>
    <row r="750" spans="1:19" s="2" customFormat="1" ht="15" hidden="1" customHeight="1" x14ac:dyDescent="0.25">
      <c r="A750" s="13" t="s">
        <v>6</v>
      </c>
      <c r="B750" s="14">
        <v>43544</v>
      </c>
      <c r="C750" s="13">
        <v>138</v>
      </c>
      <c r="D750" s="32" t="s">
        <v>841</v>
      </c>
      <c r="E750" s="13" t="s">
        <v>183</v>
      </c>
      <c r="F750" s="4">
        <v>30537</v>
      </c>
      <c r="G750" s="29" t="s">
        <v>5468</v>
      </c>
      <c r="H750" s="14">
        <v>43537</v>
      </c>
      <c r="I750" s="4" t="s">
        <v>263</v>
      </c>
      <c r="J750" s="341"/>
      <c r="K750" s="31"/>
      <c r="L750" s="31"/>
      <c r="M750" s="31"/>
      <c r="N750" s="31"/>
      <c r="O750" s="34"/>
      <c r="P750" s="34"/>
      <c r="Q750" s="34"/>
      <c r="R750" s="34"/>
      <c r="S750" s="34"/>
    </row>
    <row r="751" spans="1:19" s="2" customFormat="1" ht="15" hidden="1" customHeight="1" x14ac:dyDescent="0.25">
      <c r="A751" s="13" t="s">
        <v>6</v>
      </c>
      <c r="B751" s="14">
        <v>43544</v>
      </c>
      <c r="C751" s="13">
        <v>138</v>
      </c>
      <c r="D751" s="32" t="s">
        <v>841</v>
      </c>
      <c r="E751" s="13" t="s">
        <v>183</v>
      </c>
      <c r="F751" s="4">
        <v>250625</v>
      </c>
      <c r="G751" s="29" t="s">
        <v>4095</v>
      </c>
      <c r="H751" s="14">
        <v>43510</v>
      </c>
      <c r="I751" s="4" t="s">
        <v>263</v>
      </c>
      <c r="J751" s="341"/>
      <c r="K751" s="31"/>
      <c r="L751" s="31"/>
      <c r="M751" s="31"/>
      <c r="N751" s="31"/>
      <c r="O751" s="34"/>
      <c r="P751" s="34"/>
      <c r="Q751" s="34"/>
      <c r="R751" s="34"/>
      <c r="S751" s="34"/>
    </row>
    <row r="752" spans="1:19" ht="13.95" hidden="1" customHeight="1" x14ac:dyDescent="0.25">
      <c r="A752" s="68" t="s">
        <v>310</v>
      </c>
      <c r="B752" s="14">
        <v>43545</v>
      </c>
      <c r="C752" s="13">
        <v>149</v>
      </c>
      <c r="D752" s="32" t="s">
        <v>1664</v>
      </c>
      <c r="E752" s="32" t="s">
        <v>958</v>
      </c>
      <c r="F752" s="4">
        <v>5000000</v>
      </c>
      <c r="G752" s="86" t="s">
        <v>4471</v>
      </c>
      <c r="H752" s="211"/>
      <c r="I752" s="208" t="s">
        <v>16</v>
      </c>
      <c r="J752" s="21"/>
      <c r="K752" s="228"/>
    </row>
    <row r="753" spans="1:19" hidden="1" x14ac:dyDescent="0.25">
      <c r="A753" s="61" t="s">
        <v>455</v>
      </c>
      <c r="B753" s="14">
        <v>43545</v>
      </c>
      <c r="C753" s="13">
        <v>151</v>
      </c>
      <c r="D753" s="13" t="s">
        <v>3659</v>
      </c>
      <c r="E753" s="13" t="s">
        <v>958</v>
      </c>
      <c r="F753" s="37">
        <v>43080</v>
      </c>
      <c r="G753" s="29" t="s">
        <v>5492</v>
      </c>
      <c r="H753" s="14">
        <v>43542</v>
      </c>
      <c r="I753" s="4" t="s">
        <v>5493</v>
      </c>
      <c r="L753" s="21"/>
      <c r="M753" s="21"/>
      <c r="N753" s="21"/>
      <c r="O753" s="21"/>
    </row>
    <row r="754" spans="1:19" s="62" customFormat="1" ht="15" hidden="1" customHeight="1" x14ac:dyDescent="0.25">
      <c r="A754" s="32" t="s">
        <v>455</v>
      </c>
      <c r="B754" s="14">
        <v>43545</v>
      </c>
      <c r="C754" s="13">
        <v>152</v>
      </c>
      <c r="D754" s="32" t="s">
        <v>5135</v>
      </c>
      <c r="E754" s="32" t="s">
        <v>958</v>
      </c>
      <c r="F754" s="4">
        <v>26160</v>
      </c>
      <c r="G754" s="28" t="s">
        <v>1320</v>
      </c>
      <c r="H754" s="14">
        <v>43490</v>
      </c>
      <c r="I754" s="32" t="s">
        <v>5136</v>
      </c>
      <c r="J754" s="442" t="s">
        <v>4998</v>
      </c>
      <c r="K754" s="4" t="s">
        <v>4999</v>
      </c>
      <c r="L754" s="170"/>
      <c r="M754" s="71"/>
      <c r="N754" s="71"/>
      <c r="O754" s="71"/>
      <c r="P754" s="35"/>
      <c r="Q754" s="35"/>
      <c r="R754" s="35"/>
      <c r="S754" s="35"/>
    </row>
    <row r="755" spans="1:19" s="62" customFormat="1" ht="15" hidden="1" customHeight="1" x14ac:dyDescent="0.25">
      <c r="A755" s="32" t="s">
        <v>455</v>
      </c>
      <c r="B755" s="14">
        <v>43545</v>
      </c>
      <c r="C755" s="13">
        <v>153</v>
      </c>
      <c r="D755" s="32" t="s">
        <v>4995</v>
      </c>
      <c r="E755" s="32" t="s">
        <v>958</v>
      </c>
      <c r="F755" s="4">
        <f>227018.4</f>
        <v>227018.4</v>
      </c>
      <c r="G755" s="28" t="s">
        <v>5037</v>
      </c>
      <c r="H755" s="14">
        <v>43454</v>
      </c>
      <c r="I755" s="32" t="s">
        <v>4997</v>
      </c>
      <c r="J755" s="442" t="s">
        <v>4998</v>
      </c>
      <c r="K755" s="4" t="s">
        <v>4999</v>
      </c>
      <c r="L755" s="170"/>
      <c r="M755" s="71"/>
      <c r="N755" s="71"/>
      <c r="O755" s="71"/>
      <c r="P755" s="35"/>
      <c r="Q755" s="35"/>
      <c r="R755" s="35"/>
      <c r="S755" s="35"/>
    </row>
    <row r="756" spans="1:19" s="62" customFormat="1" ht="15" hidden="1" customHeight="1" x14ac:dyDescent="0.25">
      <c r="A756" s="32" t="s">
        <v>455</v>
      </c>
      <c r="B756" s="14">
        <v>43545</v>
      </c>
      <c r="C756" s="13">
        <v>153</v>
      </c>
      <c r="D756" s="32" t="s">
        <v>4995</v>
      </c>
      <c r="E756" s="32" t="s">
        <v>958</v>
      </c>
      <c r="F756" s="4">
        <v>99930.6</v>
      </c>
      <c r="G756" s="28" t="s">
        <v>5038</v>
      </c>
      <c r="H756" s="14">
        <v>43460</v>
      </c>
      <c r="I756" s="32" t="s">
        <v>5035</v>
      </c>
      <c r="J756" s="442" t="s">
        <v>4998</v>
      </c>
      <c r="K756" s="4" t="s">
        <v>4999</v>
      </c>
      <c r="L756" s="170"/>
      <c r="M756" s="71"/>
      <c r="N756" s="71"/>
      <c r="O756" s="71"/>
      <c r="P756" s="35"/>
      <c r="Q756" s="35"/>
      <c r="R756" s="35"/>
      <c r="S756" s="35"/>
    </row>
    <row r="757" spans="1:19" s="62" customFormat="1" ht="15" hidden="1" customHeight="1" x14ac:dyDescent="0.25">
      <c r="A757" s="32" t="s">
        <v>310</v>
      </c>
      <c r="B757" s="14">
        <v>43545</v>
      </c>
      <c r="C757" s="13">
        <v>153</v>
      </c>
      <c r="D757" s="32" t="s">
        <v>4995</v>
      </c>
      <c r="E757" s="32" t="s">
        <v>958</v>
      </c>
      <c r="F757" s="4">
        <v>12497.25</v>
      </c>
      <c r="G757" s="28" t="s">
        <v>5137</v>
      </c>
      <c r="H757" s="14">
        <v>43461</v>
      </c>
      <c r="I757" s="32" t="s">
        <v>4165</v>
      </c>
      <c r="J757" s="442" t="s">
        <v>4998</v>
      </c>
      <c r="K757" s="4" t="s">
        <v>4999</v>
      </c>
      <c r="L757" s="443"/>
      <c r="M757" s="259"/>
      <c r="O757" s="35"/>
      <c r="P757" s="35"/>
      <c r="Q757" s="35"/>
      <c r="R757" s="35"/>
      <c r="S757" s="35"/>
    </row>
    <row r="758" spans="1:19" s="62" customFormat="1" ht="15" hidden="1" customHeight="1" x14ac:dyDescent="0.25">
      <c r="A758" s="32" t="s">
        <v>455</v>
      </c>
      <c r="B758" s="14">
        <v>43545</v>
      </c>
      <c r="C758" s="13">
        <v>154</v>
      </c>
      <c r="D758" s="32" t="s">
        <v>431</v>
      </c>
      <c r="E758" s="32" t="s">
        <v>958</v>
      </c>
      <c r="F758" s="4">
        <v>30600</v>
      </c>
      <c r="G758" s="28" t="s">
        <v>3011</v>
      </c>
      <c r="H758" s="14">
        <v>43476</v>
      </c>
      <c r="I758" s="32" t="s">
        <v>95</v>
      </c>
      <c r="J758" s="442" t="s">
        <v>5010</v>
      </c>
      <c r="K758" s="4" t="s">
        <v>4999</v>
      </c>
      <c r="L758" s="170"/>
      <c r="M758" s="71"/>
      <c r="N758" s="71"/>
      <c r="O758" s="71"/>
      <c r="P758" s="35"/>
      <c r="Q758" s="35"/>
      <c r="R758" s="35"/>
      <c r="S758" s="35"/>
    </row>
    <row r="759" spans="1:19" s="97" customFormat="1" ht="15" hidden="1" customHeight="1" x14ac:dyDescent="0.25">
      <c r="A759" s="32" t="s">
        <v>455</v>
      </c>
      <c r="B759" s="14">
        <v>43545</v>
      </c>
      <c r="C759" s="13">
        <v>150</v>
      </c>
      <c r="D759" s="32" t="s">
        <v>5027</v>
      </c>
      <c r="E759" s="32" t="s">
        <v>958</v>
      </c>
      <c r="F759" s="4">
        <v>8000</v>
      </c>
      <c r="G759" s="28" t="s">
        <v>5134</v>
      </c>
      <c r="H759" s="14">
        <v>43486</v>
      </c>
      <c r="I759" s="32" t="s">
        <v>5032</v>
      </c>
      <c r="J759" s="442" t="s">
        <v>5030</v>
      </c>
      <c r="K759" s="32" t="s">
        <v>4999</v>
      </c>
      <c r="L759" s="22"/>
      <c r="M759" s="170"/>
      <c r="N759" s="22"/>
      <c r="O759" s="22"/>
    </row>
    <row r="760" spans="1:19" s="97" customFormat="1" ht="15" hidden="1" customHeight="1" x14ac:dyDescent="0.25">
      <c r="A760" s="32" t="s">
        <v>310</v>
      </c>
      <c r="B760" s="14">
        <v>43545</v>
      </c>
      <c r="C760" s="13">
        <v>150</v>
      </c>
      <c r="D760" s="32" t="s">
        <v>5027</v>
      </c>
      <c r="E760" s="32" t="s">
        <v>958</v>
      </c>
      <c r="F760" s="4">
        <v>4500</v>
      </c>
      <c r="G760" s="28" t="s">
        <v>4132</v>
      </c>
      <c r="H760" s="14">
        <v>43486</v>
      </c>
      <c r="I760" s="32" t="s">
        <v>5032</v>
      </c>
      <c r="J760" s="442" t="s">
        <v>5030</v>
      </c>
      <c r="K760" s="32" t="s">
        <v>4999</v>
      </c>
      <c r="M760" s="444"/>
    </row>
    <row r="761" spans="1:19" s="62" customFormat="1" ht="15" hidden="1" customHeight="1" x14ac:dyDescent="0.25">
      <c r="A761" s="13" t="s">
        <v>794</v>
      </c>
      <c r="B761" s="126">
        <v>43545</v>
      </c>
      <c r="C761" s="13">
        <v>80</v>
      </c>
      <c r="D761" s="13" t="s">
        <v>757</v>
      </c>
      <c r="E761" s="13" t="s">
        <v>195</v>
      </c>
      <c r="F761" s="37">
        <v>56137.49</v>
      </c>
      <c r="G761" s="29" t="s">
        <v>843</v>
      </c>
      <c r="H761" s="14">
        <v>42826</v>
      </c>
      <c r="I761" s="4" t="s">
        <v>758</v>
      </c>
      <c r="J761" s="71" t="s">
        <v>721</v>
      </c>
      <c r="O761" s="35"/>
      <c r="P761" s="35"/>
      <c r="Q761" s="35"/>
      <c r="R761" s="35"/>
      <c r="S761" s="35"/>
    </row>
    <row r="762" spans="1:19" hidden="1" x14ac:dyDescent="0.25">
      <c r="A762" s="13" t="s">
        <v>209</v>
      </c>
      <c r="B762" s="14">
        <v>43545</v>
      </c>
      <c r="C762" s="13">
        <v>52</v>
      </c>
      <c r="D762" s="13" t="s">
        <v>210</v>
      </c>
      <c r="E762" s="13" t="s">
        <v>134</v>
      </c>
      <c r="F762" s="37">
        <v>27714.73</v>
      </c>
      <c r="G762" s="67" t="s">
        <v>5594</v>
      </c>
      <c r="H762" s="14">
        <v>43542</v>
      </c>
      <c r="I762" s="4" t="s">
        <v>5595</v>
      </c>
      <c r="J762" s="407"/>
      <c r="K762" s="228"/>
    </row>
    <row r="763" spans="1:19" s="115" customFormat="1" ht="15.6" hidden="1" x14ac:dyDescent="0.25">
      <c r="A763" s="61" t="s">
        <v>651</v>
      </c>
      <c r="B763" s="14">
        <v>43545</v>
      </c>
      <c r="C763" s="13">
        <v>312</v>
      </c>
      <c r="D763" s="13" t="s">
        <v>813</v>
      </c>
      <c r="E763" s="13" t="s">
        <v>547</v>
      </c>
      <c r="F763" s="37">
        <v>3500000</v>
      </c>
      <c r="G763" s="29" t="s">
        <v>810</v>
      </c>
      <c r="H763" s="14">
        <v>42340</v>
      </c>
      <c r="I763" s="41" t="s">
        <v>1560</v>
      </c>
      <c r="J763" s="258"/>
      <c r="K763" s="116"/>
      <c r="L763" s="116"/>
      <c r="M763" s="116"/>
      <c r="N763" s="116"/>
      <c r="O763" s="117"/>
      <c r="P763" s="117"/>
      <c r="Q763" s="117"/>
      <c r="R763" s="117"/>
      <c r="S763" s="117"/>
    </row>
    <row r="764" spans="1:19" s="115" customFormat="1" ht="15.6" hidden="1" x14ac:dyDescent="0.25">
      <c r="A764" s="61" t="s">
        <v>209</v>
      </c>
      <c r="B764" s="14">
        <v>43545</v>
      </c>
      <c r="C764" s="13">
        <v>51</v>
      </c>
      <c r="D764" s="13" t="s">
        <v>5737</v>
      </c>
      <c r="E764" s="13" t="s">
        <v>134</v>
      </c>
      <c r="F764" s="37">
        <v>14000</v>
      </c>
      <c r="G764" s="29" t="s">
        <v>5738</v>
      </c>
      <c r="H764" s="14">
        <v>43544</v>
      </c>
      <c r="I764" s="41" t="s">
        <v>5739</v>
      </c>
      <c r="J764" s="258"/>
      <c r="K764" s="116"/>
      <c r="L764" s="116"/>
      <c r="M764" s="116"/>
      <c r="N764" s="116"/>
      <c r="O764" s="117"/>
      <c r="P764" s="117"/>
      <c r="Q764" s="117"/>
      <c r="R764" s="117"/>
      <c r="S764" s="117"/>
    </row>
    <row r="765" spans="1:19" hidden="1" x14ac:dyDescent="0.25">
      <c r="A765" s="13" t="s">
        <v>184</v>
      </c>
      <c r="B765" s="14">
        <v>43545</v>
      </c>
      <c r="C765" s="13">
        <v>347</v>
      </c>
      <c r="D765" s="13" t="s">
        <v>5567</v>
      </c>
      <c r="E765" s="32" t="s">
        <v>1121</v>
      </c>
      <c r="F765" s="4">
        <v>50000</v>
      </c>
      <c r="G765" s="28" t="s">
        <v>5568</v>
      </c>
      <c r="H765" s="14">
        <v>43539</v>
      </c>
      <c r="I765" s="4" t="s">
        <v>5569</v>
      </c>
      <c r="J765" s="125"/>
    </row>
    <row r="766" spans="1:19" hidden="1" x14ac:dyDescent="0.25">
      <c r="A766" s="13" t="s">
        <v>184</v>
      </c>
      <c r="B766" s="14">
        <v>43545</v>
      </c>
      <c r="C766" s="13">
        <v>348</v>
      </c>
      <c r="D766" s="13" t="s">
        <v>5570</v>
      </c>
      <c r="E766" s="32" t="s">
        <v>1121</v>
      </c>
      <c r="F766" s="4">
        <v>3380</v>
      </c>
      <c r="G766" s="28" t="s">
        <v>772</v>
      </c>
      <c r="H766" s="14">
        <v>43539</v>
      </c>
      <c r="I766" s="4" t="s">
        <v>5571</v>
      </c>
      <c r="J766" s="125"/>
    </row>
    <row r="767" spans="1:19" ht="15" hidden="1" customHeight="1" x14ac:dyDescent="0.25">
      <c r="A767" s="13" t="s">
        <v>184</v>
      </c>
      <c r="B767" s="14">
        <v>43545</v>
      </c>
      <c r="C767" s="67">
        <v>349</v>
      </c>
      <c r="D767" s="13" t="s">
        <v>238</v>
      </c>
      <c r="E767" s="32" t="s">
        <v>1121</v>
      </c>
      <c r="F767" s="4">
        <v>2105</v>
      </c>
      <c r="G767" s="28" t="s">
        <v>3403</v>
      </c>
      <c r="H767" s="14">
        <v>43542</v>
      </c>
      <c r="I767" s="4" t="s">
        <v>5572</v>
      </c>
      <c r="J767" s="125"/>
    </row>
    <row r="768" spans="1:19" ht="15" hidden="1" customHeight="1" x14ac:dyDescent="0.25">
      <c r="A768" s="13" t="s">
        <v>151</v>
      </c>
      <c r="B768" s="14">
        <v>43545</v>
      </c>
      <c r="C768" s="67">
        <v>514</v>
      </c>
      <c r="D768" s="13" t="s">
        <v>5740</v>
      </c>
      <c r="E768" s="32" t="s">
        <v>130</v>
      </c>
      <c r="F768" s="4">
        <v>45000</v>
      </c>
      <c r="G768" s="28" t="s">
        <v>5741</v>
      </c>
      <c r="H768" s="14">
        <v>43525</v>
      </c>
      <c r="I768" s="4" t="s">
        <v>5742</v>
      </c>
      <c r="J768" s="125"/>
    </row>
    <row r="769" spans="1:17" ht="13.95" hidden="1" customHeight="1" x14ac:dyDescent="0.25">
      <c r="A769" s="68" t="s">
        <v>209</v>
      </c>
      <c r="B769" s="14">
        <v>43546</v>
      </c>
      <c r="C769" s="67">
        <v>53</v>
      </c>
      <c r="D769" s="32" t="s">
        <v>595</v>
      </c>
      <c r="E769" s="32" t="s">
        <v>134</v>
      </c>
      <c r="F769" s="4">
        <v>1000000</v>
      </c>
      <c r="G769" s="28" t="s">
        <v>346</v>
      </c>
      <c r="H769" s="14">
        <v>43496</v>
      </c>
      <c r="I769" s="41" t="s">
        <v>949</v>
      </c>
      <c r="J769" s="166" t="s">
        <v>239</v>
      </c>
      <c r="K769" s="167"/>
      <c r="L769" s="35"/>
    </row>
    <row r="770" spans="1:17" ht="15" hidden="1" customHeight="1" x14ac:dyDescent="0.25">
      <c r="A770" s="32" t="s">
        <v>41</v>
      </c>
      <c r="B770" s="14">
        <v>43546</v>
      </c>
      <c r="C770" s="67">
        <v>81</v>
      </c>
      <c r="D770" s="32" t="s">
        <v>200</v>
      </c>
      <c r="E770" s="32" t="s">
        <v>195</v>
      </c>
      <c r="F770" s="4">
        <v>853273.35</v>
      </c>
      <c r="G770" s="28" t="s">
        <v>5750</v>
      </c>
      <c r="H770" s="14">
        <v>43515</v>
      </c>
      <c r="I770" s="4" t="s">
        <v>362</v>
      </c>
      <c r="J770" s="166" t="s">
        <v>239</v>
      </c>
      <c r="K770" s="167"/>
      <c r="L770" s="35"/>
    </row>
    <row r="771" spans="1:17" ht="15" hidden="1" customHeight="1" x14ac:dyDescent="0.25">
      <c r="A771" s="32" t="s">
        <v>41</v>
      </c>
      <c r="B771" s="14">
        <v>43546</v>
      </c>
      <c r="C771" s="67">
        <v>82</v>
      </c>
      <c r="D771" s="32" t="s">
        <v>200</v>
      </c>
      <c r="E771" s="32" t="s">
        <v>195</v>
      </c>
      <c r="F771" s="4">
        <v>146726.65</v>
      </c>
      <c r="G771" s="28" t="s">
        <v>5751</v>
      </c>
      <c r="H771" s="14">
        <v>43524</v>
      </c>
      <c r="I771" s="4" t="s">
        <v>362</v>
      </c>
      <c r="J771" s="166" t="s">
        <v>721</v>
      </c>
      <c r="K771" s="167"/>
      <c r="L771" s="35"/>
    </row>
    <row r="772" spans="1:17" ht="15" hidden="1" customHeight="1" x14ac:dyDescent="0.25">
      <c r="A772" s="13" t="s">
        <v>184</v>
      </c>
      <c r="B772" s="14">
        <v>43546</v>
      </c>
      <c r="C772" s="13">
        <v>352</v>
      </c>
      <c r="D772" s="13" t="s">
        <v>348</v>
      </c>
      <c r="E772" s="32" t="s">
        <v>1121</v>
      </c>
      <c r="F772" s="4">
        <v>300000</v>
      </c>
      <c r="G772" s="28" t="s">
        <v>1485</v>
      </c>
      <c r="H772" s="14">
        <v>43525</v>
      </c>
      <c r="I772" s="4" t="s">
        <v>309</v>
      </c>
      <c r="J772" s="76" t="s">
        <v>366</v>
      </c>
    </row>
    <row r="773" spans="1:17" ht="13.95" hidden="1" customHeight="1" x14ac:dyDescent="0.25">
      <c r="A773" s="68" t="s">
        <v>550</v>
      </c>
      <c r="B773" s="14">
        <v>43546</v>
      </c>
      <c r="C773" s="13">
        <v>511</v>
      </c>
      <c r="D773" s="32" t="s">
        <v>272</v>
      </c>
      <c r="E773" s="32" t="s">
        <v>62</v>
      </c>
      <c r="F773" s="4">
        <v>5000000</v>
      </c>
      <c r="G773" s="86" t="s">
        <v>5725</v>
      </c>
      <c r="H773" s="211"/>
      <c r="I773" s="84" t="s">
        <v>273</v>
      </c>
      <c r="J773" s="21"/>
      <c r="K773" s="228"/>
    </row>
    <row r="774" spans="1:17" ht="13.95" hidden="1" customHeight="1" x14ac:dyDescent="0.25">
      <c r="A774" s="68" t="s">
        <v>442</v>
      </c>
      <c r="B774" s="14">
        <v>43546</v>
      </c>
      <c r="C774" s="13">
        <v>512</v>
      </c>
      <c r="D774" s="32" t="s">
        <v>5766</v>
      </c>
      <c r="E774" s="32" t="s">
        <v>62</v>
      </c>
      <c r="F774" s="4">
        <v>1362050</v>
      </c>
      <c r="G774" s="210" t="s">
        <v>5767</v>
      </c>
      <c r="H774" s="211">
        <v>43539</v>
      </c>
      <c r="I774" s="84" t="s">
        <v>5768</v>
      </c>
      <c r="J774" s="21"/>
      <c r="K774" s="228"/>
    </row>
    <row r="775" spans="1:17" ht="13.95" hidden="1" customHeight="1" x14ac:dyDescent="0.25">
      <c r="A775" s="13" t="s">
        <v>261</v>
      </c>
      <c r="B775" s="242">
        <v>43546</v>
      </c>
      <c r="C775" s="13">
        <v>503</v>
      </c>
      <c r="D775" s="13" t="s">
        <v>950</v>
      </c>
      <c r="E775" s="13" t="s">
        <v>808</v>
      </c>
      <c r="F775" s="4">
        <v>11000000</v>
      </c>
      <c r="G775" s="86" t="s">
        <v>957</v>
      </c>
      <c r="H775" s="14"/>
      <c r="I775" s="4" t="s">
        <v>361</v>
      </c>
      <c r="K775" s="228"/>
    </row>
    <row r="776" spans="1:17" ht="13.95" hidden="1" customHeight="1" x14ac:dyDescent="0.25">
      <c r="A776" s="13" t="s">
        <v>659</v>
      </c>
      <c r="B776" s="242">
        <v>43546</v>
      </c>
      <c r="C776" s="13">
        <v>504</v>
      </c>
      <c r="D776" s="13" t="s">
        <v>5761</v>
      </c>
      <c r="E776" s="13" t="s">
        <v>808</v>
      </c>
      <c r="F776" s="4">
        <v>2000000</v>
      </c>
      <c r="G776" s="86" t="s">
        <v>5762</v>
      </c>
      <c r="H776" s="14"/>
      <c r="I776" s="4" t="s">
        <v>24</v>
      </c>
      <c r="K776" s="228"/>
    </row>
    <row r="777" spans="1:17" ht="13.95" hidden="1" customHeight="1" x14ac:dyDescent="0.25">
      <c r="A777" s="13" t="s">
        <v>659</v>
      </c>
      <c r="B777" s="242">
        <v>43546</v>
      </c>
      <c r="C777" s="13">
        <v>505</v>
      </c>
      <c r="D777" s="13" t="s">
        <v>5769</v>
      </c>
      <c r="E777" s="13" t="s">
        <v>808</v>
      </c>
      <c r="F777" s="4">
        <v>253224</v>
      </c>
      <c r="G777" s="210" t="s">
        <v>5770</v>
      </c>
      <c r="H777" s="14">
        <v>43544</v>
      </c>
      <c r="I777" s="4" t="s">
        <v>6060</v>
      </c>
      <c r="K777" s="228"/>
    </row>
    <row r="778" spans="1:17" ht="13.95" hidden="1" customHeight="1" x14ac:dyDescent="0.25">
      <c r="A778" s="13" t="s">
        <v>455</v>
      </c>
      <c r="B778" s="126">
        <v>43546</v>
      </c>
      <c r="C778" s="13">
        <v>155</v>
      </c>
      <c r="D778" s="13" t="s">
        <v>4438</v>
      </c>
      <c r="E778" s="32" t="s">
        <v>958</v>
      </c>
      <c r="F778" s="37">
        <v>2000000</v>
      </c>
      <c r="G778" s="69" t="s">
        <v>4437</v>
      </c>
      <c r="H778" s="14"/>
      <c r="I778" s="4" t="s">
        <v>24</v>
      </c>
      <c r="J778" s="71"/>
      <c r="K778" s="62"/>
      <c r="L778" s="62"/>
      <c r="M778" s="35"/>
      <c r="N778" s="35"/>
      <c r="O778" s="35"/>
      <c r="P778" s="35"/>
      <c r="Q778" s="35"/>
    </row>
    <row r="779" spans="1:17" ht="13.95" hidden="1" customHeight="1" x14ac:dyDescent="0.25">
      <c r="A779" s="13" t="s">
        <v>455</v>
      </c>
      <c r="B779" s="126">
        <v>43546</v>
      </c>
      <c r="C779" s="13">
        <v>156</v>
      </c>
      <c r="D779" s="13" t="s">
        <v>5763</v>
      </c>
      <c r="E779" s="32" t="s">
        <v>958</v>
      </c>
      <c r="F779" s="37">
        <v>1720000</v>
      </c>
      <c r="G779" s="29" t="s">
        <v>5764</v>
      </c>
      <c r="H779" s="14">
        <v>43537</v>
      </c>
      <c r="I779" s="4" t="s">
        <v>5765</v>
      </c>
      <c r="J779" s="71"/>
      <c r="K779" s="62"/>
      <c r="L779" s="62"/>
      <c r="M779" s="35"/>
      <c r="N779" s="35"/>
      <c r="O779" s="35"/>
      <c r="P779" s="35"/>
      <c r="Q779" s="35"/>
    </row>
    <row r="780" spans="1:17" hidden="1" x14ac:dyDescent="0.25">
      <c r="A780" s="61" t="s">
        <v>460</v>
      </c>
      <c r="B780" s="14">
        <v>43549</v>
      </c>
      <c r="C780" s="13">
        <v>237</v>
      </c>
      <c r="D780" s="13" t="s">
        <v>5719</v>
      </c>
      <c r="E780" s="32" t="s">
        <v>144</v>
      </c>
      <c r="F780" s="4">
        <v>48763</v>
      </c>
      <c r="G780" s="86" t="s">
        <v>5720</v>
      </c>
      <c r="H780" s="211"/>
      <c r="I780" s="326"/>
      <c r="K780" s="62"/>
    </row>
    <row r="781" spans="1:17" s="192" customFormat="1" hidden="1" x14ac:dyDescent="0.25">
      <c r="A781" s="147" t="s">
        <v>242</v>
      </c>
      <c r="B781" s="164">
        <v>43549</v>
      </c>
      <c r="C781" s="195">
        <v>238</v>
      </c>
      <c r="D781" s="149" t="s">
        <v>490</v>
      </c>
      <c r="E781" s="147" t="s">
        <v>144</v>
      </c>
      <c r="F781" s="158">
        <v>859569.4</v>
      </c>
      <c r="G781" s="150" t="s">
        <v>5338</v>
      </c>
      <c r="H781" s="148">
        <v>43514</v>
      </c>
      <c r="I781" s="149" t="s">
        <v>143</v>
      </c>
      <c r="J781" s="193"/>
      <c r="K781" s="194"/>
      <c r="L781" s="190"/>
    </row>
    <row r="782" spans="1:17" s="192" customFormat="1" ht="14.25" hidden="1" customHeight="1" x14ac:dyDescent="0.25">
      <c r="A782" s="147" t="s">
        <v>242</v>
      </c>
      <c r="B782" s="164">
        <v>43549</v>
      </c>
      <c r="C782" s="195">
        <v>239</v>
      </c>
      <c r="D782" s="149" t="s">
        <v>784</v>
      </c>
      <c r="E782" s="147" t="s">
        <v>144</v>
      </c>
      <c r="F782" s="158">
        <f>1608197.3</f>
        <v>1608197.3</v>
      </c>
      <c r="G782" s="150" t="s">
        <v>478</v>
      </c>
      <c r="H782" s="148">
        <v>43537</v>
      </c>
      <c r="I782" s="149" t="s">
        <v>143</v>
      </c>
    </row>
    <row r="783" spans="1:17" hidden="1" x14ac:dyDescent="0.25">
      <c r="A783" s="13" t="s">
        <v>184</v>
      </c>
      <c r="B783" s="14">
        <v>43549</v>
      </c>
      <c r="C783" s="13">
        <v>355</v>
      </c>
      <c r="D783" s="13" t="s">
        <v>5776</v>
      </c>
      <c r="E783" s="32" t="s">
        <v>1121</v>
      </c>
      <c r="F783" s="4">
        <v>12000</v>
      </c>
      <c r="G783" s="28" t="s">
        <v>302</v>
      </c>
      <c r="H783" s="14">
        <v>43536</v>
      </c>
      <c r="I783" s="4" t="s">
        <v>5777</v>
      </c>
      <c r="J783" s="76" t="s">
        <v>651</v>
      </c>
    </row>
    <row r="784" spans="1:17" ht="15.6" hidden="1" customHeight="1" x14ac:dyDescent="0.25">
      <c r="A784" s="13" t="s">
        <v>184</v>
      </c>
      <c r="B784" s="14">
        <v>43549</v>
      </c>
      <c r="C784" s="13">
        <v>356</v>
      </c>
      <c r="D784" s="13" t="s">
        <v>444</v>
      </c>
      <c r="E784" s="32" t="s">
        <v>1121</v>
      </c>
      <c r="F784" s="4">
        <v>151200</v>
      </c>
      <c r="G784" s="28" t="s">
        <v>113</v>
      </c>
      <c r="H784" s="14">
        <v>43524</v>
      </c>
      <c r="I784" s="4" t="s">
        <v>445</v>
      </c>
      <c r="J784" s="76" t="s">
        <v>5252</v>
      </c>
    </row>
    <row r="785" spans="1:19" ht="30" hidden="1" customHeight="1" x14ac:dyDescent="0.25">
      <c r="A785" s="13" t="s">
        <v>184</v>
      </c>
      <c r="B785" s="14">
        <v>43549</v>
      </c>
      <c r="C785" s="13">
        <v>357</v>
      </c>
      <c r="D785" s="13" t="s">
        <v>104</v>
      </c>
      <c r="E785" s="32" t="s">
        <v>1121</v>
      </c>
      <c r="F785" s="4">
        <v>150000</v>
      </c>
      <c r="G785" s="28" t="s">
        <v>731</v>
      </c>
      <c r="H785" s="14">
        <v>43528</v>
      </c>
      <c r="I785" s="4" t="s">
        <v>3483</v>
      </c>
      <c r="J785" s="76" t="s">
        <v>5243</v>
      </c>
    </row>
    <row r="786" spans="1:19" hidden="1" x14ac:dyDescent="0.25">
      <c r="A786" s="13" t="s">
        <v>184</v>
      </c>
      <c r="B786" s="14">
        <v>43549</v>
      </c>
      <c r="C786" s="13">
        <v>358</v>
      </c>
      <c r="D786" s="13" t="s">
        <v>197</v>
      </c>
      <c r="E786" s="32" t="s">
        <v>1121</v>
      </c>
      <c r="F786" s="4">
        <v>195294</v>
      </c>
      <c r="G786" s="28" t="s">
        <v>5731</v>
      </c>
      <c r="H786" s="14">
        <v>43500</v>
      </c>
      <c r="I786" s="4" t="s">
        <v>1181</v>
      </c>
      <c r="J786" s="76" t="s">
        <v>366</v>
      </c>
    </row>
    <row r="787" spans="1:19" hidden="1" x14ac:dyDescent="0.25">
      <c r="A787" s="13" t="s">
        <v>184</v>
      </c>
      <c r="B787" s="14">
        <v>43549</v>
      </c>
      <c r="C787" s="13">
        <v>359</v>
      </c>
      <c r="D787" s="13" t="s">
        <v>5240</v>
      </c>
      <c r="E787" s="32" t="s">
        <v>1121</v>
      </c>
      <c r="F787" s="4">
        <v>236280</v>
      </c>
      <c r="G787" s="28" t="s">
        <v>859</v>
      </c>
      <c r="H787" s="14">
        <v>43531</v>
      </c>
      <c r="I787" s="4" t="s">
        <v>5241</v>
      </c>
      <c r="J787" s="76" t="s">
        <v>5242</v>
      </c>
    </row>
    <row r="788" spans="1:19" ht="15" hidden="1" customHeight="1" x14ac:dyDescent="0.25">
      <c r="A788" s="13" t="s">
        <v>184</v>
      </c>
      <c r="B788" s="14">
        <v>43549</v>
      </c>
      <c r="C788" s="13">
        <v>360</v>
      </c>
      <c r="D788" s="13" t="s">
        <v>171</v>
      </c>
      <c r="E788" s="32" t="s">
        <v>1121</v>
      </c>
      <c r="F788" s="4">
        <v>600000</v>
      </c>
      <c r="G788" s="28" t="s">
        <v>5244</v>
      </c>
      <c r="H788" s="14">
        <v>43525</v>
      </c>
      <c r="I788" s="4" t="s">
        <v>384</v>
      </c>
      <c r="J788" s="125" t="s">
        <v>5245</v>
      </c>
    </row>
    <row r="789" spans="1:19" ht="15" hidden="1" customHeight="1" x14ac:dyDescent="0.25">
      <c r="A789" s="13" t="s">
        <v>184</v>
      </c>
      <c r="B789" s="14">
        <v>43549</v>
      </c>
      <c r="C789" s="13">
        <v>361</v>
      </c>
      <c r="D789" s="13" t="s">
        <v>348</v>
      </c>
      <c r="E789" s="32" t="s">
        <v>1121</v>
      </c>
      <c r="F789" s="4">
        <v>700000</v>
      </c>
      <c r="G789" s="28" t="s">
        <v>4931</v>
      </c>
      <c r="H789" s="14">
        <v>43525</v>
      </c>
      <c r="I789" s="4" t="s">
        <v>1124</v>
      </c>
      <c r="J789" s="76" t="s">
        <v>366</v>
      </c>
    </row>
    <row r="790" spans="1:19" s="192" customFormat="1" hidden="1" x14ac:dyDescent="0.25">
      <c r="A790" s="147" t="s">
        <v>242</v>
      </c>
      <c r="B790" s="14">
        <v>43549</v>
      </c>
      <c r="C790" s="195">
        <v>362</v>
      </c>
      <c r="D790" s="149" t="s">
        <v>324</v>
      </c>
      <c r="E790" s="147" t="s">
        <v>1121</v>
      </c>
      <c r="F790" s="158">
        <v>118881</v>
      </c>
      <c r="G790" s="150" t="s">
        <v>5343</v>
      </c>
      <c r="H790" s="148">
        <v>43537</v>
      </c>
      <c r="I790" s="149" t="s">
        <v>143</v>
      </c>
      <c r="J790" s="193"/>
      <c r="K790" s="190"/>
    </row>
    <row r="791" spans="1:19" s="192" customFormat="1" hidden="1" x14ac:dyDescent="0.25">
      <c r="A791" s="147" t="s">
        <v>242</v>
      </c>
      <c r="B791" s="14">
        <v>43549</v>
      </c>
      <c r="C791" s="195">
        <v>368</v>
      </c>
      <c r="D791" s="149" t="s">
        <v>784</v>
      </c>
      <c r="E791" s="147" t="s">
        <v>1121</v>
      </c>
      <c r="F791" s="158">
        <v>312845.2</v>
      </c>
      <c r="G791" s="150" t="s">
        <v>173</v>
      </c>
      <c r="H791" s="148">
        <v>43537</v>
      </c>
      <c r="I791" s="149" t="s">
        <v>143</v>
      </c>
      <c r="J791" s="193"/>
      <c r="K791" s="194"/>
      <c r="L791" s="190"/>
    </row>
    <row r="792" spans="1:19" s="192" customFormat="1" hidden="1" x14ac:dyDescent="0.25">
      <c r="A792" s="147" t="s">
        <v>242</v>
      </c>
      <c r="B792" s="14">
        <v>43549</v>
      </c>
      <c r="C792" s="187">
        <v>369</v>
      </c>
      <c r="D792" s="149" t="s">
        <v>291</v>
      </c>
      <c r="E792" s="147" t="s">
        <v>1121</v>
      </c>
      <c r="F792" s="158">
        <v>115828.02</v>
      </c>
      <c r="G792" s="150" t="s">
        <v>3432</v>
      </c>
      <c r="H792" s="148">
        <v>43537</v>
      </c>
      <c r="I792" s="149" t="s">
        <v>143</v>
      </c>
      <c r="J792" s="193"/>
      <c r="K792" s="194"/>
      <c r="L792" s="190"/>
    </row>
    <row r="793" spans="1:19" s="129" customFormat="1" ht="41.4" hidden="1" x14ac:dyDescent="0.25">
      <c r="A793" s="13" t="s">
        <v>151</v>
      </c>
      <c r="B793" s="14">
        <v>43549</v>
      </c>
      <c r="C793" s="28" t="s">
        <v>3840</v>
      </c>
      <c r="D793" s="13" t="s">
        <v>711</v>
      </c>
      <c r="E793" s="32" t="s">
        <v>1121</v>
      </c>
      <c r="F793" s="37">
        <f>7050+5550+2500+1200+4950+500+3350+1100+1700+600</f>
        <v>28500</v>
      </c>
      <c r="G793" s="28" t="s">
        <v>5743</v>
      </c>
      <c r="H793" s="28" t="s">
        <v>5593</v>
      </c>
      <c r="I793" s="4" t="s">
        <v>712</v>
      </c>
      <c r="J793" s="170"/>
      <c r="K793" s="136"/>
    </row>
    <row r="794" spans="1:19" x14ac:dyDescent="0.25">
      <c r="A794" s="13" t="s">
        <v>151</v>
      </c>
      <c r="B794" s="14">
        <v>43549</v>
      </c>
      <c r="C794" s="13">
        <v>363</v>
      </c>
      <c r="D794" s="13" t="s">
        <v>5711</v>
      </c>
      <c r="E794" s="32" t="s">
        <v>1121</v>
      </c>
      <c r="F794" s="4">
        <v>15000</v>
      </c>
      <c r="G794" s="28" t="s">
        <v>810</v>
      </c>
      <c r="H794" s="14">
        <v>43545</v>
      </c>
      <c r="I794" s="4" t="s">
        <v>7261</v>
      </c>
      <c r="J794" s="125"/>
    </row>
    <row r="795" spans="1:19" s="129" customFormat="1" hidden="1" x14ac:dyDescent="0.25">
      <c r="A795" s="13" t="s">
        <v>151</v>
      </c>
      <c r="B795" s="14">
        <v>43549</v>
      </c>
      <c r="C795" s="28" t="s">
        <v>1138</v>
      </c>
      <c r="D795" s="13" t="s">
        <v>1846</v>
      </c>
      <c r="E795" s="32" t="s">
        <v>1121</v>
      </c>
      <c r="F795" s="4">
        <v>89434</v>
      </c>
      <c r="G795" s="28" t="s">
        <v>5735</v>
      </c>
      <c r="H795" s="14">
        <v>43545</v>
      </c>
      <c r="I795" s="4" t="s">
        <v>5736</v>
      </c>
      <c r="J795" s="22"/>
      <c r="K795" s="136"/>
    </row>
    <row r="796" spans="1:19" hidden="1" x14ac:dyDescent="0.25">
      <c r="A796" s="32" t="s">
        <v>151</v>
      </c>
      <c r="B796" s="14">
        <v>43549</v>
      </c>
      <c r="C796" s="13">
        <v>365</v>
      </c>
      <c r="D796" s="13" t="s">
        <v>223</v>
      </c>
      <c r="E796" s="32" t="s">
        <v>1121</v>
      </c>
      <c r="F796" s="4">
        <v>13600</v>
      </c>
      <c r="G796" s="28" t="s">
        <v>3184</v>
      </c>
      <c r="H796" s="14">
        <v>43489</v>
      </c>
      <c r="I796" s="4" t="s">
        <v>3072</v>
      </c>
      <c r="J796" s="76"/>
      <c r="K796" s="246"/>
    </row>
    <row r="797" spans="1:19" s="62" customFormat="1" ht="13.95" hidden="1" customHeight="1" x14ac:dyDescent="0.25">
      <c r="A797" s="61" t="s">
        <v>151</v>
      </c>
      <c r="B797" s="14">
        <v>43549</v>
      </c>
      <c r="C797" s="13">
        <v>370</v>
      </c>
      <c r="D797" s="13" t="s">
        <v>592</v>
      </c>
      <c r="E797" s="13" t="s">
        <v>1121</v>
      </c>
      <c r="F797" s="37">
        <v>4366</v>
      </c>
      <c r="G797" s="29" t="s">
        <v>4249</v>
      </c>
      <c r="H797" s="14">
        <v>42005</v>
      </c>
      <c r="I797" s="4" t="s">
        <v>565</v>
      </c>
      <c r="J797" s="71" t="s">
        <v>771</v>
      </c>
      <c r="O797" s="35"/>
      <c r="P797" s="35"/>
      <c r="Q797" s="35"/>
      <c r="R797" s="35"/>
      <c r="S797" s="35"/>
    </row>
    <row r="798" spans="1:19" s="62" customFormat="1" ht="13.95" hidden="1" customHeight="1" x14ac:dyDescent="0.25">
      <c r="A798" s="13" t="s">
        <v>151</v>
      </c>
      <c r="B798" s="14">
        <v>43549</v>
      </c>
      <c r="C798" s="13">
        <v>371</v>
      </c>
      <c r="D798" s="13" t="s">
        <v>593</v>
      </c>
      <c r="E798" s="13" t="s">
        <v>1121</v>
      </c>
      <c r="F798" s="37">
        <v>1700</v>
      </c>
      <c r="G798" s="29" t="s">
        <v>4250</v>
      </c>
      <c r="H798" s="14">
        <v>42024</v>
      </c>
      <c r="I798" s="4" t="s">
        <v>594</v>
      </c>
      <c r="J798" s="22" t="s">
        <v>771</v>
      </c>
      <c r="K798" s="62">
        <v>1728.82</v>
      </c>
      <c r="O798" s="35"/>
      <c r="P798" s="35"/>
      <c r="Q798" s="35"/>
      <c r="R798" s="35"/>
      <c r="S798" s="35"/>
    </row>
    <row r="799" spans="1:19" s="62" customFormat="1" ht="13.95" hidden="1" customHeight="1" x14ac:dyDescent="0.25">
      <c r="A799" s="61" t="s">
        <v>151</v>
      </c>
      <c r="B799" s="14">
        <v>43549</v>
      </c>
      <c r="C799" s="13">
        <v>372</v>
      </c>
      <c r="D799" s="13" t="s">
        <v>593</v>
      </c>
      <c r="E799" s="13" t="s">
        <v>1121</v>
      </c>
      <c r="F799" s="37">
        <v>1070</v>
      </c>
      <c r="G799" s="29" t="s">
        <v>2614</v>
      </c>
      <c r="H799" s="14">
        <v>43466</v>
      </c>
      <c r="I799" s="4" t="s">
        <v>1796</v>
      </c>
      <c r="J799" s="71" t="s">
        <v>771</v>
      </c>
      <c r="O799" s="35"/>
      <c r="P799" s="35"/>
      <c r="Q799" s="35"/>
      <c r="R799" s="35"/>
      <c r="S799" s="35"/>
    </row>
    <row r="800" spans="1:19" s="62" customFormat="1" ht="15" hidden="1" customHeight="1" x14ac:dyDescent="0.25">
      <c r="A800" s="13" t="s">
        <v>151</v>
      </c>
      <c r="B800" s="14">
        <v>43549</v>
      </c>
      <c r="C800" s="13">
        <v>366</v>
      </c>
      <c r="D800" s="13" t="s">
        <v>1277</v>
      </c>
      <c r="E800" s="13" t="s">
        <v>1121</v>
      </c>
      <c r="F800" s="37">
        <v>49200</v>
      </c>
      <c r="G800" s="29" t="s">
        <v>5535</v>
      </c>
      <c r="H800" s="14">
        <v>43524</v>
      </c>
      <c r="I800" s="4" t="s">
        <v>3278</v>
      </c>
      <c r="J800" s="71" t="s">
        <v>721</v>
      </c>
      <c r="O800" s="35"/>
      <c r="P800" s="35"/>
      <c r="Q800" s="35"/>
      <c r="R800" s="35"/>
      <c r="S800" s="35"/>
    </row>
    <row r="801" spans="1:19" hidden="1" x14ac:dyDescent="0.25">
      <c r="A801" s="13" t="s">
        <v>151</v>
      </c>
      <c r="B801" s="14">
        <v>43549</v>
      </c>
      <c r="C801" s="13">
        <v>70</v>
      </c>
      <c r="D801" s="13" t="s">
        <v>5752</v>
      </c>
      <c r="E801" s="32" t="s">
        <v>22</v>
      </c>
      <c r="F801" s="4">
        <v>62256.28</v>
      </c>
      <c r="G801" s="28" t="s">
        <v>5753</v>
      </c>
      <c r="H801" s="14">
        <v>43546</v>
      </c>
      <c r="I801" s="4" t="s">
        <v>5754</v>
      </c>
      <c r="J801" s="125"/>
    </row>
    <row r="802" spans="1:19" hidden="1" x14ac:dyDescent="0.25">
      <c r="A802" s="13" t="s">
        <v>151</v>
      </c>
      <c r="B802" s="14">
        <v>43549</v>
      </c>
      <c r="C802" s="13">
        <v>70</v>
      </c>
      <c r="D802" s="13" t="s">
        <v>5752</v>
      </c>
      <c r="E802" s="32" t="s">
        <v>22</v>
      </c>
      <c r="F802" s="4">
        <v>7712.02</v>
      </c>
      <c r="G802" s="28" t="s">
        <v>5755</v>
      </c>
      <c r="H802" s="14">
        <v>43546</v>
      </c>
      <c r="I802" s="4" t="s">
        <v>5754</v>
      </c>
      <c r="J802" s="125"/>
    </row>
    <row r="803" spans="1:19" hidden="1" x14ac:dyDescent="0.25">
      <c r="A803" s="13" t="s">
        <v>151</v>
      </c>
      <c r="B803" s="14">
        <v>43549</v>
      </c>
      <c r="C803" s="13">
        <v>71</v>
      </c>
      <c r="D803" s="13" t="s">
        <v>606</v>
      </c>
      <c r="E803" s="32" t="s">
        <v>22</v>
      </c>
      <c r="F803" s="4">
        <f>3605+2650+1225</f>
        <v>7480</v>
      </c>
      <c r="G803" s="28" t="s">
        <v>5551</v>
      </c>
      <c r="H803" s="14">
        <v>43543</v>
      </c>
      <c r="I803" s="4" t="s">
        <v>5552</v>
      </c>
      <c r="J803" s="125"/>
    </row>
    <row r="804" spans="1:19" hidden="1" x14ac:dyDescent="0.25">
      <c r="A804" s="13" t="s">
        <v>151</v>
      </c>
      <c r="B804" s="14">
        <v>43549</v>
      </c>
      <c r="C804" s="13">
        <v>72</v>
      </c>
      <c r="D804" s="13" t="s">
        <v>596</v>
      </c>
      <c r="E804" s="32" t="s">
        <v>22</v>
      </c>
      <c r="F804" s="4">
        <v>880</v>
      </c>
      <c r="G804" s="28" t="s">
        <v>3609</v>
      </c>
      <c r="H804" s="14">
        <v>43538</v>
      </c>
      <c r="I804" s="4" t="s">
        <v>1</v>
      </c>
      <c r="J804" s="125"/>
    </row>
    <row r="805" spans="1:19" s="50" customFormat="1" hidden="1" x14ac:dyDescent="0.25">
      <c r="A805" s="32" t="s">
        <v>442</v>
      </c>
      <c r="B805" s="14">
        <v>43549</v>
      </c>
      <c r="C805" s="13">
        <v>666</v>
      </c>
      <c r="D805" s="13" t="s">
        <v>5171</v>
      </c>
      <c r="E805" s="32" t="s">
        <v>494</v>
      </c>
      <c r="F805" s="4">
        <v>350000</v>
      </c>
      <c r="G805" s="28" t="s">
        <v>5173</v>
      </c>
      <c r="H805" s="14">
        <v>43344</v>
      </c>
      <c r="I805" s="32" t="s">
        <v>5816</v>
      </c>
      <c r="J805" s="21"/>
      <c r="K805" s="228"/>
      <c r="L805" s="228"/>
      <c r="M805" s="228"/>
      <c r="N805" s="228"/>
    </row>
    <row r="806" spans="1:19" s="31" customFormat="1" ht="13.95" hidden="1" customHeight="1" x14ac:dyDescent="0.25">
      <c r="A806" s="13" t="s">
        <v>637</v>
      </c>
      <c r="B806" s="14">
        <v>43549</v>
      </c>
      <c r="C806" s="13">
        <v>319</v>
      </c>
      <c r="D806" s="13" t="s">
        <v>5440</v>
      </c>
      <c r="E806" s="13" t="s">
        <v>547</v>
      </c>
      <c r="F806" s="37">
        <v>169970.78</v>
      </c>
      <c r="G806" s="29" t="s">
        <v>5441</v>
      </c>
      <c r="H806" s="14">
        <v>43522</v>
      </c>
      <c r="I806" s="4" t="s">
        <v>484</v>
      </c>
      <c r="J806" s="34"/>
      <c r="O806" s="34"/>
      <c r="P806" s="34"/>
      <c r="Q806" s="34"/>
      <c r="R806" s="34"/>
      <c r="S806" s="34"/>
    </row>
    <row r="807" spans="1:19" s="31" customFormat="1" ht="27.6" hidden="1" x14ac:dyDescent="0.25">
      <c r="A807" s="13" t="s">
        <v>91</v>
      </c>
      <c r="B807" s="14">
        <v>43549</v>
      </c>
      <c r="C807" s="13">
        <v>240</v>
      </c>
      <c r="D807" s="13" t="s">
        <v>745</v>
      </c>
      <c r="E807" s="13" t="s">
        <v>2021</v>
      </c>
      <c r="F807" s="37">
        <v>400000</v>
      </c>
      <c r="G807" s="29" t="s">
        <v>2018</v>
      </c>
      <c r="H807" s="14">
        <v>43377</v>
      </c>
      <c r="I807" s="4" t="s">
        <v>484</v>
      </c>
      <c r="J807" s="34"/>
      <c r="O807" s="34"/>
      <c r="P807" s="34"/>
      <c r="Q807" s="34"/>
      <c r="R807" s="34"/>
      <c r="S807" s="34"/>
    </row>
    <row r="808" spans="1:19" ht="27.6" hidden="1" x14ac:dyDescent="0.25">
      <c r="A808" s="32" t="s">
        <v>129</v>
      </c>
      <c r="B808" s="14">
        <v>43549</v>
      </c>
      <c r="C808" s="67">
        <v>530</v>
      </c>
      <c r="D808" s="32" t="s">
        <v>373</v>
      </c>
      <c r="E808" s="32" t="s">
        <v>1427</v>
      </c>
      <c r="F808" s="4">
        <f>1705795.79</f>
        <v>1705795.79</v>
      </c>
      <c r="G808" s="28" t="s">
        <v>1405</v>
      </c>
      <c r="H808" s="14">
        <v>43152</v>
      </c>
      <c r="I808" s="4" t="s">
        <v>362</v>
      </c>
      <c r="J808" s="166" t="s">
        <v>721</v>
      </c>
      <c r="K808" s="167"/>
      <c r="L808" s="35"/>
    </row>
    <row r="809" spans="1:19" ht="27.6" hidden="1" x14ac:dyDescent="0.25">
      <c r="A809" s="32" t="s">
        <v>215</v>
      </c>
      <c r="B809" s="14">
        <v>43549</v>
      </c>
      <c r="C809" s="67">
        <v>531</v>
      </c>
      <c r="D809" s="32" t="s">
        <v>373</v>
      </c>
      <c r="E809" s="32" t="s">
        <v>1427</v>
      </c>
      <c r="F809" s="4">
        <v>548825.73</v>
      </c>
      <c r="G809" s="28" t="s">
        <v>1406</v>
      </c>
      <c r="H809" s="14">
        <v>43152</v>
      </c>
      <c r="I809" s="4" t="s">
        <v>362</v>
      </c>
      <c r="J809" s="166" t="s">
        <v>721</v>
      </c>
      <c r="K809" s="167"/>
      <c r="L809" s="35"/>
    </row>
    <row r="810" spans="1:19" ht="27.6" hidden="1" x14ac:dyDescent="0.25">
      <c r="A810" s="32" t="s">
        <v>261</v>
      </c>
      <c r="B810" s="14">
        <v>43549</v>
      </c>
      <c r="C810" s="67">
        <v>532</v>
      </c>
      <c r="D810" s="32" t="s">
        <v>595</v>
      </c>
      <c r="E810" s="32" t="s">
        <v>5586</v>
      </c>
      <c r="F810" s="4">
        <v>773643.03</v>
      </c>
      <c r="G810" s="29" t="s">
        <v>3284</v>
      </c>
      <c r="H810" s="14">
        <v>43445</v>
      </c>
      <c r="I810" s="41" t="s">
        <v>949</v>
      </c>
      <c r="J810" s="166" t="s">
        <v>239</v>
      </c>
      <c r="K810" s="167"/>
      <c r="L810" s="35"/>
    </row>
    <row r="811" spans="1:19" ht="15" hidden="1" customHeight="1" x14ac:dyDescent="0.25">
      <c r="A811" s="61" t="s">
        <v>1934</v>
      </c>
      <c r="B811" s="14">
        <v>43549</v>
      </c>
      <c r="C811" s="13">
        <v>278</v>
      </c>
      <c r="D811" s="32" t="s">
        <v>281</v>
      </c>
      <c r="E811" s="32" t="s">
        <v>136</v>
      </c>
      <c r="F811" s="4">
        <v>688923.48</v>
      </c>
      <c r="G811" s="29" t="s">
        <v>5496</v>
      </c>
      <c r="H811" s="14">
        <v>43536</v>
      </c>
      <c r="I811" s="41" t="s">
        <v>362</v>
      </c>
      <c r="J811" s="35" t="s">
        <v>721</v>
      </c>
      <c r="K811" s="35"/>
      <c r="L811" s="35"/>
    </row>
    <row r="812" spans="1:19" ht="15" hidden="1" customHeight="1" x14ac:dyDescent="0.25">
      <c r="A812" s="61" t="s">
        <v>1934</v>
      </c>
      <c r="B812" s="14">
        <v>43549</v>
      </c>
      <c r="C812" s="13">
        <v>279</v>
      </c>
      <c r="D812" s="32" t="s">
        <v>281</v>
      </c>
      <c r="E812" s="32" t="s">
        <v>136</v>
      </c>
      <c r="F812" s="4">
        <v>752294</v>
      </c>
      <c r="G812" s="29" t="s">
        <v>4196</v>
      </c>
      <c r="H812" s="14">
        <v>43479</v>
      </c>
      <c r="I812" s="41" t="s">
        <v>847</v>
      </c>
      <c r="J812" s="35" t="s">
        <v>366</v>
      </c>
      <c r="K812" s="35"/>
      <c r="L812" s="35"/>
    </row>
    <row r="813" spans="1:19" ht="15" hidden="1" customHeight="1" x14ac:dyDescent="0.25">
      <c r="A813" s="68" t="s">
        <v>206</v>
      </c>
      <c r="B813" s="14">
        <v>43549</v>
      </c>
      <c r="C813" s="13">
        <v>55</v>
      </c>
      <c r="D813" s="32" t="s">
        <v>281</v>
      </c>
      <c r="E813" s="32" t="s">
        <v>178</v>
      </c>
      <c r="F813" s="4">
        <v>5382.04</v>
      </c>
      <c r="G813" s="29" t="s">
        <v>5505</v>
      </c>
      <c r="H813" s="14">
        <v>43536</v>
      </c>
      <c r="I813" s="41" t="s">
        <v>362</v>
      </c>
      <c r="J813" s="35" t="s">
        <v>721</v>
      </c>
      <c r="K813" s="35"/>
      <c r="L813" s="35"/>
    </row>
    <row r="814" spans="1:19" ht="15" hidden="1" customHeight="1" x14ac:dyDescent="0.25">
      <c r="A814" s="68" t="s">
        <v>206</v>
      </c>
      <c r="B814" s="14">
        <v>43549</v>
      </c>
      <c r="C814" s="13">
        <v>56</v>
      </c>
      <c r="D814" s="32" t="s">
        <v>281</v>
      </c>
      <c r="E814" s="32" t="s">
        <v>178</v>
      </c>
      <c r="F814" s="4">
        <v>23784</v>
      </c>
      <c r="G814" s="29" t="s">
        <v>4187</v>
      </c>
      <c r="H814" s="14">
        <v>43508</v>
      </c>
      <c r="I814" s="41" t="s">
        <v>847</v>
      </c>
      <c r="J814" s="35" t="s">
        <v>366</v>
      </c>
      <c r="K814" s="35"/>
      <c r="L814" s="35"/>
    </row>
    <row r="815" spans="1:19" ht="15" hidden="1" customHeight="1" x14ac:dyDescent="0.25">
      <c r="A815" s="32" t="s">
        <v>455</v>
      </c>
      <c r="B815" s="14">
        <v>43549</v>
      </c>
      <c r="C815" s="13">
        <v>209</v>
      </c>
      <c r="D815" s="32" t="s">
        <v>281</v>
      </c>
      <c r="E815" s="32" t="s">
        <v>440</v>
      </c>
      <c r="F815" s="4">
        <v>419678</v>
      </c>
      <c r="G815" s="29" t="s">
        <v>4183</v>
      </c>
      <c r="H815" s="14">
        <v>43509</v>
      </c>
      <c r="I815" s="41" t="s">
        <v>847</v>
      </c>
      <c r="J815" s="35" t="s">
        <v>366</v>
      </c>
      <c r="K815" s="35"/>
      <c r="L815" s="35"/>
    </row>
    <row r="816" spans="1:19" ht="15" hidden="1" customHeight="1" x14ac:dyDescent="0.25">
      <c r="A816" s="32" t="s">
        <v>310</v>
      </c>
      <c r="B816" s="14">
        <v>43549</v>
      </c>
      <c r="C816" s="13">
        <v>90</v>
      </c>
      <c r="D816" s="32" t="s">
        <v>281</v>
      </c>
      <c r="E816" s="32" t="s">
        <v>314</v>
      </c>
      <c r="F816" s="4">
        <v>397577</v>
      </c>
      <c r="G816" s="29" t="s">
        <v>4193</v>
      </c>
      <c r="H816" s="14">
        <v>43508</v>
      </c>
      <c r="I816" s="41" t="s">
        <v>847</v>
      </c>
      <c r="J816" s="35" t="s">
        <v>366</v>
      </c>
      <c r="K816" s="35"/>
      <c r="L816" s="35"/>
    </row>
    <row r="817" spans="1:19" s="62" customFormat="1" ht="13.95" hidden="1" customHeight="1" x14ac:dyDescent="0.25">
      <c r="A817" s="13" t="s">
        <v>92</v>
      </c>
      <c r="B817" s="14">
        <v>43549</v>
      </c>
      <c r="C817" s="13">
        <v>652</v>
      </c>
      <c r="D817" s="13" t="s">
        <v>2928</v>
      </c>
      <c r="E817" s="13" t="s">
        <v>140</v>
      </c>
      <c r="F817" s="37">
        <v>128100</v>
      </c>
      <c r="G817" s="29" t="s">
        <v>5773</v>
      </c>
      <c r="H817" s="14">
        <v>43536</v>
      </c>
      <c r="I817" s="4" t="s">
        <v>2930</v>
      </c>
      <c r="J817" s="393" t="s">
        <v>5774</v>
      </c>
      <c r="O817" s="35"/>
      <c r="P817" s="35"/>
      <c r="Q817" s="35"/>
      <c r="R817" s="35"/>
      <c r="S817" s="35"/>
    </row>
    <row r="818" spans="1:19" s="192" customFormat="1" ht="14.85" hidden="1" customHeight="1" x14ac:dyDescent="0.25">
      <c r="A818" s="147" t="s">
        <v>242</v>
      </c>
      <c r="B818" s="14">
        <v>43549</v>
      </c>
      <c r="C818" s="195">
        <v>653</v>
      </c>
      <c r="D818" s="149" t="s">
        <v>840</v>
      </c>
      <c r="E818" s="147" t="s">
        <v>140</v>
      </c>
      <c r="F818" s="158">
        <v>299107.84000000003</v>
      </c>
      <c r="G818" s="150" t="s">
        <v>5411</v>
      </c>
      <c r="H818" s="148">
        <v>43531</v>
      </c>
      <c r="I818" s="149" t="s">
        <v>143</v>
      </c>
      <c r="J818" s="193"/>
      <c r="K818" s="194"/>
      <c r="L818" s="190"/>
    </row>
    <row r="819" spans="1:19" s="192" customFormat="1" hidden="1" x14ac:dyDescent="0.25">
      <c r="A819" s="147" t="s">
        <v>242</v>
      </c>
      <c r="B819" s="14">
        <v>43549</v>
      </c>
      <c r="C819" s="187">
        <v>654</v>
      </c>
      <c r="D819" s="149" t="s">
        <v>388</v>
      </c>
      <c r="E819" s="147" t="s">
        <v>140</v>
      </c>
      <c r="F819" s="158">
        <v>924900.45</v>
      </c>
      <c r="G819" s="150" t="s">
        <v>1191</v>
      </c>
      <c r="H819" s="148">
        <v>43537</v>
      </c>
      <c r="I819" s="149" t="s">
        <v>143</v>
      </c>
      <c r="J819" s="193"/>
      <c r="K819" s="194"/>
      <c r="L819" s="190"/>
    </row>
    <row r="820" spans="1:19" s="192" customFormat="1" hidden="1" x14ac:dyDescent="0.25">
      <c r="A820" s="147" t="s">
        <v>242</v>
      </c>
      <c r="B820" s="14">
        <v>43549</v>
      </c>
      <c r="C820" s="187">
        <v>655</v>
      </c>
      <c r="D820" s="149" t="s">
        <v>2426</v>
      </c>
      <c r="E820" s="147" t="s">
        <v>140</v>
      </c>
      <c r="F820" s="158">
        <v>190206.04</v>
      </c>
      <c r="G820" s="150" t="s">
        <v>3104</v>
      </c>
      <c r="H820" s="148">
        <v>43537</v>
      </c>
      <c r="I820" s="149" t="s">
        <v>143</v>
      </c>
      <c r="J820" s="193"/>
      <c r="K820" s="194"/>
      <c r="L820" s="190"/>
    </row>
    <row r="821" spans="1:19" s="192" customFormat="1" hidden="1" x14ac:dyDescent="0.25">
      <c r="A821" s="147" t="s">
        <v>242</v>
      </c>
      <c r="B821" s="14">
        <v>43549</v>
      </c>
      <c r="C821" s="195">
        <v>656</v>
      </c>
      <c r="D821" s="233" t="s">
        <v>784</v>
      </c>
      <c r="E821" s="147" t="s">
        <v>140</v>
      </c>
      <c r="F821" s="158">
        <v>1915528.35</v>
      </c>
      <c r="G821" s="150" t="s">
        <v>724</v>
      </c>
      <c r="H821" s="148">
        <v>43537</v>
      </c>
      <c r="I821" s="233" t="s">
        <v>143</v>
      </c>
      <c r="J821" s="193"/>
      <c r="K821" s="194"/>
      <c r="L821" s="190"/>
    </row>
    <row r="822" spans="1:19" s="192" customFormat="1" ht="14.85" hidden="1" customHeight="1" x14ac:dyDescent="0.25">
      <c r="A822" s="147" t="s">
        <v>242</v>
      </c>
      <c r="B822" s="14">
        <v>43549</v>
      </c>
      <c r="C822" s="195">
        <v>657</v>
      </c>
      <c r="D822" s="149" t="s">
        <v>1816</v>
      </c>
      <c r="E822" s="147" t="s">
        <v>140</v>
      </c>
      <c r="F822" s="158">
        <v>74954.880000000005</v>
      </c>
      <c r="G822" s="150" t="s">
        <v>199</v>
      </c>
      <c r="H822" s="148">
        <v>43537</v>
      </c>
      <c r="I822" s="149" t="s">
        <v>143</v>
      </c>
      <c r="J822" s="193"/>
      <c r="K822" s="194"/>
      <c r="L822" s="190"/>
    </row>
    <row r="823" spans="1:19" s="192" customFormat="1" ht="14.85" hidden="1" customHeight="1" x14ac:dyDescent="0.25">
      <c r="A823" s="147" t="s">
        <v>242</v>
      </c>
      <c r="B823" s="14">
        <v>43549</v>
      </c>
      <c r="C823" s="195">
        <v>657</v>
      </c>
      <c r="D823" s="149" t="s">
        <v>1816</v>
      </c>
      <c r="E823" s="147" t="s">
        <v>140</v>
      </c>
      <c r="F823" s="158">
        <v>76624.399999999994</v>
      </c>
      <c r="G823" s="150" t="s">
        <v>3143</v>
      </c>
      <c r="H823" s="148">
        <v>43537</v>
      </c>
      <c r="I823" s="149" t="s">
        <v>143</v>
      </c>
      <c r="J823" s="193"/>
      <c r="K823" s="194"/>
      <c r="L823" s="190"/>
    </row>
    <row r="824" spans="1:19" s="192" customFormat="1" ht="14.85" hidden="1" customHeight="1" x14ac:dyDescent="0.25">
      <c r="A824" s="147" t="s">
        <v>242</v>
      </c>
      <c r="B824" s="14">
        <v>43549</v>
      </c>
      <c r="C824" s="195">
        <v>657</v>
      </c>
      <c r="D824" s="149" t="s">
        <v>1816</v>
      </c>
      <c r="E824" s="147" t="s">
        <v>140</v>
      </c>
      <c r="F824" s="158">
        <v>72384</v>
      </c>
      <c r="G824" s="150" t="s">
        <v>2819</v>
      </c>
      <c r="H824" s="148">
        <v>43537</v>
      </c>
      <c r="I824" s="149" t="s">
        <v>143</v>
      </c>
      <c r="J824" s="193"/>
      <c r="K824" s="194"/>
      <c r="L824" s="190"/>
    </row>
    <row r="825" spans="1:19" s="62" customFormat="1" ht="13.95" hidden="1" customHeight="1" x14ac:dyDescent="0.25">
      <c r="A825" s="13" t="s">
        <v>639</v>
      </c>
      <c r="B825" s="14">
        <v>43549</v>
      </c>
      <c r="C825" s="13">
        <v>520</v>
      </c>
      <c r="D825" s="13" t="s">
        <v>4166</v>
      </c>
      <c r="E825" s="13" t="s">
        <v>130</v>
      </c>
      <c r="F825" s="37">
        <v>45000</v>
      </c>
      <c r="G825" s="29" t="s">
        <v>479</v>
      </c>
      <c r="H825" s="14">
        <v>43536</v>
      </c>
      <c r="I825" s="4" t="s">
        <v>5772</v>
      </c>
      <c r="J825" s="71"/>
      <c r="O825" s="35"/>
      <c r="P825" s="35"/>
      <c r="Q825" s="35"/>
      <c r="R825" s="35"/>
      <c r="S825" s="35"/>
    </row>
    <row r="826" spans="1:19" ht="13.95" hidden="1" customHeight="1" x14ac:dyDescent="0.25">
      <c r="A826" s="61" t="s">
        <v>1148</v>
      </c>
      <c r="B826" s="14">
        <v>43549</v>
      </c>
      <c r="C826" s="13">
        <v>521</v>
      </c>
      <c r="D826" s="32" t="s">
        <v>390</v>
      </c>
      <c r="E826" s="32" t="s">
        <v>130</v>
      </c>
      <c r="F826" s="4">
        <v>300750</v>
      </c>
      <c r="G826" s="210" t="s">
        <v>2440</v>
      </c>
      <c r="H826" s="211">
        <v>43451</v>
      </c>
      <c r="I826" s="84" t="s">
        <v>255</v>
      </c>
      <c r="J826" s="21"/>
      <c r="K826" s="389"/>
      <c r="L826" s="388"/>
    </row>
    <row r="827" spans="1:19" s="62" customFormat="1" ht="13.95" hidden="1" customHeight="1" x14ac:dyDescent="0.25">
      <c r="A827" s="13" t="s">
        <v>495</v>
      </c>
      <c r="B827" s="14">
        <v>43549</v>
      </c>
      <c r="C827" s="13">
        <v>522</v>
      </c>
      <c r="D827" s="13" t="s">
        <v>133</v>
      </c>
      <c r="E827" s="13" t="s">
        <v>130</v>
      </c>
      <c r="F827" s="37">
        <v>198000</v>
      </c>
      <c r="G827" s="29" t="s">
        <v>5511</v>
      </c>
      <c r="H827" s="14">
        <v>43518</v>
      </c>
      <c r="I827" s="4" t="s">
        <v>5512</v>
      </c>
      <c r="J827" s="71" t="s">
        <v>4738</v>
      </c>
      <c r="O827" s="35"/>
      <c r="P827" s="35"/>
      <c r="Q827" s="35"/>
      <c r="R827" s="35"/>
      <c r="S827" s="35"/>
    </row>
    <row r="828" spans="1:19" s="62" customFormat="1" ht="27.6" hidden="1" x14ac:dyDescent="0.25">
      <c r="A828" s="61" t="s">
        <v>91</v>
      </c>
      <c r="B828" s="14">
        <v>43549</v>
      </c>
      <c r="C828" s="13">
        <v>523</v>
      </c>
      <c r="D828" s="13" t="s">
        <v>133</v>
      </c>
      <c r="E828" s="13" t="s">
        <v>130</v>
      </c>
      <c r="F828" s="37">
        <v>51920</v>
      </c>
      <c r="G828" s="29" t="s">
        <v>4057</v>
      </c>
      <c r="H828" s="14">
        <v>43438</v>
      </c>
      <c r="I828" s="4" t="s">
        <v>4058</v>
      </c>
      <c r="J828" s="71" t="s">
        <v>2766</v>
      </c>
      <c r="O828" s="35"/>
      <c r="P828" s="35"/>
      <c r="Q828" s="35"/>
      <c r="R828" s="35"/>
      <c r="S828" s="35"/>
    </row>
    <row r="829" spans="1:19" s="62" customFormat="1" ht="13.95" hidden="1" customHeight="1" x14ac:dyDescent="0.25">
      <c r="A829" s="61" t="s">
        <v>91</v>
      </c>
      <c r="B829" s="14">
        <v>43549</v>
      </c>
      <c r="C829" s="13">
        <v>524</v>
      </c>
      <c r="D829" s="13" t="s">
        <v>133</v>
      </c>
      <c r="E829" s="13" t="s">
        <v>130</v>
      </c>
      <c r="F829" s="37">
        <v>175230</v>
      </c>
      <c r="G829" s="29" t="s">
        <v>1831</v>
      </c>
      <c r="H829" s="14">
        <v>43301</v>
      </c>
      <c r="I829" s="4" t="s">
        <v>1699</v>
      </c>
      <c r="J829" s="71" t="s">
        <v>1832</v>
      </c>
      <c r="O829" s="35"/>
      <c r="P829" s="35"/>
      <c r="Q829" s="35"/>
      <c r="R829" s="35"/>
      <c r="S829" s="35"/>
    </row>
    <row r="830" spans="1:19" s="62" customFormat="1" ht="13.95" hidden="1" customHeight="1" x14ac:dyDescent="0.25">
      <c r="A830" s="13" t="s">
        <v>91</v>
      </c>
      <c r="B830" s="14">
        <v>43549</v>
      </c>
      <c r="C830" s="13">
        <v>525</v>
      </c>
      <c r="D830" s="13" t="s">
        <v>267</v>
      </c>
      <c r="E830" s="13" t="s">
        <v>130</v>
      </c>
      <c r="F830" s="37">
        <v>89600</v>
      </c>
      <c r="G830" s="29" t="s">
        <v>3212</v>
      </c>
      <c r="H830" s="14">
        <v>43496</v>
      </c>
      <c r="I830" s="4" t="s">
        <v>576</v>
      </c>
      <c r="J830" s="71"/>
      <c r="O830" s="35"/>
      <c r="P830" s="35"/>
      <c r="Q830" s="35"/>
      <c r="R830" s="35"/>
      <c r="S830" s="35"/>
    </row>
    <row r="831" spans="1:19" s="62" customFormat="1" ht="13.95" hidden="1" customHeight="1" x14ac:dyDescent="0.25">
      <c r="A831" s="13" t="s">
        <v>92</v>
      </c>
      <c r="B831" s="14">
        <v>43549</v>
      </c>
      <c r="C831" s="13">
        <v>526</v>
      </c>
      <c r="D831" s="13" t="s">
        <v>267</v>
      </c>
      <c r="E831" s="13" t="s">
        <v>130</v>
      </c>
      <c r="F831" s="37">
        <v>86400</v>
      </c>
      <c r="G831" s="29" t="s">
        <v>3236</v>
      </c>
      <c r="H831" s="14">
        <v>43496</v>
      </c>
      <c r="I831" s="4" t="s">
        <v>576</v>
      </c>
      <c r="J831" s="71"/>
      <c r="O831" s="35"/>
      <c r="P831" s="35"/>
      <c r="Q831" s="35"/>
      <c r="R831" s="35"/>
      <c r="S831" s="35"/>
    </row>
    <row r="832" spans="1:19" s="62" customFormat="1" ht="13.95" hidden="1" customHeight="1" x14ac:dyDescent="0.25">
      <c r="A832" s="13" t="s">
        <v>310</v>
      </c>
      <c r="B832" s="14">
        <v>43549</v>
      </c>
      <c r="C832" s="13">
        <v>527</v>
      </c>
      <c r="D832" s="13" t="s">
        <v>267</v>
      </c>
      <c r="E832" s="13" t="s">
        <v>130</v>
      </c>
      <c r="F832" s="37">
        <v>37100</v>
      </c>
      <c r="G832" s="29" t="s">
        <v>2963</v>
      </c>
      <c r="H832" s="14">
        <v>43496</v>
      </c>
      <c r="I832" s="4" t="s">
        <v>576</v>
      </c>
      <c r="J832" s="71"/>
      <c r="O832" s="35"/>
      <c r="P832" s="35"/>
      <c r="Q832" s="35"/>
      <c r="R832" s="35"/>
      <c r="S832" s="35"/>
    </row>
    <row r="833" spans="1:12" hidden="1" x14ac:dyDescent="0.25">
      <c r="A833" s="32" t="s">
        <v>261</v>
      </c>
      <c r="B833" s="14">
        <v>43549</v>
      </c>
      <c r="C833" s="13">
        <v>528</v>
      </c>
      <c r="D833" s="13" t="s">
        <v>4843</v>
      </c>
      <c r="E833" s="13" t="s">
        <v>130</v>
      </c>
      <c r="F833" s="37">
        <v>18090</v>
      </c>
      <c r="G833" s="29" t="s">
        <v>4847</v>
      </c>
      <c r="H833" s="14">
        <v>43524</v>
      </c>
      <c r="I833" s="4" t="s">
        <v>182</v>
      </c>
    </row>
    <row r="834" spans="1:12" hidden="1" x14ac:dyDescent="0.25">
      <c r="A834" s="61" t="s">
        <v>956</v>
      </c>
      <c r="B834" s="14">
        <v>43549</v>
      </c>
      <c r="C834" s="13">
        <v>528</v>
      </c>
      <c r="D834" s="13" t="s">
        <v>4843</v>
      </c>
      <c r="E834" s="13" t="s">
        <v>130</v>
      </c>
      <c r="F834" s="37">
        <v>36180</v>
      </c>
      <c r="G834" s="29" t="s">
        <v>4848</v>
      </c>
      <c r="H834" s="14">
        <v>43524</v>
      </c>
      <c r="I834" s="4" t="s">
        <v>182</v>
      </c>
    </row>
    <row r="835" spans="1:12" hidden="1" x14ac:dyDescent="0.25">
      <c r="A835" s="61" t="s">
        <v>310</v>
      </c>
      <c r="B835" s="14">
        <v>43549</v>
      </c>
      <c r="C835" s="13">
        <v>528</v>
      </c>
      <c r="D835" s="13" t="s">
        <v>4843</v>
      </c>
      <c r="E835" s="13" t="s">
        <v>130</v>
      </c>
      <c r="F835" s="37">
        <v>54270</v>
      </c>
      <c r="G835" s="29" t="s">
        <v>4849</v>
      </c>
      <c r="H835" s="14">
        <v>43524</v>
      </c>
      <c r="I835" s="4" t="s">
        <v>182</v>
      </c>
    </row>
    <row r="836" spans="1:12" hidden="1" x14ac:dyDescent="0.25">
      <c r="A836" s="13" t="s">
        <v>1350</v>
      </c>
      <c r="B836" s="14">
        <v>43549</v>
      </c>
      <c r="C836" s="13">
        <v>528</v>
      </c>
      <c r="D836" s="13" t="s">
        <v>4843</v>
      </c>
      <c r="E836" s="13" t="s">
        <v>130</v>
      </c>
      <c r="F836" s="37">
        <v>18090</v>
      </c>
      <c r="G836" s="29" t="s">
        <v>4850</v>
      </c>
      <c r="H836" s="14">
        <v>43524</v>
      </c>
      <c r="I836" s="4" t="s">
        <v>182</v>
      </c>
    </row>
    <row r="837" spans="1:12" hidden="1" x14ac:dyDescent="0.25">
      <c r="A837" s="32" t="s">
        <v>637</v>
      </c>
      <c r="B837" s="14">
        <v>43549</v>
      </c>
      <c r="C837" s="13">
        <v>528</v>
      </c>
      <c r="D837" s="13" t="s">
        <v>4843</v>
      </c>
      <c r="E837" s="13" t="s">
        <v>130</v>
      </c>
      <c r="F837" s="37">
        <v>72360</v>
      </c>
      <c r="G837" s="29" t="s">
        <v>4851</v>
      </c>
      <c r="H837" s="14">
        <v>43524</v>
      </c>
      <c r="I837" s="4" t="s">
        <v>182</v>
      </c>
    </row>
    <row r="838" spans="1:12" hidden="1" x14ac:dyDescent="0.25">
      <c r="A838" s="61" t="s">
        <v>1148</v>
      </c>
      <c r="B838" s="14">
        <v>43549</v>
      </c>
      <c r="C838" s="13">
        <v>529</v>
      </c>
      <c r="D838" s="13" t="s">
        <v>971</v>
      </c>
      <c r="E838" s="13" t="s">
        <v>130</v>
      </c>
      <c r="F838" s="4">
        <v>120600</v>
      </c>
      <c r="G838" s="28" t="s">
        <v>300</v>
      </c>
      <c r="H838" s="14">
        <v>43496</v>
      </c>
      <c r="I838" s="4" t="s">
        <v>182</v>
      </c>
    </row>
    <row r="839" spans="1:12" hidden="1" x14ac:dyDescent="0.25">
      <c r="A839" s="61" t="s">
        <v>91</v>
      </c>
      <c r="B839" s="14">
        <v>43549</v>
      </c>
      <c r="C839" s="13">
        <v>529</v>
      </c>
      <c r="D839" s="13" t="s">
        <v>971</v>
      </c>
      <c r="E839" s="13" t="s">
        <v>130</v>
      </c>
      <c r="F839" s="4">
        <v>180230</v>
      </c>
      <c r="G839" s="28" t="s">
        <v>728</v>
      </c>
      <c r="H839" s="14">
        <v>43496</v>
      </c>
      <c r="I839" s="4" t="s">
        <v>182</v>
      </c>
    </row>
    <row r="840" spans="1:12" s="2" customFormat="1" hidden="1" x14ac:dyDescent="0.25">
      <c r="A840" s="68" t="s">
        <v>103</v>
      </c>
      <c r="B840" s="14">
        <v>43549</v>
      </c>
      <c r="C840" s="13">
        <v>513</v>
      </c>
      <c r="D840" s="13" t="s">
        <v>1513</v>
      </c>
      <c r="E840" s="13" t="s">
        <v>62</v>
      </c>
      <c r="F840" s="4">
        <v>489000</v>
      </c>
      <c r="G840" s="28" t="s">
        <v>1158</v>
      </c>
      <c r="H840" s="14">
        <v>43539</v>
      </c>
      <c r="I840" s="4" t="s">
        <v>2692</v>
      </c>
      <c r="J840" s="121"/>
      <c r="K840" s="5"/>
    </row>
    <row r="841" spans="1:12" s="2" customFormat="1" hidden="1" x14ac:dyDescent="0.25">
      <c r="A841" s="61" t="s">
        <v>103</v>
      </c>
      <c r="B841" s="14">
        <v>43549</v>
      </c>
      <c r="C841" s="13">
        <v>514</v>
      </c>
      <c r="D841" s="13" t="s">
        <v>1329</v>
      </c>
      <c r="E841" s="13" t="s">
        <v>62</v>
      </c>
      <c r="F841" s="37">
        <v>6384</v>
      </c>
      <c r="G841" s="29" t="s">
        <v>196</v>
      </c>
      <c r="H841" s="14">
        <v>43488</v>
      </c>
      <c r="I841" s="4" t="s">
        <v>5381</v>
      </c>
      <c r="J841" s="121"/>
      <c r="K841" s="5"/>
    </row>
    <row r="842" spans="1:12" ht="13.95" hidden="1" customHeight="1" x14ac:dyDescent="0.25">
      <c r="A842" s="13" t="s">
        <v>103</v>
      </c>
      <c r="B842" s="14">
        <v>43549</v>
      </c>
      <c r="C842" s="13">
        <v>515</v>
      </c>
      <c r="D842" s="32" t="s">
        <v>910</v>
      </c>
      <c r="E842" s="32" t="s">
        <v>62</v>
      </c>
      <c r="F842" s="4">
        <v>2920</v>
      </c>
      <c r="G842" s="29" t="s">
        <v>5775</v>
      </c>
      <c r="H842" s="14">
        <v>43524</v>
      </c>
      <c r="I842" s="41" t="s">
        <v>911</v>
      </c>
      <c r="J842" s="21" t="s">
        <v>721</v>
      </c>
      <c r="K842" s="228"/>
    </row>
    <row r="843" spans="1:12" s="97" customFormat="1" hidden="1" x14ac:dyDescent="0.25">
      <c r="A843" s="61" t="s">
        <v>442</v>
      </c>
      <c r="B843" s="14">
        <v>43549</v>
      </c>
      <c r="C843" s="13">
        <v>516</v>
      </c>
      <c r="D843" s="13" t="s">
        <v>4894</v>
      </c>
      <c r="E843" s="13" t="s">
        <v>62</v>
      </c>
      <c r="F843" s="37">
        <v>74496.05</v>
      </c>
      <c r="G843" s="29" t="s">
        <v>3522</v>
      </c>
      <c r="H843" s="14">
        <v>43524</v>
      </c>
      <c r="I843" s="4" t="s">
        <v>4684</v>
      </c>
      <c r="J843" s="133"/>
      <c r="K843" s="22"/>
      <c r="L843" s="134"/>
    </row>
    <row r="844" spans="1:12" s="97" customFormat="1" hidden="1" x14ac:dyDescent="0.25">
      <c r="A844" s="61" t="s">
        <v>442</v>
      </c>
      <c r="B844" s="14">
        <v>43549</v>
      </c>
      <c r="C844" s="13">
        <v>517</v>
      </c>
      <c r="D844" s="13" t="s">
        <v>304</v>
      </c>
      <c r="E844" s="13" t="s">
        <v>62</v>
      </c>
      <c r="F844" s="37">
        <v>434544</v>
      </c>
      <c r="G844" s="29" t="s">
        <v>5386</v>
      </c>
      <c r="H844" s="14">
        <v>43516</v>
      </c>
      <c r="I844" s="4" t="s">
        <v>1826</v>
      </c>
      <c r="J844" s="133"/>
      <c r="K844" s="22"/>
      <c r="L844" s="134"/>
    </row>
    <row r="845" spans="1:12" s="97" customFormat="1" hidden="1" x14ac:dyDescent="0.25">
      <c r="A845" s="32" t="s">
        <v>442</v>
      </c>
      <c r="B845" s="14">
        <v>43549</v>
      </c>
      <c r="C845" s="13">
        <v>533</v>
      </c>
      <c r="D845" s="13" t="s">
        <v>740</v>
      </c>
      <c r="E845" s="13" t="s">
        <v>62</v>
      </c>
      <c r="F845" s="4">
        <v>396000</v>
      </c>
      <c r="G845" s="28" t="s">
        <v>4332</v>
      </c>
      <c r="H845" s="14">
        <v>43481</v>
      </c>
      <c r="I845" s="4" t="s">
        <v>1331</v>
      </c>
      <c r="J845" s="133"/>
      <c r="K845" s="22"/>
      <c r="L845" s="134"/>
    </row>
    <row r="846" spans="1:12" s="97" customFormat="1" hidden="1" x14ac:dyDescent="0.25">
      <c r="A846" s="32" t="s">
        <v>442</v>
      </c>
      <c r="B846" s="14">
        <v>43549</v>
      </c>
      <c r="C846" s="13">
        <v>533</v>
      </c>
      <c r="D846" s="13" t="s">
        <v>740</v>
      </c>
      <c r="E846" s="13" t="s">
        <v>62</v>
      </c>
      <c r="F846" s="4">
        <v>396000</v>
      </c>
      <c r="G846" s="28" t="s">
        <v>4333</v>
      </c>
      <c r="H846" s="14">
        <v>43481</v>
      </c>
      <c r="I846" s="4" t="s">
        <v>1331</v>
      </c>
      <c r="J846" s="133"/>
      <c r="K846" s="22"/>
      <c r="L846" s="134"/>
    </row>
    <row r="847" spans="1:12" s="97" customFormat="1" hidden="1" x14ac:dyDescent="0.25">
      <c r="A847" s="61" t="s">
        <v>442</v>
      </c>
      <c r="B847" s="14">
        <v>43549</v>
      </c>
      <c r="C847" s="13">
        <v>518</v>
      </c>
      <c r="D847" s="13" t="s">
        <v>254</v>
      </c>
      <c r="E847" s="13" t="s">
        <v>62</v>
      </c>
      <c r="F847" s="37">
        <v>829999.98</v>
      </c>
      <c r="G847" s="29" t="s">
        <v>4342</v>
      </c>
      <c r="H847" s="14">
        <v>43511</v>
      </c>
      <c r="I847" s="4" t="s">
        <v>735</v>
      </c>
      <c r="J847" s="133"/>
      <c r="K847" s="22"/>
      <c r="L847" s="134"/>
    </row>
    <row r="848" spans="1:12" s="97" customFormat="1" hidden="1" x14ac:dyDescent="0.25">
      <c r="A848" s="61" t="s">
        <v>442</v>
      </c>
      <c r="B848" s="14">
        <v>43549</v>
      </c>
      <c r="C848" s="13">
        <v>519</v>
      </c>
      <c r="D848" s="13" t="s">
        <v>243</v>
      </c>
      <c r="E848" s="13" t="s">
        <v>62</v>
      </c>
      <c r="F848" s="37">
        <v>785479.68000000005</v>
      </c>
      <c r="G848" s="29" t="s">
        <v>1320</v>
      </c>
      <c r="H848" s="14">
        <v>43509</v>
      </c>
      <c r="I848" s="4" t="s">
        <v>4352</v>
      </c>
      <c r="J848" s="133"/>
      <c r="K848" s="22"/>
      <c r="L848" s="134"/>
    </row>
    <row r="849" spans="1:12" s="97" customFormat="1" hidden="1" x14ac:dyDescent="0.25">
      <c r="A849" s="61" t="s">
        <v>91</v>
      </c>
      <c r="B849" s="14">
        <v>43549</v>
      </c>
      <c r="C849" s="13">
        <v>520</v>
      </c>
      <c r="D849" s="13" t="s">
        <v>869</v>
      </c>
      <c r="E849" s="13" t="s">
        <v>62</v>
      </c>
      <c r="F849" s="37">
        <v>109541.32</v>
      </c>
      <c r="G849" s="29" t="s">
        <v>4729</v>
      </c>
      <c r="H849" s="14">
        <v>43518</v>
      </c>
      <c r="I849" s="4" t="s">
        <v>572</v>
      </c>
      <c r="J849" s="133"/>
      <c r="K849" s="22"/>
      <c r="L849" s="134"/>
    </row>
    <row r="850" spans="1:12" s="97" customFormat="1" hidden="1" x14ac:dyDescent="0.25">
      <c r="A850" s="32" t="s">
        <v>442</v>
      </c>
      <c r="B850" s="14">
        <v>43549</v>
      </c>
      <c r="C850" s="13">
        <v>530</v>
      </c>
      <c r="D850" s="13" t="s">
        <v>100</v>
      </c>
      <c r="E850" s="13" t="s">
        <v>62</v>
      </c>
      <c r="F850" s="37">
        <f>361028.88-200000</f>
        <v>161028.88</v>
      </c>
      <c r="G850" s="29" t="s">
        <v>4132</v>
      </c>
      <c r="H850" s="14">
        <v>43508</v>
      </c>
      <c r="I850" s="4" t="s">
        <v>572</v>
      </c>
      <c r="J850" s="133"/>
      <c r="K850" s="22"/>
      <c r="L850" s="134"/>
    </row>
    <row r="851" spans="1:12" s="97" customFormat="1" hidden="1" x14ac:dyDescent="0.25">
      <c r="A851" s="61" t="s">
        <v>442</v>
      </c>
      <c r="B851" s="14">
        <v>43549</v>
      </c>
      <c r="C851" s="13">
        <v>521</v>
      </c>
      <c r="D851" s="13" t="s">
        <v>868</v>
      </c>
      <c r="E851" s="13" t="s">
        <v>62</v>
      </c>
      <c r="F851" s="37">
        <v>5560</v>
      </c>
      <c r="G851" s="29" t="s">
        <v>4378</v>
      </c>
      <c r="H851" s="14">
        <v>43510</v>
      </c>
      <c r="I851" s="4" t="s">
        <v>345</v>
      </c>
      <c r="J851" s="133"/>
      <c r="K851" s="22"/>
      <c r="L851" s="134"/>
    </row>
    <row r="852" spans="1:12" s="97" customFormat="1" hidden="1" x14ac:dyDescent="0.25">
      <c r="A852" s="13" t="s">
        <v>92</v>
      </c>
      <c r="B852" s="14">
        <v>43549</v>
      </c>
      <c r="C852" s="13">
        <v>532</v>
      </c>
      <c r="D852" s="13" t="s">
        <v>280</v>
      </c>
      <c r="E852" s="13" t="s">
        <v>62</v>
      </c>
      <c r="F852" s="37">
        <v>5475</v>
      </c>
      <c r="G852" s="29" t="s">
        <v>1295</v>
      </c>
      <c r="H852" s="14">
        <v>43517</v>
      </c>
      <c r="I852" s="4" t="s">
        <v>4717</v>
      </c>
      <c r="J852" s="133"/>
      <c r="K852" s="22"/>
      <c r="L852" s="134"/>
    </row>
    <row r="853" spans="1:12" s="97" customFormat="1" hidden="1" x14ac:dyDescent="0.25">
      <c r="A853" s="32" t="s">
        <v>442</v>
      </c>
      <c r="B853" s="14">
        <v>43549</v>
      </c>
      <c r="C853" s="13">
        <v>532</v>
      </c>
      <c r="D853" s="13" t="s">
        <v>280</v>
      </c>
      <c r="E853" s="13" t="s">
        <v>62</v>
      </c>
      <c r="F853" s="4">
        <v>92660</v>
      </c>
      <c r="G853" s="28" t="s">
        <v>477</v>
      </c>
      <c r="H853" s="14">
        <v>43517</v>
      </c>
      <c r="I853" s="4" t="s">
        <v>4718</v>
      </c>
      <c r="J853" s="133"/>
      <c r="K853" s="22"/>
      <c r="L853" s="134"/>
    </row>
    <row r="854" spans="1:12" s="97" customFormat="1" hidden="1" x14ac:dyDescent="0.25">
      <c r="A854" s="32" t="s">
        <v>91</v>
      </c>
      <c r="B854" s="14">
        <v>43549</v>
      </c>
      <c r="C854" s="13">
        <v>522</v>
      </c>
      <c r="D854" s="13" t="s">
        <v>304</v>
      </c>
      <c r="E854" s="13" t="s">
        <v>62</v>
      </c>
      <c r="F854" s="4">
        <v>12881</v>
      </c>
      <c r="G854" s="28" t="s">
        <v>4715</v>
      </c>
      <c r="H854" s="14">
        <v>43521</v>
      </c>
      <c r="I854" s="4" t="s">
        <v>374</v>
      </c>
      <c r="J854" s="133"/>
      <c r="K854" s="22"/>
      <c r="L854" s="134"/>
    </row>
    <row r="855" spans="1:12" s="97" customFormat="1" hidden="1" x14ac:dyDescent="0.25">
      <c r="A855" s="13" t="s">
        <v>442</v>
      </c>
      <c r="B855" s="14">
        <v>43549</v>
      </c>
      <c r="C855" s="13">
        <v>535</v>
      </c>
      <c r="D855" s="13" t="s">
        <v>157</v>
      </c>
      <c r="E855" s="13" t="s">
        <v>62</v>
      </c>
      <c r="F855" s="37">
        <v>50038.559999999998</v>
      </c>
      <c r="G855" s="29" t="s">
        <v>4706</v>
      </c>
      <c r="H855" s="14">
        <v>43517</v>
      </c>
      <c r="I855" s="4" t="s">
        <v>4707</v>
      </c>
      <c r="J855" s="133"/>
      <c r="K855" s="22"/>
      <c r="L855" s="134"/>
    </row>
    <row r="856" spans="1:12" s="97" customFormat="1" hidden="1" x14ac:dyDescent="0.25">
      <c r="A856" s="32" t="s">
        <v>55</v>
      </c>
      <c r="B856" s="14">
        <v>43549</v>
      </c>
      <c r="C856" s="13">
        <v>535</v>
      </c>
      <c r="D856" s="13" t="s">
        <v>157</v>
      </c>
      <c r="E856" s="13" t="s">
        <v>62</v>
      </c>
      <c r="F856" s="4">
        <v>2183.8000000000002</v>
      </c>
      <c r="G856" s="28" t="s">
        <v>4708</v>
      </c>
      <c r="H856" s="14">
        <v>43518</v>
      </c>
      <c r="I856" s="4" t="s">
        <v>4709</v>
      </c>
      <c r="J856" s="133"/>
      <c r="K856" s="22"/>
      <c r="L856" s="134"/>
    </row>
    <row r="857" spans="1:12" s="97" customFormat="1" hidden="1" x14ac:dyDescent="0.25">
      <c r="A857" s="32" t="s">
        <v>91</v>
      </c>
      <c r="B857" s="14">
        <v>43549</v>
      </c>
      <c r="C857" s="13">
        <v>535</v>
      </c>
      <c r="D857" s="13" t="s">
        <v>157</v>
      </c>
      <c r="E857" s="13" t="s">
        <v>62</v>
      </c>
      <c r="F857" s="4">
        <v>79297.259999999995</v>
      </c>
      <c r="G857" s="28" t="s">
        <v>4710</v>
      </c>
      <c r="H857" s="14">
        <v>43518</v>
      </c>
      <c r="I857" s="4" t="s">
        <v>4711</v>
      </c>
      <c r="J857" s="133"/>
      <c r="K857" s="22"/>
      <c r="L857" s="134"/>
    </row>
    <row r="858" spans="1:12" s="97" customFormat="1" hidden="1" x14ac:dyDescent="0.25">
      <c r="A858" s="61" t="s">
        <v>442</v>
      </c>
      <c r="B858" s="14">
        <v>43549</v>
      </c>
      <c r="C858" s="13">
        <v>523</v>
      </c>
      <c r="D858" s="13" t="s">
        <v>70</v>
      </c>
      <c r="E858" s="13" t="s">
        <v>62</v>
      </c>
      <c r="F858" s="37">
        <v>6890</v>
      </c>
      <c r="G858" s="29" t="s">
        <v>4703</v>
      </c>
      <c r="H858" s="14">
        <v>43517</v>
      </c>
      <c r="I858" s="4" t="s">
        <v>4117</v>
      </c>
      <c r="J858" s="133"/>
      <c r="K858" s="22"/>
      <c r="L858" s="134"/>
    </row>
    <row r="859" spans="1:12" s="97" customFormat="1" hidden="1" x14ac:dyDescent="0.25">
      <c r="A859" s="61" t="s">
        <v>442</v>
      </c>
      <c r="B859" s="14">
        <v>43549</v>
      </c>
      <c r="C859" s="13">
        <v>534</v>
      </c>
      <c r="D859" s="13" t="s">
        <v>516</v>
      </c>
      <c r="E859" s="13" t="s">
        <v>62</v>
      </c>
      <c r="F859" s="37">
        <v>7575.21</v>
      </c>
      <c r="G859" s="29" t="s">
        <v>387</v>
      </c>
      <c r="H859" s="14">
        <v>43514</v>
      </c>
      <c r="I859" s="4" t="s">
        <v>4357</v>
      </c>
      <c r="J859" s="133"/>
      <c r="K859" s="22"/>
      <c r="L859" s="134"/>
    </row>
    <row r="860" spans="1:12" s="97" customFormat="1" hidden="1" x14ac:dyDescent="0.25">
      <c r="A860" s="61" t="s">
        <v>442</v>
      </c>
      <c r="B860" s="14">
        <v>43549</v>
      </c>
      <c r="C860" s="13">
        <v>534</v>
      </c>
      <c r="D860" s="13" t="s">
        <v>516</v>
      </c>
      <c r="E860" s="13" t="s">
        <v>62</v>
      </c>
      <c r="F860" s="37">
        <v>49318.82</v>
      </c>
      <c r="G860" s="29" t="s">
        <v>4700</v>
      </c>
      <c r="H860" s="14">
        <v>43518</v>
      </c>
      <c r="I860" s="4" t="s">
        <v>4701</v>
      </c>
      <c r="J860" s="133"/>
      <c r="K860" s="22"/>
      <c r="L860" s="134"/>
    </row>
    <row r="861" spans="1:12" hidden="1" x14ac:dyDescent="0.25">
      <c r="A861" s="32" t="s">
        <v>442</v>
      </c>
      <c r="B861" s="14">
        <v>43549</v>
      </c>
      <c r="C861" s="13">
        <v>524</v>
      </c>
      <c r="D861" s="13" t="s">
        <v>447</v>
      </c>
      <c r="E861" s="13" t="s">
        <v>62</v>
      </c>
      <c r="F861" s="4">
        <v>196000</v>
      </c>
      <c r="G861" s="28" t="s">
        <v>3339</v>
      </c>
      <c r="H861" s="14">
        <v>43524</v>
      </c>
      <c r="I861" s="4" t="s">
        <v>1328</v>
      </c>
      <c r="J861" s="128"/>
    </row>
    <row r="862" spans="1:12" hidden="1" x14ac:dyDescent="0.25">
      <c r="A862" s="61" t="s">
        <v>442</v>
      </c>
      <c r="B862" s="14">
        <v>43549</v>
      </c>
      <c r="C862" s="13">
        <v>525</v>
      </c>
      <c r="D862" s="13" t="s">
        <v>381</v>
      </c>
      <c r="E862" s="13" t="s">
        <v>62</v>
      </c>
      <c r="F862" s="37">
        <v>34500</v>
      </c>
      <c r="G862" s="29" t="s">
        <v>459</v>
      </c>
      <c r="H862" s="14">
        <v>43524</v>
      </c>
      <c r="I862" s="4" t="s">
        <v>1328</v>
      </c>
      <c r="J862" s="128"/>
    </row>
    <row r="863" spans="1:12" hidden="1" x14ac:dyDescent="0.25">
      <c r="A863" s="13" t="s">
        <v>442</v>
      </c>
      <c r="B863" s="14">
        <v>43549</v>
      </c>
      <c r="C863" s="13">
        <v>529</v>
      </c>
      <c r="D863" s="13" t="s">
        <v>1739</v>
      </c>
      <c r="E863" s="13" t="s">
        <v>62</v>
      </c>
      <c r="F863" s="37">
        <v>192000</v>
      </c>
      <c r="G863" s="29" t="s">
        <v>88</v>
      </c>
      <c r="H863" s="14">
        <v>43528</v>
      </c>
      <c r="I863" s="4" t="s">
        <v>3197</v>
      </c>
      <c r="J863" s="128"/>
    </row>
    <row r="864" spans="1:12" hidden="1" x14ac:dyDescent="0.25">
      <c r="A864" s="13" t="s">
        <v>442</v>
      </c>
      <c r="B864" s="14">
        <v>43549</v>
      </c>
      <c r="C864" s="13">
        <v>529</v>
      </c>
      <c r="D864" s="13" t="s">
        <v>1739</v>
      </c>
      <c r="E864" s="13" t="s">
        <v>62</v>
      </c>
      <c r="F864" s="37">
        <v>184800</v>
      </c>
      <c r="G864" s="29" t="s">
        <v>859</v>
      </c>
      <c r="H864" s="14">
        <v>43529</v>
      </c>
      <c r="I864" s="4" t="s">
        <v>5382</v>
      </c>
      <c r="J864" s="128"/>
    </row>
    <row r="865" spans="1:9" ht="13.2" hidden="1" customHeight="1" x14ac:dyDescent="0.25">
      <c r="A865" s="61" t="s">
        <v>103</v>
      </c>
      <c r="B865" s="14">
        <v>43549</v>
      </c>
      <c r="C865" s="13">
        <v>536</v>
      </c>
      <c r="D865" s="13" t="s">
        <v>944</v>
      </c>
      <c r="E865" s="13" t="s">
        <v>62</v>
      </c>
      <c r="F865" s="37">
        <v>13500</v>
      </c>
      <c r="G865" s="29" t="s">
        <v>3209</v>
      </c>
      <c r="H865" s="14">
        <v>43517</v>
      </c>
      <c r="I865" s="4" t="s">
        <v>337</v>
      </c>
    </row>
    <row r="866" spans="1:9" hidden="1" x14ac:dyDescent="0.25">
      <c r="A866" s="61" t="s">
        <v>103</v>
      </c>
      <c r="B866" s="14">
        <v>43549</v>
      </c>
      <c r="C866" s="13">
        <v>536</v>
      </c>
      <c r="D866" s="13" t="s">
        <v>944</v>
      </c>
      <c r="E866" s="13" t="s">
        <v>62</v>
      </c>
      <c r="F866" s="37">
        <v>28500</v>
      </c>
      <c r="G866" s="29" t="s">
        <v>1210</v>
      </c>
      <c r="H866" s="14">
        <v>43521</v>
      </c>
      <c r="I866" s="4" t="s">
        <v>337</v>
      </c>
    </row>
    <row r="867" spans="1:9" hidden="1" x14ac:dyDescent="0.25">
      <c r="A867" s="61" t="s">
        <v>92</v>
      </c>
      <c r="B867" s="14">
        <v>43549</v>
      </c>
      <c r="C867" s="13">
        <v>537</v>
      </c>
      <c r="D867" s="13" t="s">
        <v>282</v>
      </c>
      <c r="E867" s="13" t="s">
        <v>62</v>
      </c>
      <c r="F867" s="37">
        <v>3575</v>
      </c>
      <c r="G867" s="29" t="s">
        <v>4669</v>
      </c>
      <c r="H867" s="14">
        <v>43517</v>
      </c>
      <c r="I867" s="4" t="s">
        <v>283</v>
      </c>
    </row>
    <row r="868" spans="1:9" hidden="1" x14ac:dyDescent="0.25">
      <c r="A868" s="61" t="s">
        <v>442</v>
      </c>
      <c r="B868" s="14">
        <v>43549</v>
      </c>
      <c r="C868" s="13">
        <v>537</v>
      </c>
      <c r="D868" s="13" t="s">
        <v>282</v>
      </c>
      <c r="E868" s="13" t="s">
        <v>62</v>
      </c>
      <c r="F868" s="37">
        <v>22880</v>
      </c>
      <c r="G868" s="29" t="s">
        <v>4670</v>
      </c>
      <c r="H868" s="14">
        <v>43517</v>
      </c>
      <c r="I868" s="4" t="s">
        <v>283</v>
      </c>
    </row>
    <row r="869" spans="1:9" hidden="1" x14ac:dyDescent="0.25">
      <c r="A869" s="61" t="s">
        <v>358</v>
      </c>
      <c r="B869" s="14">
        <v>43549</v>
      </c>
      <c r="C869" s="13">
        <v>537</v>
      </c>
      <c r="D869" s="13" t="s">
        <v>282</v>
      </c>
      <c r="E869" s="13" t="s">
        <v>62</v>
      </c>
      <c r="F869" s="37">
        <v>2860</v>
      </c>
      <c r="G869" s="29" t="s">
        <v>1066</v>
      </c>
      <c r="H869" s="14">
        <v>43517</v>
      </c>
      <c r="I869" s="4" t="s">
        <v>283</v>
      </c>
    </row>
    <row r="870" spans="1:9" hidden="1" x14ac:dyDescent="0.25">
      <c r="A870" s="32" t="s">
        <v>91</v>
      </c>
      <c r="B870" s="14">
        <v>43549</v>
      </c>
      <c r="C870" s="13">
        <v>537</v>
      </c>
      <c r="D870" s="13" t="s">
        <v>282</v>
      </c>
      <c r="E870" s="13" t="s">
        <v>62</v>
      </c>
      <c r="F870" s="4">
        <v>17875</v>
      </c>
      <c r="G870" s="28" t="s">
        <v>2672</v>
      </c>
      <c r="H870" s="14">
        <v>43517</v>
      </c>
      <c r="I870" s="4" t="s">
        <v>283</v>
      </c>
    </row>
    <row r="871" spans="1:9" hidden="1" x14ac:dyDescent="0.25">
      <c r="A871" s="61" t="s">
        <v>92</v>
      </c>
      <c r="B871" s="14">
        <v>43549</v>
      </c>
      <c r="C871" s="13">
        <v>537</v>
      </c>
      <c r="D871" s="13" t="s">
        <v>282</v>
      </c>
      <c r="E871" s="13" t="s">
        <v>62</v>
      </c>
      <c r="F871" s="37">
        <v>3575</v>
      </c>
      <c r="G871" s="29" t="s">
        <v>4834</v>
      </c>
      <c r="H871" s="14">
        <v>43524</v>
      </c>
      <c r="I871" s="4" t="s">
        <v>283</v>
      </c>
    </row>
    <row r="872" spans="1:9" hidden="1" x14ac:dyDescent="0.25">
      <c r="A872" s="61" t="s">
        <v>442</v>
      </c>
      <c r="B872" s="14">
        <v>43549</v>
      </c>
      <c r="C872" s="13">
        <v>537</v>
      </c>
      <c r="D872" s="13" t="s">
        <v>282</v>
      </c>
      <c r="E872" s="13" t="s">
        <v>62</v>
      </c>
      <c r="F872" s="37">
        <v>22165</v>
      </c>
      <c r="G872" s="29" t="s">
        <v>4835</v>
      </c>
      <c r="H872" s="14">
        <v>43524</v>
      </c>
      <c r="I872" s="4" t="s">
        <v>283</v>
      </c>
    </row>
    <row r="873" spans="1:9" hidden="1" x14ac:dyDescent="0.25">
      <c r="A873" s="61" t="s">
        <v>358</v>
      </c>
      <c r="B873" s="14">
        <v>43549</v>
      </c>
      <c r="C873" s="13">
        <v>537</v>
      </c>
      <c r="D873" s="13" t="s">
        <v>282</v>
      </c>
      <c r="E873" s="13" t="s">
        <v>62</v>
      </c>
      <c r="F873" s="37">
        <v>2145</v>
      </c>
      <c r="G873" s="29" t="s">
        <v>4836</v>
      </c>
      <c r="H873" s="14">
        <v>43524</v>
      </c>
      <c r="I873" s="4" t="s">
        <v>283</v>
      </c>
    </row>
    <row r="874" spans="1:9" hidden="1" x14ac:dyDescent="0.25">
      <c r="A874" s="61" t="s">
        <v>91</v>
      </c>
      <c r="B874" s="14">
        <v>43549</v>
      </c>
      <c r="C874" s="13">
        <v>537</v>
      </c>
      <c r="D874" s="13" t="s">
        <v>282</v>
      </c>
      <c r="E874" s="13" t="s">
        <v>62</v>
      </c>
      <c r="F874" s="37">
        <v>5720</v>
      </c>
      <c r="G874" s="29" t="s">
        <v>4837</v>
      </c>
      <c r="H874" s="14">
        <v>43524</v>
      </c>
      <c r="I874" s="4" t="s">
        <v>283</v>
      </c>
    </row>
    <row r="875" spans="1:9" hidden="1" x14ac:dyDescent="0.25">
      <c r="A875" s="61" t="s">
        <v>55</v>
      </c>
      <c r="B875" s="14">
        <v>43549</v>
      </c>
      <c r="C875" s="13">
        <v>537</v>
      </c>
      <c r="D875" s="13" t="s">
        <v>282</v>
      </c>
      <c r="E875" s="13" t="s">
        <v>62</v>
      </c>
      <c r="F875" s="37">
        <v>715</v>
      </c>
      <c r="G875" s="29" t="s">
        <v>4838</v>
      </c>
      <c r="H875" s="14">
        <v>43524</v>
      </c>
      <c r="I875" s="4" t="s">
        <v>283</v>
      </c>
    </row>
    <row r="876" spans="1:9" hidden="1" x14ac:dyDescent="0.25">
      <c r="A876" s="61" t="s">
        <v>103</v>
      </c>
      <c r="B876" s="14">
        <v>43549</v>
      </c>
      <c r="C876" s="13">
        <v>531</v>
      </c>
      <c r="D876" s="13" t="s">
        <v>250</v>
      </c>
      <c r="E876" s="13" t="s">
        <v>62</v>
      </c>
      <c r="F876" s="37">
        <v>27500</v>
      </c>
      <c r="G876" s="29" t="s">
        <v>4313</v>
      </c>
      <c r="H876" s="14">
        <v>43510</v>
      </c>
      <c r="I876" s="4" t="s">
        <v>337</v>
      </c>
    </row>
    <row r="877" spans="1:9" hidden="1" x14ac:dyDescent="0.25">
      <c r="A877" s="61" t="s">
        <v>92</v>
      </c>
      <c r="B877" s="14">
        <v>43549</v>
      </c>
      <c r="C877" s="13">
        <v>531</v>
      </c>
      <c r="D877" s="13" t="s">
        <v>250</v>
      </c>
      <c r="E877" s="13" t="s">
        <v>62</v>
      </c>
      <c r="F877" s="37">
        <v>24750</v>
      </c>
      <c r="G877" s="29" t="s">
        <v>4314</v>
      </c>
      <c r="H877" s="14">
        <v>43511</v>
      </c>
      <c r="I877" s="4" t="s">
        <v>1375</v>
      </c>
    </row>
    <row r="878" spans="1:9" hidden="1" x14ac:dyDescent="0.25">
      <c r="A878" s="13" t="s">
        <v>92</v>
      </c>
      <c r="B878" s="14">
        <v>43549</v>
      </c>
      <c r="C878" s="13">
        <v>531</v>
      </c>
      <c r="D878" s="13" t="s">
        <v>250</v>
      </c>
      <c r="E878" s="13" t="s">
        <v>62</v>
      </c>
      <c r="F878" s="4">
        <v>22000</v>
      </c>
      <c r="G878" s="28" t="s">
        <v>4866</v>
      </c>
      <c r="H878" s="14">
        <v>43512</v>
      </c>
      <c r="I878" s="4" t="s">
        <v>1375</v>
      </c>
    </row>
    <row r="879" spans="1:9" hidden="1" x14ac:dyDescent="0.25">
      <c r="A879" s="32" t="s">
        <v>92</v>
      </c>
      <c r="B879" s="14">
        <v>43549</v>
      </c>
      <c r="C879" s="13">
        <v>531</v>
      </c>
      <c r="D879" s="13" t="s">
        <v>250</v>
      </c>
      <c r="E879" s="13" t="s">
        <v>62</v>
      </c>
      <c r="F879" s="4">
        <v>51425</v>
      </c>
      <c r="G879" s="28" t="s">
        <v>4867</v>
      </c>
      <c r="H879" s="14">
        <v>43515</v>
      </c>
      <c r="I879" s="4" t="s">
        <v>1375</v>
      </c>
    </row>
    <row r="880" spans="1:9" hidden="1" x14ac:dyDescent="0.25">
      <c r="A880" s="61" t="s">
        <v>91</v>
      </c>
      <c r="B880" s="14">
        <v>43549</v>
      </c>
      <c r="C880" s="13">
        <v>528</v>
      </c>
      <c r="D880" s="13" t="s">
        <v>2115</v>
      </c>
      <c r="E880" s="13" t="s">
        <v>62</v>
      </c>
      <c r="F880" s="37">
        <v>37800</v>
      </c>
      <c r="G880" s="210" t="s">
        <v>1295</v>
      </c>
      <c r="H880" s="211">
        <v>43524</v>
      </c>
      <c r="I880" s="4" t="s">
        <v>164</v>
      </c>
    </row>
    <row r="881" spans="1:12" hidden="1" x14ac:dyDescent="0.25">
      <c r="A881" s="61" t="s">
        <v>442</v>
      </c>
      <c r="B881" s="14">
        <v>43549</v>
      </c>
      <c r="C881" s="13">
        <v>528</v>
      </c>
      <c r="D881" s="13" t="s">
        <v>2115</v>
      </c>
      <c r="E881" s="13" t="s">
        <v>62</v>
      </c>
      <c r="F881" s="37">
        <v>211687.5</v>
      </c>
      <c r="G881" s="210" t="s">
        <v>5374</v>
      </c>
      <c r="H881" s="211">
        <v>43524</v>
      </c>
      <c r="I881" s="4" t="s">
        <v>2385</v>
      </c>
    </row>
    <row r="882" spans="1:12" s="2" customFormat="1" hidden="1" x14ac:dyDescent="0.25">
      <c r="A882" s="61" t="s">
        <v>349</v>
      </c>
      <c r="B882" s="14">
        <v>43549</v>
      </c>
      <c r="C882" s="13">
        <v>526</v>
      </c>
      <c r="D882" s="13" t="s">
        <v>149</v>
      </c>
      <c r="E882" s="13" t="s">
        <v>62</v>
      </c>
      <c r="F882" s="37">
        <v>48451</v>
      </c>
      <c r="G882" s="29" t="s">
        <v>2223</v>
      </c>
      <c r="H882" s="14">
        <v>43496</v>
      </c>
      <c r="I882" s="4" t="s">
        <v>4884</v>
      </c>
      <c r="J882" s="16"/>
      <c r="K882" s="5"/>
    </row>
    <row r="883" spans="1:12" ht="13.8" hidden="1" customHeight="1" x14ac:dyDescent="0.25">
      <c r="A883" s="32" t="s">
        <v>151</v>
      </c>
      <c r="B883" s="14">
        <v>43549</v>
      </c>
      <c r="C883" s="13">
        <v>527</v>
      </c>
      <c r="D883" s="32" t="s">
        <v>112</v>
      </c>
      <c r="E883" s="32" t="s">
        <v>62</v>
      </c>
      <c r="F883" s="4">
        <v>4200</v>
      </c>
      <c r="G883" s="29" t="s">
        <v>1515</v>
      </c>
      <c r="H883" s="14">
        <v>43543</v>
      </c>
      <c r="I883" s="4" t="s">
        <v>5592</v>
      </c>
      <c r="J883" s="21"/>
      <c r="K883" s="228"/>
    </row>
    <row r="884" spans="1:12" s="97" customFormat="1" hidden="1" x14ac:dyDescent="0.25">
      <c r="A884" s="61" t="s">
        <v>1316</v>
      </c>
      <c r="B884" s="14">
        <v>43549</v>
      </c>
      <c r="C884" s="13">
        <v>507</v>
      </c>
      <c r="D884" s="13" t="s">
        <v>4894</v>
      </c>
      <c r="E884" s="13" t="s">
        <v>808</v>
      </c>
      <c r="F884" s="37">
        <v>89134.399999999994</v>
      </c>
      <c r="G884" s="29" t="s">
        <v>3421</v>
      </c>
      <c r="H884" s="14">
        <v>43523</v>
      </c>
      <c r="I884" s="4" t="s">
        <v>1826</v>
      </c>
      <c r="J884" s="133"/>
      <c r="K884" s="22"/>
      <c r="L884" s="134"/>
    </row>
    <row r="885" spans="1:12" s="97" customFormat="1" hidden="1" x14ac:dyDescent="0.25">
      <c r="A885" s="61" t="s">
        <v>1148</v>
      </c>
      <c r="B885" s="14">
        <v>43549</v>
      </c>
      <c r="C885" s="13">
        <v>508</v>
      </c>
      <c r="D885" s="13" t="s">
        <v>243</v>
      </c>
      <c r="E885" s="13" t="s">
        <v>808</v>
      </c>
      <c r="F885" s="37">
        <v>820033.56</v>
      </c>
      <c r="G885" s="29" t="s">
        <v>1510</v>
      </c>
      <c r="H885" s="14">
        <v>43509</v>
      </c>
      <c r="I885" s="4" t="s">
        <v>2717</v>
      </c>
      <c r="J885" s="133"/>
      <c r="K885" s="22"/>
      <c r="L885" s="134"/>
    </row>
    <row r="886" spans="1:12" s="97" customFormat="1" hidden="1" x14ac:dyDescent="0.25">
      <c r="A886" s="61" t="s">
        <v>261</v>
      </c>
      <c r="B886" s="14">
        <v>43549</v>
      </c>
      <c r="C886" s="13">
        <v>509</v>
      </c>
      <c r="D886" s="13" t="s">
        <v>280</v>
      </c>
      <c r="E886" s="13" t="s">
        <v>808</v>
      </c>
      <c r="F886" s="37">
        <v>20850</v>
      </c>
      <c r="G886" s="29" t="s">
        <v>2932</v>
      </c>
      <c r="H886" s="14">
        <v>43515</v>
      </c>
      <c r="I886" s="4" t="s">
        <v>168</v>
      </c>
      <c r="J886" s="133"/>
      <c r="K886" s="22"/>
      <c r="L886" s="134"/>
    </row>
    <row r="887" spans="1:12" s="97" customFormat="1" hidden="1" x14ac:dyDescent="0.25">
      <c r="A887" s="32" t="s">
        <v>1316</v>
      </c>
      <c r="B887" s="14">
        <v>43549</v>
      </c>
      <c r="C887" s="13">
        <v>510</v>
      </c>
      <c r="D887" s="13" t="s">
        <v>814</v>
      </c>
      <c r="E887" s="13" t="s">
        <v>808</v>
      </c>
      <c r="F887" s="4">
        <v>117600</v>
      </c>
      <c r="G887" s="28" t="s">
        <v>4370</v>
      </c>
      <c r="H887" s="14">
        <v>43509</v>
      </c>
      <c r="I887" s="4" t="s">
        <v>142</v>
      </c>
      <c r="J887" s="133"/>
      <c r="K887" s="22"/>
      <c r="L887" s="134"/>
    </row>
    <row r="888" spans="1:12" s="97" customFormat="1" hidden="1" x14ac:dyDescent="0.25">
      <c r="A888" s="61" t="s">
        <v>659</v>
      </c>
      <c r="B888" s="14">
        <v>43549</v>
      </c>
      <c r="C888" s="13">
        <v>511</v>
      </c>
      <c r="D888" s="13" t="s">
        <v>70</v>
      </c>
      <c r="E888" s="13" t="s">
        <v>808</v>
      </c>
      <c r="F888" s="37">
        <v>3789</v>
      </c>
      <c r="G888" s="29" t="s">
        <v>4358</v>
      </c>
      <c r="H888" s="14">
        <v>43516</v>
      </c>
      <c r="I888" s="4" t="s">
        <v>4117</v>
      </c>
      <c r="J888" s="133"/>
      <c r="K888" s="22"/>
      <c r="L888" s="134"/>
    </row>
    <row r="889" spans="1:12" s="97" customFormat="1" hidden="1" x14ac:dyDescent="0.25">
      <c r="A889" s="61" t="s">
        <v>1148</v>
      </c>
      <c r="B889" s="14">
        <v>43549</v>
      </c>
      <c r="C889" s="13">
        <v>512</v>
      </c>
      <c r="D889" s="13" t="s">
        <v>666</v>
      </c>
      <c r="E889" s="13" t="s">
        <v>808</v>
      </c>
      <c r="F889" s="37">
        <v>10400</v>
      </c>
      <c r="G889" s="29" t="s">
        <v>4931</v>
      </c>
      <c r="H889" s="14">
        <v>43516</v>
      </c>
      <c r="I889" s="4" t="s">
        <v>1303</v>
      </c>
      <c r="J889" s="133"/>
      <c r="K889" s="22"/>
      <c r="L889" s="134"/>
    </row>
    <row r="890" spans="1:12" s="97" customFormat="1" hidden="1" x14ac:dyDescent="0.25">
      <c r="A890" s="32" t="s">
        <v>659</v>
      </c>
      <c r="B890" s="14">
        <v>43549</v>
      </c>
      <c r="C890" s="13">
        <v>513</v>
      </c>
      <c r="D890" s="13" t="s">
        <v>516</v>
      </c>
      <c r="E890" s="13" t="s">
        <v>808</v>
      </c>
      <c r="F890" s="37">
        <v>52332.1</v>
      </c>
      <c r="G890" s="29" t="s">
        <v>975</v>
      </c>
      <c r="H890" s="14">
        <v>43516</v>
      </c>
      <c r="I890" s="4" t="s">
        <v>4697</v>
      </c>
      <c r="J890" s="133"/>
      <c r="K890" s="22"/>
      <c r="L890" s="134"/>
    </row>
    <row r="891" spans="1:12" s="97" customFormat="1" hidden="1" x14ac:dyDescent="0.25">
      <c r="A891" s="14" t="s">
        <v>659</v>
      </c>
      <c r="B891" s="14">
        <v>43549</v>
      </c>
      <c r="C891" s="13">
        <v>513</v>
      </c>
      <c r="D891" s="13" t="s">
        <v>516</v>
      </c>
      <c r="E891" s="13" t="s">
        <v>808</v>
      </c>
      <c r="F891" s="37">
        <v>195702.78</v>
      </c>
      <c r="G891" s="29" t="s">
        <v>4698</v>
      </c>
      <c r="H891" s="14">
        <v>43518</v>
      </c>
      <c r="I891" s="4" t="s">
        <v>4699</v>
      </c>
      <c r="J891" s="133"/>
      <c r="K891" s="22"/>
      <c r="L891" s="134"/>
    </row>
    <row r="892" spans="1:12" s="97" customFormat="1" hidden="1" x14ac:dyDescent="0.25">
      <c r="A892" s="61" t="s">
        <v>1316</v>
      </c>
      <c r="B892" s="14">
        <v>43549</v>
      </c>
      <c r="C892" s="13">
        <v>513</v>
      </c>
      <c r="D892" s="13" t="s">
        <v>516</v>
      </c>
      <c r="E892" s="13" t="s">
        <v>808</v>
      </c>
      <c r="F892" s="37">
        <v>20882.560000000001</v>
      </c>
      <c r="G892" s="29" t="s">
        <v>4702</v>
      </c>
      <c r="H892" s="14">
        <v>43518</v>
      </c>
      <c r="I892" s="4" t="s">
        <v>2398</v>
      </c>
      <c r="J892" s="133"/>
      <c r="K892" s="22"/>
      <c r="L892" s="134"/>
    </row>
    <row r="893" spans="1:12" s="97" customFormat="1" hidden="1" x14ac:dyDescent="0.25">
      <c r="A893" s="13" t="s">
        <v>1147</v>
      </c>
      <c r="B893" s="14">
        <v>43549</v>
      </c>
      <c r="C893" s="13">
        <v>513</v>
      </c>
      <c r="D893" s="13" t="s">
        <v>516</v>
      </c>
      <c r="E893" s="13" t="s">
        <v>808</v>
      </c>
      <c r="F893" s="37">
        <v>50000</v>
      </c>
      <c r="G893" s="29" t="s">
        <v>1318</v>
      </c>
      <c r="H893" s="14">
        <v>43523</v>
      </c>
      <c r="I893" s="4" t="s">
        <v>4927</v>
      </c>
      <c r="J893" s="133"/>
      <c r="K893" s="22"/>
      <c r="L893" s="134"/>
    </row>
    <row r="894" spans="1:12" hidden="1" x14ac:dyDescent="0.25">
      <c r="A894" s="13" t="s">
        <v>1148</v>
      </c>
      <c r="B894" s="14">
        <v>43549</v>
      </c>
      <c r="C894" s="13">
        <v>514</v>
      </c>
      <c r="D894" s="13" t="s">
        <v>447</v>
      </c>
      <c r="E894" s="13" t="s">
        <v>808</v>
      </c>
      <c r="F894" s="4">
        <v>245000</v>
      </c>
      <c r="G894" s="28" t="s">
        <v>306</v>
      </c>
      <c r="H894" s="14">
        <v>43522</v>
      </c>
      <c r="I894" s="4" t="s">
        <v>1315</v>
      </c>
      <c r="J894" s="128"/>
    </row>
    <row r="895" spans="1:12" hidden="1" x14ac:dyDescent="0.25">
      <c r="A895" s="13" t="s">
        <v>1148</v>
      </c>
      <c r="B895" s="14">
        <v>43549</v>
      </c>
      <c r="C895" s="13">
        <v>514</v>
      </c>
      <c r="D895" s="13" t="s">
        <v>447</v>
      </c>
      <c r="E895" s="13" t="s">
        <v>808</v>
      </c>
      <c r="F895" s="37">
        <v>323000</v>
      </c>
      <c r="G895" s="29" t="s">
        <v>3592</v>
      </c>
      <c r="H895" s="14">
        <v>43524</v>
      </c>
      <c r="I895" s="4" t="s">
        <v>1328</v>
      </c>
      <c r="J895" s="128"/>
    </row>
    <row r="896" spans="1:12" s="2" customFormat="1" hidden="1" x14ac:dyDescent="0.25">
      <c r="A896" s="32" t="s">
        <v>495</v>
      </c>
      <c r="B896" s="14">
        <v>43549</v>
      </c>
      <c r="C896" s="13">
        <v>515</v>
      </c>
      <c r="D896" s="13" t="s">
        <v>371</v>
      </c>
      <c r="E896" s="13" t="s">
        <v>808</v>
      </c>
      <c r="F896" s="4">
        <v>48000</v>
      </c>
      <c r="G896" s="28" t="s">
        <v>3977</v>
      </c>
      <c r="H896" s="14">
        <v>43515</v>
      </c>
      <c r="I896" s="4" t="s">
        <v>319</v>
      </c>
      <c r="J896" s="121"/>
      <c r="K896" s="5"/>
    </row>
    <row r="897" spans="1:11" s="2" customFormat="1" hidden="1" x14ac:dyDescent="0.25">
      <c r="A897" s="32" t="s">
        <v>495</v>
      </c>
      <c r="B897" s="14">
        <v>43549</v>
      </c>
      <c r="C897" s="13">
        <v>515</v>
      </c>
      <c r="D897" s="13" t="s">
        <v>371</v>
      </c>
      <c r="E897" s="13" t="s">
        <v>808</v>
      </c>
      <c r="F897" s="4">
        <v>48000</v>
      </c>
      <c r="G897" s="28" t="s">
        <v>5383</v>
      </c>
      <c r="H897" s="14">
        <v>43521</v>
      </c>
      <c r="I897" s="4" t="s">
        <v>319</v>
      </c>
      <c r="J897" s="121"/>
      <c r="K897" s="5"/>
    </row>
    <row r="898" spans="1:11" s="2" customFormat="1" hidden="1" x14ac:dyDescent="0.25">
      <c r="A898" s="32" t="s">
        <v>495</v>
      </c>
      <c r="B898" s="14">
        <v>43549</v>
      </c>
      <c r="C898" s="13">
        <v>515</v>
      </c>
      <c r="D898" s="13" t="s">
        <v>371</v>
      </c>
      <c r="E898" s="13" t="s">
        <v>808</v>
      </c>
      <c r="F898" s="4">
        <v>48000</v>
      </c>
      <c r="G898" s="28" t="s">
        <v>5384</v>
      </c>
      <c r="H898" s="14">
        <v>43528</v>
      </c>
      <c r="I898" s="4" t="s">
        <v>319</v>
      </c>
      <c r="J898" s="121"/>
      <c r="K898" s="5"/>
    </row>
    <row r="899" spans="1:11" s="2" customFormat="1" hidden="1" x14ac:dyDescent="0.25">
      <c r="A899" s="32" t="s">
        <v>659</v>
      </c>
      <c r="B899" s="14">
        <v>43549</v>
      </c>
      <c r="C899" s="13">
        <v>516</v>
      </c>
      <c r="D899" s="13" t="s">
        <v>1513</v>
      </c>
      <c r="E899" s="13" t="s">
        <v>808</v>
      </c>
      <c r="F899" s="4">
        <v>149700</v>
      </c>
      <c r="G899" s="28" t="s">
        <v>3375</v>
      </c>
      <c r="H899" s="14">
        <v>43521</v>
      </c>
      <c r="I899" s="4" t="s">
        <v>1237</v>
      </c>
      <c r="J899" s="121"/>
      <c r="K899" s="5"/>
    </row>
    <row r="900" spans="1:11" s="2" customFormat="1" hidden="1" x14ac:dyDescent="0.25">
      <c r="A900" s="32" t="s">
        <v>1316</v>
      </c>
      <c r="B900" s="14">
        <v>43549</v>
      </c>
      <c r="C900" s="13">
        <v>517</v>
      </c>
      <c r="D900" s="13" t="s">
        <v>340</v>
      </c>
      <c r="E900" s="13" t="s">
        <v>808</v>
      </c>
      <c r="F900" s="4">
        <v>7300</v>
      </c>
      <c r="G900" s="28" t="s">
        <v>1264</v>
      </c>
      <c r="H900" s="14">
        <v>43535</v>
      </c>
      <c r="I900" s="4" t="s">
        <v>1345</v>
      </c>
      <c r="J900" s="121"/>
      <c r="K900" s="5"/>
    </row>
    <row r="901" spans="1:11" s="2" customFormat="1" hidden="1" x14ac:dyDescent="0.25">
      <c r="A901" s="32" t="s">
        <v>1148</v>
      </c>
      <c r="B901" s="14">
        <v>43549</v>
      </c>
      <c r="C901" s="13">
        <v>517</v>
      </c>
      <c r="D901" s="13" t="s">
        <v>340</v>
      </c>
      <c r="E901" s="13" t="s">
        <v>808</v>
      </c>
      <c r="F901" s="4">
        <v>2100</v>
      </c>
      <c r="G901" s="28" t="s">
        <v>12</v>
      </c>
      <c r="H901" s="14">
        <v>43537</v>
      </c>
      <c r="I901" s="4" t="s">
        <v>767</v>
      </c>
      <c r="J901" s="121"/>
      <c r="K901" s="5"/>
    </row>
    <row r="902" spans="1:11" hidden="1" x14ac:dyDescent="0.25">
      <c r="A902" s="13" t="s">
        <v>1148</v>
      </c>
      <c r="B902" s="14">
        <v>43549</v>
      </c>
      <c r="C902" s="13">
        <v>518</v>
      </c>
      <c r="D902" s="13" t="s">
        <v>5756</v>
      </c>
      <c r="E902" s="13" t="s">
        <v>808</v>
      </c>
      <c r="F902" s="37">
        <v>4188.24</v>
      </c>
      <c r="G902" s="29" t="s">
        <v>5757</v>
      </c>
      <c r="H902" s="14">
        <v>43544</v>
      </c>
      <c r="I902" s="4" t="s">
        <v>1590</v>
      </c>
      <c r="J902" s="128"/>
    </row>
    <row r="903" spans="1:11" hidden="1" x14ac:dyDescent="0.25">
      <c r="A903" s="13" t="s">
        <v>1148</v>
      </c>
      <c r="B903" s="14">
        <v>43549</v>
      </c>
      <c r="C903" s="13">
        <v>518</v>
      </c>
      <c r="D903" s="13" t="s">
        <v>5756</v>
      </c>
      <c r="E903" s="13" t="s">
        <v>808</v>
      </c>
      <c r="F903" s="37">
        <v>2880.06</v>
      </c>
      <c r="G903" s="29" t="s">
        <v>5758</v>
      </c>
      <c r="H903" s="14">
        <v>43544</v>
      </c>
      <c r="I903" s="4" t="s">
        <v>5760</v>
      </c>
      <c r="J903" s="128"/>
    </row>
    <row r="904" spans="1:11" hidden="1" x14ac:dyDescent="0.25">
      <c r="A904" s="13" t="s">
        <v>1148</v>
      </c>
      <c r="B904" s="14">
        <v>43549</v>
      </c>
      <c r="C904" s="13">
        <v>518</v>
      </c>
      <c r="D904" s="13" t="s">
        <v>5756</v>
      </c>
      <c r="E904" s="13" t="s">
        <v>808</v>
      </c>
      <c r="F904" s="37">
        <v>7370.04</v>
      </c>
      <c r="G904" s="29" t="s">
        <v>5759</v>
      </c>
      <c r="H904" s="14">
        <v>43544</v>
      </c>
      <c r="I904" s="4" t="s">
        <v>5760</v>
      </c>
      <c r="J904" s="128"/>
    </row>
    <row r="905" spans="1:11" hidden="1" x14ac:dyDescent="0.25">
      <c r="A905" s="61" t="s">
        <v>659</v>
      </c>
      <c r="B905" s="14">
        <v>43549</v>
      </c>
      <c r="C905" s="13">
        <v>519</v>
      </c>
      <c r="D905" s="13" t="s">
        <v>1099</v>
      </c>
      <c r="E905" s="13" t="s">
        <v>808</v>
      </c>
      <c r="F905" s="37">
        <v>10497</v>
      </c>
      <c r="G905" s="29" t="s">
        <v>865</v>
      </c>
      <c r="H905" s="14">
        <v>43521</v>
      </c>
      <c r="I905" s="4" t="s">
        <v>2696</v>
      </c>
    </row>
    <row r="906" spans="1:11" ht="27.6" hidden="1" x14ac:dyDescent="0.25">
      <c r="A906" s="61" t="s">
        <v>4833</v>
      </c>
      <c r="B906" s="14">
        <v>43549</v>
      </c>
      <c r="C906" s="13">
        <v>520</v>
      </c>
      <c r="D906" s="13" t="s">
        <v>381</v>
      </c>
      <c r="E906" s="13" t="s">
        <v>808</v>
      </c>
      <c r="F906" s="37">
        <v>43200</v>
      </c>
      <c r="G906" s="29" t="s">
        <v>3104</v>
      </c>
      <c r="H906" s="14">
        <v>43524</v>
      </c>
      <c r="I906" s="4" t="s">
        <v>95</v>
      </c>
    </row>
    <row r="907" spans="1:11" hidden="1" x14ac:dyDescent="0.25">
      <c r="A907" s="61" t="s">
        <v>5258</v>
      </c>
      <c r="B907" s="14">
        <v>43549</v>
      </c>
      <c r="C907" s="13">
        <v>521</v>
      </c>
      <c r="D907" s="13" t="s">
        <v>5347</v>
      </c>
      <c r="E907" s="13" t="s">
        <v>808</v>
      </c>
      <c r="F907" s="4">
        <v>694800</v>
      </c>
      <c r="G907" s="28" t="s">
        <v>2961</v>
      </c>
      <c r="H907" s="14">
        <v>43514</v>
      </c>
      <c r="I907" s="4" t="s">
        <v>164</v>
      </c>
    </row>
    <row r="908" spans="1:11" hidden="1" x14ac:dyDescent="0.25">
      <c r="A908" s="61" t="s">
        <v>1316</v>
      </c>
      <c r="B908" s="14">
        <v>43549</v>
      </c>
      <c r="C908" s="13">
        <v>522</v>
      </c>
      <c r="D908" s="13" t="s">
        <v>282</v>
      </c>
      <c r="E908" s="13" t="s">
        <v>808</v>
      </c>
      <c r="F908" s="37">
        <v>2860</v>
      </c>
      <c r="G908" s="29" t="s">
        <v>4667</v>
      </c>
      <c r="H908" s="14">
        <v>43517</v>
      </c>
      <c r="I908" s="4" t="s">
        <v>283</v>
      </c>
    </row>
    <row r="909" spans="1:11" hidden="1" x14ac:dyDescent="0.25">
      <c r="A909" s="61" t="s">
        <v>1148</v>
      </c>
      <c r="B909" s="14">
        <v>43549</v>
      </c>
      <c r="C909" s="13">
        <v>522</v>
      </c>
      <c r="D909" s="13" t="s">
        <v>282</v>
      </c>
      <c r="E909" s="13" t="s">
        <v>808</v>
      </c>
      <c r="F909" s="37">
        <v>6435</v>
      </c>
      <c r="G909" s="29" t="s">
        <v>4668</v>
      </c>
      <c r="H909" s="14">
        <v>43517</v>
      </c>
      <c r="I909" s="4" t="s">
        <v>283</v>
      </c>
    </row>
    <row r="910" spans="1:11" hidden="1" x14ac:dyDescent="0.25">
      <c r="A910" s="61" t="s">
        <v>659</v>
      </c>
      <c r="B910" s="14">
        <v>43549</v>
      </c>
      <c r="C910" s="13">
        <v>522</v>
      </c>
      <c r="D910" s="13" t="s">
        <v>282</v>
      </c>
      <c r="E910" s="13" t="s">
        <v>808</v>
      </c>
      <c r="F910" s="37">
        <v>2145</v>
      </c>
      <c r="G910" s="29" t="s">
        <v>3216</v>
      </c>
      <c r="H910" s="14">
        <v>43517</v>
      </c>
      <c r="I910" s="4" t="s">
        <v>283</v>
      </c>
    </row>
    <row r="911" spans="1:11" hidden="1" x14ac:dyDescent="0.25">
      <c r="A911" s="61" t="s">
        <v>1316</v>
      </c>
      <c r="B911" s="14">
        <v>43549</v>
      </c>
      <c r="C911" s="13">
        <v>522</v>
      </c>
      <c r="D911" s="13" t="s">
        <v>282</v>
      </c>
      <c r="E911" s="13" t="s">
        <v>808</v>
      </c>
      <c r="F911" s="37">
        <v>2860</v>
      </c>
      <c r="G911" s="29" t="s">
        <v>4841</v>
      </c>
      <c r="H911" s="14">
        <v>43524</v>
      </c>
      <c r="I911" s="4" t="s">
        <v>283</v>
      </c>
    </row>
    <row r="912" spans="1:11" hidden="1" x14ac:dyDescent="0.25">
      <c r="A912" s="61" t="s">
        <v>1148</v>
      </c>
      <c r="B912" s="14">
        <v>43549</v>
      </c>
      <c r="C912" s="13">
        <v>522</v>
      </c>
      <c r="D912" s="13" t="s">
        <v>282</v>
      </c>
      <c r="E912" s="13" t="s">
        <v>808</v>
      </c>
      <c r="F912" s="37">
        <v>8580</v>
      </c>
      <c r="G912" s="29" t="s">
        <v>4842</v>
      </c>
      <c r="H912" s="14">
        <v>43524</v>
      </c>
      <c r="I912" s="4" t="s">
        <v>283</v>
      </c>
    </row>
    <row r="913" spans="1:15" hidden="1" x14ac:dyDescent="0.25">
      <c r="A913" s="32" t="s">
        <v>659</v>
      </c>
      <c r="B913" s="14">
        <v>43549</v>
      </c>
      <c r="C913" s="13">
        <v>523</v>
      </c>
      <c r="D913" s="13" t="s">
        <v>1395</v>
      </c>
      <c r="E913" s="13" t="s">
        <v>808</v>
      </c>
      <c r="F913" s="4">
        <v>38000</v>
      </c>
      <c r="G913" s="28" t="s">
        <v>5605</v>
      </c>
      <c r="H913" s="14">
        <v>43493</v>
      </c>
      <c r="I913" s="4" t="s">
        <v>5606</v>
      </c>
    </row>
    <row r="914" spans="1:15" hidden="1" x14ac:dyDescent="0.25">
      <c r="A914" s="61" t="s">
        <v>1148</v>
      </c>
      <c r="B914" s="14">
        <v>43549</v>
      </c>
      <c r="C914" s="13">
        <v>523</v>
      </c>
      <c r="D914" s="13" t="s">
        <v>1395</v>
      </c>
      <c r="E914" s="13" t="s">
        <v>808</v>
      </c>
      <c r="F914" s="37">
        <v>30400</v>
      </c>
      <c r="G914" s="29" t="s">
        <v>4700</v>
      </c>
      <c r="H914" s="14">
        <v>43525</v>
      </c>
      <c r="I914" s="4" t="s">
        <v>4856</v>
      </c>
    </row>
    <row r="915" spans="1:15" ht="27.6" hidden="1" x14ac:dyDescent="0.25">
      <c r="A915" s="61" t="s">
        <v>1806</v>
      </c>
      <c r="B915" s="14">
        <v>43549</v>
      </c>
      <c r="C915" s="13">
        <v>524</v>
      </c>
      <c r="D915" s="13" t="s">
        <v>80</v>
      </c>
      <c r="E915" s="13" t="s">
        <v>808</v>
      </c>
      <c r="F915" s="4">
        <f>239040-50000</f>
        <v>189040</v>
      </c>
      <c r="G915" s="28" t="s">
        <v>4304</v>
      </c>
      <c r="H915" s="14">
        <v>43510</v>
      </c>
      <c r="I915" s="4" t="s">
        <v>2157</v>
      </c>
    </row>
    <row r="916" spans="1:15" hidden="1" x14ac:dyDescent="0.25">
      <c r="A916" s="61" t="s">
        <v>1316</v>
      </c>
      <c r="B916" s="14">
        <v>43549</v>
      </c>
      <c r="C916" s="13">
        <v>525</v>
      </c>
      <c r="D916" s="13" t="s">
        <v>29</v>
      </c>
      <c r="E916" s="13" t="s">
        <v>808</v>
      </c>
      <c r="F916" s="37">
        <v>98550</v>
      </c>
      <c r="G916" s="29" t="s">
        <v>36</v>
      </c>
      <c r="H916" s="14">
        <v>43511</v>
      </c>
      <c r="I916" s="4" t="s">
        <v>87</v>
      </c>
    </row>
    <row r="917" spans="1:15" ht="27.6" hidden="1" x14ac:dyDescent="0.25">
      <c r="A917" s="61" t="s">
        <v>1806</v>
      </c>
      <c r="B917" s="14">
        <v>43549</v>
      </c>
      <c r="C917" s="13">
        <v>525</v>
      </c>
      <c r="D917" s="13" t="s">
        <v>29</v>
      </c>
      <c r="E917" s="13" t="s">
        <v>808</v>
      </c>
      <c r="F917" s="37">
        <v>624150</v>
      </c>
      <c r="G917" s="29" t="s">
        <v>731</v>
      </c>
      <c r="H917" s="14">
        <v>43514</v>
      </c>
      <c r="I917" s="4" t="s">
        <v>1061</v>
      </c>
    </row>
    <row r="918" spans="1:15" ht="27.6" hidden="1" x14ac:dyDescent="0.25">
      <c r="A918" s="61" t="s">
        <v>4318</v>
      </c>
      <c r="B918" s="14">
        <v>43549</v>
      </c>
      <c r="C918" s="13">
        <v>525</v>
      </c>
      <c r="D918" s="13" t="s">
        <v>29</v>
      </c>
      <c r="E918" s="13" t="s">
        <v>808</v>
      </c>
      <c r="F918" s="37">
        <v>27200</v>
      </c>
      <c r="G918" s="29" t="s">
        <v>727</v>
      </c>
      <c r="H918" s="14">
        <v>43514</v>
      </c>
      <c r="I918" s="4" t="s">
        <v>95</v>
      </c>
    </row>
    <row r="919" spans="1:15" hidden="1" x14ac:dyDescent="0.25">
      <c r="A919" s="61" t="s">
        <v>1316</v>
      </c>
      <c r="B919" s="14">
        <v>43549</v>
      </c>
      <c r="C919" s="13">
        <v>525</v>
      </c>
      <c r="D919" s="13" t="s">
        <v>29</v>
      </c>
      <c r="E919" s="13" t="s">
        <v>808</v>
      </c>
      <c r="F919" s="37">
        <v>13600</v>
      </c>
      <c r="G919" s="29" t="s">
        <v>162</v>
      </c>
      <c r="H919" s="14">
        <v>43514</v>
      </c>
      <c r="I919" s="4" t="s">
        <v>95</v>
      </c>
    </row>
    <row r="920" spans="1:15" hidden="1" x14ac:dyDescent="0.25">
      <c r="A920" s="13" t="s">
        <v>1316</v>
      </c>
      <c r="B920" s="14">
        <v>43549</v>
      </c>
      <c r="C920" s="13">
        <v>525</v>
      </c>
      <c r="D920" s="13" t="s">
        <v>29</v>
      </c>
      <c r="E920" s="13" t="s">
        <v>808</v>
      </c>
      <c r="F920" s="37">
        <v>8550</v>
      </c>
      <c r="G920" s="29" t="s">
        <v>359</v>
      </c>
      <c r="H920" s="14">
        <v>43516</v>
      </c>
      <c r="I920" s="4" t="s">
        <v>87</v>
      </c>
    </row>
    <row r="921" spans="1:15" ht="27.6" hidden="1" x14ac:dyDescent="0.25">
      <c r="A921" s="61" t="s">
        <v>3851</v>
      </c>
      <c r="B921" s="14">
        <v>43549</v>
      </c>
      <c r="C921" s="13">
        <v>526</v>
      </c>
      <c r="D921" s="13" t="s">
        <v>2047</v>
      </c>
      <c r="E921" s="13" t="s">
        <v>808</v>
      </c>
      <c r="F921" s="37">
        <v>40800</v>
      </c>
      <c r="G921" s="29" t="s">
        <v>4127</v>
      </c>
      <c r="H921" s="14">
        <v>43514</v>
      </c>
      <c r="I921" s="4" t="s">
        <v>95</v>
      </c>
    </row>
    <row r="922" spans="1:15" hidden="1" x14ac:dyDescent="0.25">
      <c r="A922" s="61" t="s">
        <v>1148</v>
      </c>
      <c r="B922" s="14">
        <v>43549</v>
      </c>
      <c r="C922" s="13">
        <v>526</v>
      </c>
      <c r="D922" s="13" t="s">
        <v>2047</v>
      </c>
      <c r="E922" s="13" t="s">
        <v>808</v>
      </c>
      <c r="F922" s="37">
        <v>39100</v>
      </c>
      <c r="G922" s="29" t="s">
        <v>2933</v>
      </c>
      <c r="H922" s="14">
        <v>43514</v>
      </c>
      <c r="I922" s="4" t="s">
        <v>95</v>
      </c>
    </row>
    <row r="923" spans="1:15" ht="27.6" hidden="1" x14ac:dyDescent="0.25">
      <c r="A923" s="32" t="s">
        <v>1894</v>
      </c>
      <c r="B923" s="14">
        <v>43549</v>
      </c>
      <c r="C923" s="13">
        <v>526</v>
      </c>
      <c r="D923" s="13" t="s">
        <v>2047</v>
      </c>
      <c r="E923" s="32" t="s">
        <v>808</v>
      </c>
      <c r="F923" s="4">
        <v>34000</v>
      </c>
      <c r="G923" s="29" t="s">
        <v>2932</v>
      </c>
      <c r="H923" s="14">
        <v>43514</v>
      </c>
      <c r="I923" s="32" t="s">
        <v>95</v>
      </c>
    </row>
    <row r="924" spans="1:15" ht="27.6" hidden="1" x14ac:dyDescent="0.25">
      <c r="A924" s="61" t="s">
        <v>4316</v>
      </c>
      <c r="B924" s="14">
        <v>43549</v>
      </c>
      <c r="C924" s="13">
        <v>527</v>
      </c>
      <c r="D924" s="13" t="s">
        <v>1985</v>
      </c>
      <c r="E924" s="13" t="s">
        <v>808</v>
      </c>
      <c r="F924" s="4">
        <v>100000</v>
      </c>
      <c r="G924" s="28" t="s">
        <v>3184</v>
      </c>
      <c r="H924" s="14">
        <v>43511</v>
      </c>
      <c r="I924" s="4" t="s">
        <v>4317</v>
      </c>
    </row>
    <row r="925" spans="1:15" hidden="1" x14ac:dyDescent="0.25">
      <c r="A925" s="61" t="s">
        <v>1147</v>
      </c>
      <c r="B925" s="14">
        <v>43549</v>
      </c>
      <c r="C925" s="13">
        <v>528</v>
      </c>
      <c r="D925" s="13" t="s">
        <v>692</v>
      </c>
      <c r="E925" s="13" t="s">
        <v>808</v>
      </c>
      <c r="F925" s="37">
        <v>119812.5</v>
      </c>
      <c r="G925" s="29" t="s">
        <v>3432</v>
      </c>
      <c r="H925" s="14">
        <v>43505</v>
      </c>
      <c r="I925" s="4" t="s">
        <v>2027</v>
      </c>
    </row>
    <row r="926" spans="1:15" hidden="1" x14ac:dyDescent="0.25">
      <c r="A926" s="13" t="s">
        <v>151</v>
      </c>
      <c r="B926" s="14">
        <v>43549</v>
      </c>
      <c r="C926" s="13">
        <v>529</v>
      </c>
      <c r="D926" s="13" t="s">
        <v>5553</v>
      </c>
      <c r="E926" s="32" t="s">
        <v>808</v>
      </c>
      <c r="F926" s="4">
        <v>24000</v>
      </c>
      <c r="G926" s="28" t="s">
        <v>695</v>
      </c>
      <c r="H926" s="14">
        <v>43530</v>
      </c>
      <c r="I926" s="4" t="s">
        <v>5554</v>
      </c>
      <c r="J926" s="125" t="s">
        <v>5555</v>
      </c>
    </row>
    <row r="927" spans="1:15" hidden="1" x14ac:dyDescent="0.25">
      <c r="A927" s="13" t="s">
        <v>455</v>
      </c>
      <c r="B927" s="126">
        <v>43549</v>
      </c>
      <c r="C927" s="28" t="s">
        <v>480</v>
      </c>
      <c r="D927" s="32" t="s">
        <v>432</v>
      </c>
      <c r="E927" s="32" t="s">
        <v>958</v>
      </c>
      <c r="F927" s="4">
        <v>185000</v>
      </c>
      <c r="G927" s="69" t="s">
        <v>4761</v>
      </c>
      <c r="H927" s="14">
        <v>42941</v>
      </c>
      <c r="I927" s="4" t="s">
        <v>433</v>
      </c>
      <c r="J927" s="21"/>
      <c r="K927" s="228"/>
    </row>
    <row r="928" spans="1:15" s="441" customFormat="1" ht="15" hidden="1" customHeight="1" x14ac:dyDescent="0.25">
      <c r="A928" s="32" t="s">
        <v>455</v>
      </c>
      <c r="B928" s="126">
        <v>43549</v>
      </c>
      <c r="C928" s="13">
        <v>158</v>
      </c>
      <c r="D928" s="13" t="s">
        <v>487</v>
      </c>
      <c r="E928" s="13" t="s">
        <v>958</v>
      </c>
      <c r="F928" s="37">
        <v>798000</v>
      </c>
      <c r="G928" s="189" t="s">
        <v>3011</v>
      </c>
      <c r="H928" s="14">
        <v>43487</v>
      </c>
      <c r="I928" s="4" t="s">
        <v>5036</v>
      </c>
      <c r="J928" s="261" t="s">
        <v>3665</v>
      </c>
      <c r="K928" s="4" t="s">
        <v>4999</v>
      </c>
      <c r="L928" s="440"/>
      <c r="M928" s="440"/>
      <c r="N928" s="440"/>
      <c r="O928" s="440"/>
    </row>
    <row r="929" spans="1:19" s="62" customFormat="1" ht="15" hidden="1" customHeight="1" x14ac:dyDescent="0.25">
      <c r="A929" s="32" t="s">
        <v>455</v>
      </c>
      <c r="B929" s="126">
        <v>43549</v>
      </c>
      <c r="C929" s="13">
        <v>159</v>
      </c>
      <c r="D929" s="13" t="s">
        <v>257</v>
      </c>
      <c r="E929" s="13" t="s">
        <v>958</v>
      </c>
      <c r="F929" s="37">
        <v>852605</v>
      </c>
      <c r="G929" s="189" t="s">
        <v>3025</v>
      </c>
      <c r="H929" s="14">
        <v>43481</v>
      </c>
      <c r="I929" s="4" t="s">
        <v>5041</v>
      </c>
      <c r="J929" s="261" t="s">
        <v>3665</v>
      </c>
      <c r="K929" s="4" t="s">
        <v>4999</v>
      </c>
      <c r="L929" s="71"/>
      <c r="M929" s="170"/>
      <c r="N929" s="71"/>
      <c r="O929" s="71"/>
      <c r="P929" s="35"/>
      <c r="Q929" s="35"/>
      <c r="R929" s="35"/>
      <c r="S929" s="35"/>
    </row>
    <row r="930" spans="1:19" s="441" customFormat="1" hidden="1" x14ac:dyDescent="0.25">
      <c r="A930" s="32" t="s">
        <v>455</v>
      </c>
      <c r="B930" s="126">
        <v>43549</v>
      </c>
      <c r="C930" s="13">
        <v>160</v>
      </c>
      <c r="D930" s="13" t="s">
        <v>5053</v>
      </c>
      <c r="E930" s="13" t="s">
        <v>958</v>
      </c>
      <c r="F930" s="37">
        <v>856000</v>
      </c>
      <c r="G930" s="189" t="s">
        <v>5056</v>
      </c>
      <c r="H930" s="14">
        <v>43481</v>
      </c>
      <c r="I930" s="4" t="s">
        <v>5036</v>
      </c>
      <c r="J930" s="261" t="s">
        <v>3665</v>
      </c>
      <c r="K930" s="4" t="s">
        <v>4999</v>
      </c>
      <c r="L930" s="440"/>
      <c r="M930" s="440"/>
      <c r="N930" s="440"/>
      <c r="O930" s="440"/>
    </row>
    <row r="931" spans="1:19" s="62" customFormat="1" hidden="1" x14ac:dyDescent="0.25">
      <c r="A931" s="32" t="s">
        <v>455</v>
      </c>
      <c r="B931" s="126">
        <v>43549</v>
      </c>
      <c r="C931" s="13">
        <v>161</v>
      </c>
      <c r="D931" s="13" t="s">
        <v>254</v>
      </c>
      <c r="E931" s="13" t="s">
        <v>958</v>
      </c>
      <c r="F931" s="37">
        <v>817999.92</v>
      </c>
      <c r="G931" s="189" t="s">
        <v>5062</v>
      </c>
      <c r="H931" s="14">
        <v>43509</v>
      </c>
      <c r="I931" s="4" t="s">
        <v>5055</v>
      </c>
      <c r="J931" s="261" t="s">
        <v>3665</v>
      </c>
      <c r="K931" s="4" t="s">
        <v>4999</v>
      </c>
      <c r="L931" s="71"/>
      <c r="M931" s="170"/>
      <c r="N931" s="71"/>
      <c r="O931" s="71"/>
      <c r="P931" s="35"/>
      <c r="Q931" s="35"/>
      <c r="R931" s="35"/>
      <c r="S931" s="35"/>
    </row>
    <row r="932" spans="1:19" s="62" customFormat="1" hidden="1" x14ac:dyDescent="0.25">
      <c r="A932" s="32" t="s">
        <v>455</v>
      </c>
      <c r="B932" s="126">
        <v>43549</v>
      </c>
      <c r="C932" s="13">
        <v>162</v>
      </c>
      <c r="D932" s="13" t="s">
        <v>589</v>
      </c>
      <c r="E932" s="13" t="s">
        <v>958</v>
      </c>
      <c r="F932" s="37">
        <v>720000</v>
      </c>
      <c r="G932" s="189" t="s">
        <v>5073</v>
      </c>
      <c r="H932" s="14">
        <v>43503</v>
      </c>
      <c r="I932" s="4" t="s">
        <v>5055</v>
      </c>
      <c r="J932" s="261" t="s">
        <v>3665</v>
      </c>
      <c r="K932" s="4" t="s">
        <v>4999</v>
      </c>
      <c r="L932" s="71"/>
      <c r="M932" s="170"/>
      <c r="N932" s="71"/>
      <c r="O932" s="71"/>
      <c r="P932" s="35"/>
      <c r="Q932" s="35"/>
      <c r="R932" s="35"/>
      <c r="S932" s="35"/>
    </row>
    <row r="933" spans="1:19" s="62" customFormat="1" hidden="1" x14ac:dyDescent="0.25">
      <c r="A933" s="32" t="s">
        <v>455</v>
      </c>
      <c r="B933" s="126">
        <v>43549</v>
      </c>
      <c r="C933" s="13">
        <v>163</v>
      </c>
      <c r="D933" s="13" t="s">
        <v>589</v>
      </c>
      <c r="E933" s="13" t="s">
        <v>958</v>
      </c>
      <c r="F933" s="37">
        <v>685505</v>
      </c>
      <c r="G933" s="189" t="s">
        <v>3421</v>
      </c>
      <c r="H933" s="14">
        <v>43501</v>
      </c>
      <c r="I933" s="4" t="s">
        <v>5074</v>
      </c>
      <c r="J933" s="261" t="s">
        <v>3665</v>
      </c>
      <c r="K933" s="4" t="s">
        <v>4999</v>
      </c>
      <c r="L933" s="71"/>
      <c r="M933" s="170"/>
      <c r="N933" s="71"/>
      <c r="O933" s="71"/>
      <c r="P933" s="35"/>
      <c r="Q933" s="35"/>
      <c r="R933" s="35"/>
      <c r="S933" s="35"/>
    </row>
    <row r="934" spans="1:19" s="62" customFormat="1" ht="13.2" hidden="1" customHeight="1" x14ac:dyDescent="0.25">
      <c r="A934" s="32" t="s">
        <v>455</v>
      </c>
      <c r="B934" s="126">
        <v>43549</v>
      </c>
      <c r="C934" s="13">
        <v>164</v>
      </c>
      <c r="D934" s="13" t="s">
        <v>249</v>
      </c>
      <c r="E934" s="13" t="s">
        <v>958</v>
      </c>
      <c r="F934" s="37">
        <f>798400.68-88933.27</f>
        <v>709467.41</v>
      </c>
      <c r="G934" s="189" t="s">
        <v>1243</v>
      </c>
      <c r="H934" s="14">
        <v>43507</v>
      </c>
      <c r="I934" s="4" t="s">
        <v>5055</v>
      </c>
      <c r="J934" s="261" t="s">
        <v>3665</v>
      </c>
      <c r="K934" s="4" t="s">
        <v>4999</v>
      </c>
      <c r="L934" s="71"/>
      <c r="M934" s="170"/>
      <c r="N934" s="71"/>
      <c r="O934" s="71"/>
      <c r="P934" s="35"/>
      <c r="Q934" s="35"/>
      <c r="R934" s="35"/>
      <c r="S934" s="35"/>
    </row>
    <row r="935" spans="1:19" s="62" customFormat="1" hidden="1" x14ac:dyDescent="0.25">
      <c r="A935" s="32" t="s">
        <v>455</v>
      </c>
      <c r="B935" s="126">
        <v>43549</v>
      </c>
      <c r="C935" s="13">
        <v>164</v>
      </c>
      <c r="D935" s="13" t="s">
        <v>249</v>
      </c>
      <c r="E935" s="13" t="s">
        <v>958</v>
      </c>
      <c r="F935" s="37">
        <v>282150</v>
      </c>
      <c r="G935" s="189" t="s">
        <v>462</v>
      </c>
      <c r="H935" s="14">
        <v>43514</v>
      </c>
      <c r="I935" s="4" t="s">
        <v>5117</v>
      </c>
      <c r="J935" s="261" t="s">
        <v>3665</v>
      </c>
      <c r="K935" s="4" t="s">
        <v>4994</v>
      </c>
      <c r="L935" s="71"/>
      <c r="M935" s="170"/>
      <c r="N935" s="71"/>
      <c r="O935" s="71"/>
      <c r="P935" s="35"/>
      <c r="Q935" s="35"/>
      <c r="R935" s="35"/>
      <c r="S935" s="35"/>
    </row>
    <row r="936" spans="1:19" s="62" customFormat="1" hidden="1" x14ac:dyDescent="0.25">
      <c r="A936" s="32" t="s">
        <v>455</v>
      </c>
      <c r="B936" s="126">
        <v>43549</v>
      </c>
      <c r="C936" s="13">
        <v>165</v>
      </c>
      <c r="D936" s="13" t="s">
        <v>353</v>
      </c>
      <c r="E936" s="13" t="s">
        <v>958</v>
      </c>
      <c r="F936" s="37">
        <v>812372.08</v>
      </c>
      <c r="G936" s="189" t="s">
        <v>3011</v>
      </c>
      <c r="H936" s="14">
        <v>43476</v>
      </c>
      <c r="I936" s="4" t="s">
        <v>5041</v>
      </c>
      <c r="J936" s="261" t="s">
        <v>3665</v>
      </c>
      <c r="K936" s="4" t="s">
        <v>4999</v>
      </c>
      <c r="L936" s="71"/>
      <c r="M936" s="170"/>
      <c r="N936" s="71"/>
      <c r="O936" s="71"/>
      <c r="P936" s="35"/>
      <c r="Q936" s="35"/>
      <c r="R936" s="35"/>
      <c r="S936" s="35"/>
    </row>
    <row r="937" spans="1:19" s="62" customFormat="1" hidden="1" x14ac:dyDescent="0.25">
      <c r="A937" s="32" t="s">
        <v>455</v>
      </c>
      <c r="B937" s="126">
        <v>43549</v>
      </c>
      <c r="C937" s="13">
        <v>165</v>
      </c>
      <c r="D937" s="13" t="s">
        <v>353</v>
      </c>
      <c r="E937" s="13" t="s">
        <v>958</v>
      </c>
      <c r="F937" s="37">
        <v>803418.08</v>
      </c>
      <c r="G937" s="189" t="s">
        <v>2893</v>
      </c>
      <c r="H937" s="14">
        <v>43484</v>
      </c>
      <c r="I937" s="4" t="s">
        <v>5041</v>
      </c>
      <c r="J937" s="261" t="s">
        <v>3665</v>
      </c>
      <c r="K937" s="4" t="s">
        <v>4999</v>
      </c>
      <c r="L937" s="71"/>
      <c r="M937" s="170"/>
      <c r="N937" s="71"/>
      <c r="O937" s="71"/>
      <c r="P937" s="35"/>
      <c r="Q937" s="35"/>
      <c r="R937" s="35"/>
      <c r="S937" s="35"/>
    </row>
    <row r="938" spans="1:19" s="62" customFormat="1" ht="15" hidden="1" customHeight="1" x14ac:dyDescent="0.25">
      <c r="A938" s="32" t="s">
        <v>455</v>
      </c>
      <c r="B938" s="126">
        <v>43549</v>
      </c>
      <c r="C938" s="13">
        <v>166</v>
      </c>
      <c r="D938" s="13" t="s">
        <v>5006</v>
      </c>
      <c r="E938" s="13" t="s">
        <v>958</v>
      </c>
      <c r="F938" s="37">
        <v>308620.59999999998</v>
      </c>
      <c r="G938" s="70" t="s">
        <v>5422</v>
      </c>
      <c r="H938" s="14"/>
      <c r="I938" s="4" t="s">
        <v>1244</v>
      </c>
      <c r="J938" s="261" t="s">
        <v>5008</v>
      </c>
      <c r="K938" s="4" t="s">
        <v>4999</v>
      </c>
      <c r="L938" s="71"/>
      <c r="M938" s="170"/>
      <c r="N938" s="71"/>
      <c r="O938" s="71"/>
      <c r="P938" s="35"/>
      <c r="Q938" s="35"/>
      <c r="R938" s="35"/>
      <c r="S938" s="35"/>
    </row>
    <row r="939" spans="1:19" s="97" customFormat="1" hidden="1" x14ac:dyDescent="0.25">
      <c r="A939" s="68" t="s">
        <v>160</v>
      </c>
      <c r="B939" s="126">
        <v>43549</v>
      </c>
      <c r="C939" s="13">
        <v>167</v>
      </c>
      <c r="D939" s="13" t="s">
        <v>982</v>
      </c>
      <c r="E939" s="13" t="s">
        <v>958</v>
      </c>
      <c r="F939" s="37">
        <v>500000</v>
      </c>
      <c r="G939" s="29" t="s">
        <v>5230</v>
      </c>
      <c r="H939" s="14">
        <v>42601</v>
      </c>
      <c r="I939" s="4" t="s">
        <v>1093</v>
      </c>
      <c r="J939" s="133"/>
      <c r="K939" s="22"/>
      <c r="L939" s="134"/>
    </row>
    <row r="940" spans="1:19" s="62" customFormat="1" ht="15" hidden="1" customHeight="1" x14ac:dyDescent="0.25">
      <c r="A940" s="32" t="s">
        <v>310</v>
      </c>
      <c r="B940" s="126">
        <v>43549</v>
      </c>
      <c r="C940" s="13">
        <v>168</v>
      </c>
      <c r="D940" s="32" t="s">
        <v>4995</v>
      </c>
      <c r="E940" s="32" t="s">
        <v>958</v>
      </c>
      <c r="F940" s="4">
        <v>33898.78</v>
      </c>
      <c r="G940" s="28" t="s">
        <v>5541</v>
      </c>
      <c r="H940" s="14">
        <v>43508</v>
      </c>
      <c r="I940" s="32" t="s">
        <v>5542</v>
      </c>
      <c r="J940" s="442" t="s">
        <v>4998</v>
      </c>
      <c r="K940" s="4" t="s">
        <v>4999</v>
      </c>
      <c r="L940" s="443"/>
      <c r="M940" s="461"/>
      <c r="O940" s="35"/>
      <c r="P940" s="35"/>
      <c r="Q940" s="35"/>
      <c r="R940" s="35"/>
      <c r="S940" s="35"/>
    </row>
    <row r="941" spans="1:19" hidden="1" x14ac:dyDescent="0.25">
      <c r="A941" s="61" t="s">
        <v>455</v>
      </c>
      <c r="B941" s="126">
        <v>43549</v>
      </c>
      <c r="C941" s="13">
        <v>169</v>
      </c>
      <c r="D941" s="13" t="s">
        <v>1395</v>
      </c>
      <c r="E941" s="13" t="s">
        <v>958</v>
      </c>
      <c r="F941" s="37">
        <v>21600</v>
      </c>
      <c r="G941" s="29" t="s">
        <v>4852</v>
      </c>
      <c r="H941" s="14">
        <v>43514</v>
      </c>
      <c r="I941" s="4" t="s">
        <v>4853</v>
      </c>
    </row>
    <row r="942" spans="1:19" hidden="1" x14ac:dyDescent="0.25">
      <c r="A942" s="61" t="s">
        <v>455</v>
      </c>
      <c r="B942" s="126">
        <v>43549</v>
      </c>
      <c r="C942" s="13">
        <v>169</v>
      </c>
      <c r="D942" s="13" t="s">
        <v>1395</v>
      </c>
      <c r="E942" s="13" t="s">
        <v>958</v>
      </c>
      <c r="F942" s="37">
        <v>29700</v>
      </c>
      <c r="G942" s="29" t="s">
        <v>3436</v>
      </c>
      <c r="H942" s="14">
        <v>43529</v>
      </c>
      <c r="I942" s="4" t="s">
        <v>4862</v>
      </c>
    </row>
    <row r="943" spans="1:19" hidden="1" x14ac:dyDescent="0.25">
      <c r="A943" s="32" t="s">
        <v>455</v>
      </c>
      <c r="B943" s="126">
        <v>43549</v>
      </c>
      <c r="C943" s="13">
        <v>169</v>
      </c>
      <c r="D943" s="13" t="s">
        <v>1395</v>
      </c>
      <c r="E943" s="13" t="s">
        <v>958</v>
      </c>
      <c r="F943" s="37">
        <v>29700</v>
      </c>
      <c r="G943" s="29" t="s">
        <v>3929</v>
      </c>
      <c r="H943" s="14">
        <v>43530</v>
      </c>
      <c r="I943" s="4" t="s">
        <v>5357</v>
      </c>
    </row>
    <row r="944" spans="1:19" hidden="1" x14ac:dyDescent="0.25">
      <c r="A944" s="61" t="s">
        <v>455</v>
      </c>
      <c r="B944" s="126">
        <v>43549</v>
      </c>
      <c r="C944" s="13">
        <v>170</v>
      </c>
      <c r="D944" s="13" t="s">
        <v>250</v>
      </c>
      <c r="E944" s="13" t="s">
        <v>958</v>
      </c>
      <c r="F944" s="37">
        <v>36125</v>
      </c>
      <c r="G944" s="29" t="s">
        <v>4868</v>
      </c>
      <c r="H944" s="14">
        <v>43517</v>
      </c>
      <c r="I944" s="4" t="s">
        <v>402</v>
      </c>
    </row>
    <row r="945" spans="1:19" hidden="1" x14ac:dyDescent="0.25">
      <c r="A945" s="13" t="s">
        <v>310</v>
      </c>
      <c r="B945" s="126">
        <v>43549</v>
      </c>
      <c r="C945" s="13">
        <v>171</v>
      </c>
      <c r="D945" s="13" t="s">
        <v>4874</v>
      </c>
      <c r="E945" s="13" t="s">
        <v>958</v>
      </c>
      <c r="F945" s="37">
        <v>26000</v>
      </c>
      <c r="G945" s="29" t="s">
        <v>4</v>
      </c>
      <c r="H945" s="14">
        <v>43496</v>
      </c>
      <c r="I945" s="4" t="s">
        <v>419</v>
      </c>
    </row>
    <row r="946" spans="1:19" s="2" customFormat="1" hidden="1" x14ac:dyDescent="0.25">
      <c r="A946" s="61" t="s">
        <v>310</v>
      </c>
      <c r="B946" s="126">
        <v>43549</v>
      </c>
      <c r="C946" s="13">
        <v>172</v>
      </c>
      <c r="D946" s="13" t="s">
        <v>149</v>
      </c>
      <c r="E946" s="13" t="s">
        <v>958</v>
      </c>
      <c r="F946" s="37">
        <v>7000</v>
      </c>
      <c r="G946" s="29" t="s">
        <v>870</v>
      </c>
      <c r="H946" s="14">
        <v>43496</v>
      </c>
      <c r="I946" s="4" t="s">
        <v>4884</v>
      </c>
      <c r="J946" s="16"/>
      <c r="K946" s="5"/>
    </row>
    <row r="947" spans="1:19" s="2" customFormat="1" hidden="1" x14ac:dyDescent="0.25">
      <c r="A947" s="61" t="s">
        <v>455</v>
      </c>
      <c r="B947" s="126">
        <v>43549</v>
      </c>
      <c r="C947" s="13">
        <v>172</v>
      </c>
      <c r="D947" s="13" t="s">
        <v>149</v>
      </c>
      <c r="E947" s="13" t="s">
        <v>958</v>
      </c>
      <c r="F947" s="37">
        <v>7000</v>
      </c>
      <c r="G947" s="29" t="s">
        <v>4885</v>
      </c>
      <c r="H947" s="14">
        <v>43496</v>
      </c>
      <c r="I947" s="4" t="s">
        <v>4884</v>
      </c>
      <c r="J947" s="16"/>
      <c r="K947" s="5"/>
    </row>
    <row r="948" spans="1:19" s="115" customFormat="1" ht="15.6" hidden="1" x14ac:dyDescent="0.25">
      <c r="A948" s="32" t="s">
        <v>6</v>
      </c>
      <c r="B948" s="14">
        <v>43549</v>
      </c>
      <c r="C948" s="13">
        <v>142</v>
      </c>
      <c r="D948" s="32" t="s">
        <v>1555</v>
      </c>
      <c r="E948" s="13" t="s">
        <v>183</v>
      </c>
      <c r="F948" s="4">
        <v>2194.2199999999998</v>
      </c>
      <c r="G948" s="13" t="s">
        <v>5779</v>
      </c>
      <c r="H948" s="14">
        <v>43524</v>
      </c>
      <c r="I948" s="4" t="s">
        <v>118</v>
      </c>
      <c r="J948" s="21" t="s">
        <v>366</v>
      </c>
      <c r="K948" s="116"/>
      <c r="L948" s="116"/>
      <c r="M948" s="116"/>
      <c r="N948" s="116"/>
      <c r="O948" s="117"/>
      <c r="P948" s="117"/>
      <c r="Q948" s="117"/>
      <c r="R948" s="117"/>
      <c r="S948" s="117"/>
    </row>
    <row r="949" spans="1:19" s="2" customFormat="1" hidden="1" x14ac:dyDescent="0.25">
      <c r="A949" s="13" t="s">
        <v>6</v>
      </c>
      <c r="B949" s="14">
        <v>43549</v>
      </c>
      <c r="C949" s="13">
        <v>143</v>
      </c>
      <c r="D949" s="13" t="s">
        <v>585</v>
      </c>
      <c r="E949" s="13" t="s">
        <v>183</v>
      </c>
      <c r="F949" s="4">
        <v>870</v>
      </c>
      <c r="G949" s="28" t="s">
        <v>5713</v>
      </c>
      <c r="H949" s="14">
        <v>43544</v>
      </c>
      <c r="I949" s="4" t="s">
        <v>1</v>
      </c>
      <c r="J949" s="341"/>
      <c r="K949" s="31"/>
      <c r="L949" s="31"/>
      <c r="M949" s="31"/>
      <c r="N949" s="31"/>
      <c r="O949" s="34"/>
      <c r="P949" s="34"/>
      <c r="Q949" s="34"/>
      <c r="R949" s="34"/>
      <c r="S949" s="34"/>
    </row>
    <row r="950" spans="1:19" s="2" customFormat="1" hidden="1" x14ac:dyDescent="0.25">
      <c r="A950" s="61" t="s">
        <v>6</v>
      </c>
      <c r="B950" s="14">
        <v>43549</v>
      </c>
      <c r="C950" s="13">
        <v>144</v>
      </c>
      <c r="D950" s="32" t="s">
        <v>3455</v>
      </c>
      <c r="E950" s="13" t="s">
        <v>183</v>
      </c>
      <c r="F950" s="4">
        <v>19000</v>
      </c>
      <c r="G950" s="13">
        <v>57</v>
      </c>
      <c r="H950" s="14">
        <v>43543</v>
      </c>
      <c r="I950" s="4" t="s">
        <v>5712</v>
      </c>
      <c r="J950" s="341"/>
      <c r="K950" s="31"/>
      <c r="L950" s="31"/>
      <c r="M950" s="31"/>
      <c r="N950" s="31"/>
      <c r="O950" s="34"/>
      <c r="P950" s="34"/>
      <c r="Q950" s="34"/>
      <c r="R950" s="34"/>
      <c r="S950" s="34"/>
    </row>
    <row r="951" spans="1:19" s="2" customFormat="1" hidden="1" x14ac:dyDescent="0.25">
      <c r="A951" s="13" t="s">
        <v>6</v>
      </c>
      <c r="B951" s="14">
        <v>43549</v>
      </c>
      <c r="C951" s="13">
        <v>141</v>
      </c>
      <c r="D951" s="32" t="s">
        <v>5714</v>
      </c>
      <c r="E951" s="13" t="s">
        <v>183</v>
      </c>
      <c r="F951" s="299">
        <f>39.03*72.59</f>
        <v>2833.1877000000004</v>
      </c>
      <c r="G951" s="29" t="s">
        <v>1304</v>
      </c>
      <c r="H951" s="14">
        <v>43543</v>
      </c>
      <c r="I951" s="4" t="s">
        <v>5715</v>
      </c>
      <c r="J951" s="341"/>
      <c r="K951" s="31"/>
      <c r="L951" s="31"/>
      <c r="M951" s="31"/>
      <c r="N951" s="31"/>
      <c r="O951" s="34"/>
      <c r="P951" s="34"/>
      <c r="Q951" s="34"/>
      <c r="R951" s="34"/>
      <c r="S951" s="34"/>
    </row>
    <row r="952" spans="1:19" s="2" customFormat="1" hidden="1" x14ac:dyDescent="0.25">
      <c r="A952" s="61" t="s">
        <v>6</v>
      </c>
      <c r="B952" s="14">
        <v>43549</v>
      </c>
      <c r="C952" s="13">
        <v>145</v>
      </c>
      <c r="D952" s="32" t="s">
        <v>5716</v>
      </c>
      <c r="E952" s="13" t="s">
        <v>183</v>
      </c>
      <c r="F952" s="4">
        <v>27000</v>
      </c>
      <c r="G952" s="29" t="s">
        <v>5717</v>
      </c>
      <c r="H952" s="14">
        <v>43545</v>
      </c>
      <c r="I952" s="4" t="s">
        <v>5718</v>
      </c>
      <c r="J952" s="341"/>
      <c r="K952" s="31"/>
      <c r="L952" s="31"/>
      <c r="M952" s="31"/>
      <c r="N952" s="31"/>
      <c r="O952" s="34"/>
      <c r="P952" s="34"/>
      <c r="Q952" s="34"/>
      <c r="R952" s="34"/>
      <c r="S952" s="34"/>
    </row>
    <row r="953" spans="1:19" s="2" customFormat="1" hidden="1" x14ac:dyDescent="0.25">
      <c r="A953" s="61" t="s">
        <v>6</v>
      </c>
      <c r="B953" s="14">
        <v>43549</v>
      </c>
      <c r="C953" s="13">
        <v>146</v>
      </c>
      <c r="D953" s="32" t="s">
        <v>5745</v>
      </c>
      <c r="E953" s="13" t="s">
        <v>183</v>
      </c>
      <c r="F953" s="4">
        <v>14976</v>
      </c>
      <c r="G953" s="29" t="s">
        <v>3228</v>
      </c>
      <c r="H953" s="14">
        <v>43545</v>
      </c>
      <c r="I953" s="4" t="s">
        <v>5746</v>
      </c>
      <c r="J953" s="341"/>
      <c r="K953" s="31"/>
      <c r="L953" s="31"/>
      <c r="M953" s="31"/>
      <c r="N953" s="31"/>
      <c r="O953" s="34"/>
      <c r="P953" s="34"/>
      <c r="Q953" s="34"/>
      <c r="R953" s="34"/>
      <c r="S953" s="34"/>
    </row>
    <row r="954" spans="1:19" s="2" customFormat="1" ht="15" hidden="1" customHeight="1" x14ac:dyDescent="0.25">
      <c r="A954" s="13" t="s">
        <v>6</v>
      </c>
      <c r="B954" s="14">
        <v>43549</v>
      </c>
      <c r="C954" s="13">
        <v>149</v>
      </c>
      <c r="D954" s="13" t="s">
        <v>4386</v>
      </c>
      <c r="E954" s="13" t="s">
        <v>183</v>
      </c>
      <c r="F954" s="4">
        <f>520000-260000</f>
        <v>260000</v>
      </c>
      <c r="G954" s="29" t="s">
        <v>4</v>
      </c>
      <c r="H954" s="14">
        <v>43514</v>
      </c>
      <c r="I954" s="4" t="s">
        <v>4387</v>
      </c>
      <c r="J954" s="341"/>
      <c r="K954" s="31"/>
      <c r="L954" s="31"/>
      <c r="M954" s="31"/>
      <c r="N954" s="31"/>
      <c r="O954" s="34"/>
      <c r="P954" s="34"/>
      <c r="Q954" s="34"/>
      <c r="R954" s="34"/>
      <c r="S954" s="34"/>
    </row>
    <row r="955" spans="1:19" s="2" customFormat="1" ht="15" hidden="1" customHeight="1" x14ac:dyDescent="0.25">
      <c r="A955" s="13" t="s">
        <v>6</v>
      </c>
      <c r="B955" s="14">
        <v>43549</v>
      </c>
      <c r="C955" s="13">
        <v>147</v>
      </c>
      <c r="D955" s="32" t="s">
        <v>1500</v>
      </c>
      <c r="E955" s="13" t="s">
        <v>183</v>
      </c>
      <c r="F955" s="4">
        <v>21600</v>
      </c>
      <c r="G955" s="29" t="s">
        <v>359</v>
      </c>
      <c r="H955" s="14">
        <v>43543</v>
      </c>
      <c r="I955" s="4" t="s">
        <v>1916</v>
      </c>
      <c r="J955" s="341"/>
      <c r="K955" s="31"/>
      <c r="L955" s="31"/>
      <c r="M955" s="31"/>
      <c r="N955" s="31"/>
      <c r="O955" s="34"/>
      <c r="P955" s="34"/>
      <c r="Q955" s="34"/>
      <c r="R955" s="34"/>
      <c r="S955" s="34"/>
    </row>
    <row r="956" spans="1:19" s="2" customFormat="1" ht="15" hidden="1" customHeight="1" x14ac:dyDescent="0.25">
      <c r="A956" s="13" t="s">
        <v>6</v>
      </c>
      <c r="B956" s="14">
        <v>43549</v>
      </c>
      <c r="C956" s="13">
        <v>148</v>
      </c>
      <c r="D956" s="13" t="s">
        <v>4162</v>
      </c>
      <c r="E956" s="13" t="s">
        <v>183</v>
      </c>
      <c r="F956" s="4">
        <v>35843.93</v>
      </c>
      <c r="G956" s="29" t="s">
        <v>5780</v>
      </c>
      <c r="H956" s="14">
        <v>43546</v>
      </c>
      <c r="I956" s="4" t="s">
        <v>5781</v>
      </c>
      <c r="J956" s="341"/>
      <c r="K956" s="31"/>
      <c r="L956" s="31"/>
      <c r="M956" s="31"/>
      <c r="N956" s="31"/>
      <c r="O956" s="34"/>
      <c r="P956" s="34"/>
      <c r="Q956" s="34"/>
      <c r="R956" s="34"/>
      <c r="S956" s="34"/>
    </row>
    <row r="957" spans="1:19" s="115" customFormat="1" ht="15.6" hidden="1" x14ac:dyDescent="0.25">
      <c r="A957" s="61" t="s">
        <v>651</v>
      </c>
      <c r="B957" s="14">
        <v>43549</v>
      </c>
      <c r="C957" s="13">
        <v>335</v>
      </c>
      <c r="D957" s="13" t="s">
        <v>813</v>
      </c>
      <c r="E957" s="13" t="s">
        <v>547</v>
      </c>
      <c r="F957" s="37">
        <v>5000000</v>
      </c>
      <c r="G957" s="29" t="s">
        <v>810</v>
      </c>
      <c r="H957" s="14">
        <v>42340</v>
      </c>
      <c r="I957" s="41" t="s">
        <v>1560</v>
      </c>
      <c r="J957" s="258"/>
      <c r="K957" s="116"/>
      <c r="L957" s="116"/>
      <c r="M957" s="116"/>
      <c r="N957" s="116"/>
      <c r="O957" s="117"/>
      <c r="P957" s="117"/>
      <c r="Q957" s="117"/>
      <c r="R957" s="117"/>
      <c r="S957" s="117"/>
    </row>
    <row r="958" spans="1:19" hidden="1" x14ac:dyDescent="0.25">
      <c r="A958" s="61" t="s">
        <v>460</v>
      </c>
      <c r="B958" s="14">
        <v>43549</v>
      </c>
      <c r="C958" s="13">
        <v>658</v>
      </c>
      <c r="D958" s="13" t="s">
        <v>5814</v>
      </c>
      <c r="E958" s="13" t="s">
        <v>140</v>
      </c>
      <c r="F958" s="256">
        <v>1888300</v>
      </c>
      <c r="G958" s="69" t="s">
        <v>5815</v>
      </c>
      <c r="H958" s="14"/>
      <c r="I958" s="274"/>
      <c r="J958" s="169"/>
    </row>
    <row r="959" spans="1:19" hidden="1" x14ac:dyDescent="0.25">
      <c r="A959" s="61" t="s">
        <v>460</v>
      </c>
      <c r="B959" s="14">
        <v>43550</v>
      </c>
      <c r="C959" s="13">
        <v>65</v>
      </c>
      <c r="D959" s="14" t="s">
        <v>4238</v>
      </c>
      <c r="E959" s="32" t="s">
        <v>483</v>
      </c>
      <c r="F959" s="4">
        <v>56025</v>
      </c>
      <c r="G959" s="86" t="s">
        <v>4239</v>
      </c>
      <c r="H959" s="211"/>
      <c r="I959" s="326"/>
      <c r="K959" s="62"/>
    </row>
    <row r="960" spans="1:19" hidden="1" x14ac:dyDescent="0.25">
      <c r="A960" s="61" t="s">
        <v>460</v>
      </c>
      <c r="B960" s="14">
        <v>43550</v>
      </c>
      <c r="C960" s="13">
        <v>66</v>
      </c>
      <c r="D960" s="14" t="s">
        <v>4241</v>
      </c>
      <c r="E960" s="32" t="s">
        <v>483</v>
      </c>
      <c r="F960" s="4">
        <v>36720</v>
      </c>
      <c r="G960" s="86" t="s">
        <v>4240</v>
      </c>
      <c r="H960" s="211"/>
      <c r="I960" s="326"/>
      <c r="K960" s="62"/>
    </row>
    <row r="961" spans="1:256" hidden="1" x14ac:dyDescent="0.25">
      <c r="A961" s="61" t="s">
        <v>460</v>
      </c>
      <c r="B961" s="14">
        <v>43550</v>
      </c>
      <c r="C961" s="13">
        <v>67</v>
      </c>
      <c r="D961" s="14" t="s">
        <v>4242</v>
      </c>
      <c r="E961" s="32" t="s">
        <v>483</v>
      </c>
      <c r="F961" s="4">
        <v>59123</v>
      </c>
      <c r="G961" s="86" t="s">
        <v>4243</v>
      </c>
      <c r="H961" s="211"/>
      <c r="I961" s="326"/>
      <c r="K961" s="62"/>
    </row>
    <row r="962" spans="1:256" hidden="1" x14ac:dyDescent="0.25">
      <c r="A962" s="61" t="s">
        <v>460</v>
      </c>
      <c r="B962" s="14">
        <v>43550</v>
      </c>
      <c r="C962" s="13">
        <v>68</v>
      </c>
      <c r="D962" s="14" t="s">
        <v>4257</v>
      </c>
      <c r="E962" s="32" t="s">
        <v>483</v>
      </c>
      <c r="F962" s="4">
        <v>49898</v>
      </c>
      <c r="G962" s="86" t="s">
        <v>4259</v>
      </c>
      <c r="H962" s="211"/>
      <c r="I962" s="326"/>
      <c r="K962" s="62"/>
    </row>
    <row r="963" spans="1:256" hidden="1" x14ac:dyDescent="0.25">
      <c r="A963" s="61" t="s">
        <v>460</v>
      </c>
      <c r="B963" s="14">
        <v>43550</v>
      </c>
      <c r="C963" s="13">
        <v>69</v>
      </c>
      <c r="D963" s="14" t="s">
        <v>4258</v>
      </c>
      <c r="E963" s="32" t="s">
        <v>483</v>
      </c>
      <c r="F963" s="4">
        <v>38160</v>
      </c>
      <c r="G963" s="86" t="s">
        <v>4260</v>
      </c>
      <c r="H963" s="211"/>
      <c r="I963" s="326"/>
      <c r="K963" s="62"/>
    </row>
    <row r="964" spans="1:256" hidden="1" x14ac:dyDescent="0.25">
      <c r="A964" s="61" t="s">
        <v>460</v>
      </c>
      <c r="B964" s="14">
        <v>43550</v>
      </c>
      <c r="C964" s="13">
        <v>70</v>
      </c>
      <c r="D964" s="14" t="s">
        <v>4261</v>
      </c>
      <c r="E964" s="32" t="s">
        <v>483</v>
      </c>
      <c r="F964" s="4">
        <v>30240</v>
      </c>
      <c r="G964" s="86" t="s">
        <v>4262</v>
      </c>
      <c r="H964" s="211"/>
      <c r="I964" s="326"/>
      <c r="K964" s="62"/>
    </row>
    <row r="965" spans="1:256" hidden="1" x14ac:dyDescent="0.25">
      <c r="A965" s="61" t="s">
        <v>460</v>
      </c>
      <c r="B965" s="14">
        <v>43550</v>
      </c>
      <c r="C965" s="13">
        <v>71</v>
      </c>
      <c r="D965" s="14" t="s">
        <v>4550</v>
      </c>
      <c r="E965" s="32" t="s">
        <v>483</v>
      </c>
      <c r="F965" s="4">
        <v>35200</v>
      </c>
      <c r="G965" s="86" t="s">
        <v>4551</v>
      </c>
      <c r="H965" s="211"/>
      <c r="I965" s="326"/>
      <c r="K965" s="62"/>
    </row>
    <row r="966" spans="1:256" hidden="1" x14ac:dyDescent="0.25">
      <c r="A966" s="61" t="s">
        <v>460</v>
      </c>
      <c r="B966" s="14">
        <v>43550</v>
      </c>
      <c r="C966" s="13">
        <v>72</v>
      </c>
      <c r="D966" s="14" t="s">
        <v>4553</v>
      </c>
      <c r="E966" s="32" t="s">
        <v>483</v>
      </c>
      <c r="F966" s="4">
        <v>44800</v>
      </c>
      <c r="G966" s="86" t="s">
        <v>4554</v>
      </c>
      <c r="H966" s="211"/>
      <c r="I966" s="326"/>
      <c r="K966" s="62"/>
    </row>
    <row r="967" spans="1:256" hidden="1" x14ac:dyDescent="0.25">
      <c r="A967" s="61" t="s">
        <v>460</v>
      </c>
      <c r="B967" s="14">
        <v>43550</v>
      </c>
      <c r="C967" s="13">
        <v>73</v>
      </c>
      <c r="D967" s="14" t="s">
        <v>4557</v>
      </c>
      <c r="E967" s="32" t="s">
        <v>483</v>
      </c>
      <c r="F967" s="4">
        <v>32642</v>
      </c>
      <c r="G967" s="86" t="s">
        <v>4558</v>
      </c>
      <c r="H967" s="211"/>
      <c r="I967" s="326"/>
      <c r="K967" s="62"/>
    </row>
    <row r="968" spans="1:256" hidden="1" x14ac:dyDescent="0.25">
      <c r="A968" s="61" t="s">
        <v>460</v>
      </c>
      <c r="B968" s="14">
        <v>43550</v>
      </c>
      <c r="C968" s="13">
        <v>74</v>
      </c>
      <c r="D968" s="14" t="s">
        <v>4564</v>
      </c>
      <c r="E968" s="32" t="s">
        <v>483</v>
      </c>
      <c r="F968" s="4">
        <v>28560</v>
      </c>
      <c r="G968" s="86" t="s">
        <v>4565</v>
      </c>
      <c r="H968" s="211"/>
      <c r="I968" s="326"/>
      <c r="K968" s="62"/>
    </row>
    <row r="969" spans="1:256" hidden="1" x14ac:dyDescent="0.25">
      <c r="A969" s="61" t="s">
        <v>460</v>
      </c>
      <c r="B969" s="14">
        <v>43550</v>
      </c>
      <c r="C969" s="13">
        <v>75</v>
      </c>
      <c r="D969" s="14" t="s">
        <v>4568</v>
      </c>
      <c r="E969" s="32" t="s">
        <v>483</v>
      </c>
      <c r="F969" s="4">
        <v>61965</v>
      </c>
      <c r="G969" s="86" t="s">
        <v>4569</v>
      </c>
      <c r="H969" s="211"/>
      <c r="I969" s="326"/>
      <c r="K969" s="62"/>
    </row>
    <row r="970" spans="1:256" hidden="1" x14ac:dyDescent="0.25">
      <c r="A970" s="61" t="s">
        <v>460</v>
      </c>
      <c r="B970" s="14">
        <v>43550</v>
      </c>
      <c r="C970" s="13">
        <v>76</v>
      </c>
      <c r="D970" s="14" t="s">
        <v>4572</v>
      </c>
      <c r="E970" s="32" t="s">
        <v>483</v>
      </c>
      <c r="F970" s="4">
        <v>33776</v>
      </c>
      <c r="G970" s="86" t="s">
        <v>4573</v>
      </c>
      <c r="H970" s="211"/>
      <c r="I970" s="326"/>
      <c r="K970" s="62"/>
    </row>
    <row r="971" spans="1:256" s="97" customFormat="1" ht="14.1" hidden="1" customHeight="1" x14ac:dyDescent="0.25">
      <c r="A971" s="211" t="s">
        <v>956</v>
      </c>
      <c r="B971" s="14">
        <v>43550</v>
      </c>
      <c r="C971" s="455">
        <v>197</v>
      </c>
      <c r="D971" s="218" t="s">
        <v>590</v>
      </c>
      <c r="E971" s="218" t="s">
        <v>481</v>
      </c>
      <c r="F971" s="4">
        <v>2500000</v>
      </c>
      <c r="G971" s="28" t="s">
        <v>5771</v>
      </c>
      <c r="H971" s="14">
        <v>43347</v>
      </c>
      <c r="I971" s="32" t="s">
        <v>159</v>
      </c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  <c r="DR971" s="50"/>
      <c r="DS971" s="50"/>
      <c r="DT971" s="50"/>
      <c r="DU971" s="50"/>
      <c r="DV971" s="50"/>
      <c r="DW971" s="50"/>
      <c r="DX971" s="50"/>
      <c r="DY971" s="50"/>
      <c r="DZ971" s="50"/>
      <c r="EA971" s="50"/>
      <c r="EB971" s="50"/>
      <c r="EC971" s="50"/>
      <c r="ED971" s="50"/>
      <c r="EE971" s="50"/>
      <c r="EF971" s="50"/>
      <c r="EG971" s="50"/>
      <c r="EH971" s="50"/>
      <c r="EI971" s="50"/>
      <c r="EJ971" s="50"/>
      <c r="EK971" s="50"/>
      <c r="EL971" s="50"/>
      <c r="EM971" s="50"/>
      <c r="EN971" s="50"/>
      <c r="EO971" s="50"/>
      <c r="EP971" s="50"/>
      <c r="EQ971" s="50"/>
      <c r="ER971" s="50"/>
      <c r="ES971" s="50"/>
      <c r="ET971" s="50"/>
      <c r="EU971" s="50"/>
      <c r="EV971" s="50"/>
      <c r="EW971" s="50"/>
      <c r="EX971" s="50"/>
      <c r="EY971" s="50"/>
      <c r="EZ971" s="50"/>
      <c r="FA971" s="50"/>
      <c r="FB971" s="50"/>
      <c r="FC971" s="50"/>
      <c r="FD971" s="50"/>
      <c r="FE971" s="50"/>
      <c r="FF971" s="50"/>
      <c r="FG971" s="50"/>
      <c r="FH971" s="50"/>
      <c r="FI971" s="50"/>
      <c r="FJ971" s="50"/>
      <c r="FK971" s="50"/>
      <c r="FL971" s="50"/>
      <c r="FM971" s="50"/>
      <c r="FN971" s="50"/>
      <c r="FO971" s="50"/>
      <c r="FP971" s="50"/>
      <c r="FQ971" s="50"/>
      <c r="FR971" s="50"/>
      <c r="FS971" s="50"/>
      <c r="FT971" s="50"/>
      <c r="FU971" s="50"/>
      <c r="FV971" s="50"/>
      <c r="FW971" s="50"/>
      <c r="FX971" s="50"/>
      <c r="FY971" s="50"/>
      <c r="FZ971" s="50"/>
      <c r="GA971" s="50"/>
      <c r="GB971" s="50"/>
      <c r="GC971" s="50"/>
      <c r="GD971" s="50"/>
      <c r="GE971" s="50"/>
      <c r="GF971" s="50"/>
      <c r="GG971" s="50"/>
      <c r="GH971" s="50"/>
      <c r="GI971" s="50"/>
      <c r="GJ971" s="50"/>
      <c r="GK971" s="50"/>
      <c r="GL971" s="50"/>
      <c r="GM971" s="50"/>
      <c r="GN971" s="50"/>
      <c r="GO971" s="50"/>
      <c r="GP971" s="50"/>
      <c r="GQ971" s="50"/>
      <c r="GR971" s="50"/>
      <c r="GS971" s="50"/>
      <c r="GT971" s="50"/>
      <c r="GU971" s="50"/>
      <c r="GV971" s="50"/>
      <c r="GW971" s="50"/>
      <c r="GX971" s="50"/>
      <c r="GY971" s="50"/>
      <c r="GZ971" s="50"/>
      <c r="HA971" s="50"/>
      <c r="HB971" s="50"/>
      <c r="HC971" s="50"/>
      <c r="HD971" s="50"/>
      <c r="HE971" s="50"/>
      <c r="HF971" s="50"/>
      <c r="HG971" s="50"/>
      <c r="HH971" s="50"/>
      <c r="HI971" s="50"/>
      <c r="HJ971" s="50"/>
      <c r="HK971" s="50"/>
      <c r="HL971" s="50"/>
      <c r="HM971" s="50"/>
      <c r="HN971" s="50"/>
      <c r="HO971" s="50"/>
      <c r="HP971" s="50"/>
      <c r="HQ971" s="50"/>
      <c r="HR971" s="50"/>
      <c r="HS971" s="50"/>
      <c r="HT971" s="50"/>
      <c r="HU971" s="50"/>
      <c r="HV971" s="50"/>
      <c r="HW971" s="50"/>
      <c r="HX971" s="50"/>
      <c r="HY971" s="50"/>
      <c r="HZ971" s="50"/>
      <c r="IA971" s="50"/>
      <c r="IB971" s="50"/>
      <c r="IC971" s="50"/>
      <c r="ID971" s="50"/>
      <c r="IE971" s="50"/>
      <c r="IF971" s="50"/>
      <c r="IG971" s="50"/>
      <c r="IH971" s="50"/>
      <c r="II971" s="50"/>
      <c r="IJ971" s="50"/>
      <c r="IK971" s="50"/>
      <c r="IL971" s="50"/>
      <c r="IM971" s="50"/>
      <c r="IN971" s="50"/>
      <c r="IO971" s="50"/>
      <c r="IP971" s="50"/>
      <c r="IQ971" s="50"/>
      <c r="IR971" s="50"/>
      <c r="IS971" s="50"/>
      <c r="IT971" s="50"/>
      <c r="IU971" s="50"/>
      <c r="IV971" s="50"/>
    </row>
    <row r="972" spans="1:256" s="97" customFormat="1" hidden="1" x14ac:dyDescent="0.25">
      <c r="A972" s="32" t="s">
        <v>956</v>
      </c>
      <c r="B972" s="14">
        <v>43550</v>
      </c>
      <c r="C972" s="13">
        <v>198</v>
      </c>
      <c r="D972" s="13" t="s">
        <v>740</v>
      </c>
      <c r="E972" s="13" t="s">
        <v>481</v>
      </c>
      <c r="F972" s="37">
        <v>123000</v>
      </c>
      <c r="G972" s="29" t="s">
        <v>4899</v>
      </c>
      <c r="H972" s="14">
        <v>43489</v>
      </c>
      <c r="I972" s="4" t="s">
        <v>4900</v>
      </c>
      <c r="J972" s="133"/>
      <c r="K972" s="22"/>
      <c r="L972" s="134"/>
    </row>
    <row r="973" spans="1:256" s="97" customFormat="1" hidden="1" x14ac:dyDescent="0.25">
      <c r="A973" s="32" t="s">
        <v>956</v>
      </c>
      <c r="B973" s="14">
        <v>43550</v>
      </c>
      <c r="C973" s="13">
        <v>199</v>
      </c>
      <c r="D973" s="13" t="s">
        <v>72</v>
      </c>
      <c r="E973" s="13" t="s">
        <v>481</v>
      </c>
      <c r="F973" s="4">
        <v>4154</v>
      </c>
      <c r="G973" s="28" t="s">
        <v>4714</v>
      </c>
      <c r="H973" s="14">
        <v>43517</v>
      </c>
      <c r="I973" s="4" t="s">
        <v>395</v>
      </c>
      <c r="J973" s="133"/>
      <c r="K973" s="22"/>
      <c r="L973" s="134"/>
    </row>
    <row r="974" spans="1:256" s="2" customFormat="1" hidden="1" x14ac:dyDescent="0.25">
      <c r="A974" s="61" t="s">
        <v>956</v>
      </c>
      <c r="B974" s="14">
        <v>43550</v>
      </c>
      <c r="C974" s="13">
        <v>200</v>
      </c>
      <c r="D974" s="13" t="s">
        <v>149</v>
      </c>
      <c r="E974" s="13" t="s">
        <v>481</v>
      </c>
      <c r="F974" s="37">
        <v>7000</v>
      </c>
      <c r="G974" s="29" t="s">
        <v>1784</v>
      </c>
      <c r="H974" s="14">
        <v>43496</v>
      </c>
      <c r="I974" s="4" t="s">
        <v>4884</v>
      </c>
      <c r="J974" s="16"/>
      <c r="K974" s="5"/>
    </row>
    <row r="975" spans="1:256" s="97" customFormat="1" hidden="1" x14ac:dyDescent="0.25">
      <c r="A975" s="32" t="s">
        <v>1350</v>
      </c>
      <c r="B975" s="14">
        <v>43550</v>
      </c>
      <c r="C975" s="13">
        <v>203</v>
      </c>
      <c r="D975" s="13" t="s">
        <v>539</v>
      </c>
      <c r="E975" s="13" t="s">
        <v>691</v>
      </c>
      <c r="F975" s="4">
        <v>802354</v>
      </c>
      <c r="G975" s="28" t="s">
        <v>4339</v>
      </c>
      <c r="H975" s="14">
        <v>43516</v>
      </c>
      <c r="I975" s="4" t="s">
        <v>777</v>
      </c>
      <c r="J975" s="133"/>
      <c r="K975" s="22"/>
      <c r="L975" s="134"/>
    </row>
    <row r="976" spans="1:256" s="97" customFormat="1" hidden="1" x14ac:dyDescent="0.25">
      <c r="A976" s="13" t="s">
        <v>637</v>
      </c>
      <c r="B976" s="14">
        <v>43550</v>
      </c>
      <c r="C976" s="13">
        <v>204</v>
      </c>
      <c r="D976" s="13" t="s">
        <v>2142</v>
      </c>
      <c r="E976" s="13" t="s">
        <v>691</v>
      </c>
      <c r="F976" s="4">
        <v>48070</v>
      </c>
      <c r="G976" s="28" t="s">
        <v>1154</v>
      </c>
      <c r="H976" s="14">
        <v>43516</v>
      </c>
      <c r="I976" s="4" t="s">
        <v>4382</v>
      </c>
      <c r="J976" s="133"/>
      <c r="K976" s="22"/>
      <c r="L976" s="134"/>
    </row>
    <row r="977" spans="1:12" s="97" customFormat="1" hidden="1" x14ac:dyDescent="0.25">
      <c r="A977" s="61" t="s">
        <v>1350</v>
      </c>
      <c r="B977" s="14">
        <v>43550</v>
      </c>
      <c r="C977" s="13">
        <v>205</v>
      </c>
      <c r="D977" s="13" t="s">
        <v>448</v>
      </c>
      <c r="E977" s="13" t="s">
        <v>691</v>
      </c>
      <c r="F977" s="37">
        <v>26600</v>
      </c>
      <c r="G977" s="29" t="s">
        <v>3317</v>
      </c>
      <c r="H977" s="14">
        <v>43510</v>
      </c>
      <c r="I977" s="4" t="s">
        <v>4955</v>
      </c>
      <c r="J977" s="133"/>
      <c r="K977" s="22"/>
      <c r="L977" s="134"/>
    </row>
    <row r="978" spans="1:12" s="97" customFormat="1" hidden="1" x14ac:dyDescent="0.25">
      <c r="A978" s="61" t="s">
        <v>637</v>
      </c>
      <c r="B978" s="14">
        <v>43550</v>
      </c>
      <c r="C978" s="13">
        <v>206</v>
      </c>
      <c r="D978" s="13" t="s">
        <v>869</v>
      </c>
      <c r="E978" s="13" t="s">
        <v>691</v>
      </c>
      <c r="F978" s="37">
        <v>160047.35999999999</v>
      </c>
      <c r="G978" s="29" t="s">
        <v>4727</v>
      </c>
      <c r="H978" s="14">
        <v>43514</v>
      </c>
      <c r="I978" s="4" t="s">
        <v>572</v>
      </c>
      <c r="J978" s="133"/>
      <c r="K978" s="22"/>
      <c r="L978" s="134"/>
    </row>
    <row r="979" spans="1:12" s="97" customFormat="1" hidden="1" x14ac:dyDescent="0.25">
      <c r="A979" s="61" t="s">
        <v>1350</v>
      </c>
      <c r="B979" s="14">
        <v>43550</v>
      </c>
      <c r="C979" s="13">
        <v>207</v>
      </c>
      <c r="D979" s="13" t="s">
        <v>1032</v>
      </c>
      <c r="E979" s="13" t="s">
        <v>691</v>
      </c>
      <c r="F979" s="37">
        <v>82950</v>
      </c>
      <c r="G979" s="29" t="s">
        <v>4950</v>
      </c>
      <c r="H979" s="14">
        <v>43509</v>
      </c>
      <c r="I979" s="4" t="s">
        <v>1270</v>
      </c>
      <c r="J979" s="133"/>
      <c r="K979" s="22"/>
      <c r="L979" s="134"/>
    </row>
    <row r="980" spans="1:12" s="97" customFormat="1" hidden="1" x14ac:dyDescent="0.25">
      <c r="A980" s="13" t="s">
        <v>1350</v>
      </c>
      <c r="B980" s="14">
        <v>43550</v>
      </c>
      <c r="C980" s="13">
        <v>208</v>
      </c>
      <c r="D980" s="13" t="s">
        <v>280</v>
      </c>
      <c r="E980" s="13" t="s">
        <v>691</v>
      </c>
      <c r="F980" s="37">
        <v>163985</v>
      </c>
      <c r="G980" s="29" t="s">
        <v>113</v>
      </c>
      <c r="H980" s="14">
        <v>43516</v>
      </c>
      <c r="I980" s="4" t="s">
        <v>4716</v>
      </c>
      <c r="J980" s="133"/>
      <c r="K980" s="22"/>
      <c r="L980" s="134"/>
    </row>
    <row r="981" spans="1:12" s="2" customFormat="1" hidden="1" x14ac:dyDescent="0.25">
      <c r="A981" s="32" t="s">
        <v>637</v>
      </c>
      <c r="B981" s="14">
        <v>43550</v>
      </c>
      <c r="C981" s="13">
        <v>209</v>
      </c>
      <c r="D981" s="13" t="s">
        <v>340</v>
      </c>
      <c r="E981" s="13" t="s">
        <v>691</v>
      </c>
      <c r="F981" s="4">
        <v>5800</v>
      </c>
      <c r="G981" s="28" t="s">
        <v>153</v>
      </c>
      <c r="H981" s="14">
        <v>43535</v>
      </c>
      <c r="I981" s="4" t="s">
        <v>767</v>
      </c>
      <c r="J981" s="121"/>
      <c r="K981" s="5"/>
    </row>
    <row r="982" spans="1:12" hidden="1" x14ac:dyDescent="0.25">
      <c r="A982" s="61" t="s">
        <v>1350</v>
      </c>
      <c r="B982" s="14">
        <v>43550</v>
      </c>
      <c r="C982" s="13">
        <v>210</v>
      </c>
      <c r="D982" s="13" t="s">
        <v>250</v>
      </c>
      <c r="E982" s="13" t="s">
        <v>691</v>
      </c>
      <c r="F982" s="37">
        <v>45000</v>
      </c>
      <c r="G982" s="29" t="s">
        <v>5617</v>
      </c>
      <c r="H982" s="14">
        <v>43498</v>
      </c>
      <c r="I982" s="4" t="s">
        <v>4088</v>
      </c>
    </row>
    <row r="983" spans="1:12" hidden="1" x14ac:dyDescent="0.25">
      <c r="A983" s="13" t="s">
        <v>637</v>
      </c>
      <c r="B983" s="14">
        <v>43550</v>
      </c>
      <c r="C983" s="13">
        <v>211</v>
      </c>
      <c r="D983" s="13" t="s">
        <v>2115</v>
      </c>
      <c r="E983" s="13" t="s">
        <v>691</v>
      </c>
      <c r="F983" s="37">
        <v>183600</v>
      </c>
      <c r="G983" s="29" t="s">
        <v>5626</v>
      </c>
      <c r="H983" s="14">
        <v>43524</v>
      </c>
      <c r="I983" s="4" t="s">
        <v>1602</v>
      </c>
    </row>
    <row r="984" spans="1:12" s="2" customFormat="1" hidden="1" x14ac:dyDescent="0.25">
      <c r="A984" s="32" t="s">
        <v>741</v>
      </c>
      <c r="B984" s="14">
        <v>43550</v>
      </c>
      <c r="C984" s="13">
        <v>310</v>
      </c>
      <c r="D984" s="13" t="s">
        <v>1739</v>
      </c>
      <c r="E984" s="13" t="s">
        <v>434</v>
      </c>
      <c r="F984" s="4">
        <v>307600</v>
      </c>
      <c r="G984" s="28" t="s">
        <v>462</v>
      </c>
      <c r="H984" s="14">
        <v>43530</v>
      </c>
      <c r="I984" s="4" t="s">
        <v>4889</v>
      </c>
      <c r="J984" s="121"/>
      <c r="K984" s="5"/>
    </row>
    <row r="985" spans="1:12" s="2" customFormat="1" hidden="1" x14ac:dyDescent="0.25">
      <c r="A985" s="61" t="s">
        <v>741</v>
      </c>
      <c r="B985" s="14">
        <v>43550</v>
      </c>
      <c r="C985" s="13">
        <v>311</v>
      </c>
      <c r="D985" s="13" t="s">
        <v>2005</v>
      </c>
      <c r="E985" s="13" t="s">
        <v>434</v>
      </c>
      <c r="F985" s="37">
        <f>120000-67300</f>
        <v>52700</v>
      </c>
      <c r="G985" s="210" t="s">
        <v>4665</v>
      </c>
      <c r="H985" s="211">
        <v>43524</v>
      </c>
      <c r="I985" s="4" t="s">
        <v>517</v>
      </c>
      <c r="J985" s="121"/>
      <c r="K985" s="5"/>
    </row>
    <row r="986" spans="1:12" s="2" customFormat="1" hidden="1" x14ac:dyDescent="0.25">
      <c r="A986" s="61" t="s">
        <v>741</v>
      </c>
      <c r="B986" s="14">
        <v>43550</v>
      </c>
      <c r="C986" s="13">
        <v>312</v>
      </c>
      <c r="D986" s="13" t="s">
        <v>1098</v>
      </c>
      <c r="E986" s="13" t="s">
        <v>434</v>
      </c>
      <c r="F986" s="37">
        <f>204591.68-3600</f>
        <v>200991.68</v>
      </c>
      <c r="G986" s="210" t="s">
        <v>2023</v>
      </c>
      <c r="H986" s="211">
        <v>43496</v>
      </c>
      <c r="I986" s="4" t="s">
        <v>4403</v>
      </c>
      <c r="J986" s="121"/>
      <c r="K986" s="5"/>
    </row>
    <row r="987" spans="1:12" s="2" customFormat="1" hidden="1" x14ac:dyDescent="0.25">
      <c r="A987" s="32" t="s">
        <v>741</v>
      </c>
      <c r="B987" s="14">
        <v>43550</v>
      </c>
      <c r="C987" s="13">
        <v>313</v>
      </c>
      <c r="D987" s="13" t="s">
        <v>115</v>
      </c>
      <c r="E987" s="13" t="s">
        <v>434</v>
      </c>
      <c r="F987" s="37">
        <v>72852.5</v>
      </c>
      <c r="G987" s="29" t="s">
        <v>5376</v>
      </c>
      <c r="H987" s="14">
        <v>43536</v>
      </c>
      <c r="I987" s="4" t="s">
        <v>5377</v>
      </c>
      <c r="J987" s="121"/>
      <c r="K987" s="5"/>
    </row>
    <row r="988" spans="1:12" s="2" customFormat="1" hidden="1" x14ac:dyDescent="0.25">
      <c r="A988" s="14" t="s">
        <v>741</v>
      </c>
      <c r="B988" s="14">
        <v>43550</v>
      </c>
      <c r="C988" s="13">
        <v>314</v>
      </c>
      <c r="D988" s="13" t="s">
        <v>5378</v>
      </c>
      <c r="E988" s="13" t="s">
        <v>434</v>
      </c>
      <c r="F988" s="37">
        <v>20540</v>
      </c>
      <c r="G988" s="29" t="s">
        <v>479</v>
      </c>
      <c r="H988" s="14">
        <v>43536</v>
      </c>
      <c r="I988" s="4" t="s">
        <v>5379</v>
      </c>
      <c r="J988" s="121"/>
      <c r="K988" s="5"/>
    </row>
    <row r="989" spans="1:12" s="2" customFormat="1" hidden="1" x14ac:dyDescent="0.25">
      <c r="A989" s="14" t="s">
        <v>741</v>
      </c>
      <c r="B989" s="14">
        <v>43550</v>
      </c>
      <c r="C989" s="13">
        <v>314</v>
      </c>
      <c r="D989" s="13" t="s">
        <v>5378</v>
      </c>
      <c r="E989" s="13" t="s">
        <v>434</v>
      </c>
      <c r="F989" s="37">
        <v>10500</v>
      </c>
      <c r="G989" s="29" t="s">
        <v>308</v>
      </c>
      <c r="H989" s="14">
        <v>43536</v>
      </c>
      <c r="I989" s="4" t="s">
        <v>5380</v>
      </c>
      <c r="J989" s="121"/>
      <c r="K989" s="5"/>
    </row>
    <row r="990" spans="1:12" s="2" customFormat="1" hidden="1" x14ac:dyDescent="0.25">
      <c r="A990" s="61" t="s">
        <v>741</v>
      </c>
      <c r="B990" s="14">
        <v>43550</v>
      </c>
      <c r="C990" s="13">
        <v>315</v>
      </c>
      <c r="D990" s="13" t="s">
        <v>381</v>
      </c>
      <c r="E990" s="13" t="s">
        <v>434</v>
      </c>
      <c r="F990" s="37">
        <v>28800</v>
      </c>
      <c r="G990" s="29" t="s">
        <v>3141</v>
      </c>
      <c r="H990" s="14">
        <v>43524</v>
      </c>
      <c r="I990" s="4" t="s">
        <v>95</v>
      </c>
      <c r="J990" s="121"/>
      <c r="K990" s="5"/>
    </row>
    <row r="991" spans="1:12" s="2" customFormat="1" hidden="1" x14ac:dyDescent="0.25">
      <c r="A991" s="68" t="s">
        <v>741</v>
      </c>
      <c r="B991" s="14">
        <v>43550</v>
      </c>
      <c r="C991" s="13">
        <v>316</v>
      </c>
      <c r="D991" s="13" t="s">
        <v>5629</v>
      </c>
      <c r="E991" s="13" t="s">
        <v>434</v>
      </c>
      <c r="F991" s="4">
        <v>311694</v>
      </c>
      <c r="G991" s="28" t="s">
        <v>27</v>
      </c>
      <c r="H991" s="14">
        <v>43538</v>
      </c>
      <c r="I991" s="4" t="s">
        <v>5630</v>
      </c>
      <c r="J991" s="121"/>
      <c r="K991" s="5"/>
    </row>
    <row r="992" spans="1:12" s="97" customFormat="1" hidden="1" x14ac:dyDescent="0.25">
      <c r="A992" s="61" t="s">
        <v>91</v>
      </c>
      <c r="B992" s="14">
        <v>43550</v>
      </c>
      <c r="C992" s="13">
        <v>539</v>
      </c>
      <c r="D992" s="13" t="s">
        <v>5807</v>
      </c>
      <c r="E992" s="13" t="s">
        <v>62</v>
      </c>
      <c r="F992" s="37">
        <v>656150</v>
      </c>
      <c r="G992" s="29" t="s">
        <v>3224</v>
      </c>
      <c r="H992" s="14">
        <v>43546</v>
      </c>
      <c r="I992" s="4" t="s">
        <v>5808</v>
      </c>
      <c r="J992" s="133"/>
      <c r="K992" s="22"/>
      <c r="L992" s="134"/>
    </row>
    <row r="993" spans="1:19" s="2" customFormat="1" hidden="1" x14ac:dyDescent="0.25">
      <c r="A993" s="68" t="s">
        <v>741</v>
      </c>
      <c r="B993" s="14">
        <v>43550</v>
      </c>
      <c r="C993" s="13">
        <v>317</v>
      </c>
      <c r="D993" s="13" t="s">
        <v>5822</v>
      </c>
      <c r="E993" s="13" t="s">
        <v>434</v>
      </c>
      <c r="F993" s="4">
        <v>12500</v>
      </c>
      <c r="G993" s="28" t="s">
        <v>3870</v>
      </c>
      <c r="H993" s="14">
        <v>43550</v>
      </c>
      <c r="I993" s="4" t="s">
        <v>5823</v>
      </c>
      <c r="J993" s="121"/>
      <c r="K993" s="5"/>
    </row>
    <row r="994" spans="1:19" ht="15" hidden="1" customHeight="1" x14ac:dyDescent="0.25">
      <c r="A994" s="68" t="s">
        <v>209</v>
      </c>
      <c r="B994" s="14">
        <v>43550</v>
      </c>
      <c r="C994" s="67">
        <v>60</v>
      </c>
      <c r="D994" s="32" t="s">
        <v>200</v>
      </c>
      <c r="E994" s="32" t="s">
        <v>134</v>
      </c>
      <c r="F994" s="4">
        <v>953109.88</v>
      </c>
      <c r="G994" s="28" t="s">
        <v>4498</v>
      </c>
      <c r="H994" s="14">
        <v>43515</v>
      </c>
      <c r="I994" s="4" t="s">
        <v>362</v>
      </c>
      <c r="J994" s="166" t="s">
        <v>239</v>
      </c>
      <c r="K994" s="167"/>
      <c r="L994" s="35"/>
    </row>
    <row r="995" spans="1:19" ht="13.95" hidden="1" customHeight="1" x14ac:dyDescent="0.25">
      <c r="A995" s="68" t="s">
        <v>209</v>
      </c>
      <c r="B995" s="14">
        <v>43550</v>
      </c>
      <c r="C995" s="67">
        <v>58</v>
      </c>
      <c r="D995" s="32" t="s">
        <v>595</v>
      </c>
      <c r="E995" s="32" t="s">
        <v>134</v>
      </c>
      <c r="F995" s="4">
        <f>2106767.53-949864.32-1000000</f>
        <v>156903.20999999996</v>
      </c>
      <c r="G995" s="28" t="s">
        <v>346</v>
      </c>
      <c r="H995" s="14">
        <v>43496</v>
      </c>
      <c r="I995" s="41" t="s">
        <v>949</v>
      </c>
      <c r="J995" s="166" t="s">
        <v>239</v>
      </c>
      <c r="K995" s="167"/>
      <c r="L995" s="35"/>
    </row>
    <row r="996" spans="1:19" ht="13.95" hidden="1" customHeight="1" x14ac:dyDescent="0.25">
      <c r="A996" s="68" t="s">
        <v>209</v>
      </c>
      <c r="B996" s="14">
        <v>43550</v>
      </c>
      <c r="C996" s="67">
        <v>59</v>
      </c>
      <c r="D996" s="32" t="s">
        <v>595</v>
      </c>
      <c r="E996" s="32" t="s">
        <v>134</v>
      </c>
      <c r="F996" s="4">
        <v>843096.79</v>
      </c>
      <c r="G996" s="28" t="s">
        <v>772</v>
      </c>
      <c r="H996" s="14">
        <v>43524</v>
      </c>
      <c r="I996" s="41" t="s">
        <v>949</v>
      </c>
      <c r="J996" s="166" t="s">
        <v>721</v>
      </c>
      <c r="K996" s="167"/>
      <c r="L996" s="35"/>
    </row>
    <row r="997" spans="1:19" s="62" customFormat="1" ht="13.95" hidden="1" customHeight="1" x14ac:dyDescent="0.25">
      <c r="A997" s="13" t="s">
        <v>151</v>
      </c>
      <c r="B997" s="14">
        <v>43550</v>
      </c>
      <c r="C997" s="13">
        <v>376</v>
      </c>
      <c r="D997" s="13" t="s">
        <v>593</v>
      </c>
      <c r="E997" s="13" t="s">
        <v>1121</v>
      </c>
      <c r="F997" s="37">
        <f>35*4</f>
        <v>140</v>
      </c>
      <c r="G997" s="29" t="s">
        <v>4250</v>
      </c>
      <c r="H997" s="14">
        <v>42024</v>
      </c>
      <c r="I997" s="4" t="s">
        <v>594</v>
      </c>
      <c r="J997" s="22" t="s">
        <v>5824</v>
      </c>
      <c r="O997" s="35"/>
      <c r="P997" s="35"/>
      <c r="Q997" s="35"/>
      <c r="R997" s="35"/>
      <c r="S997" s="35"/>
    </row>
    <row r="998" spans="1:19" s="129" customFormat="1" hidden="1" x14ac:dyDescent="0.25">
      <c r="A998" s="13" t="s">
        <v>151</v>
      </c>
      <c r="B998" s="14">
        <v>43553</v>
      </c>
      <c r="C998" s="28" t="s">
        <v>1155</v>
      </c>
      <c r="D998" s="13" t="s">
        <v>1836</v>
      </c>
      <c r="E998" s="32" t="s">
        <v>175</v>
      </c>
      <c r="F998" s="37">
        <v>29640</v>
      </c>
      <c r="G998" s="28" t="s">
        <v>1700</v>
      </c>
      <c r="H998" s="14"/>
      <c r="I998" s="4" t="s">
        <v>1835</v>
      </c>
      <c r="J998" s="22" t="s">
        <v>771</v>
      </c>
      <c r="K998" s="136"/>
    </row>
    <row r="999" spans="1:19" s="192" customFormat="1" hidden="1" x14ac:dyDescent="0.25">
      <c r="A999" s="147" t="s">
        <v>92</v>
      </c>
      <c r="B999" s="14">
        <v>43553</v>
      </c>
      <c r="C999" s="187">
        <v>664</v>
      </c>
      <c r="D999" s="233" t="s">
        <v>737</v>
      </c>
      <c r="E999" s="147" t="s">
        <v>140</v>
      </c>
      <c r="F999" s="158">
        <f>23524.54</f>
        <v>23524.54</v>
      </c>
      <c r="G999" s="264" t="s">
        <v>1163</v>
      </c>
      <c r="H999" s="151"/>
      <c r="I999" s="233" t="s">
        <v>1249</v>
      </c>
      <c r="J999" s="257" t="s">
        <v>771</v>
      </c>
      <c r="K999" s="194"/>
      <c r="L999" s="190"/>
    </row>
    <row r="1000" spans="1:19" s="192" customFormat="1" hidden="1" x14ac:dyDescent="0.25">
      <c r="A1000" s="147" t="s">
        <v>92</v>
      </c>
      <c r="B1000" s="164">
        <v>43553</v>
      </c>
      <c r="C1000" s="187">
        <v>665</v>
      </c>
      <c r="D1000" s="233" t="s">
        <v>737</v>
      </c>
      <c r="E1000" s="147" t="s">
        <v>140</v>
      </c>
      <c r="F1000" s="158">
        <v>38399.94</v>
      </c>
      <c r="G1000" s="264" t="s">
        <v>1184</v>
      </c>
      <c r="H1000" s="151">
        <v>43109</v>
      </c>
      <c r="I1000" s="233" t="s">
        <v>1250</v>
      </c>
      <c r="J1000" s="257" t="s">
        <v>771</v>
      </c>
      <c r="K1000" s="194"/>
      <c r="L1000" s="190"/>
    </row>
    <row r="1001" spans="1:19" s="192" customFormat="1" hidden="1" x14ac:dyDescent="0.25">
      <c r="A1001" s="147" t="s">
        <v>242</v>
      </c>
      <c r="B1001" s="164">
        <v>43553</v>
      </c>
      <c r="C1001" s="195">
        <v>661</v>
      </c>
      <c r="D1001" s="233" t="s">
        <v>784</v>
      </c>
      <c r="E1001" s="147" t="s">
        <v>140</v>
      </c>
      <c r="F1001" s="158">
        <v>653115.05000000005</v>
      </c>
      <c r="G1001" s="150" t="s">
        <v>317</v>
      </c>
      <c r="H1001" s="148">
        <v>43551</v>
      </c>
      <c r="I1001" s="233" t="s">
        <v>143</v>
      </c>
      <c r="J1001" s="193"/>
      <c r="K1001" s="194"/>
      <c r="L1001" s="190"/>
    </row>
    <row r="1002" spans="1:19" s="192" customFormat="1" hidden="1" x14ac:dyDescent="0.25">
      <c r="A1002" s="147" t="s">
        <v>242</v>
      </c>
      <c r="B1002" s="164">
        <v>43553</v>
      </c>
      <c r="C1002" s="187">
        <v>662</v>
      </c>
      <c r="D1002" s="149" t="s">
        <v>291</v>
      </c>
      <c r="E1002" s="147" t="s">
        <v>140</v>
      </c>
      <c r="F1002" s="158">
        <v>84523.839999999997</v>
      </c>
      <c r="G1002" s="150" t="s">
        <v>86</v>
      </c>
      <c r="H1002" s="148">
        <v>43537</v>
      </c>
      <c r="I1002" s="149" t="s">
        <v>143</v>
      </c>
      <c r="J1002" s="193"/>
      <c r="K1002" s="194"/>
      <c r="L1002" s="190"/>
    </row>
    <row r="1003" spans="1:19" s="192" customFormat="1" ht="14.85" hidden="1" customHeight="1" x14ac:dyDescent="0.25">
      <c r="A1003" s="147" t="s">
        <v>242</v>
      </c>
      <c r="B1003" s="164">
        <v>43553</v>
      </c>
      <c r="C1003" s="195">
        <v>660</v>
      </c>
      <c r="D1003" s="149" t="s">
        <v>840</v>
      </c>
      <c r="E1003" s="147" t="s">
        <v>140</v>
      </c>
      <c r="F1003" s="158">
        <v>137453.44</v>
      </c>
      <c r="G1003" s="150" t="s">
        <v>5854</v>
      </c>
      <c r="H1003" s="148">
        <v>43537</v>
      </c>
      <c r="I1003" s="149" t="s">
        <v>143</v>
      </c>
      <c r="J1003" s="193"/>
      <c r="K1003" s="194"/>
      <c r="L1003" s="190"/>
    </row>
    <row r="1004" spans="1:19" s="192" customFormat="1" hidden="1" x14ac:dyDescent="0.25">
      <c r="A1004" s="147" t="s">
        <v>242</v>
      </c>
      <c r="B1004" s="164">
        <v>43553</v>
      </c>
      <c r="C1004" s="187">
        <v>663</v>
      </c>
      <c r="D1004" s="149" t="s">
        <v>388</v>
      </c>
      <c r="E1004" s="147" t="s">
        <v>140</v>
      </c>
      <c r="F1004" s="158">
        <v>93660.05</v>
      </c>
      <c r="G1004" s="150" t="s">
        <v>4</v>
      </c>
      <c r="H1004" s="148">
        <v>43551</v>
      </c>
      <c r="I1004" s="149" t="s">
        <v>143</v>
      </c>
      <c r="J1004" s="193"/>
      <c r="K1004" s="194"/>
      <c r="L1004" s="190"/>
    </row>
    <row r="1005" spans="1:19" ht="15" hidden="1" customHeight="1" x14ac:dyDescent="0.25">
      <c r="A1005" s="13" t="s">
        <v>184</v>
      </c>
      <c r="B1005" s="14">
        <v>43553</v>
      </c>
      <c r="C1005" s="13">
        <v>380</v>
      </c>
      <c r="D1005" s="13" t="s">
        <v>3759</v>
      </c>
      <c r="E1005" s="32" t="s">
        <v>1121</v>
      </c>
      <c r="F1005" s="4">
        <v>2650</v>
      </c>
      <c r="G1005" s="28" t="s">
        <v>3964</v>
      </c>
      <c r="H1005" s="14">
        <v>43552</v>
      </c>
      <c r="I1005" s="4" t="s">
        <v>5962</v>
      </c>
      <c r="J1005" s="125" t="s">
        <v>5789</v>
      </c>
    </row>
    <row r="1006" spans="1:19" hidden="1" x14ac:dyDescent="0.25">
      <c r="A1006" s="32" t="s">
        <v>151</v>
      </c>
      <c r="B1006" s="14">
        <v>43555</v>
      </c>
      <c r="C1006" s="13"/>
      <c r="D1006" s="32" t="s">
        <v>5627</v>
      </c>
      <c r="E1006" s="32" t="s">
        <v>958</v>
      </c>
      <c r="F1006" s="4">
        <v>160000</v>
      </c>
      <c r="G1006" s="29"/>
      <c r="H1006" s="14"/>
      <c r="I1006" s="4" t="s">
        <v>5628</v>
      </c>
      <c r="J1006" s="21"/>
      <c r="K1006" s="228"/>
    </row>
    <row r="1007" spans="1:19" s="22" customFormat="1" ht="13.8" hidden="1" customHeight="1" x14ac:dyDescent="0.25">
      <c r="A1007" s="160"/>
      <c r="B1007" s="39"/>
      <c r="C1007" s="13"/>
      <c r="D1007" s="161"/>
      <c r="E1007" s="161"/>
      <c r="F1007" s="4"/>
      <c r="G1007" s="119"/>
      <c r="H1007" s="161"/>
      <c r="I1007" s="161"/>
      <c r="K1007" s="21"/>
      <c r="L1007" s="228"/>
      <c r="M1007" s="228"/>
      <c r="N1007" s="228"/>
      <c r="O1007" s="228"/>
      <c r="P1007" s="228"/>
      <c r="Q1007" s="228"/>
      <c r="R1007" s="228"/>
      <c r="S1007" s="228"/>
    </row>
    <row r="1008" spans="1:19" hidden="1" x14ac:dyDescent="0.25">
      <c r="C1008" s="273"/>
    </row>
    <row r="1013" spans="1:19" s="22" customFormat="1" x14ac:dyDescent="0.25">
      <c r="A1013" s="228"/>
      <c r="B1013" s="57"/>
      <c r="C1013" s="124"/>
      <c r="D1013" s="228"/>
      <c r="E1013" s="228"/>
      <c r="F1013" s="62"/>
      <c r="G1013" s="50"/>
      <c r="H1013" s="228"/>
      <c r="I1013" s="228"/>
      <c r="K1013" s="21"/>
      <c r="L1013" s="228"/>
      <c r="M1013" s="228"/>
      <c r="N1013" s="228"/>
      <c r="O1013" s="228"/>
      <c r="P1013" s="228"/>
      <c r="Q1013" s="228"/>
      <c r="R1013" s="228"/>
      <c r="S1013" s="228"/>
    </row>
  </sheetData>
  <autoFilter ref="A2:J1008">
    <filterColumn colId="3">
      <filters>
        <filter val="смс.ру"/>
      </filters>
    </filterColumn>
  </autoFilter>
  <pageMargins left="0.59055118110236227" right="0.39370078740157483" top="0.78740157480314965" bottom="0.19685039370078741" header="0.51181102362204722" footer="0.51181102362204722"/>
  <pageSetup paperSize="9" scale="67" fitToHeight="0" orientation="landscape" r:id="rId1"/>
  <headerFooter alignWithMargins="0"/>
  <colBreaks count="2" manualBreakCount="2">
    <brk id="10" max="1048575" man="1"/>
    <brk id="102" max="28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S1444"/>
  <sheetViews>
    <sheetView zoomScaleNormal="100" workbookViewId="0">
      <pane ySplit="2" topLeftCell="A3" activePane="bottomLeft" state="frozen"/>
      <selection activeCell="D147" sqref="D147"/>
      <selection pane="bottomLeft" activeCell="A197" sqref="A197:XFD197"/>
    </sheetView>
  </sheetViews>
  <sheetFormatPr defaultColWidth="9.44140625" defaultRowHeight="13.8" x14ac:dyDescent="0.25"/>
  <cols>
    <col min="1" max="1" width="14.44140625" style="228" customWidth="1"/>
    <col min="2" max="2" width="10.5546875" style="57" customWidth="1"/>
    <col min="3" max="3" width="9.21875" style="124" customWidth="1"/>
    <col min="4" max="4" width="27" style="228" customWidth="1"/>
    <col min="5" max="5" width="11" style="228" customWidth="1"/>
    <col min="6" max="6" width="16.44140625" style="62" customWidth="1"/>
    <col min="7" max="7" width="26.109375" style="50" customWidth="1"/>
    <col min="8" max="8" width="11.44140625" style="228" customWidth="1"/>
    <col min="9" max="9" width="37.88671875" style="228" customWidth="1"/>
    <col min="10" max="10" width="17.5546875" style="22" customWidth="1"/>
    <col min="11" max="11" width="14.44140625" style="21" customWidth="1"/>
    <col min="12" max="16384" width="9.44140625" style="228"/>
  </cols>
  <sheetData>
    <row r="1" spans="1:19" ht="19.5" customHeight="1" x14ac:dyDescent="0.25">
      <c r="F1" s="72">
        <f>SUM(F4:F1445)</f>
        <v>798258719.08000028</v>
      </c>
      <c r="G1" s="62"/>
    </row>
    <row r="2" spans="1:19" s="50" customFormat="1" ht="24.6" customHeight="1" x14ac:dyDescent="0.25">
      <c r="A2" s="79" t="s">
        <v>192</v>
      </c>
      <c r="B2" s="80" t="s">
        <v>123</v>
      </c>
      <c r="C2" s="78" t="s">
        <v>51</v>
      </c>
      <c r="D2" s="79" t="s">
        <v>109</v>
      </c>
      <c r="E2" s="79" t="s">
        <v>9</v>
      </c>
      <c r="F2" s="423" t="s">
        <v>56</v>
      </c>
      <c r="G2" s="79" t="s">
        <v>58</v>
      </c>
      <c r="H2" s="79" t="s">
        <v>57</v>
      </c>
      <c r="I2" s="81" t="s">
        <v>10</v>
      </c>
      <c r="J2" s="22"/>
      <c r="K2" s="21"/>
    </row>
    <row r="3" spans="1:19" ht="27.6" hidden="1" x14ac:dyDescent="0.25">
      <c r="A3" s="32" t="s">
        <v>212</v>
      </c>
      <c r="B3" s="14">
        <v>43497</v>
      </c>
      <c r="C3" s="13">
        <v>557</v>
      </c>
      <c r="D3" s="32" t="s">
        <v>212</v>
      </c>
      <c r="E3" s="32" t="s">
        <v>3374</v>
      </c>
      <c r="F3" s="4">
        <v>1500000</v>
      </c>
      <c r="G3" s="28" t="s">
        <v>3304</v>
      </c>
      <c r="H3" s="14">
        <v>41823</v>
      </c>
      <c r="I3" s="41" t="s">
        <v>277</v>
      </c>
      <c r="K3" s="389"/>
      <c r="L3" s="388"/>
    </row>
    <row r="4" spans="1:19" ht="27.6" hidden="1" x14ac:dyDescent="0.25">
      <c r="A4" s="61" t="s">
        <v>460</v>
      </c>
      <c r="B4" s="14">
        <v>43497</v>
      </c>
      <c r="C4" s="13">
        <v>222</v>
      </c>
      <c r="D4" s="14" t="s">
        <v>2333</v>
      </c>
      <c r="E4" s="32" t="s">
        <v>2058</v>
      </c>
      <c r="F4" s="4">
        <v>113400</v>
      </c>
      <c r="G4" s="86" t="s">
        <v>2334</v>
      </c>
      <c r="H4" s="211"/>
      <c r="I4" s="326"/>
      <c r="K4" s="62"/>
    </row>
    <row r="5" spans="1:19" ht="27.6" hidden="1" x14ac:dyDescent="0.25">
      <c r="A5" s="61" t="s">
        <v>460</v>
      </c>
      <c r="B5" s="14">
        <v>43497</v>
      </c>
      <c r="C5" s="13">
        <v>223</v>
      </c>
      <c r="D5" s="14" t="s">
        <v>2335</v>
      </c>
      <c r="E5" s="32" t="s">
        <v>2058</v>
      </c>
      <c r="F5" s="4">
        <v>97359</v>
      </c>
      <c r="G5" s="86" t="s">
        <v>2336</v>
      </c>
      <c r="H5" s="211"/>
      <c r="I5" s="326"/>
      <c r="K5" s="62"/>
    </row>
    <row r="6" spans="1:19" ht="27.6" hidden="1" x14ac:dyDescent="0.25">
      <c r="A6" s="61" t="s">
        <v>460</v>
      </c>
      <c r="B6" s="14">
        <v>43497</v>
      </c>
      <c r="C6" s="13">
        <v>224</v>
      </c>
      <c r="D6" s="14" t="s">
        <v>2344</v>
      </c>
      <c r="E6" s="32" t="s">
        <v>2058</v>
      </c>
      <c r="F6" s="4">
        <v>116000</v>
      </c>
      <c r="G6" s="86" t="s">
        <v>2345</v>
      </c>
      <c r="H6" s="211"/>
      <c r="I6" s="326"/>
      <c r="K6" s="62"/>
    </row>
    <row r="7" spans="1:19" ht="27.6" hidden="1" x14ac:dyDescent="0.25">
      <c r="A7" s="61" t="s">
        <v>460</v>
      </c>
      <c r="B7" s="14">
        <v>43497</v>
      </c>
      <c r="C7" s="13">
        <v>225</v>
      </c>
      <c r="D7" s="14" t="s">
        <v>2354</v>
      </c>
      <c r="E7" s="32" t="s">
        <v>2058</v>
      </c>
      <c r="F7" s="4">
        <v>93024</v>
      </c>
      <c r="G7" s="86" t="s">
        <v>2355</v>
      </c>
      <c r="H7" s="211"/>
      <c r="I7" s="326"/>
      <c r="K7" s="62"/>
    </row>
    <row r="8" spans="1:19" hidden="1" x14ac:dyDescent="0.25">
      <c r="A8" s="32" t="s">
        <v>660</v>
      </c>
      <c r="B8" s="14">
        <v>43497</v>
      </c>
      <c r="C8" s="67">
        <v>5</v>
      </c>
      <c r="D8" s="32" t="s">
        <v>595</v>
      </c>
      <c r="E8" s="32" t="s">
        <v>488</v>
      </c>
      <c r="F8" s="4">
        <v>134603.96</v>
      </c>
      <c r="G8" s="29" t="s">
        <v>2935</v>
      </c>
      <c r="H8" s="14">
        <v>43434</v>
      </c>
      <c r="I8" s="41" t="s">
        <v>949</v>
      </c>
      <c r="J8" s="35" t="s">
        <v>323</v>
      </c>
      <c r="K8" s="167"/>
      <c r="L8" s="35"/>
    </row>
    <row r="9" spans="1:19" hidden="1" x14ac:dyDescent="0.25">
      <c r="A9" s="32" t="s">
        <v>659</v>
      </c>
      <c r="B9" s="14">
        <v>43497</v>
      </c>
      <c r="C9" s="67">
        <v>5</v>
      </c>
      <c r="D9" s="32" t="s">
        <v>595</v>
      </c>
      <c r="E9" s="32" t="s">
        <v>488</v>
      </c>
      <c r="F9" s="4">
        <v>177632.87</v>
      </c>
      <c r="G9" s="29" t="s">
        <v>2936</v>
      </c>
      <c r="H9" s="14">
        <v>43434</v>
      </c>
      <c r="I9" s="41" t="s">
        <v>949</v>
      </c>
      <c r="J9" s="35" t="s">
        <v>323</v>
      </c>
      <c r="K9" s="167"/>
      <c r="L9" s="35"/>
    </row>
    <row r="10" spans="1:19" s="31" customFormat="1" ht="27.6" hidden="1" x14ac:dyDescent="0.25">
      <c r="A10" s="13" t="s">
        <v>261</v>
      </c>
      <c r="B10" s="14">
        <v>43497</v>
      </c>
      <c r="C10" s="13">
        <v>110</v>
      </c>
      <c r="D10" s="13" t="s">
        <v>745</v>
      </c>
      <c r="E10" s="13" t="s">
        <v>3309</v>
      </c>
      <c r="F10" s="4">
        <f>3498115.64-100000-1079012.79-1000000</f>
        <v>1319102.8500000001</v>
      </c>
      <c r="G10" s="29" t="s">
        <v>1412</v>
      </c>
      <c r="H10" s="14">
        <v>43164</v>
      </c>
      <c r="I10" s="4" t="s">
        <v>484</v>
      </c>
      <c r="J10" s="34"/>
      <c r="O10" s="34"/>
      <c r="P10" s="34"/>
      <c r="Q10" s="34"/>
      <c r="R10" s="34"/>
      <c r="S10" s="34"/>
    </row>
    <row r="11" spans="1:19" s="62" customFormat="1" ht="13.95" hidden="1" customHeight="1" x14ac:dyDescent="0.25">
      <c r="A11" s="13" t="s">
        <v>213</v>
      </c>
      <c r="B11" s="14">
        <v>43497</v>
      </c>
      <c r="C11" s="13">
        <v>240</v>
      </c>
      <c r="D11" s="13" t="s">
        <v>3269</v>
      </c>
      <c r="E11" s="13" t="s">
        <v>130</v>
      </c>
      <c r="F11" s="4">
        <v>300000</v>
      </c>
      <c r="G11" s="29" t="s">
        <v>3342</v>
      </c>
      <c r="H11" s="14">
        <v>43266</v>
      </c>
      <c r="I11" s="4" t="s">
        <v>1150</v>
      </c>
      <c r="J11" s="71"/>
      <c r="O11" s="35"/>
      <c r="P11" s="35"/>
      <c r="Q11" s="35"/>
      <c r="R11" s="35"/>
      <c r="S11" s="35"/>
    </row>
    <row r="12" spans="1:19" hidden="1" x14ac:dyDescent="0.25">
      <c r="A12" s="61" t="s">
        <v>1148</v>
      </c>
      <c r="B12" s="14">
        <v>43497</v>
      </c>
      <c r="C12" s="13">
        <v>241</v>
      </c>
      <c r="D12" s="13" t="s">
        <v>971</v>
      </c>
      <c r="E12" s="13" t="s">
        <v>130</v>
      </c>
      <c r="F12" s="4">
        <v>363810</v>
      </c>
      <c r="G12" s="29" t="s">
        <v>1568</v>
      </c>
      <c r="H12" s="14">
        <v>43434</v>
      </c>
      <c r="I12" s="4" t="s">
        <v>182</v>
      </c>
    </row>
    <row r="13" spans="1:19" s="62" customFormat="1" ht="13.95" hidden="1" customHeight="1" x14ac:dyDescent="0.25">
      <c r="A13" s="13" t="s">
        <v>213</v>
      </c>
      <c r="B13" s="14">
        <v>43497</v>
      </c>
      <c r="C13" s="13">
        <v>120</v>
      </c>
      <c r="D13" s="13" t="s">
        <v>3269</v>
      </c>
      <c r="E13" s="13" t="s">
        <v>60</v>
      </c>
      <c r="F13" s="4">
        <v>100000</v>
      </c>
      <c r="G13" s="29" t="s">
        <v>3344</v>
      </c>
      <c r="H13" s="14">
        <v>43266</v>
      </c>
      <c r="I13" s="4" t="s">
        <v>1150</v>
      </c>
      <c r="J13" s="71"/>
      <c r="O13" s="35"/>
      <c r="P13" s="35"/>
      <c r="Q13" s="35"/>
      <c r="R13" s="35"/>
      <c r="S13" s="35"/>
    </row>
    <row r="14" spans="1:19" s="62" customFormat="1" ht="13.95" hidden="1" customHeight="1" x14ac:dyDescent="0.25">
      <c r="A14" s="13" t="s">
        <v>213</v>
      </c>
      <c r="B14" s="14">
        <v>43497</v>
      </c>
      <c r="C14" s="13">
        <v>121</v>
      </c>
      <c r="D14" s="13" t="s">
        <v>3269</v>
      </c>
      <c r="E14" s="13" t="s">
        <v>60</v>
      </c>
      <c r="F14" s="4">
        <v>350000</v>
      </c>
      <c r="G14" s="29" t="s">
        <v>3343</v>
      </c>
      <c r="H14" s="14">
        <v>43266</v>
      </c>
      <c r="I14" s="4" t="s">
        <v>1150</v>
      </c>
      <c r="J14" s="71"/>
      <c r="O14" s="35"/>
      <c r="P14" s="35"/>
      <c r="Q14" s="35"/>
      <c r="R14" s="35"/>
      <c r="S14" s="35"/>
    </row>
    <row r="15" spans="1:19" hidden="1" x14ac:dyDescent="0.25">
      <c r="A15" s="61" t="s">
        <v>103</v>
      </c>
      <c r="B15" s="14">
        <v>43497</v>
      </c>
      <c r="C15" s="13">
        <v>153</v>
      </c>
      <c r="D15" s="13" t="s">
        <v>1739</v>
      </c>
      <c r="E15" s="13" t="s">
        <v>62</v>
      </c>
      <c r="F15" s="4">
        <v>480000</v>
      </c>
      <c r="G15" s="29" t="s">
        <v>1780</v>
      </c>
      <c r="H15" s="14">
        <v>43454</v>
      </c>
      <c r="I15" s="4" t="s">
        <v>2692</v>
      </c>
      <c r="J15" s="128"/>
    </row>
    <row r="16" spans="1:19" hidden="1" x14ac:dyDescent="0.25">
      <c r="A16" s="61" t="s">
        <v>103</v>
      </c>
      <c r="B16" s="14">
        <v>43497</v>
      </c>
      <c r="C16" s="13">
        <v>157</v>
      </c>
      <c r="D16" s="13" t="s">
        <v>1739</v>
      </c>
      <c r="E16" s="13" t="s">
        <v>62</v>
      </c>
      <c r="F16" s="4">
        <v>5000</v>
      </c>
      <c r="G16" s="29" t="s">
        <v>3411</v>
      </c>
      <c r="H16" s="14">
        <v>43459</v>
      </c>
      <c r="I16" s="4" t="s">
        <v>3412</v>
      </c>
      <c r="J16" s="128"/>
    </row>
    <row r="17" spans="1:12" hidden="1" x14ac:dyDescent="0.25">
      <c r="A17" s="61" t="s">
        <v>103</v>
      </c>
      <c r="B17" s="14">
        <v>43497</v>
      </c>
      <c r="C17" s="13">
        <v>155</v>
      </c>
      <c r="D17" s="13" t="s">
        <v>2198</v>
      </c>
      <c r="E17" s="13" t="s">
        <v>62</v>
      </c>
      <c r="F17" s="4">
        <v>80230</v>
      </c>
      <c r="G17" s="29" t="s">
        <v>2201</v>
      </c>
      <c r="H17" s="14">
        <v>43425</v>
      </c>
      <c r="I17" s="4" t="s">
        <v>2200</v>
      </c>
      <c r="J17" s="128"/>
    </row>
    <row r="18" spans="1:12" hidden="1" x14ac:dyDescent="0.25">
      <c r="A18" s="61" t="s">
        <v>103</v>
      </c>
      <c r="B18" s="14">
        <v>43497</v>
      </c>
      <c r="C18" s="13">
        <v>162</v>
      </c>
      <c r="D18" s="13" t="s">
        <v>115</v>
      </c>
      <c r="E18" s="13" t="s">
        <v>62</v>
      </c>
      <c r="F18" s="4">
        <v>2794.5</v>
      </c>
      <c r="G18" s="29" t="s">
        <v>1351</v>
      </c>
      <c r="H18" s="14">
        <v>43447</v>
      </c>
      <c r="I18" s="4" t="s">
        <v>2683</v>
      </c>
      <c r="J18" s="128"/>
    </row>
    <row r="19" spans="1:12" hidden="1" x14ac:dyDescent="0.25">
      <c r="A19" s="32" t="s">
        <v>103</v>
      </c>
      <c r="B19" s="14">
        <v>43497</v>
      </c>
      <c r="C19" s="13">
        <v>162</v>
      </c>
      <c r="D19" s="13" t="s">
        <v>115</v>
      </c>
      <c r="E19" s="13" t="s">
        <v>62</v>
      </c>
      <c r="F19" s="4">
        <v>192014.64</v>
      </c>
      <c r="G19" s="28" t="s">
        <v>1570</v>
      </c>
      <c r="H19" s="14">
        <v>43462</v>
      </c>
      <c r="I19" s="4" t="s">
        <v>3175</v>
      </c>
      <c r="J19" s="128"/>
    </row>
    <row r="20" spans="1:12" hidden="1" x14ac:dyDescent="0.25">
      <c r="A20" s="32" t="s">
        <v>103</v>
      </c>
      <c r="B20" s="14">
        <v>43497</v>
      </c>
      <c r="C20" s="13">
        <v>158</v>
      </c>
      <c r="D20" s="13" t="s">
        <v>307</v>
      </c>
      <c r="E20" s="13" t="s">
        <v>62</v>
      </c>
      <c r="F20" s="4">
        <v>30500</v>
      </c>
      <c r="G20" s="28" t="s">
        <v>3180</v>
      </c>
      <c r="H20" s="14">
        <v>43462</v>
      </c>
      <c r="I20" s="4" t="s">
        <v>1590</v>
      </c>
      <c r="J20" s="128"/>
    </row>
    <row r="21" spans="1:12" hidden="1" x14ac:dyDescent="0.25">
      <c r="A21" s="61" t="s">
        <v>103</v>
      </c>
      <c r="B21" s="14">
        <v>43497</v>
      </c>
      <c r="C21" s="13">
        <v>159</v>
      </c>
      <c r="D21" s="13" t="s">
        <v>3190</v>
      </c>
      <c r="E21" s="13" t="s">
        <v>62</v>
      </c>
      <c r="F21" s="4">
        <v>125000</v>
      </c>
      <c r="G21" s="29" t="s">
        <v>3011</v>
      </c>
      <c r="H21" s="14">
        <v>43476</v>
      </c>
      <c r="I21" s="4" t="s">
        <v>3191</v>
      </c>
      <c r="J21" s="128"/>
    </row>
    <row r="22" spans="1:12" hidden="1" x14ac:dyDescent="0.25">
      <c r="A22" s="13" t="s">
        <v>103</v>
      </c>
      <c r="B22" s="14">
        <v>43497</v>
      </c>
      <c r="C22" s="13">
        <v>160</v>
      </c>
      <c r="D22" s="13" t="s">
        <v>3407</v>
      </c>
      <c r="E22" s="13" t="s">
        <v>62</v>
      </c>
      <c r="F22" s="4">
        <v>19800</v>
      </c>
      <c r="G22" s="28" t="s">
        <v>3408</v>
      </c>
      <c r="H22" s="14">
        <v>43483</v>
      </c>
      <c r="I22" s="4" t="s">
        <v>3409</v>
      </c>
      <c r="J22" s="128"/>
    </row>
    <row r="23" spans="1:12" s="2" customFormat="1" hidden="1" x14ac:dyDescent="0.25">
      <c r="A23" s="61" t="s">
        <v>103</v>
      </c>
      <c r="B23" s="14">
        <v>43497</v>
      </c>
      <c r="C23" s="13">
        <v>161</v>
      </c>
      <c r="D23" s="13" t="s">
        <v>1156</v>
      </c>
      <c r="E23" s="13" t="s">
        <v>62</v>
      </c>
      <c r="F23" s="4">
        <v>65075</v>
      </c>
      <c r="G23" s="29" t="s">
        <v>3143</v>
      </c>
      <c r="H23" s="14">
        <v>43488</v>
      </c>
      <c r="I23" s="4" t="s">
        <v>3558</v>
      </c>
      <c r="J23" s="121"/>
      <c r="K23" s="5"/>
    </row>
    <row r="24" spans="1:12" s="2" customFormat="1" hidden="1" x14ac:dyDescent="0.25">
      <c r="A24" s="32" t="s">
        <v>103</v>
      </c>
      <c r="B24" s="14">
        <v>43497</v>
      </c>
      <c r="C24" s="13">
        <v>163</v>
      </c>
      <c r="D24" s="13" t="s">
        <v>3560</v>
      </c>
      <c r="E24" s="13" t="s">
        <v>62</v>
      </c>
      <c r="F24" s="4">
        <v>985</v>
      </c>
      <c r="G24" s="28" t="s">
        <v>858</v>
      </c>
      <c r="H24" s="14">
        <v>43479</v>
      </c>
      <c r="I24" s="4" t="s">
        <v>3561</v>
      </c>
      <c r="J24" s="121"/>
      <c r="K24" s="5"/>
    </row>
    <row r="25" spans="1:12" s="2" customFormat="1" hidden="1" x14ac:dyDescent="0.25">
      <c r="A25" s="32" t="s">
        <v>103</v>
      </c>
      <c r="B25" s="14">
        <v>43497</v>
      </c>
      <c r="C25" s="13">
        <v>163</v>
      </c>
      <c r="D25" s="13" t="s">
        <v>3560</v>
      </c>
      <c r="E25" s="13" t="s">
        <v>62</v>
      </c>
      <c r="F25" s="4">
        <v>2478</v>
      </c>
      <c r="G25" s="28" t="s">
        <v>1866</v>
      </c>
      <c r="H25" s="14">
        <v>43490</v>
      </c>
      <c r="I25" s="4" t="s">
        <v>3562</v>
      </c>
      <c r="J25" s="121"/>
      <c r="K25" s="5"/>
    </row>
    <row r="26" spans="1:12" s="2" customFormat="1" hidden="1" x14ac:dyDescent="0.25">
      <c r="A26" s="32" t="s">
        <v>103</v>
      </c>
      <c r="B26" s="14">
        <v>43497</v>
      </c>
      <c r="C26" s="13">
        <v>163</v>
      </c>
      <c r="D26" s="13" t="s">
        <v>3560</v>
      </c>
      <c r="E26" s="13" t="s">
        <v>62</v>
      </c>
      <c r="F26" s="4">
        <v>896</v>
      </c>
      <c r="G26" s="28" t="s">
        <v>1208</v>
      </c>
      <c r="H26" s="14">
        <v>43493</v>
      </c>
      <c r="I26" s="4" t="s">
        <v>3563</v>
      </c>
      <c r="J26" s="121"/>
      <c r="K26" s="5"/>
    </row>
    <row r="27" spans="1:12" ht="13.95" hidden="1" customHeight="1" x14ac:dyDescent="0.25">
      <c r="A27" s="32" t="s">
        <v>1654</v>
      </c>
      <c r="B27" s="14">
        <v>43497</v>
      </c>
      <c r="C27" s="13">
        <v>154</v>
      </c>
      <c r="D27" s="32" t="s">
        <v>470</v>
      </c>
      <c r="E27" s="32" t="s">
        <v>62</v>
      </c>
      <c r="F27" s="4">
        <v>3000000</v>
      </c>
      <c r="G27" s="86" t="s">
        <v>1867</v>
      </c>
      <c r="H27" s="211"/>
      <c r="I27" s="208" t="s">
        <v>675</v>
      </c>
      <c r="J27" s="21"/>
      <c r="K27" s="228"/>
    </row>
    <row r="28" spans="1:12" hidden="1" x14ac:dyDescent="0.25">
      <c r="A28" s="13" t="s">
        <v>55</v>
      </c>
      <c r="B28" s="14">
        <v>43497</v>
      </c>
      <c r="C28" s="13">
        <v>164</v>
      </c>
      <c r="D28" s="32" t="s">
        <v>833</v>
      </c>
      <c r="E28" s="32" t="s">
        <v>62</v>
      </c>
      <c r="F28" s="4">
        <v>2000000</v>
      </c>
      <c r="G28" s="86" t="s">
        <v>835</v>
      </c>
      <c r="H28" s="14"/>
      <c r="I28" s="41" t="s">
        <v>229</v>
      </c>
      <c r="J28" s="21"/>
      <c r="K28" s="228"/>
    </row>
    <row r="29" spans="1:12" s="97" customFormat="1" hidden="1" x14ac:dyDescent="0.25">
      <c r="A29" s="13" t="s">
        <v>442</v>
      </c>
      <c r="B29" s="14">
        <v>43497</v>
      </c>
      <c r="C29" s="13">
        <v>152</v>
      </c>
      <c r="D29" s="13" t="s">
        <v>740</v>
      </c>
      <c r="E29" s="13" t="s">
        <v>62</v>
      </c>
      <c r="F29" s="4">
        <f>595000-157000</f>
        <v>438000</v>
      </c>
      <c r="G29" s="29" t="s">
        <v>1986</v>
      </c>
      <c r="H29" s="14">
        <v>43353</v>
      </c>
      <c r="I29" s="4" t="s">
        <v>1331</v>
      </c>
      <c r="J29" s="133"/>
      <c r="K29" s="22"/>
      <c r="L29" s="134"/>
    </row>
    <row r="30" spans="1:12" s="97" customFormat="1" hidden="1" x14ac:dyDescent="0.25">
      <c r="A30" s="61" t="s">
        <v>91</v>
      </c>
      <c r="B30" s="14">
        <v>43497</v>
      </c>
      <c r="C30" s="13">
        <v>151</v>
      </c>
      <c r="D30" s="13" t="s">
        <v>157</v>
      </c>
      <c r="E30" s="13" t="s">
        <v>62</v>
      </c>
      <c r="F30" s="4">
        <v>100000</v>
      </c>
      <c r="G30" s="29" t="s">
        <v>2745</v>
      </c>
      <c r="H30" s="14">
        <v>43447</v>
      </c>
      <c r="I30" s="4" t="s">
        <v>966</v>
      </c>
      <c r="J30" s="133"/>
      <c r="K30" s="22"/>
      <c r="L30" s="134"/>
    </row>
    <row r="31" spans="1:12" s="97" customFormat="1" ht="16.2" hidden="1" customHeight="1" x14ac:dyDescent="0.25">
      <c r="A31" s="13" t="s">
        <v>1255</v>
      </c>
      <c r="B31" s="14">
        <v>43497</v>
      </c>
      <c r="C31" s="13">
        <v>57</v>
      </c>
      <c r="D31" s="13" t="s">
        <v>590</v>
      </c>
      <c r="E31" s="13" t="s">
        <v>691</v>
      </c>
      <c r="F31" s="4">
        <v>1000000</v>
      </c>
      <c r="G31" s="29" t="s">
        <v>1323</v>
      </c>
      <c r="H31" s="14">
        <v>42746</v>
      </c>
      <c r="I31" s="4" t="s">
        <v>159</v>
      </c>
      <c r="J31" s="133"/>
      <c r="K31" s="22"/>
      <c r="L31" s="134"/>
    </row>
    <row r="32" spans="1:12" s="97" customFormat="1" hidden="1" x14ac:dyDescent="0.25">
      <c r="A32" s="61" t="s">
        <v>659</v>
      </c>
      <c r="B32" s="14">
        <v>43497</v>
      </c>
      <c r="C32" s="13">
        <v>58</v>
      </c>
      <c r="D32" s="13" t="s">
        <v>1206</v>
      </c>
      <c r="E32" s="13" t="s">
        <v>691</v>
      </c>
      <c r="F32" s="4">
        <v>789900</v>
      </c>
      <c r="G32" s="210" t="s">
        <v>2721</v>
      </c>
      <c r="H32" s="211">
        <v>43453</v>
      </c>
      <c r="I32" s="4" t="s">
        <v>2722</v>
      </c>
      <c r="J32" s="133"/>
      <c r="K32" s="22"/>
      <c r="L32" s="134"/>
    </row>
    <row r="33" spans="1:12" s="97" customFormat="1" hidden="1" x14ac:dyDescent="0.25">
      <c r="A33" s="61" t="s">
        <v>1350</v>
      </c>
      <c r="B33" s="14">
        <v>43497</v>
      </c>
      <c r="C33" s="13">
        <v>59</v>
      </c>
      <c r="D33" s="13" t="s">
        <v>254</v>
      </c>
      <c r="E33" s="13" t="s">
        <v>691</v>
      </c>
      <c r="F33" s="4">
        <v>849871.91</v>
      </c>
      <c r="G33" s="210" t="s">
        <v>2725</v>
      </c>
      <c r="H33" s="211">
        <v>43458</v>
      </c>
      <c r="I33" s="4" t="s">
        <v>2726</v>
      </c>
      <c r="J33" s="133"/>
      <c r="K33" s="22"/>
      <c r="L33" s="134"/>
    </row>
    <row r="34" spans="1:12" s="97" customFormat="1" hidden="1" x14ac:dyDescent="0.25">
      <c r="A34" s="61" t="s">
        <v>1350</v>
      </c>
      <c r="B34" s="14">
        <v>43497</v>
      </c>
      <c r="C34" s="13">
        <v>60</v>
      </c>
      <c r="D34" s="13" t="s">
        <v>3564</v>
      </c>
      <c r="E34" s="13" t="s">
        <v>691</v>
      </c>
      <c r="F34" s="4">
        <v>8380</v>
      </c>
      <c r="G34" s="29" t="s">
        <v>77</v>
      </c>
      <c r="H34" s="14">
        <v>43476</v>
      </c>
      <c r="I34" s="4" t="s">
        <v>3565</v>
      </c>
      <c r="J34" s="133"/>
      <c r="K34" s="22"/>
      <c r="L34" s="134"/>
    </row>
    <row r="35" spans="1:12" s="97" customFormat="1" hidden="1" x14ac:dyDescent="0.25">
      <c r="A35" s="61" t="s">
        <v>1350</v>
      </c>
      <c r="B35" s="14">
        <v>43497</v>
      </c>
      <c r="C35" s="13">
        <v>61</v>
      </c>
      <c r="D35" s="13" t="s">
        <v>1065</v>
      </c>
      <c r="E35" s="13" t="s">
        <v>691</v>
      </c>
      <c r="F35" s="4">
        <f>189389-100000</f>
        <v>89389</v>
      </c>
      <c r="G35" s="29" t="s">
        <v>2258</v>
      </c>
      <c r="H35" s="14">
        <v>43451</v>
      </c>
      <c r="I35" s="4" t="s">
        <v>2585</v>
      </c>
      <c r="J35" s="133"/>
      <c r="K35" s="22"/>
      <c r="L35" s="134"/>
    </row>
    <row r="36" spans="1:12" s="97" customFormat="1" hidden="1" x14ac:dyDescent="0.25">
      <c r="A36" s="61" t="s">
        <v>659</v>
      </c>
      <c r="B36" s="14">
        <v>43497</v>
      </c>
      <c r="C36" s="13">
        <v>62</v>
      </c>
      <c r="D36" s="13" t="s">
        <v>734</v>
      </c>
      <c r="E36" s="13" t="s">
        <v>691</v>
      </c>
      <c r="F36" s="4">
        <v>12710</v>
      </c>
      <c r="G36" s="29" t="s">
        <v>161</v>
      </c>
      <c r="H36" s="14">
        <v>43480</v>
      </c>
      <c r="I36" s="4" t="s">
        <v>985</v>
      </c>
      <c r="J36" s="133"/>
      <c r="K36" s="22"/>
      <c r="L36" s="134"/>
    </row>
    <row r="37" spans="1:12" s="97" customFormat="1" hidden="1" x14ac:dyDescent="0.25">
      <c r="A37" s="61" t="s">
        <v>1350</v>
      </c>
      <c r="B37" s="14">
        <v>43497</v>
      </c>
      <c r="C37" s="13">
        <v>63</v>
      </c>
      <c r="D37" s="13" t="s">
        <v>814</v>
      </c>
      <c r="E37" s="13" t="s">
        <v>691</v>
      </c>
      <c r="F37" s="4">
        <v>59005.8</v>
      </c>
      <c r="G37" s="29" t="s">
        <v>1262</v>
      </c>
      <c r="H37" s="14">
        <v>43451</v>
      </c>
      <c r="I37" s="4" t="s">
        <v>142</v>
      </c>
      <c r="J37" s="133"/>
      <c r="K37" s="22"/>
      <c r="L37" s="134"/>
    </row>
    <row r="38" spans="1:12" s="97" customFormat="1" ht="19.2" hidden="1" customHeight="1" x14ac:dyDescent="0.25">
      <c r="A38" s="13" t="s">
        <v>637</v>
      </c>
      <c r="B38" s="14">
        <v>43497</v>
      </c>
      <c r="C38" s="13">
        <v>64</v>
      </c>
      <c r="D38" s="13" t="s">
        <v>1491</v>
      </c>
      <c r="E38" s="13" t="s">
        <v>691</v>
      </c>
      <c r="F38" s="4">
        <v>200000</v>
      </c>
      <c r="G38" s="29" t="s">
        <v>2649</v>
      </c>
      <c r="H38" s="14">
        <v>43444</v>
      </c>
      <c r="I38" s="4" t="s">
        <v>2650</v>
      </c>
      <c r="J38" s="133"/>
      <c r="K38" s="22"/>
      <c r="L38" s="134"/>
    </row>
    <row r="39" spans="1:12" hidden="1" x14ac:dyDescent="0.25">
      <c r="A39" s="61" t="s">
        <v>637</v>
      </c>
      <c r="B39" s="14">
        <v>43497</v>
      </c>
      <c r="C39" s="13">
        <v>65</v>
      </c>
      <c r="D39" s="13" t="s">
        <v>340</v>
      </c>
      <c r="E39" s="13" t="s">
        <v>691</v>
      </c>
      <c r="F39" s="4">
        <v>2900</v>
      </c>
      <c r="G39" s="29" t="s">
        <v>876</v>
      </c>
      <c r="H39" s="14">
        <v>43438</v>
      </c>
      <c r="I39" s="4" t="s">
        <v>767</v>
      </c>
      <c r="J39" s="128"/>
    </row>
    <row r="40" spans="1:12" hidden="1" x14ac:dyDescent="0.25">
      <c r="A40" s="13" t="s">
        <v>659</v>
      </c>
      <c r="B40" s="14">
        <v>43497</v>
      </c>
      <c r="C40" s="13">
        <v>66</v>
      </c>
      <c r="D40" s="13" t="s">
        <v>381</v>
      </c>
      <c r="E40" s="13" t="s">
        <v>691</v>
      </c>
      <c r="F40" s="4">
        <v>15500</v>
      </c>
      <c r="G40" s="29" t="s">
        <v>3209</v>
      </c>
      <c r="H40" s="14">
        <v>43459</v>
      </c>
      <c r="I40" s="4" t="s">
        <v>441</v>
      </c>
      <c r="J40" s="128"/>
    </row>
    <row r="41" spans="1:12" hidden="1" x14ac:dyDescent="0.25">
      <c r="A41" s="61" t="s">
        <v>659</v>
      </c>
      <c r="B41" s="14">
        <v>43497</v>
      </c>
      <c r="C41" s="13">
        <v>67</v>
      </c>
      <c r="D41" s="13" t="s">
        <v>1513</v>
      </c>
      <c r="E41" s="13" t="s">
        <v>691</v>
      </c>
      <c r="F41" s="4">
        <v>199600</v>
      </c>
      <c r="G41" s="29" t="s">
        <v>479</v>
      </c>
      <c r="H41" s="14">
        <v>43462</v>
      </c>
      <c r="I41" s="4" t="s">
        <v>3197</v>
      </c>
      <c r="J41" s="128"/>
    </row>
    <row r="42" spans="1:12" hidden="1" x14ac:dyDescent="0.25">
      <c r="A42" s="61" t="s">
        <v>659</v>
      </c>
      <c r="B42" s="14">
        <v>43497</v>
      </c>
      <c r="C42" s="13">
        <v>68</v>
      </c>
      <c r="D42" s="13" t="s">
        <v>371</v>
      </c>
      <c r="E42" s="13" t="s">
        <v>691</v>
      </c>
      <c r="F42" s="4">
        <v>49000</v>
      </c>
      <c r="G42" s="29" t="s">
        <v>3413</v>
      </c>
      <c r="H42" s="14">
        <v>43461</v>
      </c>
      <c r="I42" s="4" t="s">
        <v>319</v>
      </c>
      <c r="J42" s="128"/>
    </row>
    <row r="43" spans="1:12" hidden="1" x14ac:dyDescent="0.25">
      <c r="A43" s="61" t="s">
        <v>1350</v>
      </c>
      <c r="B43" s="14">
        <v>43497</v>
      </c>
      <c r="C43" s="13">
        <v>69</v>
      </c>
      <c r="D43" s="13" t="s">
        <v>944</v>
      </c>
      <c r="E43" s="13" t="s">
        <v>691</v>
      </c>
      <c r="F43" s="4">
        <v>70000</v>
      </c>
      <c r="G43" s="29" t="s">
        <v>1031</v>
      </c>
      <c r="H43" s="14">
        <v>43418</v>
      </c>
      <c r="I43" s="4" t="s">
        <v>2153</v>
      </c>
    </row>
    <row r="44" spans="1:12" hidden="1" x14ac:dyDescent="0.25">
      <c r="A44" s="68" t="s">
        <v>659</v>
      </c>
      <c r="B44" s="14">
        <v>43497</v>
      </c>
      <c r="C44" s="13">
        <v>70</v>
      </c>
      <c r="D44" s="13" t="s">
        <v>282</v>
      </c>
      <c r="E44" s="13" t="s">
        <v>691</v>
      </c>
      <c r="F44" s="4">
        <v>1430</v>
      </c>
      <c r="G44" s="28" t="s">
        <v>74</v>
      </c>
      <c r="H44" s="14">
        <v>43475</v>
      </c>
      <c r="I44" s="4" t="s">
        <v>283</v>
      </c>
    </row>
    <row r="45" spans="1:12" hidden="1" x14ac:dyDescent="0.25">
      <c r="A45" s="61" t="s">
        <v>637</v>
      </c>
      <c r="B45" s="14">
        <v>43497</v>
      </c>
      <c r="C45" s="13">
        <v>70</v>
      </c>
      <c r="D45" s="13" t="s">
        <v>282</v>
      </c>
      <c r="E45" s="13" t="s">
        <v>691</v>
      </c>
      <c r="F45" s="4">
        <v>10725</v>
      </c>
      <c r="G45" s="29" t="s">
        <v>1436</v>
      </c>
      <c r="H45" s="14">
        <v>43475</v>
      </c>
      <c r="I45" s="4" t="s">
        <v>283</v>
      </c>
    </row>
    <row r="46" spans="1:12" hidden="1" x14ac:dyDescent="0.25">
      <c r="A46" s="61" t="s">
        <v>1350</v>
      </c>
      <c r="B46" s="14">
        <v>43497</v>
      </c>
      <c r="C46" s="13">
        <v>71</v>
      </c>
      <c r="D46" s="13" t="s">
        <v>1395</v>
      </c>
      <c r="E46" s="13" t="s">
        <v>691</v>
      </c>
      <c r="F46" s="4">
        <v>38000</v>
      </c>
      <c r="G46" s="29" t="s">
        <v>3339</v>
      </c>
      <c r="H46" s="14">
        <v>43475</v>
      </c>
      <c r="I46" s="4" t="s">
        <v>3377</v>
      </c>
    </row>
    <row r="47" spans="1:12" hidden="1" x14ac:dyDescent="0.25">
      <c r="A47" s="61" t="s">
        <v>1350</v>
      </c>
      <c r="B47" s="14">
        <v>43497</v>
      </c>
      <c r="C47" s="13">
        <v>71</v>
      </c>
      <c r="D47" s="13" t="s">
        <v>1395</v>
      </c>
      <c r="E47" s="13" t="s">
        <v>691</v>
      </c>
      <c r="F47" s="4">
        <v>38000</v>
      </c>
      <c r="G47" s="29" t="s">
        <v>1210</v>
      </c>
      <c r="H47" s="14">
        <v>43479</v>
      </c>
      <c r="I47" s="4" t="s">
        <v>3380</v>
      </c>
    </row>
    <row r="48" spans="1:12" hidden="1" x14ac:dyDescent="0.25">
      <c r="A48" s="61" t="s">
        <v>1350</v>
      </c>
      <c r="B48" s="14">
        <v>43497</v>
      </c>
      <c r="C48" s="13">
        <v>71</v>
      </c>
      <c r="D48" s="13" t="s">
        <v>1395</v>
      </c>
      <c r="E48" s="13" t="s">
        <v>691</v>
      </c>
      <c r="F48" s="4">
        <v>30400</v>
      </c>
      <c r="G48" s="29" t="s">
        <v>731</v>
      </c>
      <c r="H48" s="14">
        <v>43480</v>
      </c>
      <c r="I48" s="4" t="s">
        <v>3381</v>
      </c>
    </row>
    <row r="49" spans="1:11" hidden="1" x14ac:dyDescent="0.25">
      <c r="A49" s="61" t="s">
        <v>1350</v>
      </c>
      <c r="B49" s="14">
        <v>43497</v>
      </c>
      <c r="C49" s="13">
        <v>71</v>
      </c>
      <c r="D49" s="13" t="s">
        <v>1395</v>
      </c>
      <c r="E49" s="13" t="s">
        <v>691</v>
      </c>
      <c r="F49" s="4">
        <v>19400</v>
      </c>
      <c r="G49" s="29" t="s">
        <v>1211</v>
      </c>
      <c r="H49" s="14">
        <v>43480</v>
      </c>
      <c r="I49" s="4" t="s">
        <v>3381</v>
      </c>
    </row>
    <row r="50" spans="1:11" hidden="1" x14ac:dyDescent="0.25">
      <c r="A50" s="32" t="s">
        <v>659</v>
      </c>
      <c r="B50" s="14">
        <v>43497</v>
      </c>
      <c r="C50" s="13">
        <v>72</v>
      </c>
      <c r="D50" s="13" t="s">
        <v>250</v>
      </c>
      <c r="E50" s="13" t="s">
        <v>691</v>
      </c>
      <c r="F50" s="4">
        <v>135000</v>
      </c>
      <c r="G50" s="28" t="s">
        <v>2378</v>
      </c>
      <c r="H50" s="14">
        <v>43434</v>
      </c>
      <c r="I50" s="4" t="s">
        <v>1601</v>
      </c>
    </row>
    <row r="51" spans="1:11" hidden="1" x14ac:dyDescent="0.25">
      <c r="A51" s="61" t="s">
        <v>1350</v>
      </c>
      <c r="B51" s="14">
        <v>43497</v>
      </c>
      <c r="C51" s="13">
        <v>73</v>
      </c>
      <c r="D51" s="13" t="s">
        <v>1688</v>
      </c>
      <c r="E51" s="13" t="s">
        <v>691</v>
      </c>
      <c r="F51" s="4">
        <v>12961.12</v>
      </c>
      <c r="G51" s="29" t="s">
        <v>3167</v>
      </c>
      <c r="H51" s="14">
        <v>43458</v>
      </c>
      <c r="I51" s="4" t="s">
        <v>3168</v>
      </c>
    </row>
    <row r="52" spans="1:11" hidden="1" x14ac:dyDescent="0.25">
      <c r="A52" s="61" t="s">
        <v>659</v>
      </c>
      <c r="B52" s="14">
        <v>43497</v>
      </c>
      <c r="C52" s="13">
        <v>74</v>
      </c>
      <c r="D52" s="13" t="s">
        <v>2115</v>
      </c>
      <c r="E52" s="13" t="s">
        <v>691</v>
      </c>
      <c r="F52" s="4">
        <f>488300-138300</f>
        <v>350000</v>
      </c>
      <c r="G52" s="210" t="s">
        <v>201</v>
      </c>
      <c r="H52" s="211">
        <v>43404</v>
      </c>
      <c r="I52" s="4" t="s">
        <v>511</v>
      </c>
    </row>
    <row r="53" spans="1:11" hidden="1" x14ac:dyDescent="0.25">
      <c r="A53" s="61" t="s">
        <v>1350</v>
      </c>
      <c r="B53" s="14">
        <v>43497</v>
      </c>
      <c r="C53" s="13">
        <v>75</v>
      </c>
      <c r="D53" s="13" t="s">
        <v>303</v>
      </c>
      <c r="E53" s="13" t="s">
        <v>691</v>
      </c>
      <c r="F53" s="4">
        <v>8000</v>
      </c>
      <c r="G53" s="29" t="s">
        <v>2682</v>
      </c>
      <c r="H53" s="14">
        <v>43446</v>
      </c>
      <c r="I53" s="4" t="s">
        <v>87</v>
      </c>
    </row>
    <row r="54" spans="1:11" ht="27.6" hidden="1" x14ac:dyDescent="0.25">
      <c r="A54" s="61" t="s">
        <v>3172</v>
      </c>
      <c r="B54" s="14">
        <v>43497</v>
      </c>
      <c r="C54" s="13">
        <v>75</v>
      </c>
      <c r="D54" s="13" t="s">
        <v>303</v>
      </c>
      <c r="E54" s="13" t="s">
        <v>691</v>
      </c>
      <c r="F54" s="4">
        <v>38400</v>
      </c>
      <c r="G54" s="29" t="s">
        <v>3173</v>
      </c>
      <c r="H54" s="14">
        <v>43460</v>
      </c>
      <c r="I54" s="4" t="s">
        <v>87</v>
      </c>
    </row>
    <row r="55" spans="1:11" hidden="1" x14ac:dyDescent="0.25">
      <c r="A55" s="68" t="s">
        <v>55</v>
      </c>
      <c r="B55" s="14">
        <v>43497</v>
      </c>
      <c r="C55" s="13">
        <v>242</v>
      </c>
      <c r="D55" s="32" t="s">
        <v>3628</v>
      </c>
      <c r="E55" s="32" t="s">
        <v>130</v>
      </c>
      <c r="F55" s="4">
        <v>70000</v>
      </c>
      <c r="G55" s="210" t="s">
        <v>3629</v>
      </c>
      <c r="H55" s="211"/>
      <c r="I55" s="208" t="s">
        <v>3630</v>
      </c>
      <c r="J55" s="21"/>
      <c r="K55" s="228"/>
    </row>
    <row r="56" spans="1:11" hidden="1" x14ac:dyDescent="0.25">
      <c r="A56" s="61" t="s">
        <v>741</v>
      </c>
      <c r="B56" s="14">
        <v>43497</v>
      </c>
      <c r="C56" s="13">
        <v>77</v>
      </c>
      <c r="D56" s="13" t="s">
        <v>1513</v>
      </c>
      <c r="E56" s="13" t="s">
        <v>434</v>
      </c>
      <c r="F56" s="4">
        <f>2230530-1350000-317200</f>
        <v>563330</v>
      </c>
      <c r="G56" s="29" t="s">
        <v>71</v>
      </c>
      <c r="H56" s="14">
        <v>43424</v>
      </c>
      <c r="I56" s="4" t="s">
        <v>2197</v>
      </c>
      <c r="J56" s="128"/>
    </row>
    <row r="57" spans="1:11" hidden="1" x14ac:dyDescent="0.25">
      <c r="A57" s="61" t="s">
        <v>741</v>
      </c>
      <c r="B57" s="14">
        <v>43497</v>
      </c>
      <c r="C57" s="13">
        <v>79</v>
      </c>
      <c r="D57" s="13" t="s">
        <v>2005</v>
      </c>
      <c r="E57" s="13" t="s">
        <v>434</v>
      </c>
      <c r="F57" s="4">
        <v>3762</v>
      </c>
      <c r="G57" s="29" t="s">
        <v>2684</v>
      </c>
      <c r="H57" s="14">
        <v>43367</v>
      </c>
      <c r="I57" s="4" t="s">
        <v>344</v>
      </c>
      <c r="J57" s="128"/>
    </row>
    <row r="58" spans="1:11" s="2" customFormat="1" hidden="1" x14ac:dyDescent="0.25">
      <c r="A58" s="13" t="s">
        <v>741</v>
      </c>
      <c r="B58" s="14">
        <v>43497</v>
      </c>
      <c r="C58" s="13">
        <v>78</v>
      </c>
      <c r="D58" s="13" t="s">
        <v>2005</v>
      </c>
      <c r="E58" s="13" t="s">
        <v>434</v>
      </c>
      <c r="F58" s="4">
        <f>477600-120000*2</f>
        <v>237600</v>
      </c>
      <c r="G58" s="29" t="s">
        <v>2006</v>
      </c>
      <c r="H58" s="14">
        <v>43382</v>
      </c>
      <c r="I58" s="4" t="s">
        <v>517</v>
      </c>
      <c r="J58" s="121"/>
      <c r="K58" s="5"/>
    </row>
    <row r="59" spans="1:11" hidden="1" x14ac:dyDescent="0.25">
      <c r="A59" s="61" t="s">
        <v>741</v>
      </c>
      <c r="B59" s="14">
        <v>43497</v>
      </c>
      <c r="C59" s="13">
        <v>79</v>
      </c>
      <c r="D59" s="13" t="s">
        <v>2005</v>
      </c>
      <c r="E59" s="13" t="s">
        <v>434</v>
      </c>
      <c r="F59" s="4">
        <v>3835</v>
      </c>
      <c r="G59" s="29" t="s">
        <v>2685</v>
      </c>
      <c r="H59" s="14">
        <v>43406</v>
      </c>
      <c r="I59" s="4" t="s">
        <v>344</v>
      </c>
      <c r="J59" s="128"/>
    </row>
    <row r="60" spans="1:11" hidden="1" x14ac:dyDescent="0.25">
      <c r="A60" s="61" t="s">
        <v>741</v>
      </c>
      <c r="B60" s="14">
        <v>43497</v>
      </c>
      <c r="C60" s="13">
        <v>79</v>
      </c>
      <c r="D60" s="13" t="s">
        <v>2005</v>
      </c>
      <c r="E60" s="13" t="s">
        <v>434</v>
      </c>
      <c r="F60" s="4">
        <v>2550</v>
      </c>
      <c r="G60" s="29" t="s">
        <v>2686</v>
      </c>
      <c r="H60" s="14">
        <v>43438</v>
      </c>
      <c r="I60" s="4" t="s">
        <v>344</v>
      </c>
      <c r="J60" s="128"/>
    </row>
    <row r="61" spans="1:11" hidden="1" x14ac:dyDescent="0.25">
      <c r="A61" s="61" t="s">
        <v>741</v>
      </c>
      <c r="B61" s="14">
        <v>43497</v>
      </c>
      <c r="C61" s="13">
        <v>79</v>
      </c>
      <c r="D61" s="13" t="s">
        <v>2005</v>
      </c>
      <c r="E61" s="13" t="s">
        <v>434</v>
      </c>
      <c r="F61" s="4">
        <v>5565</v>
      </c>
      <c r="G61" s="29" t="s">
        <v>2687</v>
      </c>
      <c r="H61" s="14">
        <v>43444</v>
      </c>
      <c r="I61" s="4" t="s">
        <v>344</v>
      </c>
      <c r="J61" s="128"/>
    </row>
    <row r="62" spans="1:11" hidden="1" x14ac:dyDescent="0.25">
      <c r="A62" s="61" t="s">
        <v>741</v>
      </c>
      <c r="B62" s="14">
        <v>43497</v>
      </c>
      <c r="C62" s="13">
        <v>79</v>
      </c>
      <c r="D62" s="13" t="s">
        <v>2005</v>
      </c>
      <c r="E62" s="13" t="s">
        <v>434</v>
      </c>
      <c r="F62" s="4">
        <v>4900</v>
      </c>
      <c r="G62" s="29" t="s">
        <v>2688</v>
      </c>
      <c r="H62" s="14">
        <v>43446</v>
      </c>
      <c r="I62" s="4" t="s">
        <v>344</v>
      </c>
      <c r="J62" s="128"/>
    </row>
    <row r="63" spans="1:11" s="2" customFormat="1" hidden="1" x14ac:dyDescent="0.25">
      <c r="A63" s="13" t="s">
        <v>741</v>
      </c>
      <c r="B63" s="14">
        <v>43497</v>
      </c>
      <c r="C63" s="13">
        <v>80</v>
      </c>
      <c r="D63" s="13" t="s">
        <v>1690</v>
      </c>
      <c r="E63" s="13" t="s">
        <v>434</v>
      </c>
      <c r="F63" s="4">
        <v>3500</v>
      </c>
      <c r="G63" s="29" t="s">
        <v>2386</v>
      </c>
      <c r="H63" s="14">
        <v>43439</v>
      </c>
      <c r="I63" s="4" t="s">
        <v>1301</v>
      </c>
      <c r="J63" s="121"/>
      <c r="K63" s="5"/>
    </row>
    <row r="64" spans="1:11" s="2" customFormat="1" hidden="1" x14ac:dyDescent="0.25">
      <c r="A64" s="13" t="s">
        <v>741</v>
      </c>
      <c r="B64" s="14">
        <v>43497</v>
      </c>
      <c r="C64" s="13">
        <v>80</v>
      </c>
      <c r="D64" s="13" t="s">
        <v>1690</v>
      </c>
      <c r="E64" s="13" t="s">
        <v>434</v>
      </c>
      <c r="F64" s="4">
        <v>12000</v>
      </c>
      <c r="G64" s="29" t="s">
        <v>2387</v>
      </c>
      <c r="H64" s="14">
        <v>43445</v>
      </c>
      <c r="I64" s="4" t="s">
        <v>1301</v>
      </c>
      <c r="J64" s="121"/>
      <c r="K64" s="5"/>
    </row>
    <row r="65" spans="1:19" hidden="1" x14ac:dyDescent="0.25">
      <c r="A65" s="61" t="s">
        <v>741</v>
      </c>
      <c r="B65" s="14">
        <v>43497</v>
      </c>
      <c r="C65" s="13">
        <v>80</v>
      </c>
      <c r="D65" s="13" t="s">
        <v>1690</v>
      </c>
      <c r="E65" s="13" t="s">
        <v>434</v>
      </c>
      <c r="F65" s="4">
        <v>4000</v>
      </c>
      <c r="G65" s="29" t="s">
        <v>3189</v>
      </c>
      <c r="H65" s="14">
        <v>43476</v>
      </c>
      <c r="I65" s="4" t="s">
        <v>1301</v>
      </c>
      <c r="J65" s="128"/>
    </row>
    <row r="66" spans="1:19" hidden="1" x14ac:dyDescent="0.25">
      <c r="A66" s="61" t="s">
        <v>741</v>
      </c>
      <c r="B66" s="14">
        <v>43497</v>
      </c>
      <c r="C66" s="13">
        <v>81</v>
      </c>
      <c r="D66" s="13" t="s">
        <v>447</v>
      </c>
      <c r="E66" s="13" t="s">
        <v>434</v>
      </c>
      <c r="F66" s="4">
        <v>18700</v>
      </c>
      <c r="G66" s="29" t="s">
        <v>1811</v>
      </c>
      <c r="H66" s="14">
        <v>43465</v>
      </c>
      <c r="I66" s="4" t="s">
        <v>95</v>
      </c>
      <c r="J66" s="128"/>
    </row>
    <row r="67" spans="1:19" hidden="1" x14ac:dyDescent="0.25">
      <c r="A67" s="32" t="s">
        <v>741</v>
      </c>
      <c r="B67" s="14">
        <v>43497</v>
      </c>
      <c r="C67" s="13">
        <v>82</v>
      </c>
      <c r="D67" s="13" t="s">
        <v>115</v>
      </c>
      <c r="E67" s="13" t="s">
        <v>434</v>
      </c>
      <c r="F67" s="4">
        <v>5732.75</v>
      </c>
      <c r="G67" s="28" t="s">
        <v>975</v>
      </c>
      <c r="H67" s="14">
        <v>43459</v>
      </c>
      <c r="I67" s="4" t="s">
        <v>3174</v>
      </c>
      <c r="J67" s="128"/>
    </row>
    <row r="68" spans="1:19" hidden="1" x14ac:dyDescent="0.25">
      <c r="A68" s="61" t="s">
        <v>741</v>
      </c>
      <c r="B68" s="14">
        <v>43497</v>
      </c>
      <c r="C68" s="13">
        <v>83</v>
      </c>
      <c r="D68" s="13" t="s">
        <v>2689</v>
      </c>
      <c r="E68" s="13" t="s">
        <v>434</v>
      </c>
      <c r="F68" s="4">
        <v>32760</v>
      </c>
      <c r="G68" s="29" t="s">
        <v>2690</v>
      </c>
      <c r="H68" s="14">
        <v>43455</v>
      </c>
      <c r="I68" s="4" t="s">
        <v>2691</v>
      </c>
      <c r="J68" s="128"/>
    </row>
    <row r="69" spans="1:19" hidden="1" x14ac:dyDescent="0.25">
      <c r="A69" s="32" t="s">
        <v>741</v>
      </c>
      <c r="B69" s="14">
        <v>43497</v>
      </c>
      <c r="C69" s="13">
        <v>85</v>
      </c>
      <c r="D69" s="13" t="s">
        <v>262</v>
      </c>
      <c r="E69" s="13" t="s">
        <v>434</v>
      </c>
      <c r="F69" s="4">
        <v>17000</v>
      </c>
      <c r="G69" s="28" t="s">
        <v>1658</v>
      </c>
      <c r="H69" s="14">
        <v>43455</v>
      </c>
      <c r="I69" s="4" t="s">
        <v>155</v>
      </c>
      <c r="J69" s="128"/>
    </row>
    <row r="70" spans="1:19" hidden="1" x14ac:dyDescent="0.25">
      <c r="A70" s="13" t="s">
        <v>741</v>
      </c>
      <c r="B70" s="14">
        <v>43497</v>
      </c>
      <c r="C70" s="13">
        <v>85</v>
      </c>
      <c r="D70" s="13" t="s">
        <v>262</v>
      </c>
      <c r="E70" s="13" t="s">
        <v>434</v>
      </c>
      <c r="F70" s="4">
        <v>17000</v>
      </c>
      <c r="G70" s="29" t="s">
        <v>1724</v>
      </c>
      <c r="H70" s="14">
        <v>43461</v>
      </c>
      <c r="I70" s="4" t="s">
        <v>155</v>
      </c>
      <c r="J70" s="128"/>
    </row>
    <row r="71" spans="1:19" hidden="1" x14ac:dyDescent="0.25">
      <c r="A71" s="13" t="s">
        <v>741</v>
      </c>
      <c r="B71" s="14">
        <v>43497</v>
      </c>
      <c r="C71" s="13">
        <v>86</v>
      </c>
      <c r="D71" s="13" t="s">
        <v>262</v>
      </c>
      <c r="E71" s="13" t="s">
        <v>434</v>
      </c>
      <c r="F71" s="4">
        <v>20000</v>
      </c>
      <c r="G71" s="29" t="s">
        <v>2893</v>
      </c>
      <c r="H71" s="14">
        <v>43469</v>
      </c>
      <c r="I71" s="4" t="s">
        <v>155</v>
      </c>
      <c r="J71" s="128"/>
    </row>
    <row r="72" spans="1:19" s="2" customFormat="1" hidden="1" x14ac:dyDescent="0.25">
      <c r="A72" s="61" t="s">
        <v>741</v>
      </c>
      <c r="B72" s="14">
        <v>43497</v>
      </c>
      <c r="C72" s="13">
        <v>86</v>
      </c>
      <c r="D72" s="13" t="s">
        <v>262</v>
      </c>
      <c r="E72" s="13" t="s">
        <v>434</v>
      </c>
      <c r="F72" s="4">
        <v>14000</v>
      </c>
      <c r="G72" s="29" t="s">
        <v>1158</v>
      </c>
      <c r="H72" s="14">
        <v>43488</v>
      </c>
      <c r="I72" s="4" t="s">
        <v>155</v>
      </c>
      <c r="J72" s="121"/>
      <c r="K72" s="5"/>
    </row>
    <row r="73" spans="1:19" s="2" customFormat="1" hidden="1" x14ac:dyDescent="0.25">
      <c r="A73" s="32" t="s">
        <v>741</v>
      </c>
      <c r="B73" s="14">
        <v>43497</v>
      </c>
      <c r="C73" s="13">
        <v>84</v>
      </c>
      <c r="D73" s="13" t="s">
        <v>1487</v>
      </c>
      <c r="E73" s="13" t="s">
        <v>434</v>
      </c>
      <c r="F73" s="4">
        <v>83280</v>
      </c>
      <c r="G73" s="29" t="s">
        <v>3559</v>
      </c>
      <c r="H73" s="14">
        <v>43487</v>
      </c>
      <c r="I73" s="4" t="s">
        <v>1488</v>
      </c>
      <c r="J73" s="121"/>
      <c r="K73" s="5"/>
    </row>
    <row r="74" spans="1:19" hidden="1" x14ac:dyDescent="0.25">
      <c r="A74" s="61" t="s">
        <v>460</v>
      </c>
      <c r="B74" s="14">
        <v>43500</v>
      </c>
      <c r="C74" s="13">
        <v>109</v>
      </c>
      <c r="D74" s="13" t="s">
        <v>2452</v>
      </c>
      <c r="E74" s="13" t="s">
        <v>136</v>
      </c>
      <c r="F74" s="4">
        <f>807300*2</f>
        <v>1614600</v>
      </c>
      <c r="G74" s="69" t="s">
        <v>2453</v>
      </c>
      <c r="H74" s="14">
        <v>43447</v>
      </c>
      <c r="I74" s="274" t="s">
        <v>3059</v>
      </c>
      <c r="J74" s="169"/>
    </row>
    <row r="75" spans="1:19" hidden="1" x14ac:dyDescent="0.25">
      <c r="A75" s="61" t="s">
        <v>460</v>
      </c>
      <c r="B75" s="14">
        <v>43500</v>
      </c>
      <c r="C75" s="13">
        <v>35</v>
      </c>
      <c r="D75" s="13" t="s">
        <v>2477</v>
      </c>
      <c r="E75" s="13" t="s">
        <v>314</v>
      </c>
      <c r="F75" s="4">
        <v>1339380</v>
      </c>
      <c r="G75" s="69" t="s">
        <v>2479</v>
      </c>
      <c r="H75" s="14">
        <v>43448</v>
      </c>
      <c r="I75" s="274" t="s">
        <v>3059</v>
      </c>
      <c r="J75" s="169"/>
    </row>
    <row r="76" spans="1:19" s="115" customFormat="1" ht="15.6" hidden="1" x14ac:dyDescent="0.25">
      <c r="A76" s="13" t="s">
        <v>310</v>
      </c>
      <c r="B76" s="14">
        <v>43500</v>
      </c>
      <c r="C76" s="13">
        <v>36</v>
      </c>
      <c r="D76" s="13" t="s">
        <v>873</v>
      </c>
      <c r="E76" s="13" t="s">
        <v>314</v>
      </c>
      <c r="F76" s="4">
        <v>311588</v>
      </c>
      <c r="G76" s="13" t="s">
        <v>2782</v>
      </c>
      <c r="H76" s="126">
        <v>43445</v>
      </c>
      <c r="I76" s="29" t="s">
        <v>875</v>
      </c>
      <c r="J76" s="258"/>
      <c r="K76" s="116"/>
      <c r="L76" s="116"/>
      <c r="M76" s="116"/>
      <c r="N76" s="116"/>
      <c r="O76" s="117"/>
      <c r="P76" s="117"/>
      <c r="Q76" s="117"/>
      <c r="R76" s="117"/>
      <c r="S76" s="117"/>
    </row>
    <row r="77" spans="1:19" hidden="1" x14ac:dyDescent="0.25">
      <c r="A77" s="61" t="s">
        <v>460</v>
      </c>
      <c r="B77" s="14">
        <v>43500</v>
      </c>
      <c r="C77" s="13">
        <v>55</v>
      </c>
      <c r="D77" s="14" t="s">
        <v>2346</v>
      </c>
      <c r="E77" s="32" t="s">
        <v>144</v>
      </c>
      <c r="F77" s="4">
        <v>37613</v>
      </c>
      <c r="G77" s="86" t="s">
        <v>2347</v>
      </c>
      <c r="H77" s="211"/>
      <c r="I77" s="326"/>
      <c r="K77" s="62"/>
    </row>
    <row r="78" spans="1:19" hidden="1" x14ac:dyDescent="0.25">
      <c r="A78" s="61" t="s">
        <v>460</v>
      </c>
      <c r="B78" s="14">
        <v>43500</v>
      </c>
      <c r="C78" s="13">
        <v>56</v>
      </c>
      <c r="D78" s="14" t="s">
        <v>2348</v>
      </c>
      <c r="E78" s="32" t="s">
        <v>144</v>
      </c>
      <c r="F78" s="4">
        <v>40045</v>
      </c>
      <c r="G78" s="86" t="s">
        <v>2349</v>
      </c>
      <c r="H78" s="211"/>
      <c r="I78" s="326"/>
      <c r="K78" s="62"/>
    </row>
    <row r="79" spans="1:19" ht="27.6" hidden="1" x14ac:dyDescent="0.25">
      <c r="A79" s="61" t="s">
        <v>460</v>
      </c>
      <c r="B79" s="14">
        <v>43500</v>
      </c>
      <c r="C79" s="13">
        <v>57</v>
      </c>
      <c r="D79" s="14" t="s">
        <v>2350</v>
      </c>
      <c r="E79" s="32" t="s">
        <v>144</v>
      </c>
      <c r="F79" s="4">
        <v>37974</v>
      </c>
      <c r="G79" s="86" t="s">
        <v>2351</v>
      </c>
      <c r="H79" s="211"/>
      <c r="I79" s="326"/>
      <c r="K79" s="62"/>
    </row>
    <row r="80" spans="1:19" hidden="1" x14ac:dyDescent="0.25">
      <c r="A80" s="61" t="s">
        <v>460</v>
      </c>
      <c r="B80" s="14">
        <v>43500</v>
      </c>
      <c r="C80" s="13">
        <v>58</v>
      </c>
      <c r="D80" s="14" t="s">
        <v>2359</v>
      </c>
      <c r="E80" s="32" t="s">
        <v>144</v>
      </c>
      <c r="F80" s="4">
        <v>46900</v>
      </c>
      <c r="G80" s="86" t="s">
        <v>2360</v>
      </c>
      <c r="H80" s="211"/>
      <c r="I80" s="326"/>
      <c r="K80" s="62"/>
    </row>
    <row r="81" spans="1:19" hidden="1" x14ac:dyDescent="0.25">
      <c r="A81" s="61" t="s">
        <v>460</v>
      </c>
      <c r="B81" s="14">
        <v>43500</v>
      </c>
      <c r="C81" s="13">
        <v>59</v>
      </c>
      <c r="D81" s="14" t="s">
        <v>2427</v>
      </c>
      <c r="E81" s="32" t="s">
        <v>144</v>
      </c>
      <c r="F81" s="4">
        <v>70956</v>
      </c>
      <c r="G81" s="86" t="s">
        <v>2428</v>
      </c>
      <c r="H81" s="211"/>
      <c r="I81" s="326"/>
      <c r="K81" s="62"/>
    </row>
    <row r="82" spans="1:19" hidden="1" x14ac:dyDescent="0.25">
      <c r="A82" s="61" t="s">
        <v>460</v>
      </c>
      <c r="B82" s="14">
        <v>43500</v>
      </c>
      <c r="C82" s="13">
        <v>60</v>
      </c>
      <c r="D82" s="14" t="s">
        <v>2455</v>
      </c>
      <c r="E82" s="32" t="s">
        <v>144</v>
      </c>
      <c r="F82" s="4">
        <v>43750</v>
      </c>
      <c r="G82" s="86" t="s">
        <v>2456</v>
      </c>
      <c r="H82" s="211"/>
      <c r="I82" s="326"/>
      <c r="K82" s="62"/>
    </row>
    <row r="83" spans="1:19" ht="27.6" hidden="1" customHeight="1" x14ac:dyDescent="0.25">
      <c r="A83" s="32" t="s">
        <v>151</v>
      </c>
      <c r="B83" s="14">
        <v>43500</v>
      </c>
      <c r="C83" s="13">
        <v>61</v>
      </c>
      <c r="D83" s="32" t="s">
        <v>412</v>
      </c>
      <c r="E83" s="32" t="s">
        <v>144</v>
      </c>
      <c r="F83" s="4">
        <v>90000</v>
      </c>
      <c r="G83" s="13">
        <v>6</v>
      </c>
      <c r="H83" s="14">
        <v>43474</v>
      </c>
      <c r="I83" s="4" t="s">
        <v>1091</v>
      </c>
      <c r="J83" s="22" t="s">
        <v>239</v>
      </c>
      <c r="K83" s="245"/>
    </row>
    <row r="84" spans="1:19" ht="15" hidden="1" customHeight="1" x14ac:dyDescent="0.25">
      <c r="A84" s="32" t="s">
        <v>151</v>
      </c>
      <c r="B84" s="14">
        <v>43500</v>
      </c>
      <c r="C84" s="13">
        <v>62</v>
      </c>
      <c r="D84" s="13" t="s">
        <v>223</v>
      </c>
      <c r="E84" s="32" t="s">
        <v>144</v>
      </c>
      <c r="F84" s="4">
        <v>45000</v>
      </c>
      <c r="G84" s="28" t="s">
        <v>3011</v>
      </c>
      <c r="H84" s="14">
        <v>43474</v>
      </c>
      <c r="I84" s="4" t="s">
        <v>722</v>
      </c>
      <c r="J84" s="22" t="s">
        <v>239</v>
      </c>
      <c r="K84" s="246"/>
    </row>
    <row r="85" spans="1:19" s="129" customFormat="1" hidden="1" x14ac:dyDescent="0.25">
      <c r="A85" s="13" t="s">
        <v>151</v>
      </c>
      <c r="B85" s="14">
        <v>43500</v>
      </c>
      <c r="C85" s="28" t="s">
        <v>341</v>
      </c>
      <c r="D85" s="13" t="s">
        <v>711</v>
      </c>
      <c r="E85" s="32" t="s">
        <v>1121</v>
      </c>
      <c r="F85" s="4">
        <f>7920+16730+2640+1460+8290</f>
        <v>37040</v>
      </c>
      <c r="G85" s="28" t="s">
        <v>3657</v>
      </c>
      <c r="H85" s="28" t="s">
        <v>3658</v>
      </c>
      <c r="I85" s="4" t="s">
        <v>712</v>
      </c>
      <c r="J85" s="170"/>
      <c r="K85" s="136"/>
    </row>
    <row r="86" spans="1:19" hidden="1" x14ac:dyDescent="0.25">
      <c r="A86" s="32" t="s">
        <v>151</v>
      </c>
      <c r="B86" s="14">
        <v>43500</v>
      </c>
      <c r="C86" s="67">
        <v>113</v>
      </c>
      <c r="D86" s="32" t="s">
        <v>3655</v>
      </c>
      <c r="E86" s="32" t="s">
        <v>1121</v>
      </c>
      <c r="F86" s="4">
        <v>33153.599999999999</v>
      </c>
      <c r="G86" s="28" t="s">
        <v>106</v>
      </c>
      <c r="H86" s="14">
        <v>43495</v>
      </c>
      <c r="I86" s="4" t="s">
        <v>3656</v>
      </c>
      <c r="J86" s="166"/>
      <c r="K86" s="167"/>
      <c r="L86" s="35"/>
    </row>
    <row r="87" spans="1:19" s="62" customFormat="1" ht="13.8" hidden="1" customHeight="1" x14ac:dyDescent="0.25">
      <c r="A87" s="61" t="s">
        <v>151</v>
      </c>
      <c r="B87" s="14">
        <v>43500</v>
      </c>
      <c r="C87" s="13">
        <v>114</v>
      </c>
      <c r="D87" s="13" t="s">
        <v>593</v>
      </c>
      <c r="E87" s="13" t="s">
        <v>1121</v>
      </c>
      <c r="F87" s="4">
        <v>1070</v>
      </c>
      <c r="G87" s="29" t="s">
        <v>2614</v>
      </c>
      <c r="H87" s="14">
        <v>43466</v>
      </c>
      <c r="I87" s="4" t="s">
        <v>1796</v>
      </c>
      <c r="J87" s="71" t="s">
        <v>721</v>
      </c>
      <c r="O87" s="35"/>
      <c r="P87" s="35"/>
      <c r="Q87" s="35"/>
      <c r="R87" s="35"/>
      <c r="S87" s="35"/>
    </row>
    <row r="88" spans="1:19" ht="13.8" hidden="1" customHeight="1" x14ac:dyDescent="0.25">
      <c r="A88" s="32" t="s">
        <v>151</v>
      </c>
      <c r="B88" s="14">
        <v>43500</v>
      </c>
      <c r="C88" s="13">
        <v>115</v>
      </c>
      <c r="D88" s="13" t="s">
        <v>223</v>
      </c>
      <c r="E88" s="32" t="s">
        <v>1121</v>
      </c>
      <c r="F88" s="4">
        <v>30000</v>
      </c>
      <c r="G88" s="28" t="s">
        <v>458</v>
      </c>
      <c r="H88" s="14">
        <v>43474</v>
      </c>
      <c r="I88" s="4" t="s">
        <v>2077</v>
      </c>
      <c r="J88" s="22" t="s">
        <v>239</v>
      </c>
      <c r="K88" s="246"/>
    </row>
    <row r="89" spans="1:19" hidden="1" x14ac:dyDescent="0.25">
      <c r="A89" s="32" t="s">
        <v>151</v>
      </c>
      <c r="B89" s="14">
        <v>43500</v>
      </c>
      <c r="C89" s="67">
        <v>24</v>
      </c>
      <c r="D89" s="32" t="s">
        <v>3637</v>
      </c>
      <c r="E89" s="32" t="s">
        <v>22</v>
      </c>
      <c r="F89" s="4">
        <v>72000</v>
      </c>
      <c r="G89" s="28" t="s">
        <v>3638</v>
      </c>
      <c r="H89" s="14">
        <v>43493</v>
      </c>
      <c r="I89" s="4" t="s">
        <v>3639</v>
      </c>
      <c r="J89" s="166"/>
      <c r="K89" s="167"/>
      <c r="L89" s="35"/>
    </row>
    <row r="90" spans="1:19" hidden="1" x14ac:dyDescent="0.25">
      <c r="A90" s="68" t="s">
        <v>174</v>
      </c>
      <c r="B90" s="14">
        <v>43500</v>
      </c>
      <c r="C90" s="13">
        <v>15</v>
      </c>
      <c r="D90" s="32" t="s">
        <v>1135</v>
      </c>
      <c r="E90" s="32" t="s">
        <v>178</v>
      </c>
      <c r="F90" s="4">
        <v>12494.4</v>
      </c>
      <c r="G90" s="210" t="s">
        <v>3626</v>
      </c>
      <c r="H90" s="211">
        <v>43495</v>
      </c>
      <c r="I90" s="208" t="s">
        <v>3627</v>
      </c>
      <c r="J90" s="21"/>
      <c r="K90" s="228"/>
    </row>
    <row r="91" spans="1:19" s="62" customFormat="1" ht="13.95" hidden="1" customHeight="1" x14ac:dyDescent="0.25">
      <c r="A91" s="13" t="s">
        <v>311</v>
      </c>
      <c r="B91" s="14">
        <v>43500</v>
      </c>
      <c r="C91" s="13">
        <v>245</v>
      </c>
      <c r="D91" s="13" t="s">
        <v>2928</v>
      </c>
      <c r="E91" s="13" t="s">
        <v>130</v>
      </c>
      <c r="F91" s="4">
        <v>41000</v>
      </c>
      <c r="G91" s="29" t="s">
        <v>2003</v>
      </c>
      <c r="H91" s="14">
        <v>43437</v>
      </c>
      <c r="I91" s="4" t="s">
        <v>2930</v>
      </c>
      <c r="J91" s="393"/>
      <c r="O91" s="35"/>
      <c r="P91" s="35"/>
      <c r="Q91" s="35"/>
      <c r="R91" s="35"/>
      <c r="S91" s="35"/>
    </row>
    <row r="92" spans="1:19" s="62" customFormat="1" hidden="1" x14ac:dyDescent="0.25">
      <c r="A92" s="61" t="s">
        <v>2921</v>
      </c>
      <c r="B92" s="14">
        <v>43500</v>
      </c>
      <c r="C92" s="13">
        <v>246</v>
      </c>
      <c r="D92" s="13" t="s">
        <v>133</v>
      </c>
      <c r="E92" s="13" t="s">
        <v>130</v>
      </c>
      <c r="F92" s="4">
        <f>462560-250000</f>
        <v>212560</v>
      </c>
      <c r="G92" s="29" t="s">
        <v>2920</v>
      </c>
      <c r="H92" s="14">
        <v>43160</v>
      </c>
      <c r="I92" s="4" t="s">
        <v>1134</v>
      </c>
      <c r="J92" s="167" t="s">
        <v>2922</v>
      </c>
      <c r="O92" s="35"/>
      <c r="P92" s="35"/>
      <c r="Q92" s="35"/>
      <c r="R92" s="35"/>
      <c r="S92" s="35"/>
    </row>
    <row r="93" spans="1:19" ht="16.2" hidden="1" customHeight="1" x14ac:dyDescent="0.25">
      <c r="A93" s="68" t="s">
        <v>1672</v>
      </c>
      <c r="B93" s="14">
        <v>43500</v>
      </c>
      <c r="C93" s="13">
        <v>247</v>
      </c>
      <c r="D93" s="13" t="s">
        <v>456</v>
      </c>
      <c r="E93" s="32" t="s">
        <v>130</v>
      </c>
      <c r="F93" s="4">
        <v>5000000</v>
      </c>
      <c r="G93" s="86" t="s">
        <v>1763</v>
      </c>
      <c r="H93" s="14"/>
      <c r="I93" s="4" t="s">
        <v>1764</v>
      </c>
      <c r="J93" s="71"/>
      <c r="K93" s="62"/>
      <c r="L93" s="62"/>
    </row>
    <row r="94" spans="1:19" s="97" customFormat="1" hidden="1" x14ac:dyDescent="0.25">
      <c r="A94" s="14" t="s">
        <v>151</v>
      </c>
      <c r="B94" s="14">
        <v>43500</v>
      </c>
      <c r="C94" s="13">
        <v>248</v>
      </c>
      <c r="D94" s="13" t="s">
        <v>1751</v>
      </c>
      <c r="E94" s="13" t="s">
        <v>130</v>
      </c>
      <c r="F94" s="4">
        <v>3939.88</v>
      </c>
      <c r="G94" s="29" t="s">
        <v>3623</v>
      </c>
      <c r="H94" s="14">
        <v>43487</v>
      </c>
      <c r="I94" s="4" t="s">
        <v>1383</v>
      </c>
      <c r="J94" s="22" t="s">
        <v>239</v>
      </c>
      <c r="K94" s="22"/>
      <c r="L94" s="134"/>
    </row>
    <row r="95" spans="1:19" s="129" customFormat="1" hidden="1" x14ac:dyDescent="0.25">
      <c r="A95" s="13" t="s">
        <v>151</v>
      </c>
      <c r="B95" s="14">
        <v>43500</v>
      </c>
      <c r="C95" s="28" t="s">
        <v>300</v>
      </c>
      <c r="D95" s="13" t="s">
        <v>1836</v>
      </c>
      <c r="E95" s="32" t="s">
        <v>175</v>
      </c>
      <c r="F95" s="4">
        <v>29640</v>
      </c>
      <c r="G95" s="28" t="s">
        <v>1700</v>
      </c>
      <c r="H95" s="14"/>
      <c r="I95" s="4" t="s">
        <v>1835</v>
      </c>
      <c r="J95" s="170" t="s">
        <v>721</v>
      </c>
      <c r="K95" s="136"/>
    </row>
    <row r="96" spans="1:19" ht="13.95" hidden="1" customHeight="1" x14ac:dyDescent="0.25">
      <c r="A96" s="68" t="s">
        <v>639</v>
      </c>
      <c r="B96" s="14">
        <v>43500</v>
      </c>
      <c r="C96" s="13">
        <v>123</v>
      </c>
      <c r="D96" s="32" t="s">
        <v>905</v>
      </c>
      <c r="E96" s="32" t="s">
        <v>60</v>
      </c>
      <c r="F96" s="4">
        <v>3000000</v>
      </c>
      <c r="G96" s="86" t="s">
        <v>1120</v>
      </c>
      <c r="H96" s="211"/>
      <c r="I96" s="208" t="s">
        <v>1119</v>
      </c>
      <c r="J96" s="21"/>
      <c r="K96" s="228"/>
    </row>
    <row r="97" spans="1:19" ht="13.95" hidden="1" customHeight="1" x14ac:dyDescent="0.25">
      <c r="A97" s="32" t="s">
        <v>188</v>
      </c>
      <c r="B97" s="14">
        <v>43500</v>
      </c>
      <c r="C97" s="13">
        <v>124</v>
      </c>
      <c r="D97" s="13" t="s">
        <v>588</v>
      </c>
      <c r="E97" s="32" t="s">
        <v>963</v>
      </c>
      <c r="F97" s="4">
        <v>154849.33000000007</v>
      </c>
      <c r="G97" s="69" t="s">
        <v>1014</v>
      </c>
      <c r="H97" s="14"/>
      <c r="I97" s="41" t="s">
        <v>82</v>
      </c>
      <c r="J97" s="21"/>
      <c r="K97" s="228"/>
    </row>
    <row r="98" spans="1:19" hidden="1" x14ac:dyDescent="0.25">
      <c r="A98" s="61" t="s">
        <v>1972</v>
      </c>
      <c r="B98" s="14">
        <v>43500</v>
      </c>
      <c r="C98" s="13">
        <v>125</v>
      </c>
      <c r="D98" s="13" t="s">
        <v>149</v>
      </c>
      <c r="E98" s="13" t="s">
        <v>60</v>
      </c>
      <c r="F98" s="4">
        <v>7000</v>
      </c>
      <c r="G98" s="29" t="s">
        <v>3395</v>
      </c>
      <c r="H98" s="14">
        <v>43465</v>
      </c>
      <c r="I98" s="4" t="s">
        <v>3396</v>
      </c>
    </row>
    <row r="99" spans="1:19" hidden="1" x14ac:dyDescent="0.25">
      <c r="A99" s="32" t="s">
        <v>151</v>
      </c>
      <c r="B99" s="14">
        <v>43500</v>
      </c>
      <c r="C99" s="13">
        <v>126</v>
      </c>
      <c r="D99" s="32" t="s">
        <v>437</v>
      </c>
      <c r="E99" s="32" t="s">
        <v>60</v>
      </c>
      <c r="F99" s="4">
        <v>8000</v>
      </c>
      <c r="G99" s="13">
        <v>193</v>
      </c>
      <c r="H99" s="14">
        <v>43497</v>
      </c>
      <c r="I99" s="4" t="s">
        <v>1324</v>
      </c>
      <c r="J99" s="22" t="s">
        <v>721</v>
      </c>
      <c r="K99" s="62"/>
      <c r="L99" s="62"/>
      <c r="M99" s="62"/>
      <c r="N99" s="62"/>
      <c r="O99" s="35"/>
      <c r="P99" s="35"/>
      <c r="Q99" s="35"/>
      <c r="R99" s="35"/>
      <c r="S99" s="35"/>
    </row>
    <row r="100" spans="1:19" s="97" customFormat="1" hidden="1" x14ac:dyDescent="0.25">
      <c r="A100" s="14" t="s">
        <v>151</v>
      </c>
      <c r="B100" s="14">
        <v>43500</v>
      </c>
      <c r="C100" s="13">
        <v>127</v>
      </c>
      <c r="D100" s="13" t="s">
        <v>1751</v>
      </c>
      <c r="E100" s="13" t="s">
        <v>60</v>
      </c>
      <c r="F100" s="4">
        <v>95474.29</v>
      </c>
      <c r="G100" s="29" t="s">
        <v>3622</v>
      </c>
      <c r="H100" s="14">
        <v>43486</v>
      </c>
      <c r="I100" s="4" t="s">
        <v>1383</v>
      </c>
      <c r="J100" s="22" t="s">
        <v>239</v>
      </c>
      <c r="K100" s="22"/>
      <c r="L100" s="134"/>
    </row>
    <row r="101" spans="1:19" ht="13.95" hidden="1" customHeight="1" x14ac:dyDescent="0.25">
      <c r="A101" s="68" t="s">
        <v>91</v>
      </c>
      <c r="B101" s="14">
        <v>43500</v>
      </c>
      <c r="C101" s="13" t="s">
        <v>2794</v>
      </c>
      <c r="D101" s="32" t="s">
        <v>1664</v>
      </c>
      <c r="E101" s="32" t="s">
        <v>62</v>
      </c>
      <c r="F101" s="4">
        <v>5000000</v>
      </c>
      <c r="G101" s="86" t="s">
        <v>912</v>
      </c>
      <c r="H101" s="211"/>
      <c r="I101" s="208" t="s">
        <v>16</v>
      </c>
      <c r="J101" s="21"/>
      <c r="K101" s="228"/>
    </row>
    <row r="102" spans="1:19" ht="13.95" hidden="1" customHeight="1" x14ac:dyDescent="0.25">
      <c r="A102" s="61" t="s">
        <v>1147</v>
      </c>
      <c r="B102" s="151">
        <v>43500</v>
      </c>
      <c r="C102" s="13">
        <v>147</v>
      </c>
      <c r="D102" s="32" t="s">
        <v>3557</v>
      </c>
      <c r="E102" s="32" t="s">
        <v>808</v>
      </c>
      <c r="F102" s="4">
        <v>119150</v>
      </c>
      <c r="G102" s="210" t="s">
        <v>3556</v>
      </c>
      <c r="H102" s="211">
        <v>43490</v>
      </c>
      <c r="I102" s="84" t="s">
        <v>255</v>
      </c>
      <c r="J102" s="21"/>
      <c r="K102" s="389"/>
      <c r="L102" s="388"/>
    </row>
    <row r="103" spans="1:19" ht="13.95" hidden="1" customHeight="1" x14ac:dyDescent="0.25">
      <c r="A103" s="61" t="s">
        <v>261</v>
      </c>
      <c r="B103" s="151">
        <v>43500</v>
      </c>
      <c r="C103" s="13">
        <v>148</v>
      </c>
      <c r="D103" s="32" t="s">
        <v>588</v>
      </c>
      <c r="E103" s="32" t="s">
        <v>808</v>
      </c>
      <c r="F103" s="4">
        <v>445000</v>
      </c>
      <c r="G103" s="86" t="s">
        <v>1122</v>
      </c>
      <c r="H103" s="211"/>
      <c r="I103" s="4" t="s">
        <v>20</v>
      </c>
      <c r="J103" s="21"/>
      <c r="K103" s="228"/>
    </row>
    <row r="104" spans="1:19" hidden="1" x14ac:dyDescent="0.25">
      <c r="A104" s="13" t="s">
        <v>1148</v>
      </c>
      <c r="B104" s="151">
        <v>43500</v>
      </c>
      <c r="C104" s="13">
        <v>149</v>
      </c>
      <c r="D104" s="13" t="s">
        <v>1814</v>
      </c>
      <c r="E104" s="13" t="s">
        <v>808</v>
      </c>
      <c r="F104" s="4">
        <v>83898</v>
      </c>
      <c r="G104" s="29" t="s">
        <v>766</v>
      </c>
      <c r="H104" s="14">
        <v>43424</v>
      </c>
      <c r="I104" s="4" t="s">
        <v>2191</v>
      </c>
      <c r="J104" s="71"/>
      <c r="K104" s="62"/>
      <c r="L104" s="62"/>
      <c r="M104" s="35"/>
      <c r="N104" s="35"/>
      <c r="O104" s="35"/>
      <c r="P104" s="35"/>
      <c r="Q104" s="35"/>
    </row>
    <row r="105" spans="1:19" hidden="1" x14ac:dyDescent="0.25">
      <c r="A105" s="13" t="s">
        <v>1147</v>
      </c>
      <c r="B105" s="151">
        <v>43500</v>
      </c>
      <c r="C105" s="13">
        <v>150</v>
      </c>
      <c r="D105" s="13" t="s">
        <v>1814</v>
      </c>
      <c r="E105" s="13" t="s">
        <v>808</v>
      </c>
      <c r="F105" s="4">
        <v>104872.5</v>
      </c>
      <c r="G105" s="29" t="s">
        <v>31</v>
      </c>
      <c r="H105" s="14">
        <v>43424</v>
      </c>
      <c r="I105" s="4" t="s">
        <v>2191</v>
      </c>
      <c r="J105" s="71"/>
      <c r="K105" s="62"/>
      <c r="L105" s="62"/>
      <c r="M105" s="35"/>
      <c r="N105" s="35"/>
      <c r="O105" s="35"/>
      <c r="P105" s="35"/>
      <c r="Q105" s="35"/>
    </row>
    <row r="106" spans="1:19" hidden="1" x14ac:dyDescent="0.25">
      <c r="A106" s="13" t="s">
        <v>1148</v>
      </c>
      <c r="B106" s="151">
        <v>43500</v>
      </c>
      <c r="C106" s="13">
        <v>151</v>
      </c>
      <c r="D106" s="13" t="s">
        <v>1708</v>
      </c>
      <c r="E106" s="13" t="s">
        <v>808</v>
      </c>
      <c r="F106" s="4">
        <v>64900</v>
      </c>
      <c r="G106" s="29" t="s">
        <v>1155</v>
      </c>
      <c r="H106" s="14">
        <v>43453</v>
      </c>
      <c r="I106" s="4" t="s">
        <v>2366</v>
      </c>
      <c r="J106" s="71"/>
      <c r="K106" s="62"/>
      <c r="L106" s="62"/>
      <c r="M106" s="35"/>
      <c r="N106" s="35"/>
      <c r="O106" s="35"/>
      <c r="P106" s="35"/>
      <c r="Q106" s="35"/>
    </row>
    <row r="107" spans="1:19" s="97" customFormat="1" hidden="1" x14ac:dyDescent="0.25">
      <c r="A107" s="61" t="s">
        <v>261</v>
      </c>
      <c r="B107" s="151">
        <v>43500</v>
      </c>
      <c r="C107" s="13">
        <v>152</v>
      </c>
      <c r="D107" s="13" t="s">
        <v>1065</v>
      </c>
      <c r="E107" s="13" t="s">
        <v>808</v>
      </c>
      <c r="F107" s="4">
        <v>3821.57</v>
      </c>
      <c r="G107" s="210" t="s">
        <v>2586</v>
      </c>
      <c r="H107" s="211">
        <v>43451</v>
      </c>
      <c r="I107" s="4" t="s">
        <v>2587</v>
      </c>
      <c r="J107" s="133"/>
      <c r="K107" s="22"/>
      <c r="L107" s="134"/>
    </row>
    <row r="108" spans="1:19" s="97" customFormat="1" hidden="1" x14ac:dyDescent="0.25">
      <c r="A108" s="32" t="s">
        <v>1147</v>
      </c>
      <c r="B108" s="151">
        <v>43500</v>
      </c>
      <c r="C108" s="13">
        <v>153</v>
      </c>
      <c r="D108" s="13" t="s">
        <v>734</v>
      </c>
      <c r="E108" s="13" t="s">
        <v>808</v>
      </c>
      <c r="F108" s="4">
        <v>9140</v>
      </c>
      <c r="G108" s="28" t="s">
        <v>3235</v>
      </c>
      <c r="H108" s="14">
        <v>43481</v>
      </c>
      <c r="I108" s="4" t="s">
        <v>985</v>
      </c>
      <c r="J108" s="133"/>
      <c r="K108" s="22"/>
      <c r="L108" s="134"/>
    </row>
    <row r="109" spans="1:19" s="97" customFormat="1" hidden="1" x14ac:dyDescent="0.25">
      <c r="A109" s="61" t="s">
        <v>261</v>
      </c>
      <c r="B109" s="151">
        <v>43500</v>
      </c>
      <c r="C109" s="13">
        <v>154</v>
      </c>
      <c r="D109" s="13" t="s">
        <v>280</v>
      </c>
      <c r="E109" s="13" t="s">
        <v>808</v>
      </c>
      <c r="F109" s="4">
        <v>5550</v>
      </c>
      <c r="G109" s="29" t="s">
        <v>2835</v>
      </c>
      <c r="H109" s="14">
        <v>43453</v>
      </c>
      <c r="I109" s="4" t="s">
        <v>2836</v>
      </c>
      <c r="J109" s="133"/>
      <c r="K109" s="22"/>
      <c r="L109" s="134"/>
    </row>
    <row r="110" spans="1:19" s="97" customFormat="1" hidden="1" x14ac:dyDescent="0.25">
      <c r="A110" s="13" t="s">
        <v>1149</v>
      </c>
      <c r="B110" s="151">
        <v>43500</v>
      </c>
      <c r="C110" s="13">
        <v>154</v>
      </c>
      <c r="D110" s="13" t="s">
        <v>280</v>
      </c>
      <c r="E110" s="13" t="s">
        <v>808</v>
      </c>
      <c r="F110" s="4">
        <v>27420</v>
      </c>
      <c r="G110" s="29" t="s">
        <v>1132</v>
      </c>
      <c r="H110" s="14">
        <v>43454</v>
      </c>
      <c r="I110" s="4" t="s">
        <v>2183</v>
      </c>
      <c r="J110" s="133"/>
      <c r="K110" s="22"/>
      <c r="L110" s="134"/>
    </row>
    <row r="111" spans="1:19" s="97" customFormat="1" hidden="1" x14ac:dyDescent="0.25">
      <c r="A111" s="61" t="s">
        <v>1148</v>
      </c>
      <c r="B111" s="151">
        <v>43500</v>
      </c>
      <c r="C111" s="13">
        <v>155</v>
      </c>
      <c r="D111" s="13" t="s">
        <v>516</v>
      </c>
      <c r="E111" s="13" t="s">
        <v>808</v>
      </c>
      <c r="F111" s="4">
        <v>458448.14</v>
      </c>
      <c r="G111" s="210" t="s">
        <v>2563</v>
      </c>
      <c r="H111" s="14">
        <v>43431</v>
      </c>
      <c r="I111" s="4" t="s">
        <v>2564</v>
      </c>
      <c r="J111" s="133"/>
      <c r="K111" s="22"/>
      <c r="L111" s="134"/>
    </row>
    <row r="112" spans="1:19" hidden="1" x14ac:dyDescent="0.25">
      <c r="A112" s="61" t="s">
        <v>1149</v>
      </c>
      <c r="B112" s="151">
        <v>43500</v>
      </c>
      <c r="C112" s="13">
        <v>156</v>
      </c>
      <c r="D112" s="13" t="s">
        <v>1099</v>
      </c>
      <c r="E112" s="13" t="s">
        <v>808</v>
      </c>
      <c r="F112" s="4">
        <v>47989.2</v>
      </c>
      <c r="G112" s="29" t="s">
        <v>2109</v>
      </c>
      <c r="H112" s="14">
        <v>43388</v>
      </c>
      <c r="I112" s="4" t="s">
        <v>461</v>
      </c>
    </row>
    <row r="113" spans="1:11" hidden="1" x14ac:dyDescent="0.25">
      <c r="A113" s="32" t="s">
        <v>1148</v>
      </c>
      <c r="B113" s="151">
        <v>43500</v>
      </c>
      <c r="C113" s="13">
        <v>157</v>
      </c>
      <c r="D113" s="13" t="s">
        <v>1431</v>
      </c>
      <c r="E113" s="13" t="s">
        <v>808</v>
      </c>
      <c r="F113" s="4">
        <v>92500</v>
      </c>
      <c r="G113" s="28" t="s">
        <v>2156</v>
      </c>
      <c r="H113" s="14">
        <v>43424</v>
      </c>
      <c r="I113" s="4" t="s">
        <v>1061</v>
      </c>
    </row>
    <row r="114" spans="1:11" hidden="1" x14ac:dyDescent="0.25">
      <c r="A114" s="61" t="s">
        <v>1316</v>
      </c>
      <c r="B114" s="151">
        <v>43500</v>
      </c>
      <c r="C114" s="13">
        <v>158</v>
      </c>
      <c r="D114" s="13" t="s">
        <v>1395</v>
      </c>
      <c r="E114" s="13" t="s">
        <v>808</v>
      </c>
      <c r="F114" s="4">
        <v>30400</v>
      </c>
      <c r="G114" s="29" t="s">
        <v>727</v>
      </c>
      <c r="H114" s="14">
        <v>43480</v>
      </c>
      <c r="I114" s="4" t="s">
        <v>3382</v>
      </c>
    </row>
    <row r="115" spans="1:11" hidden="1" x14ac:dyDescent="0.25">
      <c r="A115" s="61" t="s">
        <v>1316</v>
      </c>
      <c r="B115" s="151">
        <v>43500</v>
      </c>
      <c r="C115" s="13">
        <v>158</v>
      </c>
      <c r="D115" s="13" t="s">
        <v>1395</v>
      </c>
      <c r="E115" s="13" t="s">
        <v>808</v>
      </c>
      <c r="F115" s="4">
        <v>30400</v>
      </c>
      <c r="G115" s="29" t="s">
        <v>85</v>
      </c>
      <c r="H115" s="14">
        <v>43480</v>
      </c>
      <c r="I115" s="4" t="s">
        <v>3381</v>
      </c>
    </row>
    <row r="116" spans="1:11" ht="41.4" hidden="1" x14ac:dyDescent="0.25">
      <c r="A116" s="61" t="s">
        <v>2270</v>
      </c>
      <c r="B116" s="151">
        <v>43500</v>
      </c>
      <c r="C116" s="13">
        <v>159</v>
      </c>
      <c r="D116" s="13" t="s">
        <v>80</v>
      </c>
      <c r="E116" s="13" t="s">
        <v>808</v>
      </c>
      <c r="F116" s="4">
        <f>450125-150000*2-50125</f>
        <v>100000</v>
      </c>
      <c r="G116" s="29" t="s">
        <v>2271</v>
      </c>
      <c r="H116" s="14">
        <v>43434</v>
      </c>
      <c r="I116" s="4" t="s">
        <v>2157</v>
      </c>
    </row>
    <row r="117" spans="1:11" ht="27.6" hidden="1" x14ac:dyDescent="0.25">
      <c r="A117" s="61" t="s">
        <v>3594</v>
      </c>
      <c r="B117" s="151">
        <v>43500</v>
      </c>
      <c r="C117" s="13">
        <v>160</v>
      </c>
      <c r="D117" s="13" t="s">
        <v>2047</v>
      </c>
      <c r="E117" s="13" t="s">
        <v>808</v>
      </c>
      <c r="F117" s="4">
        <v>34000</v>
      </c>
      <c r="G117" s="29" t="s">
        <v>199</v>
      </c>
      <c r="H117" s="14">
        <v>43487</v>
      </c>
      <c r="I117" s="4" t="s">
        <v>95</v>
      </c>
    </row>
    <row r="118" spans="1:11" hidden="1" x14ac:dyDescent="0.25">
      <c r="A118" s="32" t="s">
        <v>1147</v>
      </c>
      <c r="B118" s="151">
        <v>43500</v>
      </c>
      <c r="C118" s="13">
        <v>161</v>
      </c>
      <c r="D118" s="13" t="s">
        <v>764</v>
      </c>
      <c r="E118" s="13" t="s">
        <v>808</v>
      </c>
      <c r="F118" s="4">
        <f>209875-70000</f>
        <v>139875</v>
      </c>
      <c r="G118" s="28" t="s">
        <v>2520</v>
      </c>
      <c r="H118" s="14">
        <v>43446</v>
      </c>
      <c r="I118" s="4" t="s">
        <v>511</v>
      </c>
    </row>
    <row r="119" spans="1:11" hidden="1" x14ac:dyDescent="0.25">
      <c r="A119" s="61" t="s">
        <v>1149</v>
      </c>
      <c r="B119" s="151">
        <v>43500</v>
      </c>
      <c r="C119" s="13">
        <v>162</v>
      </c>
      <c r="D119" s="13" t="s">
        <v>692</v>
      </c>
      <c r="E119" s="13" t="s">
        <v>808</v>
      </c>
      <c r="F119" s="4">
        <v>128250</v>
      </c>
      <c r="G119" s="210" t="s">
        <v>1514</v>
      </c>
      <c r="H119" s="211">
        <v>43409</v>
      </c>
      <c r="I119" s="4" t="s">
        <v>2027</v>
      </c>
    </row>
    <row r="120" spans="1:11" hidden="1" x14ac:dyDescent="0.25">
      <c r="A120" s="61" t="s">
        <v>741</v>
      </c>
      <c r="B120" s="14">
        <v>43500</v>
      </c>
      <c r="C120" s="13">
        <v>90</v>
      </c>
      <c r="D120" s="13" t="s">
        <v>3192</v>
      </c>
      <c r="E120" s="13" t="s">
        <v>434</v>
      </c>
      <c r="F120" s="4">
        <v>471653.42</v>
      </c>
      <c r="G120" s="29" t="s">
        <v>3193</v>
      </c>
      <c r="H120" s="14">
        <v>43481</v>
      </c>
      <c r="I120" s="4" t="s">
        <v>3194</v>
      </c>
      <c r="J120" s="128"/>
    </row>
    <row r="121" spans="1:11" hidden="1" x14ac:dyDescent="0.25">
      <c r="A121" s="61" t="s">
        <v>741</v>
      </c>
      <c r="B121" s="14">
        <v>43500</v>
      </c>
      <c r="C121" s="13">
        <v>90</v>
      </c>
      <c r="D121" s="13" t="s">
        <v>3192</v>
      </c>
      <c r="E121" s="13" t="s">
        <v>434</v>
      </c>
      <c r="F121" s="4">
        <v>384275.71</v>
      </c>
      <c r="G121" s="29" t="s">
        <v>3195</v>
      </c>
      <c r="H121" s="14">
        <v>43481</v>
      </c>
      <c r="I121" s="4" t="s">
        <v>3196</v>
      </c>
      <c r="J121" s="128"/>
    </row>
    <row r="122" spans="1:11" hidden="1" x14ac:dyDescent="0.25">
      <c r="A122" s="61" t="s">
        <v>741</v>
      </c>
      <c r="B122" s="14">
        <v>43500</v>
      </c>
      <c r="C122" s="13">
        <v>91</v>
      </c>
      <c r="D122" s="13" t="s">
        <v>3186</v>
      </c>
      <c r="E122" s="13" t="s">
        <v>434</v>
      </c>
      <c r="F122" s="4">
        <v>75820</v>
      </c>
      <c r="G122" s="29" t="s">
        <v>3187</v>
      </c>
      <c r="H122" s="14">
        <v>43479</v>
      </c>
      <c r="I122" s="4" t="s">
        <v>3188</v>
      </c>
      <c r="J122" s="128"/>
    </row>
    <row r="123" spans="1:11" hidden="1" x14ac:dyDescent="0.25">
      <c r="A123" s="61" t="s">
        <v>460</v>
      </c>
      <c r="B123" s="14">
        <v>43500</v>
      </c>
      <c r="C123" s="13">
        <v>7</v>
      </c>
      <c r="D123" s="13" t="s">
        <v>2465</v>
      </c>
      <c r="E123" s="13" t="s">
        <v>482</v>
      </c>
      <c r="F123" s="4">
        <v>52487</v>
      </c>
      <c r="G123" s="69" t="s">
        <v>3666</v>
      </c>
      <c r="H123" s="14"/>
      <c r="I123" s="274"/>
      <c r="J123" s="169"/>
    </row>
    <row r="124" spans="1:11" hidden="1" x14ac:dyDescent="0.25">
      <c r="A124" s="61" t="s">
        <v>460</v>
      </c>
      <c r="B124" s="14">
        <v>43500</v>
      </c>
      <c r="C124" s="13">
        <v>5</v>
      </c>
      <c r="D124" s="13" t="s">
        <v>3682</v>
      </c>
      <c r="E124" s="13" t="s">
        <v>482</v>
      </c>
      <c r="F124" s="4">
        <v>87529</v>
      </c>
      <c r="G124" s="69" t="s">
        <v>3683</v>
      </c>
      <c r="H124" s="14"/>
      <c r="I124" s="274"/>
      <c r="J124" s="169"/>
    </row>
    <row r="125" spans="1:11" hidden="1" x14ac:dyDescent="0.25">
      <c r="A125" s="61" t="s">
        <v>460</v>
      </c>
      <c r="B125" s="14">
        <v>43500</v>
      </c>
      <c r="C125" s="13">
        <v>6</v>
      </c>
      <c r="D125" s="13" t="s">
        <v>3684</v>
      </c>
      <c r="E125" s="13" t="s">
        <v>482</v>
      </c>
      <c r="F125" s="4">
        <v>36244</v>
      </c>
      <c r="G125" s="69" t="s">
        <v>3685</v>
      </c>
      <c r="H125" s="14"/>
      <c r="I125" s="274"/>
      <c r="J125" s="169"/>
    </row>
    <row r="126" spans="1:11" hidden="1" x14ac:dyDescent="0.25">
      <c r="A126" s="61" t="s">
        <v>460</v>
      </c>
      <c r="B126" s="14">
        <v>43500</v>
      </c>
      <c r="C126" s="13">
        <v>17</v>
      </c>
      <c r="D126" s="13" t="s">
        <v>3736</v>
      </c>
      <c r="E126" s="13" t="s">
        <v>483</v>
      </c>
      <c r="F126" s="4">
        <v>2325600</v>
      </c>
      <c r="G126" s="86" t="s">
        <v>3737</v>
      </c>
      <c r="H126" s="14">
        <v>43444</v>
      </c>
      <c r="I126" s="274"/>
      <c r="J126" s="169"/>
    </row>
    <row r="127" spans="1:11" s="2" customFormat="1" hidden="1" x14ac:dyDescent="0.25">
      <c r="A127" s="13" t="s">
        <v>956</v>
      </c>
      <c r="B127" s="242">
        <v>43501</v>
      </c>
      <c r="C127" s="13">
        <v>66</v>
      </c>
      <c r="D127" s="13" t="s">
        <v>3653</v>
      </c>
      <c r="E127" s="13" t="s">
        <v>481</v>
      </c>
      <c r="F127" s="4">
        <v>37344</v>
      </c>
      <c r="G127" s="28" t="s">
        <v>1686</v>
      </c>
      <c r="H127" s="14">
        <v>43496</v>
      </c>
      <c r="I127" s="4" t="s">
        <v>3654</v>
      </c>
      <c r="J127" s="121"/>
      <c r="K127" s="5"/>
    </row>
    <row r="128" spans="1:11" hidden="1" x14ac:dyDescent="0.25">
      <c r="A128" s="61" t="s">
        <v>956</v>
      </c>
      <c r="B128" s="242">
        <v>43501</v>
      </c>
      <c r="C128" s="13">
        <v>64</v>
      </c>
      <c r="D128" s="13" t="s">
        <v>447</v>
      </c>
      <c r="E128" s="13" t="s">
        <v>481</v>
      </c>
      <c r="F128" s="4">
        <v>17000</v>
      </c>
      <c r="G128" s="29" t="s">
        <v>1495</v>
      </c>
      <c r="H128" s="14">
        <v>43434</v>
      </c>
      <c r="I128" s="4" t="s">
        <v>95</v>
      </c>
    </row>
    <row r="129" spans="1:12" hidden="1" x14ac:dyDescent="0.25">
      <c r="A129" s="61" t="s">
        <v>956</v>
      </c>
      <c r="B129" s="242">
        <v>43501</v>
      </c>
      <c r="C129" s="13">
        <v>65</v>
      </c>
      <c r="D129" s="13" t="s">
        <v>1985</v>
      </c>
      <c r="E129" s="13" t="s">
        <v>481</v>
      </c>
      <c r="F129" s="4">
        <v>8800</v>
      </c>
      <c r="G129" s="29" t="s">
        <v>3388</v>
      </c>
      <c r="H129" s="14">
        <v>43463</v>
      </c>
      <c r="I129" s="4" t="s">
        <v>122</v>
      </c>
    </row>
    <row r="130" spans="1:12" hidden="1" x14ac:dyDescent="0.25">
      <c r="A130" s="32" t="s">
        <v>103</v>
      </c>
      <c r="B130" s="14">
        <v>43501</v>
      </c>
      <c r="C130" s="13">
        <v>179</v>
      </c>
      <c r="D130" s="13" t="s">
        <v>1156</v>
      </c>
      <c r="E130" s="13" t="s">
        <v>62</v>
      </c>
      <c r="F130" s="4">
        <v>105457.60000000001</v>
      </c>
      <c r="G130" s="28" t="s">
        <v>803</v>
      </c>
      <c r="H130" s="14">
        <v>43463</v>
      </c>
      <c r="I130" s="4" t="s">
        <v>3179</v>
      </c>
      <c r="J130" s="128"/>
    </row>
    <row r="131" spans="1:12" s="2" customFormat="1" hidden="1" x14ac:dyDescent="0.25">
      <c r="A131" s="13" t="s">
        <v>103</v>
      </c>
      <c r="B131" s="14">
        <v>43501</v>
      </c>
      <c r="C131" s="13">
        <v>180</v>
      </c>
      <c r="D131" s="13" t="s">
        <v>3659</v>
      </c>
      <c r="E131" s="13" t="s">
        <v>62</v>
      </c>
      <c r="F131" s="4">
        <v>16982</v>
      </c>
      <c r="G131" s="28" t="s">
        <v>3660</v>
      </c>
      <c r="H131" s="14">
        <v>43497</v>
      </c>
      <c r="I131" s="4" t="s">
        <v>3661</v>
      </c>
      <c r="J131" s="121"/>
      <c r="K131" s="5"/>
    </row>
    <row r="132" spans="1:12" s="97" customFormat="1" hidden="1" x14ac:dyDescent="0.25">
      <c r="A132" s="211" t="s">
        <v>442</v>
      </c>
      <c r="B132" s="14">
        <v>43501</v>
      </c>
      <c r="C132" s="13">
        <v>181</v>
      </c>
      <c r="D132" s="13" t="s">
        <v>740</v>
      </c>
      <c r="E132" s="218" t="s">
        <v>62</v>
      </c>
      <c r="F132" s="4">
        <v>300000</v>
      </c>
      <c r="G132" s="70" t="s">
        <v>1990</v>
      </c>
      <c r="H132" s="211">
        <v>43353</v>
      </c>
      <c r="I132" s="4" t="s">
        <v>1991</v>
      </c>
      <c r="J132" s="133"/>
      <c r="K132" s="22"/>
      <c r="L132" s="134"/>
    </row>
    <row r="133" spans="1:12" s="97" customFormat="1" hidden="1" x14ac:dyDescent="0.25">
      <c r="A133" s="61" t="s">
        <v>442</v>
      </c>
      <c r="B133" s="14">
        <v>43501</v>
      </c>
      <c r="C133" s="13">
        <v>182</v>
      </c>
      <c r="D133" s="13" t="s">
        <v>589</v>
      </c>
      <c r="E133" s="13" t="s">
        <v>62</v>
      </c>
      <c r="F133" s="4">
        <v>854716</v>
      </c>
      <c r="G133" s="210" t="s">
        <v>3652</v>
      </c>
      <c r="H133" s="211">
        <v>43336</v>
      </c>
      <c r="I133" s="4" t="s">
        <v>421</v>
      </c>
      <c r="J133" s="133"/>
      <c r="K133" s="22"/>
      <c r="L133" s="134"/>
    </row>
    <row r="134" spans="1:12" s="97" customFormat="1" hidden="1" x14ac:dyDescent="0.25">
      <c r="A134" s="13" t="s">
        <v>160</v>
      </c>
      <c r="B134" s="14">
        <v>43501</v>
      </c>
      <c r="C134" s="13">
        <v>187</v>
      </c>
      <c r="D134" s="13" t="s">
        <v>590</v>
      </c>
      <c r="E134" s="13" t="s">
        <v>62</v>
      </c>
      <c r="F134" s="4">
        <v>500000</v>
      </c>
      <c r="G134" s="29" t="s">
        <v>1197</v>
      </c>
      <c r="H134" s="14">
        <v>41572</v>
      </c>
      <c r="I134" s="4" t="s">
        <v>159</v>
      </c>
      <c r="J134" s="133"/>
      <c r="K134" s="22"/>
      <c r="L134" s="134"/>
    </row>
    <row r="135" spans="1:12" s="97" customFormat="1" hidden="1" x14ac:dyDescent="0.25">
      <c r="A135" s="13" t="s">
        <v>442</v>
      </c>
      <c r="B135" s="14">
        <v>43501</v>
      </c>
      <c r="C135" s="13">
        <v>186</v>
      </c>
      <c r="D135" s="13" t="s">
        <v>157</v>
      </c>
      <c r="E135" s="13" t="s">
        <v>62</v>
      </c>
      <c r="F135" s="4">
        <v>31317.82</v>
      </c>
      <c r="G135" s="29" t="s">
        <v>2169</v>
      </c>
      <c r="H135" s="14">
        <v>43419</v>
      </c>
      <c r="I135" s="4" t="s">
        <v>899</v>
      </c>
      <c r="J135" s="133"/>
      <c r="K135" s="22"/>
      <c r="L135" s="134"/>
    </row>
    <row r="136" spans="1:12" s="97" customFormat="1" hidden="1" x14ac:dyDescent="0.25">
      <c r="A136" s="61" t="s">
        <v>442</v>
      </c>
      <c r="B136" s="14">
        <v>43501</v>
      </c>
      <c r="C136" s="13">
        <v>186</v>
      </c>
      <c r="D136" s="13" t="s">
        <v>157</v>
      </c>
      <c r="E136" s="13" t="s">
        <v>62</v>
      </c>
      <c r="F136" s="4">
        <v>21708</v>
      </c>
      <c r="G136" s="29" t="s">
        <v>2170</v>
      </c>
      <c r="H136" s="14">
        <v>43419</v>
      </c>
      <c r="I136" s="4" t="s">
        <v>899</v>
      </c>
      <c r="J136" s="133"/>
      <c r="K136" s="22"/>
      <c r="L136" s="134"/>
    </row>
    <row r="137" spans="1:12" s="97" customFormat="1" hidden="1" x14ac:dyDescent="0.25">
      <c r="A137" s="61" t="s">
        <v>442</v>
      </c>
      <c r="B137" s="14">
        <v>43501</v>
      </c>
      <c r="C137" s="13">
        <v>188</v>
      </c>
      <c r="D137" s="13" t="s">
        <v>448</v>
      </c>
      <c r="E137" s="13" t="s">
        <v>62</v>
      </c>
      <c r="F137" s="4">
        <v>66360</v>
      </c>
      <c r="G137" s="29" t="s">
        <v>2235</v>
      </c>
      <c r="H137" s="14">
        <v>43384</v>
      </c>
      <c r="I137" s="4" t="s">
        <v>290</v>
      </c>
      <c r="J137" s="133"/>
      <c r="K137" s="22"/>
      <c r="L137" s="134"/>
    </row>
    <row r="138" spans="1:12" s="97" customFormat="1" hidden="1" x14ac:dyDescent="0.25">
      <c r="A138" s="13" t="s">
        <v>442</v>
      </c>
      <c r="B138" s="14">
        <v>43501</v>
      </c>
      <c r="C138" s="13">
        <v>188</v>
      </c>
      <c r="D138" s="13" t="s">
        <v>448</v>
      </c>
      <c r="E138" s="13" t="s">
        <v>62</v>
      </c>
      <c r="F138" s="4">
        <v>10400</v>
      </c>
      <c r="G138" s="29" t="s">
        <v>3449</v>
      </c>
      <c r="H138" s="14">
        <v>43432</v>
      </c>
      <c r="I138" s="4" t="s">
        <v>63</v>
      </c>
      <c r="J138" s="133"/>
      <c r="K138" s="22"/>
      <c r="L138" s="134"/>
    </row>
    <row r="139" spans="1:12" s="97" customFormat="1" hidden="1" x14ac:dyDescent="0.25">
      <c r="A139" s="32" t="s">
        <v>442</v>
      </c>
      <c r="B139" s="14">
        <v>43501</v>
      </c>
      <c r="C139" s="13">
        <v>188</v>
      </c>
      <c r="D139" s="13" t="s">
        <v>448</v>
      </c>
      <c r="E139" s="13" t="s">
        <v>62</v>
      </c>
      <c r="F139" s="4">
        <v>32000</v>
      </c>
      <c r="G139" s="28" t="s">
        <v>3450</v>
      </c>
      <c r="H139" s="14">
        <v>43433</v>
      </c>
      <c r="I139" s="4" t="s">
        <v>3451</v>
      </c>
      <c r="J139" s="133"/>
      <c r="K139" s="22"/>
      <c r="L139" s="134"/>
    </row>
    <row r="140" spans="1:12" s="97" customFormat="1" hidden="1" x14ac:dyDescent="0.25">
      <c r="A140" s="61" t="s">
        <v>103</v>
      </c>
      <c r="B140" s="14">
        <v>43501</v>
      </c>
      <c r="C140" s="13">
        <v>183</v>
      </c>
      <c r="D140" s="13" t="s">
        <v>1032</v>
      </c>
      <c r="E140" s="13" t="s">
        <v>62</v>
      </c>
      <c r="F140" s="4">
        <v>95200</v>
      </c>
      <c r="G140" s="210" t="s">
        <v>3243</v>
      </c>
      <c r="H140" s="211">
        <v>43454</v>
      </c>
      <c r="I140" s="4" t="s">
        <v>142</v>
      </c>
      <c r="J140" s="133"/>
      <c r="K140" s="22"/>
      <c r="L140" s="134"/>
    </row>
    <row r="141" spans="1:12" hidden="1" x14ac:dyDescent="0.25">
      <c r="A141" s="61" t="s">
        <v>92</v>
      </c>
      <c r="B141" s="14">
        <v>43501</v>
      </c>
      <c r="C141" s="13">
        <v>184</v>
      </c>
      <c r="D141" s="13" t="s">
        <v>148</v>
      </c>
      <c r="E141" s="13" t="s">
        <v>62</v>
      </c>
      <c r="F141" s="4">
        <v>11500</v>
      </c>
      <c r="G141" s="29" t="s">
        <v>1374</v>
      </c>
      <c r="H141" s="14">
        <v>43417</v>
      </c>
      <c r="I141" s="4" t="s">
        <v>337</v>
      </c>
    </row>
    <row r="142" spans="1:12" hidden="1" x14ac:dyDescent="0.25">
      <c r="A142" s="32" t="s">
        <v>55</v>
      </c>
      <c r="B142" s="14">
        <v>43501</v>
      </c>
      <c r="C142" s="13">
        <v>189</v>
      </c>
      <c r="D142" s="13" t="s">
        <v>282</v>
      </c>
      <c r="E142" s="13" t="s">
        <v>62</v>
      </c>
      <c r="F142" s="4">
        <v>2860</v>
      </c>
      <c r="G142" s="28" t="s">
        <v>3120</v>
      </c>
      <c r="H142" s="14">
        <v>43475</v>
      </c>
      <c r="I142" s="4" t="s">
        <v>283</v>
      </c>
    </row>
    <row r="143" spans="1:12" hidden="1" x14ac:dyDescent="0.25">
      <c r="A143" s="61" t="s">
        <v>92</v>
      </c>
      <c r="B143" s="14">
        <v>43501</v>
      </c>
      <c r="C143" s="13">
        <v>189</v>
      </c>
      <c r="D143" s="13" t="s">
        <v>282</v>
      </c>
      <c r="E143" s="13" t="s">
        <v>62</v>
      </c>
      <c r="F143" s="4">
        <v>3575</v>
      </c>
      <c r="G143" s="29" t="s">
        <v>3121</v>
      </c>
      <c r="H143" s="14">
        <v>43475</v>
      </c>
      <c r="I143" s="4" t="s">
        <v>283</v>
      </c>
    </row>
    <row r="144" spans="1:12" hidden="1" x14ac:dyDescent="0.25">
      <c r="A144" s="61" t="s">
        <v>91</v>
      </c>
      <c r="B144" s="14">
        <v>43501</v>
      </c>
      <c r="C144" s="13">
        <v>189</v>
      </c>
      <c r="D144" s="13" t="s">
        <v>282</v>
      </c>
      <c r="E144" s="13" t="s">
        <v>62</v>
      </c>
      <c r="F144" s="4">
        <v>5720</v>
      </c>
      <c r="G144" s="29" t="s">
        <v>729</v>
      </c>
      <c r="H144" s="14">
        <v>43475</v>
      </c>
      <c r="I144" s="4" t="s">
        <v>283</v>
      </c>
    </row>
    <row r="145" spans="1:16" hidden="1" x14ac:dyDescent="0.25">
      <c r="A145" s="61" t="s">
        <v>442</v>
      </c>
      <c r="B145" s="14">
        <v>43501</v>
      </c>
      <c r="C145" s="13">
        <v>189</v>
      </c>
      <c r="D145" s="13" t="s">
        <v>282</v>
      </c>
      <c r="E145" s="13" t="s">
        <v>62</v>
      </c>
      <c r="F145" s="4">
        <v>15730</v>
      </c>
      <c r="G145" s="29" t="s">
        <v>3122</v>
      </c>
      <c r="H145" s="14">
        <v>43475</v>
      </c>
      <c r="I145" s="4" t="s">
        <v>283</v>
      </c>
    </row>
    <row r="146" spans="1:16" hidden="1" x14ac:dyDescent="0.25">
      <c r="A146" s="61" t="s">
        <v>358</v>
      </c>
      <c r="B146" s="14">
        <v>43501</v>
      </c>
      <c r="C146" s="13">
        <v>189</v>
      </c>
      <c r="D146" s="13" t="s">
        <v>282</v>
      </c>
      <c r="E146" s="13" t="s">
        <v>62</v>
      </c>
      <c r="F146" s="4">
        <v>2860</v>
      </c>
      <c r="G146" s="29" t="s">
        <v>1334</v>
      </c>
      <c r="H146" s="14">
        <v>43475</v>
      </c>
      <c r="I146" s="4" t="s">
        <v>283</v>
      </c>
    </row>
    <row r="147" spans="1:16" hidden="1" x14ac:dyDescent="0.25">
      <c r="A147" s="32" t="s">
        <v>92</v>
      </c>
      <c r="B147" s="14">
        <v>43501</v>
      </c>
      <c r="C147" s="13">
        <v>190</v>
      </c>
      <c r="D147" s="13" t="s">
        <v>250</v>
      </c>
      <c r="E147" s="13" t="s">
        <v>62</v>
      </c>
      <c r="F147" s="4">
        <f>810625-500000-150000</f>
        <v>160625</v>
      </c>
      <c r="G147" s="28" t="s">
        <v>2158</v>
      </c>
      <c r="H147" s="14">
        <v>43421</v>
      </c>
      <c r="I147" s="4" t="s">
        <v>2159</v>
      </c>
    </row>
    <row r="148" spans="1:16" hidden="1" x14ac:dyDescent="0.25">
      <c r="A148" s="13" t="s">
        <v>358</v>
      </c>
      <c r="B148" s="14">
        <v>43501</v>
      </c>
      <c r="C148" s="13">
        <v>185</v>
      </c>
      <c r="D148" s="13" t="s">
        <v>2115</v>
      </c>
      <c r="E148" s="13" t="s">
        <v>62</v>
      </c>
      <c r="F148" s="4">
        <v>100000</v>
      </c>
      <c r="G148" s="210" t="s">
        <v>1347</v>
      </c>
      <c r="H148" s="211">
        <v>43434</v>
      </c>
      <c r="I148" s="4" t="s">
        <v>1602</v>
      </c>
    </row>
    <row r="149" spans="1:16" hidden="1" x14ac:dyDescent="0.25">
      <c r="A149" s="13" t="s">
        <v>1350</v>
      </c>
      <c r="B149" s="14">
        <v>43501</v>
      </c>
      <c r="C149" s="13">
        <v>77</v>
      </c>
      <c r="D149" s="32" t="s">
        <v>3662</v>
      </c>
      <c r="E149" s="13" t="s">
        <v>691</v>
      </c>
      <c r="F149" s="4">
        <v>600652.80000000005</v>
      </c>
      <c r="G149" s="29" t="s">
        <v>3663</v>
      </c>
      <c r="H149" s="14">
        <v>43489</v>
      </c>
      <c r="I149" s="4" t="s">
        <v>3664</v>
      </c>
      <c r="J149" s="62"/>
      <c r="K149" s="62"/>
      <c r="L149" s="35"/>
      <c r="M149" s="35"/>
      <c r="N149" s="35"/>
      <c r="O149" s="35"/>
      <c r="P149" s="35"/>
    </row>
    <row r="150" spans="1:16" hidden="1" x14ac:dyDescent="0.25">
      <c r="A150" s="13" t="s">
        <v>637</v>
      </c>
      <c r="B150" s="14">
        <v>43501</v>
      </c>
      <c r="C150" s="28" t="s">
        <v>31</v>
      </c>
      <c r="D150" s="32" t="s">
        <v>432</v>
      </c>
      <c r="E150" s="32" t="s">
        <v>691</v>
      </c>
      <c r="F150" s="4">
        <v>43072</v>
      </c>
      <c r="G150" s="69" t="s">
        <v>1660</v>
      </c>
      <c r="H150" s="14"/>
      <c r="I150" s="4" t="s">
        <v>433</v>
      </c>
      <c r="J150" s="21"/>
      <c r="K150" s="228"/>
    </row>
    <row r="151" spans="1:16" hidden="1" x14ac:dyDescent="0.25">
      <c r="A151" s="13" t="s">
        <v>637</v>
      </c>
      <c r="B151" s="14">
        <v>43501</v>
      </c>
      <c r="C151" s="28" t="s">
        <v>766</v>
      </c>
      <c r="D151" s="32" t="s">
        <v>432</v>
      </c>
      <c r="E151" s="32" t="s">
        <v>691</v>
      </c>
      <c r="F151" s="4">
        <v>306928</v>
      </c>
      <c r="G151" s="69" t="s">
        <v>3256</v>
      </c>
      <c r="H151" s="14"/>
      <c r="I151" s="4" t="s">
        <v>433</v>
      </c>
      <c r="J151" s="21"/>
      <c r="K151" s="228"/>
    </row>
    <row r="152" spans="1:16" s="97" customFormat="1" hidden="1" x14ac:dyDescent="0.25">
      <c r="A152" s="61" t="s">
        <v>637</v>
      </c>
      <c r="B152" s="14">
        <v>43501</v>
      </c>
      <c r="C152" s="13">
        <v>84</v>
      </c>
      <c r="D152" s="13" t="s">
        <v>304</v>
      </c>
      <c r="E152" s="13" t="s">
        <v>691</v>
      </c>
      <c r="F152" s="4">
        <f>844788-500000</f>
        <v>344788</v>
      </c>
      <c r="G152" s="210" t="s">
        <v>3366</v>
      </c>
      <c r="H152" s="211">
        <v>43452</v>
      </c>
      <c r="I152" s="4" t="s">
        <v>1826</v>
      </c>
      <c r="J152" s="133"/>
      <c r="K152" s="22"/>
      <c r="L152" s="134"/>
    </row>
    <row r="153" spans="1:16" s="97" customFormat="1" hidden="1" x14ac:dyDescent="0.25">
      <c r="A153" s="61" t="s">
        <v>1350</v>
      </c>
      <c r="B153" s="14">
        <v>43501</v>
      </c>
      <c r="C153" s="13">
        <v>78</v>
      </c>
      <c r="D153" s="13" t="s">
        <v>257</v>
      </c>
      <c r="E153" s="13" t="s">
        <v>691</v>
      </c>
      <c r="F153" s="4">
        <v>945573.5</v>
      </c>
      <c r="G153" s="210" t="s">
        <v>2388</v>
      </c>
      <c r="H153" s="211">
        <v>43440</v>
      </c>
      <c r="I153" s="4" t="s">
        <v>2389</v>
      </c>
      <c r="J153" s="133"/>
      <c r="K153" s="22"/>
      <c r="L153" s="134"/>
    </row>
    <row r="154" spans="1:16" s="97" customFormat="1" ht="19.2" hidden="1" customHeight="1" x14ac:dyDescent="0.25">
      <c r="A154" s="13" t="s">
        <v>637</v>
      </c>
      <c r="B154" s="14">
        <v>43501</v>
      </c>
      <c r="C154" s="13">
        <v>79</v>
      </c>
      <c r="D154" s="13" t="s">
        <v>1491</v>
      </c>
      <c r="E154" s="13" t="s">
        <v>691</v>
      </c>
      <c r="F154" s="4">
        <v>100000</v>
      </c>
      <c r="G154" s="29" t="s">
        <v>2649</v>
      </c>
      <c r="H154" s="14">
        <v>43444</v>
      </c>
      <c r="I154" s="4" t="s">
        <v>2650</v>
      </c>
      <c r="J154" s="133"/>
      <c r="K154" s="22"/>
      <c r="L154" s="134"/>
    </row>
    <row r="155" spans="1:16" hidden="1" x14ac:dyDescent="0.25">
      <c r="A155" s="61" t="s">
        <v>659</v>
      </c>
      <c r="B155" s="14">
        <v>43501</v>
      </c>
      <c r="C155" s="13">
        <v>83</v>
      </c>
      <c r="D155" s="13" t="s">
        <v>944</v>
      </c>
      <c r="E155" s="13" t="s">
        <v>691</v>
      </c>
      <c r="F155" s="4">
        <v>18000</v>
      </c>
      <c r="G155" s="29" t="s">
        <v>1187</v>
      </c>
      <c r="H155" s="14">
        <v>43416</v>
      </c>
      <c r="I155" s="4" t="s">
        <v>402</v>
      </c>
    </row>
    <row r="156" spans="1:16" hidden="1" x14ac:dyDescent="0.25">
      <c r="A156" s="61" t="s">
        <v>1350</v>
      </c>
      <c r="B156" s="14">
        <v>43501</v>
      </c>
      <c r="C156" s="13">
        <v>83</v>
      </c>
      <c r="D156" s="13" t="s">
        <v>944</v>
      </c>
      <c r="E156" s="13" t="s">
        <v>691</v>
      </c>
      <c r="F156" s="4">
        <f>130250-70000</f>
        <v>60250</v>
      </c>
      <c r="G156" s="29" t="s">
        <v>1031</v>
      </c>
      <c r="H156" s="14">
        <v>43418</v>
      </c>
      <c r="I156" s="4" t="s">
        <v>2153</v>
      </c>
    </row>
    <row r="157" spans="1:16" hidden="1" x14ac:dyDescent="0.25">
      <c r="A157" s="32" t="s">
        <v>660</v>
      </c>
      <c r="B157" s="14">
        <v>43501</v>
      </c>
      <c r="C157" s="13">
        <v>80</v>
      </c>
      <c r="D157" s="13" t="s">
        <v>29</v>
      </c>
      <c r="E157" s="13" t="s">
        <v>691</v>
      </c>
      <c r="F157" s="4">
        <v>109725</v>
      </c>
      <c r="G157" s="28" t="s">
        <v>1600</v>
      </c>
      <c r="H157" s="14">
        <v>43432</v>
      </c>
      <c r="I157" s="4" t="s">
        <v>1061</v>
      </c>
    </row>
    <row r="158" spans="1:16" hidden="1" x14ac:dyDescent="0.25">
      <c r="A158" s="61" t="s">
        <v>659</v>
      </c>
      <c r="B158" s="14">
        <v>43501</v>
      </c>
      <c r="C158" s="13">
        <v>81</v>
      </c>
      <c r="D158" s="13" t="s">
        <v>862</v>
      </c>
      <c r="E158" s="13" t="s">
        <v>691</v>
      </c>
      <c r="F158" s="4">
        <v>25750</v>
      </c>
      <c r="G158" s="29" t="s">
        <v>3392</v>
      </c>
      <c r="H158" s="14">
        <v>43455</v>
      </c>
      <c r="I158" s="4" t="s">
        <v>3393</v>
      </c>
    </row>
    <row r="159" spans="1:16" hidden="1" x14ac:dyDescent="0.25">
      <c r="A159" s="61" t="s">
        <v>1455</v>
      </c>
      <c r="B159" s="14">
        <v>43501</v>
      </c>
      <c r="C159" s="13">
        <v>82</v>
      </c>
      <c r="D159" s="13" t="s">
        <v>149</v>
      </c>
      <c r="E159" s="13" t="s">
        <v>691</v>
      </c>
      <c r="F159" s="4">
        <v>28000</v>
      </c>
      <c r="G159" s="29" t="s">
        <v>2525</v>
      </c>
      <c r="H159" s="14">
        <v>43434</v>
      </c>
      <c r="I159" s="4" t="s">
        <v>1079</v>
      </c>
    </row>
    <row r="160" spans="1:16" hidden="1" x14ac:dyDescent="0.25">
      <c r="A160" s="61" t="s">
        <v>659</v>
      </c>
      <c r="B160" s="14">
        <v>43501</v>
      </c>
      <c r="C160" s="13">
        <v>82</v>
      </c>
      <c r="D160" s="13" t="s">
        <v>149</v>
      </c>
      <c r="E160" s="13" t="s">
        <v>691</v>
      </c>
      <c r="F160" s="4">
        <v>10500</v>
      </c>
      <c r="G160" s="29" t="s">
        <v>2526</v>
      </c>
      <c r="H160" s="14">
        <v>43434</v>
      </c>
      <c r="I160" s="4" t="s">
        <v>1079</v>
      </c>
    </row>
    <row r="161" spans="1:19" ht="15" hidden="1" customHeight="1" x14ac:dyDescent="0.25">
      <c r="A161" s="68" t="s">
        <v>174</v>
      </c>
      <c r="B161" s="14">
        <v>43501</v>
      </c>
      <c r="C161" s="67">
        <v>24</v>
      </c>
      <c r="D161" s="32" t="s">
        <v>1874</v>
      </c>
      <c r="E161" s="32" t="s">
        <v>178</v>
      </c>
      <c r="F161" s="4">
        <v>150000</v>
      </c>
      <c r="G161" s="28" t="s">
        <v>3752</v>
      </c>
      <c r="H161" s="14">
        <v>43500</v>
      </c>
      <c r="I161" s="4" t="s">
        <v>3753</v>
      </c>
      <c r="J161" s="166"/>
      <c r="K161" s="167"/>
      <c r="L161" s="35"/>
    </row>
    <row r="162" spans="1:19" ht="15" hidden="1" customHeight="1" x14ac:dyDescent="0.25">
      <c r="A162" s="68" t="s">
        <v>206</v>
      </c>
      <c r="B162" s="14">
        <v>43501</v>
      </c>
      <c r="C162" s="67">
        <v>26</v>
      </c>
      <c r="D162" s="32" t="s">
        <v>156</v>
      </c>
      <c r="E162" s="32" t="s">
        <v>178</v>
      </c>
      <c r="F162" s="4">
        <v>169443.48999999987</v>
      </c>
      <c r="G162" s="28"/>
      <c r="H162" s="14"/>
      <c r="I162" s="4" t="s">
        <v>362</v>
      </c>
      <c r="J162" s="166" t="s">
        <v>327</v>
      </c>
      <c r="K162" s="167"/>
      <c r="L162" s="35"/>
    </row>
    <row r="163" spans="1:19" ht="15" hidden="1" customHeight="1" x14ac:dyDescent="0.25">
      <c r="A163" s="68" t="s">
        <v>206</v>
      </c>
      <c r="B163" s="14">
        <v>43501</v>
      </c>
      <c r="C163" s="13">
        <v>25</v>
      </c>
      <c r="D163" s="32" t="s">
        <v>281</v>
      </c>
      <c r="E163" s="32" t="s">
        <v>178</v>
      </c>
      <c r="F163" s="4">
        <v>14411</v>
      </c>
      <c r="G163" s="29" t="s">
        <v>2993</v>
      </c>
      <c r="H163" s="14">
        <v>43479</v>
      </c>
      <c r="I163" s="41" t="s">
        <v>852</v>
      </c>
      <c r="J163" s="35" t="s">
        <v>721</v>
      </c>
      <c r="K163" s="35"/>
      <c r="L163" s="35"/>
    </row>
    <row r="164" spans="1:19" hidden="1" x14ac:dyDescent="0.25">
      <c r="A164" s="13" t="s">
        <v>92</v>
      </c>
      <c r="B164" s="14">
        <v>43501</v>
      </c>
      <c r="C164" s="28" t="s">
        <v>359</v>
      </c>
      <c r="D164" s="13" t="s">
        <v>3716</v>
      </c>
      <c r="E164" s="13" t="s">
        <v>62</v>
      </c>
      <c r="F164" s="4">
        <v>3790</v>
      </c>
      <c r="G164" s="29" t="s">
        <v>359</v>
      </c>
      <c r="H164" s="14">
        <v>43500</v>
      </c>
      <c r="I164" s="4" t="s">
        <v>3717</v>
      </c>
      <c r="J164" s="128"/>
    </row>
    <row r="165" spans="1:19" ht="13.8" hidden="1" customHeight="1" x14ac:dyDescent="0.25">
      <c r="A165" s="32" t="s">
        <v>261</v>
      </c>
      <c r="B165" s="14">
        <v>43501</v>
      </c>
      <c r="C165" s="13">
        <v>171</v>
      </c>
      <c r="D165" s="32" t="s">
        <v>272</v>
      </c>
      <c r="E165" s="32" t="s">
        <v>808</v>
      </c>
      <c r="F165" s="4">
        <v>20000000</v>
      </c>
      <c r="G165" s="69" t="s">
        <v>1027</v>
      </c>
      <c r="H165" s="14"/>
      <c r="I165" s="84" t="s">
        <v>273</v>
      </c>
      <c r="K165" s="62"/>
    </row>
    <row r="166" spans="1:19" s="115" customFormat="1" ht="15.6" hidden="1" x14ac:dyDescent="0.25">
      <c r="A166" s="61" t="s">
        <v>651</v>
      </c>
      <c r="B166" s="14">
        <v>43501</v>
      </c>
      <c r="C166" s="13">
        <v>105</v>
      </c>
      <c r="D166" s="13" t="s">
        <v>813</v>
      </c>
      <c r="E166" s="13" t="s">
        <v>547</v>
      </c>
      <c r="F166" s="4">
        <v>4342739.17</v>
      </c>
      <c r="G166" s="29" t="s">
        <v>810</v>
      </c>
      <c r="H166" s="14">
        <v>42340</v>
      </c>
      <c r="I166" s="41" t="s">
        <v>1560</v>
      </c>
      <c r="J166" s="258"/>
      <c r="K166" s="116"/>
      <c r="L166" s="116"/>
      <c r="M166" s="116"/>
      <c r="N166" s="116"/>
      <c r="O166" s="117"/>
      <c r="P166" s="117"/>
      <c r="Q166" s="117"/>
      <c r="R166" s="117"/>
      <c r="S166" s="117"/>
    </row>
    <row r="167" spans="1:19" hidden="1" x14ac:dyDescent="0.25">
      <c r="A167" s="61" t="s">
        <v>460</v>
      </c>
      <c r="B167" s="14">
        <v>43502</v>
      </c>
      <c r="C167" s="13">
        <v>69</v>
      </c>
      <c r="D167" s="14" t="s">
        <v>2446</v>
      </c>
      <c r="E167" s="32" t="s">
        <v>144</v>
      </c>
      <c r="F167" s="4">
        <v>50473</v>
      </c>
      <c r="G167" s="69" t="s">
        <v>2447</v>
      </c>
      <c r="H167" s="14"/>
      <c r="I167" s="326"/>
      <c r="K167" s="62"/>
    </row>
    <row r="168" spans="1:19" hidden="1" x14ac:dyDescent="0.25">
      <c r="A168" s="61" t="s">
        <v>460</v>
      </c>
      <c r="B168" s="14">
        <v>43502</v>
      </c>
      <c r="C168" s="13">
        <v>70</v>
      </c>
      <c r="D168" s="14" t="s">
        <v>2457</v>
      </c>
      <c r="E168" s="32" t="s">
        <v>144</v>
      </c>
      <c r="F168" s="4">
        <v>46538</v>
      </c>
      <c r="G168" s="86" t="s">
        <v>2458</v>
      </c>
      <c r="H168" s="211"/>
      <c r="I168" s="326"/>
      <c r="K168" s="62"/>
    </row>
    <row r="169" spans="1:19" hidden="1" x14ac:dyDescent="0.25">
      <c r="A169" s="61" t="s">
        <v>460</v>
      </c>
      <c r="B169" s="14">
        <v>43502</v>
      </c>
      <c r="C169" s="13">
        <v>71</v>
      </c>
      <c r="D169" s="14" t="s">
        <v>2457</v>
      </c>
      <c r="E169" s="32" t="s">
        <v>144</v>
      </c>
      <c r="F169" s="4">
        <v>48450</v>
      </c>
      <c r="G169" s="86" t="s">
        <v>2459</v>
      </c>
      <c r="H169" s="211"/>
      <c r="I169" s="326"/>
      <c r="K169" s="62"/>
    </row>
    <row r="170" spans="1:19" hidden="1" x14ac:dyDescent="0.25">
      <c r="A170" s="61" t="s">
        <v>460</v>
      </c>
      <c r="B170" s="14">
        <v>43502</v>
      </c>
      <c r="C170" s="13">
        <v>72</v>
      </c>
      <c r="D170" s="14" t="s">
        <v>2444</v>
      </c>
      <c r="E170" s="32" t="s">
        <v>144</v>
      </c>
      <c r="F170" s="4">
        <v>39213</v>
      </c>
      <c r="G170" s="86" t="s">
        <v>2445</v>
      </c>
      <c r="H170" s="211"/>
      <c r="I170" s="326"/>
      <c r="K170" s="62"/>
    </row>
    <row r="171" spans="1:19" hidden="1" x14ac:dyDescent="0.25">
      <c r="A171" s="61" t="s">
        <v>460</v>
      </c>
      <c r="B171" s="14">
        <v>43502</v>
      </c>
      <c r="C171" s="13">
        <v>73</v>
      </c>
      <c r="D171" s="14" t="s">
        <v>2448</v>
      </c>
      <c r="E171" s="32" t="s">
        <v>144</v>
      </c>
      <c r="F171" s="4">
        <v>29782</v>
      </c>
      <c r="G171" s="86" t="s">
        <v>2449</v>
      </c>
      <c r="H171" s="211"/>
      <c r="I171" s="326"/>
      <c r="K171" s="62"/>
    </row>
    <row r="172" spans="1:19" hidden="1" x14ac:dyDescent="0.25">
      <c r="A172" s="61" t="s">
        <v>460</v>
      </c>
      <c r="B172" s="14">
        <v>43502</v>
      </c>
      <c r="C172" s="13">
        <v>74</v>
      </c>
      <c r="D172" s="14" t="s">
        <v>2435</v>
      </c>
      <c r="E172" s="32" t="s">
        <v>144</v>
      </c>
      <c r="F172" s="4">
        <v>35392</v>
      </c>
      <c r="G172" s="86" t="s">
        <v>2436</v>
      </c>
      <c r="H172" s="211"/>
      <c r="I172" s="326"/>
      <c r="K172" s="62"/>
    </row>
    <row r="173" spans="1:19" hidden="1" x14ac:dyDescent="0.25">
      <c r="A173" s="13" t="s">
        <v>460</v>
      </c>
      <c r="B173" s="14">
        <v>43502</v>
      </c>
      <c r="C173" s="13">
        <v>75</v>
      </c>
      <c r="D173" s="14" t="s">
        <v>2437</v>
      </c>
      <c r="E173" s="32" t="s">
        <v>144</v>
      </c>
      <c r="F173" s="4">
        <v>55276</v>
      </c>
      <c r="G173" s="69" t="s">
        <v>2438</v>
      </c>
      <c r="H173" s="14"/>
      <c r="I173" s="326"/>
      <c r="K173" s="62"/>
    </row>
    <row r="174" spans="1:19" ht="16.5" hidden="1" customHeight="1" x14ac:dyDescent="0.25">
      <c r="A174" s="3" t="s">
        <v>184</v>
      </c>
      <c r="B174" s="212">
        <v>43502</v>
      </c>
      <c r="C174" s="422">
        <v>125</v>
      </c>
      <c r="D174" s="171" t="s">
        <v>1359</v>
      </c>
      <c r="E174" s="171" t="s">
        <v>1121</v>
      </c>
      <c r="F174" s="337">
        <v>90000</v>
      </c>
      <c r="G174" s="25" t="s">
        <v>3667</v>
      </c>
      <c r="H174" s="212">
        <v>43481</v>
      </c>
      <c r="I174" s="337" t="s">
        <v>3668</v>
      </c>
      <c r="J174" s="76"/>
      <c r="K174" s="260"/>
      <c r="L174" s="62"/>
    </row>
    <row r="175" spans="1:19" ht="15.6" hidden="1" customHeight="1" x14ac:dyDescent="0.25">
      <c r="A175" s="13" t="s">
        <v>184</v>
      </c>
      <c r="B175" s="212">
        <v>43502</v>
      </c>
      <c r="C175" s="13">
        <v>126</v>
      </c>
      <c r="D175" s="13" t="s">
        <v>444</v>
      </c>
      <c r="E175" s="32" t="s">
        <v>1121</v>
      </c>
      <c r="F175" s="4">
        <v>177177</v>
      </c>
      <c r="G175" s="28" t="s">
        <v>1401</v>
      </c>
      <c r="H175" s="14">
        <v>43395</v>
      </c>
      <c r="I175" s="4" t="s">
        <v>445</v>
      </c>
      <c r="J175" s="76" t="s">
        <v>3761</v>
      </c>
    </row>
    <row r="176" spans="1:19" hidden="1" x14ac:dyDescent="0.25">
      <c r="A176" s="13" t="s">
        <v>184</v>
      </c>
      <c r="B176" s="212">
        <v>43502</v>
      </c>
      <c r="C176" s="13">
        <v>127</v>
      </c>
      <c r="D176" s="32" t="s">
        <v>1546</v>
      </c>
      <c r="E176" s="32" t="s">
        <v>1121</v>
      </c>
      <c r="F176" s="4">
        <v>21000</v>
      </c>
      <c r="G176" s="28" t="s">
        <v>3754</v>
      </c>
      <c r="H176" s="14">
        <v>43496</v>
      </c>
      <c r="I176" s="4" t="s">
        <v>915</v>
      </c>
      <c r="J176" s="22" t="s">
        <v>239</v>
      </c>
      <c r="K176" s="63"/>
      <c r="L176" s="62"/>
    </row>
    <row r="177" spans="1:19" hidden="1" x14ac:dyDescent="0.25">
      <c r="A177" s="13" t="s">
        <v>184</v>
      </c>
      <c r="B177" s="212">
        <v>43502</v>
      </c>
      <c r="C177" s="13">
        <v>128</v>
      </c>
      <c r="D177" s="32" t="s">
        <v>914</v>
      </c>
      <c r="E177" s="32" t="s">
        <v>1121</v>
      </c>
      <c r="F177" s="4">
        <v>63324.32</v>
      </c>
      <c r="G177" s="28" t="s">
        <v>3755</v>
      </c>
      <c r="H177" s="14" t="s">
        <v>3756</v>
      </c>
      <c r="I177" s="4" t="s">
        <v>1260</v>
      </c>
      <c r="J177" s="22" t="s">
        <v>239</v>
      </c>
      <c r="K177" s="63"/>
      <c r="L177" s="62"/>
    </row>
    <row r="178" spans="1:19" hidden="1" x14ac:dyDescent="0.25">
      <c r="A178" s="13" t="s">
        <v>184</v>
      </c>
      <c r="B178" s="212">
        <v>43502</v>
      </c>
      <c r="C178" s="13">
        <v>129</v>
      </c>
      <c r="D178" s="13" t="s">
        <v>491</v>
      </c>
      <c r="E178" s="32" t="s">
        <v>1121</v>
      </c>
      <c r="F178" s="4">
        <v>70000</v>
      </c>
      <c r="G178" s="28" t="s">
        <v>3757</v>
      </c>
      <c r="H178" s="14">
        <v>43431</v>
      </c>
      <c r="I178" s="4" t="s">
        <v>571</v>
      </c>
      <c r="J178" s="125">
        <v>43803</v>
      </c>
    </row>
    <row r="179" spans="1:19" hidden="1" x14ac:dyDescent="0.25">
      <c r="A179" s="13" t="s">
        <v>184</v>
      </c>
      <c r="B179" s="212">
        <v>43502</v>
      </c>
      <c r="C179" s="13">
        <v>130</v>
      </c>
      <c r="D179" s="13" t="s">
        <v>662</v>
      </c>
      <c r="E179" s="32" t="s">
        <v>1121</v>
      </c>
      <c r="F179" s="4">
        <v>15240</v>
      </c>
      <c r="G179" s="29" t="s">
        <v>3212</v>
      </c>
      <c r="H179" s="14">
        <v>43490</v>
      </c>
      <c r="I179" s="4" t="s">
        <v>3758</v>
      </c>
      <c r="J179" s="125" t="s">
        <v>2320</v>
      </c>
    </row>
    <row r="180" spans="1:19" ht="15" hidden="1" customHeight="1" x14ac:dyDescent="0.25">
      <c r="A180" s="13" t="s">
        <v>184</v>
      </c>
      <c r="B180" s="212">
        <v>43502</v>
      </c>
      <c r="C180" s="13">
        <v>130</v>
      </c>
      <c r="D180" s="13" t="s">
        <v>662</v>
      </c>
      <c r="E180" s="32" t="s">
        <v>1121</v>
      </c>
      <c r="F180" s="4">
        <v>5160</v>
      </c>
      <c r="G180" s="29" t="s">
        <v>2955</v>
      </c>
      <c r="H180" s="14">
        <v>43495</v>
      </c>
      <c r="I180" s="4" t="s">
        <v>3758</v>
      </c>
      <c r="J180" s="125" t="s">
        <v>358</v>
      </c>
    </row>
    <row r="181" spans="1:19" hidden="1" x14ac:dyDescent="0.25">
      <c r="A181" s="13" t="s">
        <v>184</v>
      </c>
      <c r="B181" s="212">
        <v>43502</v>
      </c>
      <c r="C181" s="13">
        <v>131</v>
      </c>
      <c r="D181" s="13" t="s">
        <v>3759</v>
      </c>
      <c r="E181" s="32" t="s">
        <v>1121</v>
      </c>
      <c r="F181" s="4">
        <v>5096</v>
      </c>
      <c r="G181" s="29" t="s">
        <v>2955</v>
      </c>
      <c r="H181" s="14">
        <v>43486</v>
      </c>
      <c r="I181" s="4" t="s">
        <v>3760</v>
      </c>
      <c r="J181" s="125"/>
    </row>
    <row r="182" spans="1:19" ht="27.6" hidden="1" x14ac:dyDescent="0.25">
      <c r="A182" s="13" t="s">
        <v>184</v>
      </c>
      <c r="B182" s="212">
        <v>43502</v>
      </c>
      <c r="C182" s="13">
        <v>132</v>
      </c>
      <c r="D182" s="13" t="s">
        <v>377</v>
      </c>
      <c r="E182" s="32" t="s">
        <v>1121</v>
      </c>
      <c r="F182" s="4">
        <v>6000</v>
      </c>
      <c r="G182" s="29" t="s">
        <v>3142</v>
      </c>
      <c r="H182" s="14">
        <v>43495</v>
      </c>
      <c r="I182" s="4" t="s">
        <v>2863</v>
      </c>
      <c r="J182" s="125" t="s">
        <v>3708</v>
      </c>
    </row>
    <row r="183" spans="1:19" ht="15" hidden="1" customHeight="1" x14ac:dyDescent="0.25">
      <c r="A183" s="13" t="s">
        <v>184</v>
      </c>
      <c r="B183" s="212">
        <v>43502</v>
      </c>
      <c r="C183" s="13">
        <v>133</v>
      </c>
      <c r="D183" s="13" t="s">
        <v>47</v>
      </c>
      <c r="E183" s="32" t="s">
        <v>1121</v>
      </c>
      <c r="F183" s="4">
        <v>6760</v>
      </c>
      <c r="G183" s="28" t="s">
        <v>3762</v>
      </c>
      <c r="H183" s="14">
        <v>43497</v>
      </c>
      <c r="I183" s="4" t="s">
        <v>746</v>
      </c>
    </row>
    <row r="184" spans="1:19" hidden="1" x14ac:dyDescent="0.25">
      <c r="A184" s="13" t="s">
        <v>964</v>
      </c>
      <c r="B184" s="212">
        <v>43502</v>
      </c>
      <c r="C184" s="13">
        <v>134</v>
      </c>
      <c r="D184" s="13" t="s">
        <v>1245</v>
      </c>
      <c r="E184" s="32" t="s">
        <v>1121</v>
      </c>
      <c r="F184" s="4">
        <v>21176.09</v>
      </c>
      <c r="G184" s="29" t="s">
        <v>3669</v>
      </c>
      <c r="H184" s="14">
        <v>43479</v>
      </c>
      <c r="I184" s="4" t="s">
        <v>1246</v>
      </c>
      <c r="J184" s="21" t="s">
        <v>239</v>
      </c>
      <c r="K184" s="50"/>
    </row>
    <row r="185" spans="1:19" ht="15" hidden="1" customHeight="1" x14ac:dyDescent="0.25">
      <c r="A185" s="13" t="s">
        <v>964</v>
      </c>
      <c r="B185" s="212">
        <v>43502</v>
      </c>
      <c r="C185" s="13">
        <v>135</v>
      </c>
      <c r="D185" s="13" t="s">
        <v>321</v>
      </c>
      <c r="E185" s="32" t="s">
        <v>1121</v>
      </c>
      <c r="F185" s="4">
        <v>40000</v>
      </c>
      <c r="G185" s="28" t="s">
        <v>301</v>
      </c>
      <c r="H185" s="14">
        <v>43494</v>
      </c>
      <c r="I185" s="4" t="s">
        <v>3670</v>
      </c>
      <c r="J185" s="76" t="s">
        <v>239</v>
      </c>
      <c r="L185" s="76"/>
    </row>
    <row r="186" spans="1:19" hidden="1" x14ac:dyDescent="0.25">
      <c r="A186" s="32" t="s">
        <v>151</v>
      </c>
      <c r="B186" s="212">
        <v>43502</v>
      </c>
      <c r="C186" s="67">
        <v>136</v>
      </c>
      <c r="D186" s="13" t="s">
        <v>1846</v>
      </c>
      <c r="E186" s="32" t="s">
        <v>1121</v>
      </c>
      <c r="F186" s="4">
        <v>45038</v>
      </c>
      <c r="G186" s="28" t="s">
        <v>3712</v>
      </c>
      <c r="H186" s="14">
        <v>43497</v>
      </c>
      <c r="I186" s="4" t="s">
        <v>3713</v>
      </c>
      <c r="J186" s="166"/>
      <c r="K186" s="167"/>
      <c r="L186" s="35"/>
    </row>
    <row r="187" spans="1:19" s="129" customFormat="1" ht="13.95" hidden="1" customHeight="1" x14ac:dyDescent="0.25">
      <c r="A187" s="13" t="s">
        <v>151</v>
      </c>
      <c r="B187" s="14">
        <v>43502</v>
      </c>
      <c r="C187" s="28" t="s">
        <v>301</v>
      </c>
      <c r="D187" s="13" t="s">
        <v>3726</v>
      </c>
      <c r="E187" s="13" t="s">
        <v>22</v>
      </c>
      <c r="F187" s="4">
        <v>47312</v>
      </c>
      <c r="G187" s="28" t="s">
        <v>19</v>
      </c>
      <c r="H187" s="14">
        <v>43500</v>
      </c>
      <c r="I187" s="4" t="s">
        <v>3727</v>
      </c>
      <c r="J187" s="22"/>
      <c r="K187" s="136"/>
    </row>
    <row r="188" spans="1:19" s="129" customFormat="1" ht="13.95" hidden="1" customHeight="1" x14ac:dyDescent="0.25">
      <c r="A188" s="13" t="s">
        <v>151</v>
      </c>
      <c r="B188" s="14">
        <v>43502</v>
      </c>
      <c r="C188" s="28" t="s">
        <v>33</v>
      </c>
      <c r="D188" s="13" t="s">
        <v>1078</v>
      </c>
      <c r="E188" s="13" t="s">
        <v>22</v>
      </c>
      <c r="F188" s="4">
        <v>8450</v>
      </c>
      <c r="G188" s="28" t="s">
        <v>1211</v>
      </c>
      <c r="H188" s="14">
        <v>43500</v>
      </c>
      <c r="I188" s="4" t="s">
        <v>3722</v>
      </c>
      <c r="J188" s="22"/>
      <c r="K188" s="136"/>
    </row>
    <row r="189" spans="1:19" hidden="1" x14ac:dyDescent="0.25">
      <c r="A189" s="32" t="s">
        <v>151</v>
      </c>
      <c r="B189" s="14">
        <v>43502</v>
      </c>
      <c r="C189" s="67">
        <v>29</v>
      </c>
      <c r="D189" s="13" t="s">
        <v>1846</v>
      </c>
      <c r="E189" s="32" t="s">
        <v>22</v>
      </c>
      <c r="F189" s="4">
        <v>117123</v>
      </c>
      <c r="G189" s="28" t="s">
        <v>3631</v>
      </c>
      <c r="H189" s="14">
        <v>43495</v>
      </c>
      <c r="I189" s="4" t="s">
        <v>3632</v>
      </c>
      <c r="J189" s="166"/>
      <c r="K189" s="167"/>
      <c r="L189" s="35"/>
    </row>
    <row r="190" spans="1:19" s="62" customFormat="1" ht="13.95" hidden="1" customHeight="1" x14ac:dyDescent="0.25">
      <c r="A190" s="13" t="s">
        <v>455</v>
      </c>
      <c r="B190" s="14">
        <v>43502</v>
      </c>
      <c r="C190" s="13">
        <v>100</v>
      </c>
      <c r="D190" s="13" t="s">
        <v>253</v>
      </c>
      <c r="E190" s="13" t="s">
        <v>440</v>
      </c>
      <c r="F190" s="4">
        <v>29040</v>
      </c>
      <c r="G190" s="29" t="s">
        <v>3724</v>
      </c>
      <c r="H190" s="14">
        <v>43494</v>
      </c>
      <c r="I190" s="4" t="s">
        <v>3725</v>
      </c>
      <c r="J190" s="71"/>
      <c r="O190" s="35"/>
      <c r="P190" s="35"/>
      <c r="Q190" s="35"/>
      <c r="R190" s="35"/>
      <c r="S190" s="35"/>
    </row>
    <row r="191" spans="1:19" s="115" customFormat="1" ht="15.6" hidden="1" customHeight="1" x14ac:dyDescent="0.25">
      <c r="A191" s="61" t="s">
        <v>455</v>
      </c>
      <c r="B191" s="14">
        <v>43502</v>
      </c>
      <c r="C191" s="13">
        <v>101</v>
      </c>
      <c r="D191" s="13" t="s">
        <v>873</v>
      </c>
      <c r="E191" s="13" t="s">
        <v>440</v>
      </c>
      <c r="F191" s="4">
        <f>2561095.31-1000000</f>
        <v>1561095.31</v>
      </c>
      <c r="G191" s="13" t="s">
        <v>874</v>
      </c>
      <c r="H191" s="126">
        <v>43413</v>
      </c>
      <c r="I191" s="29" t="s">
        <v>875</v>
      </c>
      <c r="J191" s="258"/>
      <c r="K191" s="116"/>
      <c r="L191" s="116"/>
      <c r="M191" s="116"/>
      <c r="N191" s="116"/>
      <c r="O191" s="117"/>
      <c r="P191" s="117"/>
      <c r="Q191" s="117"/>
      <c r="R191" s="117"/>
      <c r="S191" s="117"/>
    </row>
    <row r="192" spans="1:19" ht="15" hidden="1" customHeight="1" x14ac:dyDescent="0.25">
      <c r="A192" s="68" t="s">
        <v>455</v>
      </c>
      <c r="B192" s="14">
        <v>43502</v>
      </c>
      <c r="C192" s="13">
        <v>102</v>
      </c>
      <c r="D192" s="32" t="s">
        <v>281</v>
      </c>
      <c r="E192" s="32" t="s">
        <v>440</v>
      </c>
      <c r="F192" s="4">
        <v>320542</v>
      </c>
      <c r="G192" s="29" t="s">
        <v>2987</v>
      </c>
      <c r="H192" s="14">
        <v>43479</v>
      </c>
      <c r="I192" s="41" t="s">
        <v>852</v>
      </c>
      <c r="J192" s="35" t="s">
        <v>721</v>
      </c>
      <c r="K192" s="35"/>
      <c r="L192" s="35"/>
    </row>
    <row r="193" spans="1:19" ht="15" hidden="1" customHeight="1" x14ac:dyDescent="0.25">
      <c r="A193" s="32" t="s">
        <v>188</v>
      </c>
      <c r="B193" s="14">
        <v>43502</v>
      </c>
      <c r="C193" s="67">
        <v>19</v>
      </c>
      <c r="D193" s="32" t="s">
        <v>156</v>
      </c>
      <c r="E193" s="32" t="s">
        <v>483</v>
      </c>
      <c r="F193" s="4">
        <v>500000</v>
      </c>
      <c r="G193" s="28" t="s">
        <v>3680</v>
      </c>
      <c r="H193" s="14">
        <v>43474</v>
      </c>
      <c r="I193" s="4" t="s">
        <v>362</v>
      </c>
      <c r="J193" s="166" t="s">
        <v>327</v>
      </c>
      <c r="K193" s="167"/>
      <c r="L193" s="35"/>
    </row>
    <row r="194" spans="1:19" ht="15" hidden="1" customHeight="1" x14ac:dyDescent="0.25">
      <c r="A194" s="61" t="s">
        <v>1934</v>
      </c>
      <c r="B194" s="14">
        <v>43502</v>
      </c>
      <c r="C194" s="13">
        <v>116</v>
      </c>
      <c r="D194" s="32" t="s">
        <v>281</v>
      </c>
      <c r="E194" s="32" t="s">
        <v>136</v>
      </c>
      <c r="F194" s="4">
        <v>381393</v>
      </c>
      <c r="G194" s="29" t="s">
        <v>2990</v>
      </c>
      <c r="H194" s="14">
        <v>43479</v>
      </c>
      <c r="I194" s="41" t="s">
        <v>852</v>
      </c>
      <c r="J194" s="35" t="s">
        <v>721</v>
      </c>
      <c r="K194" s="35"/>
      <c r="L194" s="35"/>
    </row>
    <row r="195" spans="1:19" ht="15" hidden="1" customHeight="1" x14ac:dyDescent="0.25">
      <c r="A195" s="68" t="s">
        <v>310</v>
      </c>
      <c r="B195" s="14">
        <v>43502</v>
      </c>
      <c r="C195" s="13">
        <v>44</v>
      </c>
      <c r="D195" s="32" t="s">
        <v>281</v>
      </c>
      <c r="E195" s="32" t="s">
        <v>314</v>
      </c>
      <c r="F195" s="4">
        <v>200920</v>
      </c>
      <c r="G195" s="29" t="s">
        <v>2982</v>
      </c>
      <c r="H195" s="14">
        <v>43479</v>
      </c>
      <c r="I195" s="41" t="s">
        <v>852</v>
      </c>
      <c r="J195" s="35" t="s">
        <v>721</v>
      </c>
      <c r="K195" s="35"/>
      <c r="L195" s="35"/>
    </row>
    <row r="196" spans="1:19" s="31" customFormat="1" ht="27.6" hidden="1" x14ac:dyDescent="0.25">
      <c r="A196" s="61" t="s">
        <v>91</v>
      </c>
      <c r="B196" s="14">
        <v>43502</v>
      </c>
      <c r="C196" s="13">
        <v>76</v>
      </c>
      <c r="D196" s="13" t="s">
        <v>745</v>
      </c>
      <c r="E196" s="13" t="s">
        <v>2021</v>
      </c>
      <c r="F196" s="4">
        <v>1000000</v>
      </c>
      <c r="G196" s="29" t="s">
        <v>1425</v>
      </c>
      <c r="H196" s="14">
        <v>43160</v>
      </c>
      <c r="I196" s="4" t="s">
        <v>484</v>
      </c>
      <c r="J196" s="34"/>
      <c r="O196" s="34"/>
      <c r="P196" s="34"/>
      <c r="Q196" s="34"/>
      <c r="R196" s="34"/>
      <c r="S196" s="34"/>
    </row>
    <row r="197" spans="1:19" ht="13.95" hidden="1" customHeight="1" x14ac:dyDescent="0.25">
      <c r="A197" s="13" t="s">
        <v>1481</v>
      </c>
      <c r="B197" s="14">
        <v>43502</v>
      </c>
      <c r="C197" s="13">
        <v>279</v>
      </c>
      <c r="D197" s="32" t="s">
        <v>1977</v>
      </c>
      <c r="E197" s="32" t="s">
        <v>130</v>
      </c>
      <c r="F197" s="4">
        <f>3645150-800000-1000000*2</f>
        <v>845150</v>
      </c>
      <c r="G197" s="69" t="s">
        <v>1978</v>
      </c>
      <c r="H197" s="14">
        <v>43363</v>
      </c>
      <c r="I197" s="41" t="s">
        <v>1979</v>
      </c>
      <c r="K197" s="62"/>
    </row>
    <row r="198" spans="1:19" s="62" customFormat="1" ht="13.95" hidden="1" customHeight="1" x14ac:dyDescent="0.25">
      <c r="A198" s="13" t="s">
        <v>261</v>
      </c>
      <c r="B198" s="14">
        <v>43502</v>
      </c>
      <c r="C198" s="13">
        <v>280</v>
      </c>
      <c r="D198" s="13" t="s">
        <v>1501</v>
      </c>
      <c r="E198" s="13" t="s">
        <v>130</v>
      </c>
      <c r="F198" s="4">
        <v>439240</v>
      </c>
      <c r="G198" s="29" t="s">
        <v>1847</v>
      </c>
      <c r="H198" s="14"/>
      <c r="I198" s="4" t="s">
        <v>1502</v>
      </c>
      <c r="J198" s="35"/>
      <c r="O198" s="35"/>
      <c r="P198" s="35"/>
      <c r="Q198" s="35"/>
      <c r="R198" s="35"/>
      <c r="S198" s="35"/>
    </row>
    <row r="199" spans="1:19" s="62" customFormat="1" ht="13.95" hidden="1" customHeight="1" x14ac:dyDescent="0.25">
      <c r="A199" s="13" t="s">
        <v>91</v>
      </c>
      <c r="B199" s="14">
        <v>43502</v>
      </c>
      <c r="C199" s="13">
        <v>281</v>
      </c>
      <c r="D199" s="13" t="s">
        <v>1501</v>
      </c>
      <c r="E199" s="13" t="s">
        <v>130</v>
      </c>
      <c r="F199" s="4">
        <v>456564</v>
      </c>
      <c r="G199" s="29" t="s">
        <v>8502</v>
      </c>
      <c r="H199" s="14"/>
      <c r="I199" s="4" t="s">
        <v>1502</v>
      </c>
      <c r="J199" s="35"/>
      <c r="O199" s="35"/>
      <c r="P199" s="35"/>
      <c r="Q199" s="35"/>
      <c r="R199" s="35"/>
      <c r="S199" s="35"/>
    </row>
    <row r="200" spans="1:19" s="62" customFormat="1" ht="13.95" hidden="1" customHeight="1" x14ac:dyDescent="0.25">
      <c r="A200" s="13" t="s">
        <v>2953</v>
      </c>
      <c r="B200" s="14">
        <v>43502</v>
      </c>
      <c r="C200" s="13">
        <v>282</v>
      </c>
      <c r="D200" s="13" t="s">
        <v>133</v>
      </c>
      <c r="E200" s="13" t="s">
        <v>130</v>
      </c>
      <c r="F200" s="4">
        <v>558140</v>
      </c>
      <c r="G200" s="29" t="s">
        <v>3718</v>
      </c>
      <c r="H200" s="14"/>
      <c r="I200" s="4" t="s">
        <v>1134</v>
      </c>
      <c r="J200" s="71" t="s">
        <v>3719</v>
      </c>
      <c r="O200" s="35"/>
      <c r="P200" s="35"/>
      <c r="Q200" s="35"/>
      <c r="R200" s="35"/>
      <c r="S200" s="35"/>
    </row>
    <row r="201" spans="1:19" s="97" customFormat="1" ht="27.6" hidden="1" x14ac:dyDescent="0.25">
      <c r="A201" s="13" t="s">
        <v>92</v>
      </c>
      <c r="B201" s="14">
        <v>43502</v>
      </c>
      <c r="C201" s="13">
        <v>348</v>
      </c>
      <c r="D201" s="32" t="s">
        <v>3794</v>
      </c>
      <c r="E201" s="13" t="s">
        <v>38</v>
      </c>
      <c r="F201" s="4">
        <v>93177.23</v>
      </c>
      <c r="G201" s="69" t="s">
        <v>1583</v>
      </c>
      <c r="H201" s="14"/>
      <c r="I201" s="41" t="s">
        <v>3795</v>
      </c>
      <c r="J201" s="133"/>
      <c r="K201" s="22"/>
      <c r="L201" s="134"/>
    </row>
    <row r="202" spans="1:19" ht="13.95" hidden="1" customHeight="1" x14ac:dyDescent="0.25">
      <c r="A202" s="68" t="s">
        <v>639</v>
      </c>
      <c r="B202" s="14">
        <v>43502</v>
      </c>
      <c r="C202" s="13">
        <v>150</v>
      </c>
      <c r="D202" s="32" t="s">
        <v>905</v>
      </c>
      <c r="E202" s="32" t="s">
        <v>60</v>
      </c>
      <c r="F202" s="4">
        <v>5500000</v>
      </c>
      <c r="G202" s="86" t="s">
        <v>1120</v>
      </c>
      <c r="H202" s="211"/>
      <c r="I202" s="208" t="s">
        <v>1119</v>
      </c>
      <c r="J202" s="21"/>
      <c r="K202" s="228"/>
    </row>
    <row r="203" spans="1:19" ht="13.95" hidden="1" customHeight="1" x14ac:dyDescent="0.25">
      <c r="A203" s="68" t="s">
        <v>188</v>
      </c>
      <c r="B203" s="14">
        <v>43502</v>
      </c>
      <c r="C203" s="13">
        <v>152</v>
      </c>
      <c r="D203" s="32" t="s">
        <v>1664</v>
      </c>
      <c r="E203" s="32" t="s">
        <v>60</v>
      </c>
      <c r="F203" s="4">
        <v>1256000</v>
      </c>
      <c r="G203" s="86" t="s">
        <v>1059</v>
      </c>
      <c r="H203" s="211"/>
      <c r="I203" s="208" t="s">
        <v>16</v>
      </c>
      <c r="J203" s="21"/>
      <c r="K203" s="228"/>
    </row>
    <row r="204" spans="1:19" ht="13.95" hidden="1" customHeight="1" x14ac:dyDescent="0.25">
      <c r="A204" s="68" t="s">
        <v>261</v>
      </c>
      <c r="B204" s="14">
        <v>43502</v>
      </c>
      <c r="C204" s="13">
        <v>151</v>
      </c>
      <c r="D204" s="32" t="s">
        <v>1664</v>
      </c>
      <c r="E204" s="32" t="s">
        <v>60</v>
      </c>
      <c r="F204" s="4">
        <v>1142470</v>
      </c>
      <c r="G204" s="86" t="s">
        <v>1060</v>
      </c>
      <c r="H204" s="211"/>
      <c r="I204" s="208" t="s">
        <v>16</v>
      </c>
      <c r="J204" s="21"/>
      <c r="K204" s="228"/>
    </row>
    <row r="205" spans="1:19" hidden="1" x14ac:dyDescent="0.25">
      <c r="A205" s="13" t="s">
        <v>103</v>
      </c>
      <c r="B205" s="14">
        <v>43502</v>
      </c>
      <c r="C205" s="28" t="s">
        <v>3146</v>
      </c>
      <c r="D205" s="13" t="s">
        <v>3360</v>
      </c>
      <c r="E205" s="13" t="s">
        <v>62</v>
      </c>
      <c r="F205" s="4">
        <v>195376.84</v>
      </c>
      <c r="G205" s="29" t="s">
        <v>2071</v>
      </c>
      <c r="H205" s="14">
        <v>43500</v>
      </c>
      <c r="I205" s="4" t="s">
        <v>3709</v>
      </c>
      <c r="J205" s="128"/>
    </row>
    <row r="206" spans="1:19" hidden="1" x14ac:dyDescent="0.25">
      <c r="A206" s="13" t="s">
        <v>103</v>
      </c>
      <c r="B206" s="14">
        <v>43502</v>
      </c>
      <c r="C206" s="13">
        <v>192</v>
      </c>
      <c r="D206" s="13" t="s">
        <v>1156</v>
      </c>
      <c r="E206" s="13" t="s">
        <v>62</v>
      </c>
      <c r="F206" s="4">
        <v>161240</v>
      </c>
      <c r="G206" s="29" t="s">
        <v>1388</v>
      </c>
      <c r="H206" s="14">
        <v>43461</v>
      </c>
      <c r="I206" s="4" t="s">
        <v>3178</v>
      </c>
      <c r="J206" s="128"/>
    </row>
    <row r="207" spans="1:19" hidden="1" x14ac:dyDescent="0.25">
      <c r="A207" s="61" t="s">
        <v>103</v>
      </c>
      <c r="B207" s="14">
        <v>43502</v>
      </c>
      <c r="C207" s="13">
        <v>193</v>
      </c>
      <c r="D207" s="13" t="s">
        <v>307</v>
      </c>
      <c r="E207" s="13" t="s">
        <v>62</v>
      </c>
      <c r="F207" s="4">
        <v>200000</v>
      </c>
      <c r="G207" s="29" t="s">
        <v>729</v>
      </c>
      <c r="H207" s="14">
        <v>43479</v>
      </c>
      <c r="I207" s="4" t="s">
        <v>1781</v>
      </c>
      <c r="J207" s="128"/>
    </row>
    <row r="208" spans="1:19" hidden="1" x14ac:dyDescent="0.25">
      <c r="A208" s="61" t="s">
        <v>103</v>
      </c>
      <c r="B208" s="14">
        <v>43502</v>
      </c>
      <c r="C208" s="13">
        <v>194</v>
      </c>
      <c r="D208" s="13" t="s">
        <v>3181</v>
      </c>
      <c r="E208" s="13" t="s">
        <v>62</v>
      </c>
      <c r="F208" s="4">
        <v>440000</v>
      </c>
      <c r="G208" s="29" t="s">
        <v>199</v>
      </c>
      <c r="H208" s="14">
        <v>43479</v>
      </c>
      <c r="I208" s="4" t="s">
        <v>3182</v>
      </c>
      <c r="J208" s="128"/>
    </row>
    <row r="209" spans="1:12" hidden="1" x14ac:dyDescent="0.25">
      <c r="A209" s="61" t="s">
        <v>103</v>
      </c>
      <c r="B209" s="14">
        <v>43502</v>
      </c>
      <c r="C209" s="13">
        <v>195</v>
      </c>
      <c r="D209" s="13" t="s">
        <v>414</v>
      </c>
      <c r="E209" s="13" t="s">
        <v>62</v>
      </c>
      <c r="F209" s="4">
        <v>160000</v>
      </c>
      <c r="G209" s="29" t="s">
        <v>3390</v>
      </c>
      <c r="H209" s="14">
        <v>43480</v>
      </c>
      <c r="I209" s="4" t="s">
        <v>3410</v>
      </c>
      <c r="J209" s="128"/>
    </row>
    <row r="210" spans="1:12" s="2" customFormat="1" hidden="1" x14ac:dyDescent="0.25">
      <c r="A210" s="61" t="s">
        <v>103</v>
      </c>
      <c r="B210" s="14">
        <v>43502</v>
      </c>
      <c r="C210" s="13">
        <v>196</v>
      </c>
      <c r="D210" s="13" t="s">
        <v>3596</v>
      </c>
      <c r="E210" s="13" t="s">
        <v>62</v>
      </c>
      <c r="F210" s="4">
        <v>5840</v>
      </c>
      <c r="G210" s="29" t="s">
        <v>3424</v>
      </c>
      <c r="H210" s="14">
        <v>43495</v>
      </c>
      <c r="I210" s="4" t="s">
        <v>3597</v>
      </c>
      <c r="J210" s="121"/>
      <c r="K210" s="5"/>
    </row>
    <row r="211" spans="1:12" s="2" customFormat="1" hidden="1" x14ac:dyDescent="0.25">
      <c r="A211" s="61" t="s">
        <v>103</v>
      </c>
      <c r="B211" s="14">
        <v>43502</v>
      </c>
      <c r="C211" s="13">
        <v>197</v>
      </c>
      <c r="D211" s="13" t="s">
        <v>1943</v>
      </c>
      <c r="E211" s="13" t="s">
        <v>62</v>
      </c>
      <c r="F211" s="4">
        <v>19000</v>
      </c>
      <c r="G211" s="29" t="s">
        <v>3599</v>
      </c>
      <c r="H211" s="14">
        <v>43495</v>
      </c>
      <c r="I211" s="4" t="s">
        <v>3600</v>
      </c>
      <c r="J211" s="121"/>
      <c r="K211" s="5"/>
    </row>
    <row r="212" spans="1:12" ht="13.95" hidden="1" customHeight="1" x14ac:dyDescent="0.25">
      <c r="A212" s="68" t="s">
        <v>91</v>
      </c>
      <c r="B212" s="14">
        <v>43502</v>
      </c>
      <c r="C212" s="13">
        <v>203</v>
      </c>
      <c r="D212" s="32" t="s">
        <v>1664</v>
      </c>
      <c r="E212" s="32" t="s">
        <v>62</v>
      </c>
      <c r="F212" s="4">
        <v>3750000</v>
      </c>
      <c r="G212" s="86" t="s">
        <v>912</v>
      </c>
      <c r="H212" s="211"/>
      <c r="I212" s="208" t="s">
        <v>16</v>
      </c>
      <c r="J212" s="21"/>
      <c r="K212" s="228"/>
    </row>
    <row r="213" spans="1:12" s="97" customFormat="1" hidden="1" x14ac:dyDescent="0.25">
      <c r="A213" s="211" t="s">
        <v>442</v>
      </c>
      <c r="B213" s="14">
        <v>43502</v>
      </c>
      <c r="C213" s="13">
        <v>202</v>
      </c>
      <c r="D213" s="13" t="s">
        <v>740</v>
      </c>
      <c r="E213" s="218" t="s">
        <v>62</v>
      </c>
      <c r="F213" s="4">
        <f>694390-300000</f>
        <v>394390</v>
      </c>
      <c r="G213" s="70" t="s">
        <v>1990</v>
      </c>
      <c r="H213" s="211">
        <v>43353</v>
      </c>
      <c r="I213" s="4" t="s">
        <v>1991</v>
      </c>
      <c r="J213" s="133"/>
      <c r="K213" s="22"/>
      <c r="L213" s="134"/>
    </row>
    <row r="214" spans="1:12" s="97" customFormat="1" hidden="1" x14ac:dyDescent="0.25">
      <c r="A214" s="13" t="s">
        <v>442</v>
      </c>
      <c r="B214" s="14">
        <v>43502</v>
      </c>
      <c r="C214" s="13">
        <v>202</v>
      </c>
      <c r="D214" s="13" t="s">
        <v>740</v>
      </c>
      <c r="E214" s="13" t="s">
        <v>62</v>
      </c>
      <c r="F214" s="4">
        <v>47100</v>
      </c>
      <c r="G214" s="29" t="s">
        <v>2118</v>
      </c>
      <c r="H214" s="14">
        <v>43369</v>
      </c>
      <c r="I214" s="4" t="s">
        <v>1332</v>
      </c>
      <c r="J214" s="133"/>
      <c r="K214" s="22"/>
      <c r="L214" s="134"/>
    </row>
    <row r="215" spans="1:12" s="97" customFormat="1" hidden="1" x14ac:dyDescent="0.25">
      <c r="A215" s="61" t="s">
        <v>91</v>
      </c>
      <c r="B215" s="14">
        <v>43502</v>
      </c>
      <c r="C215" s="13">
        <v>202</v>
      </c>
      <c r="D215" s="13" t="s">
        <v>740</v>
      </c>
      <c r="E215" s="13" t="s">
        <v>62</v>
      </c>
      <c r="F215" s="4">
        <v>52680</v>
      </c>
      <c r="G215" s="210" t="s">
        <v>2129</v>
      </c>
      <c r="H215" s="211">
        <v>43389</v>
      </c>
      <c r="I215" s="4" t="s">
        <v>245</v>
      </c>
      <c r="J215" s="133"/>
      <c r="K215" s="22"/>
      <c r="L215" s="134"/>
    </row>
    <row r="216" spans="1:12" hidden="1" x14ac:dyDescent="0.25">
      <c r="A216" s="61" t="s">
        <v>92</v>
      </c>
      <c r="B216" s="14">
        <v>43502</v>
      </c>
      <c r="C216" s="13">
        <v>198</v>
      </c>
      <c r="D216" s="13" t="s">
        <v>1739</v>
      </c>
      <c r="E216" s="13" t="s">
        <v>62</v>
      </c>
      <c r="F216" s="4">
        <f>158400-50000</f>
        <v>108400</v>
      </c>
      <c r="G216" s="29" t="s">
        <v>3202</v>
      </c>
      <c r="H216" s="14">
        <v>43459</v>
      </c>
      <c r="I216" s="4" t="s">
        <v>3201</v>
      </c>
      <c r="J216" s="128"/>
    </row>
    <row r="217" spans="1:12" ht="27.6" hidden="1" x14ac:dyDescent="0.25">
      <c r="A217" s="61" t="s">
        <v>3203</v>
      </c>
      <c r="B217" s="14">
        <v>43502</v>
      </c>
      <c r="C217" s="13">
        <v>198</v>
      </c>
      <c r="D217" s="13" t="s">
        <v>1739</v>
      </c>
      <c r="E217" s="13" t="s">
        <v>62</v>
      </c>
      <c r="F217" s="4">
        <v>168000</v>
      </c>
      <c r="G217" s="29" t="s">
        <v>3204</v>
      </c>
      <c r="H217" s="14">
        <v>43460</v>
      </c>
      <c r="I217" s="4" t="s">
        <v>1396</v>
      </c>
      <c r="J217" s="128"/>
    </row>
    <row r="218" spans="1:12" hidden="1" x14ac:dyDescent="0.25">
      <c r="A218" s="61" t="s">
        <v>442</v>
      </c>
      <c r="B218" s="14">
        <v>43502</v>
      </c>
      <c r="C218" s="13">
        <v>199</v>
      </c>
      <c r="D218" s="13" t="s">
        <v>1395</v>
      </c>
      <c r="E218" s="13" t="s">
        <v>62</v>
      </c>
      <c r="F218" s="4">
        <v>30400</v>
      </c>
      <c r="G218" s="29" t="s">
        <v>3383</v>
      </c>
      <c r="H218" s="14">
        <v>43480</v>
      </c>
      <c r="I218" s="4" t="s">
        <v>3381</v>
      </c>
    </row>
    <row r="219" spans="1:12" hidden="1" x14ac:dyDescent="0.25">
      <c r="A219" s="61" t="s">
        <v>442</v>
      </c>
      <c r="B219" s="14">
        <v>43502</v>
      </c>
      <c r="C219" s="13">
        <v>200</v>
      </c>
      <c r="D219" s="13" t="s">
        <v>29</v>
      </c>
      <c r="E219" s="13" t="s">
        <v>62</v>
      </c>
      <c r="F219" s="4">
        <v>372750</v>
      </c>
      <c r="G219" s="29" t="s">
        <v>1569</v>
      </c>
      <c r="H219" s="14">
        <v>43434</v>
      </c>
      <c r="I219" s="4" t="s">
        <v>511</v>
      </c>
    </row>
    <row r="220" spans="1:12" hidden="1" x14ac:dyDescent="0.25">
      <c r="A220" s="61" t="s">
        <v>442</v>
      </c>
      <c r="B220" s="14">
        <v>43502</v>
      </c>
      <c r="C220" s="13">
        <v>201</v>
      </c>
      <c r="D220" s="13" t="s">
        <v>29</v>
      </c>
      <c r="E220" s="13" t="s">
        <v>62</v>
      </c>
      <c r="F220" s="4">
        <v>6750</v>
      </c>
      <c r="G220" s="29" t="s">
        <v>26</v>
      </c>
      <c r="H220" s="14">
        <v>43493</v>
      </c>
      <c r="I220" s="4" t="s">
        <v>87</v>
      </c>
    </row>
    <row r="221" spans="1:12" ht="13.95" hidden="1" customHeight="1" x14ac:dyDescent="0.25">
      <c r="A221" s="68" t="s">
        <v>213</v>
      </c>
      <c r="B221" s="14">
        <v>43502</v>
      </c>
      <c r="C221" s="13">
        <v>172</v>
      </c>
      <c r="D221" s="32" t="s">
        <v>1664</v>
      </c>
      <c r="E221" s="32" t="s">
        <v>808</v>
      </c>
      <c r="F221" s="4">
        <v>3895197.33</v>
      </c>
      <c r="G221" s="86" t="s">
        <v>1048</v>
      </c>
      <c r="H221" s="211"/>
      <c r="I221" s="208" t="s">
        <v>16</v>
      </c>
      <c r="J221" s="21"/>
      <c r="K221" s="228"/>
    </row>
    <row r="222" spans="1:12" s="97" customFormat="1" hidden="1" x14ac:dyDescent="0.25">
      <c r="A222" s="13" t="s">
        <v>1148</v>
      </c>
      <c r="B222" s="14">
        <v>43502</v>
      </c>
      <c r="C222" s="13">
        <v>173</v>
      </c>
      <c r="D222" s="13" t="s">
        <v>1377</v>
      </c>
      <c r="E222" s="13" t="s">
        <v>808</v>
      </c>
      <c r="F222" s="4">
        <v>950000</v>
      </c>
      <c r="G222" s="29" t="s">
        <v>1490</v>
      </c>
      <c r="H222" s="14">
        <v>43453</v>
      </c>
      <c r="I222" s="4" t="s">
        <v>1349</v>
      </c>
      <c r="J222" s="133"/>
      <c r="K222" s="22"/>
      <c r="L222" s="134"/>
    </row>
    <row r="223" spans="1:12" s="97" customFormat="1" hidden="1" x14ac:dyDescent="0.25">
      <c r="A223" s="61" t="s">
        <v>1147</v>
      </c>
      <c r="B223" s="14">
        <v>43502</v>
      </c>
      <c r="C223" s="13">
        <v>174</v>
      </c>
      <c r="D223" s="13" t="s">
        <v>254</v>
      </c>
      <c r="E223" s="13" t="s">
        <v>808</v>
      </c>
      <c r="F223" s="4">
        <v>807099.98</v>
      </c>
      <c r="G223" s="210" t="s">
        <v>2724</v>
      </c>
      <c r="H223" s="211">
        <v>43459</v>
      </c>
      <c r="I223" s="4" t="s">
        <v>777</v>
      </c>
      <c r="J223" s="133"/>
      <c r="K223" s="22"/>
      <c r="L223" s="134"/>
    </row>
    <row r="224" spans="1:12" s="97" customFormat="1" hidden="1" x14ac:dyDescent="0.25">
      <c r="A224" s="13" t="s">
        <v>1316</v>
      </c>
      <c r="B224" s="14">
        <v>43502</v>
      </c>
      <c r="C224" s="13">
        <v>175</v>
      </c>
      <c r="D224" s="13" t="s">
        <v>589</v>
      </c>
      <c r="E224" s="13" t="s">
        <v>808</v>
      </c>
      <c r="F224" s="4">
        <v>836292.6</v>
      </c>
      <c r="G224" s="29" t="s">
        <v>2556</v>
      </c>
      <c r="H224" s="14">
        <v>43448</v>
      </c>
      <c r="I224" s="4" t="s">
        <v>443</v>
      </c>
      <c r="J224" s="133"/>
      <c r="K224" s="22"/>
      <c r="L224" s="134"/>
    </row>
    <row r="225" spans="1:12" s="129" customFormat="1" hidden="1" x14ac:dyDescent="0.25">
      <c r="A225" s="13" t="s">
        <v>659</v>
      </c>
      <c r="B225" s="14">
        <v>43502</v>
      </c>
      <c r="C225" s="28" t="s">
        <v>3813</v>
      </c>
      <c r="D225" s="13" t="s">
        <v>1757</v>
      </c>
      <c r="E225" s="13" t="s">
        <v>808</v>
      </c>
      <c r="F225" s="4">
        <v>100000</v>
      </c>
      <c r="G225" s="28" t="s">
        <v>3224</v>
      </c>
      <c r="H225" s="14">
        <v>43480</v>
      </c>
      <c r="I225" s="4" t="s">
        <v>3334</v>
      </c>
      <c r="J225" s="133"/>
      <c r="K225" s="275"/>
    </row>
    <row r="226" spans="1:12" s="97" customFormat="1" hidden="1" x14ac:dyDescent="0.25">
      <c r="A226" s="13" t="s">
        <v>1316</v>
      </c>
      <c r="B226" s="14">
        <v>43502</v>
      </c>
      <c r="C226" s="13">
        <v>177</v>
      </c>
      <c r="D226" s="13" t="s">
        <v>1032</v>
      </c>
      <c r="E226" s="13" t="s">
        <v>808</v>
      </c>
      <c r="F226" s="4">
        <v>123900</v>
      </c>
      <c r="G226" s="210" t="s">
        <v>3244</v>
      </c>
      <c r="H226" s="211">
        <v>43463</v>
      </c>
      <c r="I226" s="4" t="s">
        <v>142</v>
      </c>
      <c r="J226" s="133"/>
      <c r="K226" s="22"/>
      <c r="L226" s="134"/>
    </row>
    <row r="227" spans="1:12" s="97" customFormat="1" hidden="1" x14ac:dyDescent="0.25">
      <c r="A227" s="61" t="s">
        <v>1147</v>
      </c>
      <c r="B227" s="14">
        <v>43502</v>
      </c>
      <c r="C227" s="13">
        <v>190</v>
      </c>
      <c r="D227" s="13" t="s">
        <v>734</v>
      </c>
      <c r="E227" s="13" t="s">
        <v>808</v>
      </c>
      <c r="F227" s="4">
        <v>6000</v>
      </c>
      <c r="G227" s="29" t="s">
        <v>3225</v>
      </c>
      <c r="H227" s="14">
        <v>43486</v>
      </c>
      <c r="I227" s="4" t="s">
        <v>985</v>
      </c>
      <c r="J227" s="133"/>
      <c r="K227" s="22"/>
      <c r="L227" s="134"/>
    </row>
    <row r="228" spans="1:12" s="97" customFormat="1" hidden="1" x14ac:dyDescent="0.25">
      <c r="A228" s="61" t="s">
        <v>1147</v>
      </c>
      <c r="B228" s="14">
        <v>43502</v>
      </c>
      <c r="C228" s="13">
        <v>190</v>
      </c>
      <c r="D228" s="13" t="s">
        <v>734</v>
      </c>
      <c r="E228" s="13" t="s">
        <v>808</v>
      </c>
      <c r="F228" s="4">
        <v>5570</v>
      </c>
      <c r="G228" s="29" t="s">
        <v>631</v>
      </c>
      <c r="H228" s="14">
        <v>43488</v>
      </c>
      <c r="I228" s="4" t="s">
        <v>985</v>
      </c>
      <c r="J228" s="133"/>
      <c r="K228" s="22"/>
      <c r="L228" s="134"/>
    </row>
    <row r="229" spans="1:12" s="97" customFormat="1" hidden="1" x14ac:dyDescent="0.25">
      <c r="A229" s="61" t="s">
        <v>1148</v>
      </c>
      <c r="B229" s="14">
        <v>43502</v>
      </c>
      <c r="C229" s="13">
        <v>197</v>
      </c>
      <c r="D229" s="13" t="s">
        <v>516</v>
      </c>
      <c r="E229" s="13" t="s">
        <v>808</v>
      </c>
      <c r="F229" s="327">
        <f>44900-889.4</f>
        <v>44010.6</v>
      </c>
      <c r="G229" s="210" t="s">
        <v>2734</v>
      </c>
      <c r="H229" s="211">
        <v>43444</v>
      </c>
      <c r="I229" s="4" t="s">
        <v>2735</v>
      </c>
      <c r="J229" s="133"/>
      <c r="K229" s="22"/>
      <c r="L229" s="134"/>
    </row>
    <row r="230" spans="1:12" s="97" customFormat="1" hidden="1" x14ac:dyDescent="0.25">
      <c r="A230" s="61" t="s">
        <v>1148</v>
      </c>
      <c r="B230" s="14">
        <v>43502</v>
      </c>
      <c r="C230" s="13">
        <v>197</v>
      </c>
      <c r="D230" s="13" t="s">
        <v>516</v>
      </c>
      <c r="E230" s="13" t="s">
        <v>808</v>
      </c>
      <c r="F230" s="4">
        <v>237917.94</v>
      </c>
      <c r="G230" s="29" t="s">
        <v>2736</v>
      </c>
      <c r="H230" s="14">
        <v>43451</v>
      </c>
      <c r="I230" s="4" t="s">
        <v>2737</v>
      </c>
      <c r="J230" s="133"/>
      <c r="K230" s="22"/>
      <c r="L230" s="134"/>
    </row>
    <row r="231" spans="1:12" s="97" customFormat="1" hidden="1" x14ac:dyDescent="0.25">
      <c r="A231" s="13" t="s">
        <v>1316</v>
      </c>
      <c r="B231" s="14">
        <v>43502</v>
      </c>
      <c r="C231" s="13">
        <v>197</v>
      </c>
      <c r="D231" s="13" t="s">
        <v>516</v>
      </c>
      <c r="E231" s="13" t="s">
        <v>808</v>
      </c>
      <c r="F231" s="4">
        <v>14263</v>
      </c>
      <c r="G231" s="29" t="s">
        <v>2738</v>
      </c>
      <c r="H231" s="14">
        <v>43455</v>
      </c>
      <c r="I231" s="4" t="s">
        <v>2739</v>
      </c>
      <c r="J231" s="133"/>
      <c r="K231" s="22"/>
      <c r="L231" s="134"/>
    </row>
    <row r="232" spans="1:12" s="97" customFormat="1" hidden="1" x14ac:dyDescent="0.25">
      <c r="A232" s="13" t="s">
        <v>1316</v>
      </c>
      <c r="B232" s="14">
        <v>43502</v>
      </c>
      <c r="C232" s="13">
        <v>197</v>
      </c>
      <c r="D232" s="13" t="s">
        <v>516</v>
      </c>
      <c r="E232" s="13" t="s">
        <v>808</v>
      </c>
      <c r="F232" s="4">
        <v>20621</v>
      </c>
      <c r="G232" s="29" t="s">
        <v>2740</v>
      </c>
      <c r="H232" s="14">
        <v>43459</v>
      </c>
      <c r="I232" s="4" t="s">
        <v>2741</v>
      </c>
      <c r="J232" s="133"/>
      <c r="K232" s="22"/>
      <c r="L232" s="134"/>
    </row>
    <row r="233" spans="1:12" ht="13.8" hidden="1" customHeight="1" x14ac:dyDescent="0.25">
      <c r="A233" s="32" t="s">
        <v>1147</v>
      </c>
      <c r="B233" s="14">
        <v>43502</v>
      </c>
      <c r="C233" s="13">
        <v>188</v>
      </c>
      <c r="D233" s="32" t="s">
        <v>181</v>
      </c>
      <c r="E233" s="32" t="s">
        <v>808</v>
      </c>
      <c r="F233" s="4">
        <v>11400</v>
      </c>
      <c r="G233" s="29" t="s">
        <v>12</v>
      </c>
      <c r="H233" s="14">
        <v>43489</v>
      </c>
      <c r="I233" s="4" t="s">
        <v>102</v>
      </c>
      <c r="J233" s="21"/>
      <c r="K233" s="228"/>
    </row>
    <row r="234" spans="1:12" ht="13.8" hidden="1" customHeight="1" x14ac:dyDescent="0.25">
      <c r="A234" s="32" t="s">
        <v>1148</v>
      </c>
      <c r="B234" s="14">
        <v>43502</v>
      </c>
      <c r="C234" s="13">
        <v>188</v>
      </c>
      <c r="D234" s="32" t="s">
        <v>181</v>
      </c>
      <c r="E234" s="32" t="s">
        <v>808</v>
      </c>
      <c r="F234" s="4">
        <v>54000</v>
      </c>
      <c r="G234" s="29" t="s">
        <v>64</v>
      </c>
      <c r="H234" s="14">
        <v>43489</v>
      </c>
      <c r="I234" s="4" t="s">
        <v>102</v>
      </c>
      <c r="J234" s="21"/>
      <c r="K234" s="228"/>
    </row>
    <row r="235" spans="1:12" ht="13.8" hidden="1" customHeight="1" x14ac:dyDescent="0.25">
      <c r="A235" s="32" t="s">
        <v>1149</v>
      </c>
      <c r="B235" s="14">
        <v>43502</v>
      </c>
      <c r="C235" s="13">
        <v>188</v>
      </c>
      <c r="D235" s="32" t="s">
        <v>181</v>
      </c>
      <c r="E235" s="32" t="s">
        <v>808</v>
      </c>
      <c r="F235" s="4">
        <v>18000</v>
      </c>
      <c r="G235" s="29" t="s">
        <v>13</v>
      </c>
      <c r="H235" s="14">
        <v>43489</v>
      </c>
      <c r="I235" s="4" t="s">
        <v>102</v>
      </c>
      <c r="J235" s="21"/>
      <c r="K235" s="228"/>
    </row>
    <row r="236" spans="1:12" hidden="1" x14ac:dyDescent="0.25">
      <c r="A236" s="32" t="s">
        <v>1147</v>
      </c>
      <c r="B236" s="14">
        <v>43502</v>
      </c>
      <c r="C236" s="13">
        <v>189</v>
      </c>
      <c r="D236" s="13" t="s">
        <v>2278</v>
      </c>
      <c r="E236" s="13" t="s">
        <v>808</v>
      </c>
      <c r="F236" s="4">
        <v>3280.02</v>
      </c>
      <c r="G236" s="28" t="s">
        <v>3208</v>
      </c>
      <c r="H236" s="14">
        <v>43475</v>
      </c>
      <c r="I236" s="4" t="s">
        <v>2696</v>
      </c>
      <c r="J236" s="128"/>
    </row>
    <row r="237" spans="1:12" hidden="1" x14ac:dyDescent="0.25">
      <c r="A237" s="61" t="s">
        <v>1148</v>
      </c>
      <c r="B237" s="14">
        <v>43502</v>
      </c>
      <c r="C237" s="13">
        <v>189</v>
      </c>
      <c r="D237" s="13" t="s">
        <v>2278</v>
      </c>
      <c r="E237" s="13" t="s">
        <v>808</v>
      </c>
      <c r="F237" s="4">
        <v>780</v>
      </c>
      <c r="G237" s="29" t="s">
        <v>3595</v>
      </c>
      <c r="H237" s="14">
        <v>43487</v>
      </c>
      <c r="I237" s="4" t="s">
        <v>3537</v>
      </c>
      <c r="J237" s="128"/>
    </row>
    <row r="238" spans="1:12" hidden="1" x14ac:dyDescent="0.25">
      <c r="A238" s="61" t="s">
        <v>1148</v>
      </c>
      <c r="B238" s="14">
        <v>43502</v>
      </c>
      <c r="C238" s="13">
        <v>178</v>
      </c>
      <c r="D238" s="13" t="s">
        <v>447</v>
      </c>
      <c r="E238" s="13" t="s">
        <v>808</v>
      </c>
      <c r="F238" s="4">
        <v>213000</v>
      </c>
      <c r="G238" s="29" t="s">
        <v>3207</v>
      </c>
      <c r="H238" s="14">
        <v>43465</v>
      </c>
      <c r="I238" s="4" t="s">
        <v>1328</v>
      </c>
      <c r="J238" s="128"/>
    </row>
    <row r="239" spans="1:12" hidden="1" x14ac:dyDescent="0.25">
      <c r="A239" s="61" t="s">
        <v>1148</v>
      </c>
      <c r="B239" s="14">
        <v>43502</v>
      </c>
      <c r="C239" s="13">
        <v>179</v>
      </c>
      <c r="D239" s="13" t="s">
        <v>1130</v>
      </c>
      <c r="E239" s="13" t="s">
        <v>808</v>
      </c>
      <c r="F239" s="4">
        <v>35400</v>
      </c>
      <c r="G239" s="210" t="s">
        <v>3212</v>
      </c>
      <c r="H239" s="211">
        <v>43481</v>
      </c>
      <c r="I239" s="4" t="s">
        <v>1131</v>
      </c>
      <c r="J239" s="128"/>
    </row>
    <row r="240" spans="1:12" hidden="1" x14ac:dyDescent="0.25">
      <c r="A240" s="61" t="s">
        <v>1148</v>
      </c>
      <c r="B240" s="14">
        <v>43502</v>
      </c>
      <c r="C240" s="13">
        <v>180</v>
      </c>
      <c r="D240" s="13" t="s">
        <v>1099</v>
      </c>
      <c r="E240" s="13" t="s">
        <v>808</v>
      </c>
      <c r="F240" s="4">
        <v>17139</v>
      </c>
      <c r="G240" s="29" t="s">
        <v>2110</v>
      </c>
      <c r="H240" s="14">
        <v>43404</v>
      </c>
      <c r="I240" s="4" t="s">
        <v>461</v>
      </c>
    </row>
    <row r="241" spans="1:10" hidden="1" x14ac:dyDescent="0.25">
      <c r="A241" s="61" t="s">
        <v>1147</v>
      </c>
      <c r="B241" s="14">
        <v>43502</v>
      </c>
      <c r="C241" s="13">
        <v>193</v>
      </c>
      <c r="D241" s="13" t="s">
        <v>515</v>
      </c>
      <c r="E241" s="13" t="s">
        <v>808</v>
      </c>
      <c r="F241" s="4">
        <v>150000</v>
      </c>
      <c r="G241" s="29" t="s">
        <v>173</v>
      </c>
      <c r="H241" s="14">
        <v>43456</v>
      </c>
      <c r="I241" s="4" t="s">
        <v>2661</v>
      </c>
    </row>
    <row r="242" spans="1:10" hidden="1" x14ac:dyDescent="0.25">
      <c r="A242" s="61" t="s">
        <v>1148</v>
      </c>
      <c r="B242" s="14">
        <v>43502</v>
      </c>
      <c r="C242" s="13">
        <v>194</v>
      </c>
      <c r="D242" s="13" t="s">
        <v>447</v>
      </c>
      <c r="E242" s="13" t="s">
        <v>808</v>
      </c>
      <c r="F242" s="4">
        <f>265200-100000-50000</f>
        <v>115200</v>
      </c>
      <c r="G242" s="29" t="s">
        <v>1342</v>
      </c>
      <c r="H242" s="14">
        <v>43434</v>
      </c>
      <c r="I242" s="4" t="s">
        <v>95</v>
      </c>
    </row>
    <row r="243" spans="1:10" hidden="1" x14ac:dyDescent="0.25">
      <c r="A243" s="61" t="s">
        <v>2320</v>
      </c>
      <c r="B243" s="14">
        <v>43502</v>
      </c>
      <c r="C243" s="13">
        <v>181</v>
      </c>
      <c r="D243" s="13" t="s">
        <v>3720</v>
      </c>
      <c r="E243" s="13" t="s">
        <v>808</v>
      </c>
      <c r="F243" s="4">
        <v>150000</v>
      </c>
      <c r="G243" s="29" t="s">
        <v>3011</v>
      </c>
      <c r="H243" s="14">
        <v>43482</v>
      </c>
      <c r="I243" s="4" t="s">
        <v>263</v>
      </c>
      <c r="J243" s="22" t="s">
        <v>3721</v>
      </c>
    </row>
    <row r="244" spans="1:10" hidden="1" x14ac:dyDescent="0.25">
      <c r="A244" s="61" t="s">
        <v>261</v>
      </c>
      <c r="B244" s="14">
        <v>43502</v>
      </c>
      <c r="C244" s="13">
        <v>182</v>
      </c>
      <c r="D244" s="13" t="s">
        <v>1690</v>
      </c>
      <c r="E244" s="13" t="s">
        <v>808</v>
      </c>
      <c r="F244" s="4">
        <v>34000</v>
      </c>
      <c r="G244" s="29" t="s">
        <v>3119</v>
      </c>
      <c r="H244" s="14">
        <v>43474</v>
      </c>
      <c r="I244" s="4" t="s">
        <v>1301</v>
      </c>
    </row>
    <row r="245" spans="1:10" hidden="1" x14ac:dyDescent="0.25">
      <c r="A245" s="13" t="s">
        <v>1316</v>
      </c>
      <c r="B245" s="14">
        <v>43502</v>
      </c>
      <c r="C245" s="13">
        <v>196</v>
      </c>
      <c r="D245" s="13" t="s">
        <v>282</v>
      </c>
      <c r="E245" s="13" t="s">
        <v>808</v>
      </c>
      <c r="F245" s="4">
        <v>715</v>
      </c>
      <c r="G245" s="28" t="s">
        <v>1567</v>
      </c>
      <c r="H245" s="14">
        <v>43482</v>
      </c>
      <c r="I245" s="4" t="s">
        <v>283</v>
      </c>
    </row>
    <row r="246" spans="1:10" hidden="1" x14ac:dyDescent="0.25">
      <c r="A246" s="61" t="s">
        <v>1148</v>
      </c>
      <c r="B246" s="14">
        <v>43502</v>
      </c>
      <c r="C246" s="13">
        <v>196</v>
      </c>
      <c r="D246" s="13" t="s">
        <v>282</v>
      </c>
      <c r="E246" s="13" t="s">
        <v>808</v>
      </c>
      <c r="F246" s="4">
        <v>5720</v>
      </c>
      <c r="G246" s="29" t="s">
        <v>3575</v>
      </c>
      <c r="H246" s="14">
        <v>43482</v>
      </c>
      <c r="I246" s="4" t="s">
        <v>283</v>
      </c>
    </row>
    <row r="247" spans="1:10" hidden="1" x14ac:dyDescent="0.25">
      <c r="A247" s="61" t="s">
        <v>1148</v>
      </c>
      <c r="B247" s="14">
        <v>43502</v>
      </c>
      <c r="C247" s="13">
        <v>196</v>
      </c>
      <c r="D247" s="13" t="s">
        <v>282</v>
      </c>
      <c r="E247" s="13" t="s">
        <v>808</v>
      </c>
      <c r="F247" s="4">
        <v>5005</v>
      </c>
      <c r="G247" s="29" t="s">
        <v>3578</v>
      </c>
      <c r="H247" s="14">
        <v>43489</v>
      </c>
      <c r="I247" s="4" t="s">
        <v>283</v>
      </c>
    </row>
    <row r="248" spans="1:10" hidden="1" x14ac:dyDescent="0.25">
      <c r="A248" s="61" t="s">
        <v>1316</v>
      </c>
      <c r="B248" s="14">
        <v>43502</v>
      </c>
      <c r="C248" s="13">
        <v>196</v>
      </c>
      <c r="D248" s="13" t="s">
        <v>282</v>
      </c>
      <c r="E248" s="13" t="s">
        <v>808</v>
      </c>
      <c r="F248" s="4">
        <v>715</v>
      </c>
      <c r="G248" s="29" t="s">
        <v>3579</v>
      </c>
      <c r="H248" s="14">
        <v>43489</v>
      </c>
      <c r="I248" s="4" t="s">
        <v>283</v>
      </c>
    </row>
    <row r="249" spans="1:10" hidden="1" x14ac:dyDescent="0.25">
      <c r="A249" s="13" t="s">
        <v>1148</v>
      </c>
      <c r="B249" s="14">
        <v>43502</v>
      </c>
      <c r="C249" s="13">
        <v>183</v>
      </c>
      <c r="D249" s="13" t="s">
        <v>1431</v>
      </c>
      <c r="E249" s="13" t="s">
        <v>808</v>
      </c>
      <c r="F249" s="4">
        <v>111000</v>
      </c>
      <c r="G249" s="29" t="s">
        <v>1380</v>
      </c>
      <c r="H249" s="14">
        <v>43431</v>
      </c>
      <c r="I249" s="4" t="s">
        <v>1061</v>
      </c>
    </row>
    <row r="250" spans="1:10" hidden="1" x14ac:dyDescent="0.25">
      <c r="A250" s="61" t="s">
        <v>1147</v>
      </c>
      <c r="B250" s="14">
        <v>43502</v>
      </c>
      <c r="C250" s="13">
        <v>195</v>
      </c>
      <c r="D250" s="13" t="s">
        <v>1395</v>
      </c>
      <c r="E250" s="13" t="s">
        <v>808</v>
      </c>
      <c r="F250" s="4">
        <v>34200</v>
      </c>
      <c r="G250" s="29" t="s">
        <v>191</v>
      </c>
      <c r="H250" s="14">
        <v>43480</v>
      </c>
      <c r="I250" s="4" t="s">
        <v>3378</v>
      </c>
    </row>
    <row r="251" spans="1:10" hidden="1" x14ac:dyDescent="0.25">
      <c r="A251" s="32" t="s">
        <v>1147</v>
      </c>
      <c r="B251" s="14">
        <v>43502</v>
      </c>
      <c r="C251" s="13">
        <v>195</v>
      </c>
      <c r="D251" s="13" t="s">
        <v>1395</v>
      </c>
      <c r="E251" s="13" t="s">
        <v>808</v>
      </c>
      <c r="F251" s="4">
        <v>19400</v>
      </c>
      <c r="G251" s="28" t="s">
        <v>18</v>
      </c>
      <c r="H251" s="14">
        <v>43482</v>
      </c>
      <c r="I251" s="4" t="s">
        <v>3583</v>
      </c>
    </row>
    <row r="252" spans="1:10" hidden="1" x14ac:dyDescent="0.25">
      <c r="A252" s="68" t="s">
        <v>1149</v>
      </c>
      <c r="B252" s="14">
        <v>43502</v>
      </c>
      <c r="C252" s="13">
        <v>195</v>
      </c>
      <c r="D252" s="13" t="s">
        <v>1395</v>
      </c>
      <c r="E252" s="13" t="s">
        <v>808</v>
      </c>
      <c r="F252" s="4">
        <v>38000</v>
      </c>
      <c r="G252" s="28" t="s">
        <v>3281</v>
      </c>
      <c r="H252" s="14">
        <v>43483</v>
      </c>
      <c r="I252" s="4" t="s">
        <v>3583</v>
      </c>
    </row>
    <row r="253" spans="1:10" hidden="1" x14ac:dyDescent="0.25">
      <c r="A253" s="68" t="s">
        <v>1148</v>
      </c>
      <c r="B253" s="14">
        <v>43502</v>
      </c>
      <c r="C253" s="13">
        <v>195</v>
      </c>
      <c r="D253" s="13" t="s">
        <v>1395</v>
      </c>
      <c r="E253" s="13" t="s">
        <v>808</v>
      </c>
      <c r="F253" s="4">
        <v>45600</v>
      </c>
      <c r="G253" s="28" t="s">
        <v>3512</v>
      </c>
      <c r="H253" s="14">
        <v>43483</v>
      </c>
      <c r="I253" s="4" t="s">
        <v>3583</v>
      </c>
    </row>
    <row r="254" spans="1:10" hidden="1" x14ac:dyDescent="0.25">
      <c r="A254" s="61" t="s">
        <v>1148</v>
      </c>
      <c r="B254" s="14">
        <v>43502</v>
      </c>
      <c r="C254" s="13">
        <v>195</v>
      </c>
      <c r="D254" s="13" t="s">
        <v>1395</v>
      </c>
      <c r="E254" s="13" t="s">
        <v>808</v>
      </c>
      <c r="F254" s="4">
        <v>64600</v>
      </c>
      <c r="G254" s="29" t="s">
        <v>714</v>
      </c>
      <c r="H254" s="14">
        <v>43486</v>
      </c>
      <c r="I254" s="4" t="s">
        <v>3584</v>
      </c>
    </row>
    <row r="255" spans="1:10" hidden="1" x14ac:dyDescent="0.25">
      <c r="A255" s="61" t="s">
        <v>1147</v>
      </c>
      <c r="B255" s="14">
        <v>43502</v>
      </c>
      <c r="C255" s="13">
        <v>195</v>
      </c>
      <c r="D255" s="13" t="s">
        <v>1395</v>
      </c>
      <c r="E255" s="13" t="s">
        <v>808</v>
      </c>
      <c r="F255" s="4">
        <v>49400</v>
      </c>
      <c r="G255" s="29" t="s">
        <v>1662</v>
      </c>
      <c r="H255" s="14">
        <v>43486</v>
      </c>
      <c r="I255" s="4" t="s">
        <v>3585</v>
      </c>
    </row>
    <row r="256" spans="1:10" ht="41.4" hidden="1" x14ac:dyDescent="0.25">
      <c r="A256" s="61" t="s">
        <v>2516</v>
      </c>
      <c r="B256" s="14">
        <v>43502</v>
      </c>
      <c r="C256" s="13">
        <v>184</v>
      </c>
      <c r="D256" s="13" t="s">
        <v>80</v>
      </c>
      <c r="E256" s="13" t="s">
        <v>808</v>
      </c>
      <c r="F256" s="4">
        <v>200000</v>
      </c>
      <c r="G256" s="29" t="s">
        <v>2517</v>
      </c>
      <c r="H256" s="14">
        <v>43448</v>
      </c>
      <c r="I256" s="4" t="s">
        <v>2518</v>
      </c>
    </row>
    <row r="257" spans="1:16" ht="41.4" hidden="1" x14ac:dyDescent="0.25">
      <c r="A257" s="61" t="s">
        <v>3593</v>
      </c>
      <c r="B257" s="14">
        <v>43502</v>
      </c>
      <c r="C257" s="13">
        <v>185</v>
      </c>
      <c r="D257" s="13" t="s">
        <v>2047</v>
      </c>
      <c r="E257" s="13" t="s">
        <v>808</v>
      </c>
      <c r="F257" s="4">
        <v>43350</v>
      </c>
      <c r="G257" s="29" t="s">
        <v>3142</v>
      </c>
      <c r="H257" s="14">
        <v>43487</v>
      </c>
      <c r="I257" s="4" t="s">
        <v>95</v>
      </c>
    </row>
    <row r="258" spans="1:16" hidden="1" x14ac:dyDescent="0.25">
      <c r="A258" s="13" t="s">
        <v>1147</v>
      </c>
      <c r="B258" s="14">
        <v>43502</v>
      </c>
      <c r="C258" s="13">
        <v>191</v>
      </c>
      <c r="D258" s="13" t="s">
        <v>764</v>
      </c>
      <c r="E258" s="13" t="s">
        <v>808</v>
      </c>
      <c r="F258" s="4">
        <v>16500</v>
      </c>
      <c r="G258" s="29" t="s">
        <v>2673</v>
      </c>
      <c r="H258" s="14">
        <v>43451</v>
      </c>
      <c r="I258" s="4" t="s">
        <v>2674</v>
      </c>
    </row>
    <row r="259" spans="1:16" hidden="1" x14ac:dyDescent="0.25">
      <c r="A259" s="32" t="s">
        <v>1147</v>
      </c>
      <c r="B259" s="14">
        <v>43502</v>
      </c>
      <c r="C259" s="13">
        <v>191</v>
      </c>
      <c r="D259" s="13" t="s">
        <v>764</v>
      </c>
      <c r="E259" s="13" t="s">
        <v>808</v>
      </c>
      <c r="F259" s="4">
        <v>209875</v>
      </c>
      <c r="G259" s="28" t="s">
        <v>1694</v>
      </c>
      <c r="H259" s="14">
        <v>43453</v>
      </c>
      <c r="I259" s="4" t="s">
        <v>511</v>
      </c>
    </row>
    <row r="260" spans="1:16" hidden="1" x14ac:dyDescent="0.25">
      <c r="A260" s="61" t="s">
        <v>1148</v>
      </c>
      <c r="B260" s="14">
        <v>43502</v>
      </c>
      <c r="C260" s="13">
        <v>192</v>
      </c>
      <c r="D260" s="13" t="s">
        <v>692</v>
      </c>
      <c r="E260" s="13" t="s">
        <v>808</v>
      </c>
      <c r="F260" s="4">
        <v>119625</v>
      </c>
      <c r="G260" s="210" t="s">
        <v>1564</v>
      </c>
      <c r="H260" s="211">
        <v>43409</v>
      </c>
      <c r="I260" s="4" t="s">
        <v>164</v>
      </c>
    </row>
    <row r="261" spans="1:16" ht="27.6" hidden="1" x14ac:dyDescent="0.25">
      <c r="A261" s="61" t="s">
        <v>1806</v>
      </c>
      <c r="B261" s="14">
        <v>43502</v>
      </c>
      <c r="C261" s="13">
        <v>192</v>
      </c>
      <c r="D261" s="13" t="s">
        <v>692</v>
      </c>
      <c r="E261" s="13" t="s">
        <v>808</v>
      </c>
      <c r="F261" s="4">
        <v>199375</v>
      </c>
      <c r="G261" s="210" t="s">
        <v>1415</v>
      </c>
      <c r="H261" s="211">
        <v>43424</v>
      </c>
      <c r="I261" s="4" t="s">
        <v>419</v>
      </c>
    </row>
    <row r="262" spans="1:16" hidden="1" x14ac:dyDescent="0.25">
      <c r="A262" s="61" t="s">
        <v>1148</v>
      </c>
      <c r="B262" s="14">
        <v>43502</v>
      </c>
      <c r="C262" s="13">
        <v>186</v>
      </c>
      <c r="D262" s="13" t="s">
        <v>862</v>
      </c>
      <c r="E262" s="13" t="s">
        <v>808</v>
      </c>
      <c r="F262" s="4">
        <v>14375</v>
      </c>
      <c r="G262" s="29" t="s">
        <v>3170</v>
      </c>
      <c r="H262" s="14">
        <v>43458</v>
      </c>
      <c r="I262" s="4" t="s">
        <v>354</v>
      </c>
    </row>
    <row r="263" spans="1:16" hidden="1" x14ac:dyDescent="0.25">
      <c r="A263" s="61" t="s">
        <v>1148</v>
      </c>
      <c r="B263" s="14">
        <v>43502</v>
      </c>
      <c r="C263" s="13">
        <v>187</v>
      </c>
      <c r="D263" s="13" t="s">
        <v>149</v>
      </c>
      <c r="E263" s="13" t="s">
        <v>808</v>
      </c>
      <c r="F263" s="4">
        <v>14000</v>
      </c>
      <c r="G263" s="29" t="s">
        <v>3397</v>
      </c>
      <c r="H263" s="14">
        <v>43465</v>
      </c>
      <c r="I263" s="4" t="s">
        <v>3396</v>
      </c>
    </row>
    <row r="264" spans="1:16" hidden="1" x14ac:dyDescent="0.25">
      <c r="A264" s="13" t="s">
        <v>637</v>
      </c>
      <c r="B264" s="126">
        <v>43502</v>
      </c>
      <c r="C264" s="13">
        <v>87</v>
      </c>
      <c r="D264" s="13" t="s">
        <v>1664</v>
      </c>
      <c r="E264" s="13" t="s">
        <v>691</v>
      </c>
      <c r="F264" s="4">
        <v>3000000</v>
      </c>
      <c r="G264" s="29" t="s">
        <v>1665</v>
      </c>
      <c r="H264" s="14"/>
      <c r="I264" s="4" t="s">
        <v>16</v>
      </c>
      <c r="J264" s="62"/>
      <c r="K264" s="62"/>
      <c r="L264" s="35"/>
      <c r="M264" s="35"/>
      <c r="N264" s="35"/>
      <c r="O264" s="35"/>
      <c r="P264" s="35"/>
    </row>
    <row r="265" spans="1:16" s="97" customFormat="1" hidden="1" x14ac:dyDescent="0.25">
      <c r="A265" s="14" t="s">
        <v>1807</v>
      </c>
      <c r="B265" s="126">
        <v>43502</v>
      </c>
      <c r="C265" s="13">
        <v>88</v>
      </c>
      <c r="D265" s="218" t="s">
        <v>982</v>
      </c>
      <c r="E265" s="218" t="s">
        <v>691</v>
      </c>
      <c r="F265" s="4">
        <v>500000</v>
      </c>
      <c r="G265" s="29" t="s">
        <v>1450</v>
      </c>
      <c r="H265" s="14">
        <v>42753</v>
      </c>
      <c r="I265" s="32" t="s">
        <v>216</v>
      </c>
      <c r="J265" s="133"/>
      <c r="K265" s="22"/>
      <c r="L265" s="134"/>
    </row>
    <row r="266" spans="1:16" s="97" customFormat="1" hidden="1" x14ac:dyDescent="0.25">
      <c r="A266" s="13" t="s">
        <v>1255</v>
      </c>
      <c r="B266" s="126">
        <v>43502</v>
      </c>
      <c r="C266" s="13">
        <v>89</v>
      </c>
      <c r="D266" s="13" t="s">
        <v>590</v>
      </c>
      <c r="E266" s="13" t="s">
        <v>691</v>
      </c>
      <c r="F266" s="4">
        <v>1000000</v>
      </c>
      <c r="G266" s="29" t="s">
        <v>1323</v>
      </c>
      <c r="H266" s="14">
        <v>42746</v>
      </c>
      <c r="I266" s="4" t="s">
        <v>159</v>
      </c>
      <c r="J266" s="133"/>
      <c r="K266" s="22"/>
      <c r="L266" s="134"/>
    </row>
    <row r="267" spans="1:16" s="97" customFormat="1" hidden="1" x14ac:dyDescent="0.25">
      <c r="A267" s="32" t="s">
        <v>1350</v>
      </c>
      <c r="B267" s="126">
        <v>43502</v>
      </c>
      <c r="C267" s="13">
        <v>90</v>
      </c>
      <c r="D267" s="13" t="s">
        <v>276</v>
      </c>
      <c r="E267" s="13" t="s">
        <v>691</v>
      </c>
      <c r="F267" s="4">
        <v>4050</v>
      </c>
      <c r="G267" s="28" t="s">
        <v>2553</v>
      </c>
      <c r="H267" s="14">
        <v>43447</v>
      </c>
      <c r="I267" s="4" t="s">
        <v>2554</v>
      </c>
      <c r="J267" s="133"/>
      <c r="K267" s="22"/>
      <c r="L267" s="134"/>
    </row>
    <row r="268" spans="1:16" s="97" customFormat="1" hidden="1" x14ac:dyDescent="0.25">
      <c r="A268" s="32" t="s">
        <v>1350</v>
      </c>
      <c r="B268" s="126">
        <v>43502</v>
      </c>
      <c r="C268" s="13">
        <v>90</v>
      </c>
      <c r="D268" s="13" t="s">
        <v>276</v>
      </c>
      <c r="E268" s="13" t="s">
        <v>691</v>
      </c>
      <c r="F268" s="4">
        <v>292550</v>
      </c>
      <c r="G268" s="29" t="s">
        <v>302</v>
      </c>
      <c r="H268" s="14">
        <v>43452</v>
      </c>
      <c r="I268" s="4" t="s">
        <v>449</v>
      </c>
      <c r="J268" s="133"/>
      <c r="K268" s="22"/>
      <c r="L268" s="134"/>
    </row>
    <row r="269" spans="1:16" s="97" customFormat="1" hidden="1" x14ac:dyDescent="0.25">
      <c r="A269" s="32" t="s">
        <v>659</v>
      </c>
      <c r="B269" s="126">
        <v>43502</v>
      </c>
      <c r="C269" s="13">
        <v>91</v>
      </c>
      <c r="D269" s="13" t="s">
        <v>243</v>
      </c>
      <c r="E269" s="13" t="s">
        <v>691</v>
      </c>
      <c r="F269" s="4">
        <v>600000</v>
      </c>
      <c r="G269" s="28" t="s">
        <v>2828</v>
      </c>
      <c r="H269" s="14">
        <v>43430</v>
      </c>
      <c r="I269" s="4" t="s">
        <v>1876</v>
      </c>
      <c r="J269" s="133"/>
      <c r="K269" s="22"/>
      <c r="L269" s="134"/>
    </row>
    <row r="270" spans="1:16" s="97" customFormat="1" hidden="1" x14ac:dyDescent="0.25">
      <c r="A270" s="14" t="s">
        <v>1350</v>
      </c>
      <c r="B270" s="126">
        <v>43502</v>
      </c>
      <c r="C270" s="13">
        <v>92</v>
      </c>
      <c r="D270" s="13" t="s">
        <v>448</v>
      </c>
      <c r="E270" s="13" t="s">
        <v>691</v>
      </c>
      <c r="F270" s="4">
        <f>328233-90000-100000</f>
        <v>138233</v>
      </c>
      <c r="G270" s="29" t="s">
        <v>2314</v>
      </c>
      <c r="H270" s="14">
        <v>43418</v>
      </c>
      <c r="I270" s="4" t="s">
        <v>63</v>
      </c>
      <c r="J270" s="133"/>
      <c r="K270" s="22"/>
      <c r="L270" s="134"/>
    </row>
    <row r="271" spans="1:16" s="97" customFormat="1" hidden="1" x14ac:dyDescent="0.25">
      <c r="A271" s="32" t="s">
        <v>1350</v>
      </c>
      <c r="B271" s="126">
        <v>43502</v>
      </c>
      <c r="C271" s="13">
        <v>92</v>
      </c>
      <c r="D271" s="13" t="s">
        <v>448</v>
      </c>
      <c r="E271" s="13" t="s">
        <v>691</v>
      </c>
      <c r="F271" s="4">
        <v>40120</v>
      </c>
      <c r="G271" s="28" t="s">
        <v>3452</v>
      </c>
      <c r="H271" s="14">
        <v>43441</v>
      </c>
      <c r="I271" s="4" t="s">
        <v>63</v>
      </c>
      <c r="J271" s="133"/>
      <c r="K271" s="22"/>
      <c r="L271" s="134"/>
    </row>
    <row r="272" spans="1:16" s="97" customFormat="1" ht="19.2" hidden="1" customHeight="1" x14ac:dyDescent="0.25">
      <c r="A272" s="13" t="s">
        <v>637</v>
      </c>
      <c r="B272" s="126">
        <v>43502</v>
      </c>
      <c r="C272" s="13">
        <v>93</v>
      </c>
      <c r="D272" s="13" t="s">
        <v>1491</v>
      </c>
      <c r="E272" s="13" t="s">
        <v>691</v>
      </c>
      <c r="F272" s="4">
        <f>1152596.16-200000-100000-200000-100000</f>
        <v>552596.15999999992</v>
      </c>
      <c r="G272" s="29" t="s">
        <v>2649</v>
      </c>
      <c r="H272" s="14">
        <v>43444</v>
      </c>
      <c r="I272" s="4" t="s">
        <v>2650</v>
      </c>
      <c r="J272" s="133"/>
      <c r="K272" s="22"/>
      <c r="L272" s="134"/>
    </row>
    <row r="273" spans="1:12" s="97" customFormat="1" hidden="1" x14ac:dyDescent="0.25">
      <c r="A273" s="61" t="s">
        <v>637</v>
      </c>
      <c r="B273" s="126">
        <v>43502</v>
      </c>
      <c r="C273" s="13">
        <v>94</v>
      </c>
      <c r="D273" s="13" t="s">
        <v>1491</v>
      </c>
      <c r="E273" s="13" t="s">
        <v>691</v>
      </c>
      <c r="F273" s="4">
        <v>90491</v>
      </c>
      <c r="G273" s="210" t="s">
        <v>2744</v>
      </c>
      <c r="H273" s="211">
        <v>43459</v>
      </c>
      <c r="I273" s="4" t="s">
        <v>1268</v>
      </c>
      <c r="J273" s="133"/>
      <c r="K273" s="22"/>
      <c r="L273" s="134"/>
    </row>
    <row r="274" spans="1:12" s="97" customFormat="1" hidden="1" x14ac:dyDescent="0.25">
      <c r="A274" s="61" t="s">
        <v>1350</v>
      </c>
      <c r="B274" s="126">
        <v>43502</v>
      </c>
      <c r="C274" s="13">
        <v>95</v>
      </c>
      <c r="D274" s="13" t="s">
        <v>516</v>
      </c>
      <c r="E274" s="13" t="s">
        <v>691</v>
      </c>
      <c r="F274" s="4">
        <v>36460</v>
      </c>
      <c r="G274" s="210" t="s">
        <v>2732</v>
      </c>
      <c r="H274" s="211">
        <v>43439</v>
      </c>
      <c r="I274" s="4" t="s">
        <v>2733</v>
      </c>
      <c r="J274" s="133"/>
      <c r="K274" s="22"/>
      <c r="L274" s="134"/>
    </row>
    <row r="275" spans="1:12" hidden="1" x14ac:dyDescent="0.25">
      <c r="A275" s="61" t="s">
        <v>637</v>
      </c>
      <c r="B275" s="126">
        <v>43502</v>
      </c>
      <c r="C275" s="13">
        <v>96</v>
      </c>
      <c r="D275" s="13" t="s">
        <v>3415</v>
      </c>
      <c r="E275" s="13" t="s">
        <v>691</v>
      </c>
      <c r="F275" s="4">
        <v>38500</v>
      </c>
      <c r="G275" s="29" t="s">
        <v>3416</v>
      </c>
      <c r="H275" s="14">
        <v>43465</v>
      </c>
      <c r="I275" s="4" t="s">
        <v>1328</v>
      </c>
      <c r="J275" s="128"/>
    </row>
    <row r="276" spans="1:12" hidden="1" x14ac:dyDescent="0.25">
      <c r="A276" s="61" t="s">
        <v>1350</v>
      </c>
      <c r="B276" s="126">
        <v>43502</v>
      </c>
      <c r="C276" s="13">
        <v>97</v>
      </c>
      <c r="D276" s="13" t="s">
        <v>944</v>
      </c>
      <c r="E276" s="13" t="s">
        <v>691</v>
      </c>
      <c r="F276" s="4">
        <v>220500</v>
      </c>
      <c r="G276" s="29" t="s">
        <v>2255</v>
      </c>
      <c r="H276" s="14">
        <v>43430</v>
      </c>
      <c r="I276" s="4" t="s">
        <v>402</v>
      </c>
    </row>
    <row r="277" spans="1:12" hidden="1" x14ac:dyDescent="0.25">
      <c r="A277" s="13" t="s">
        <v>1350</v>
      </c>
      <c r="B277" s="126">
        <v>43502</v>
      </c>
      <c r="C277" s="13">
        <v>98</v>
      </c>
      <c r="D277" s="13" t="s">
        <v>1099</v>
      </c>
      <c r="E277" s="13" t="s">
        <v>691</v>
      </c>
      <c r="F277" s="4">
        <v>43500</v>
      </c>
      <c r="G277" s="29" t="s">
        <v>1536</v>
      </c>
      <c r="H277" s="14">
        <v>43389</v>
      </c>
      <c r="I277" s="4" t="s">
        <v>14</v>
      </c>
    </row>
    <row r="278" spans="1:12" hidden="1" x14ac:dyDescent="0.25">
      <c r="A278" s="32" t="s">
        <v>659</v>
      </c>
      <c r="B278" s="126">
        <v>43502</v>
      </c>
      <c r="C278" s="13">
        <v>98</v>
      </c>
      <c r="D278" s="13" t="s">
        <v>1099</v>
      </c>
      <c r="E278" s="13" t="s">
        <v>691</v>
      </c>
      <c r="F278" s="4">
        <v>3636.6</v>
      </c>
      <c r="G278" s="28" t="s">
        <v>2045</v>
      </c>
      <c r="H278" s="14">
        <v>43390</v>
      </c>
      <c r="I278" s="4" t="s">
        <v>461</v>
      </c>
    </row>
    <row r="279" spans="1:12" hidden="1" x14ac:dyDescent="0.25">
      <c r="A279" s="61" t="s">
        <v>637</v>
      </c>
      <c r="B279" s="126">
        <v>43502</v>
      </c>
      <c r="C279" s="13">
        <v>99</v>
      </c>
      <c r="D279" s="13" t="s">
        <v>282</v>
      </c>
      <c r="E279" s="13" t="s">
        <v>691</v>
      </c>
      <c r="F279" s="4">
        <v>10010</v>
      </c>
      <c r="G279" s="29" t="s">
        <v>3376</v>
      </c>
      <c r="H279" s="14">
        <v>43482</v>
      </c>
      <c r="I279" s="4" t="s">
        <v>283</v>
      </c>
    </row>
    <row r="280" spans="1:12" hidden="1" x14ac:dyDescent="0.25">
      <c r="A280" s="61" t="s">
        <v>659</v>
      </c>
      <c r="B280" s="126">
        <v>43502</v>
      </c>
      <c r="C280" s="13">
        <v>99</v>
      </c>
      <c r="D280" s="13" t="s">
        <v>282</v>
      </c>
      <c r="E280" s="13" t="s">
        <v>691</v>
      </c>
      <c r="F280" s="4">
        <v>1430</v>
      </c>
      <c r="G280" s="29" t="s">
        <v>89</v>
      </c>
      <c r="H280" s="14">
        <v>43482</v>
      </c>
      <c r="I280" s="4" t="s">
        <v>283</v>
      </c>
    </row>
    <row r="281" spans="1:12" hidden="1" x14ac:dyDescent="0.25">
      <c r="A281" s="61" t="s">
        <v>659</v>
      </c>
      <c r="B281" s="126">
        <v>43502</v>
      </c>
      <c r="C281" s="13">
        <v>99</v>
      </c>
      <c r="D281" s="13" t="s">
        <v>282</v>
      </c>
      <c r="E281" s="13" t="s">
        <v>691</v>
      </c>
      <c r="F281" s="4">
        <v>1430</v>
      </c>
      <c r="G281" s="29" t="s">
        <v>3580</v>
      </c>
      <c r="H281" s="14">
        <v>43489</v>
      </c>
      <c r="I281" s="4" t="s">
        <v>283</v>
      </c>
    </row>
    <row r="282" spans="1:12" hidden="1" x14ac:dyDescent="0.25">
      <c r="A282" s="61" t="s">
        <v>637</v>
      </c>
      <c r="B282" s="126">
        <v>43502</v>
      </c>
      <c r="C282" s="13">
        <v>99</v>
      </c>
      <c r="D282" s="13" t="s">
        <v>282</v>
      </c>
      <c r="E282" s="13" t="s">
        <v>691</v>
      </c>
      <c r="F282" s="4">
        <v>8580</v>
      </c>
      <c r="G282" s="29" t="s">
        <v>3581</v>
      </c>
      <c r="H282" s="14">
        <v>43489</v>
      </c>
      <c r="I282" s="4" t="s">
        <v>283</v>
      </c>
    </row>
    <row r="283" spans="1:12" hidden="1" x14ac:dyDescent="0.25">
      <c r="A283" s="61" t="s">
        <v>1350</v>
      </c>
      <c r="B283" s="126">
        <v>43502</v>
      </c>
      <c r="C283" s="13">
        <v>100</v>
      </c>
      <c r="D283" s="13" t="s">
        <v>1395</v>
      </c>
      <c r="E283" s="13" t="s">
        <v>691</v>
      </c>
      <c r="F283" s="4">
        <v>49400</v>
      </c>
      <c r="G283" s="29" t="s">
        <v>1372</v>
      </c>
      <c r="H283" s="14">
        <v>43482</v>
      </c>
      <c r="I283" s="4" t="s">
        <v>3582</v>
      </c>
    </row>
    <row r="284" spans="1:12" hidden="1" x14ac:dyDescent="0.25">
      <c r="A284" s="32" t="s">
        <v>659</v>
      </c>
      <c r="B284" s="126">
        <v>43502</v>
      </c>
      <c r="C284" s="13">
        <v>101</v>
      </c>
      <c r="D284" s="13" t="s">
        <v>250</v>
      </c>
      <c r="E284" s="13" t="s">
        <v>691</v>
      </c>
      <c r="F284" s="4">
        <f>268375-135000</f>
        <v>133375</v>
      </c>
      <c r="G284" s="28" t="s">
        <v>2378</v>
      </c>
      <c r="H284" s="14">
        <v>43434</v>
      </c>
      <c r="I284" s="4" t="s">
        <v>1601</v>
      </c>
    </row>
    <row r="285" spans="1:12" hidden="1" x14ac:dyDescent="0.25">
      <c r="A285" s="61" t="s">
        <v>659</v>
      </c>
      <c r="B285" s="126">
        <v>43502</v>
      </c>
      <c r="C285" s="13">
        <v>101</v>
      </c>
      <c r="D285" s="13" t="s">
        <v>250</v>
      </c>
      <c r="E285" s="13" t="s">
        <v>691</v>
      </c>
      <c r="F285" s="4">
        <v>23375</v>
      </c>
      <c r="G285" s="29" t="s">
        <v>2809</v>
      </c>
      <c r="H285" s="14">
        <v>43438</v>
      </c>
      <c r="I285" s="4" t="s">
        <v>402</v>
      </c>
    </row>
    <row r="286" spans="1:12" hidden="1" x14ac:dyDescent="0.25">
      <c r="A286" s="61" t="s">
        <v>637</v>
      </c>
      <c r="B286" s="126">
        <v>43502</v>
      </c>
      <c r="C286" s="13">
        <v>102</v>
      </c>
      <c r="D286" s="13" t="s">
        <v>2115</v>
      </c>
      <c r="E286" s="13" t="s">
        <v>691</v>
      </c>
      <c r="F286" s="4">
        <v>405325</v>
      </c>
      <c r="G286" s="29" t="s">
        <v>12</v>
      </c>
      <c r="H286" s="14">
        <v>43434</v>
      </c>
      <c r="I286" s="4" t="s">
        <v>2383</v>
      </c>
    </row>
    <row r="287" spans="1:12" hidden="1" x14ac:dyDescent="0.25">
      <c r="A287" s="61" t="s">
        <v>1455</v>
      </c>
      <c r="B287" s="126">
        <v>43502</v>
      </c>
      <c r="C287" s="13">
        <v>103</v>
      </c>
      <c r="D287" s="13" t="s">
        <v>149</v>
      </c>
      <c r="E287" s="13" t="s">
        <v>691</v>
      </c>
      <c r="F287" s="4">
        <v>28000</v>
      </c>
      <c r="G287" s="29" t="s">
        <v>3398</v>
      </c>
      <c r="H287" s="14">
        <v>43465</v>
      </c>
      <c r="I287" s="4" t="s">
        <v>3396</v>
      </c>
    </row>
    <row r="288" spans="1:12" hidden="1" x14ac:dyDescent="0.25">
      <c r="A288" s="61" t="s">
        <v>659</v>
      </c>
      <c r="B288" s="126">
        <v>43502</v>
      </c>
      <c r="C288" s="13">
        <v>103</v>
      </c>
      <c r="D288" s="13" t="s">
        <v>149</v>
      </c>
      <c r="E288" s="13" t="s">
        <v>691</v>
      </c>
      <c r="F288" s="4">
        <v>10500</v>
      </c>
      <c r="G288" s="29" t="s">
        <v>3399</v>
      </c>
      <c r="H288" s="14">
        <v>43465</v>
      </c>
      <c r="I288" s="4" t="s">
        <v>3396</v>
      </c>
    </row>
    <row r="289" spans="1:19" hidden="1" x14ac:dyDescent="0.25">
      <c r="A289" s="61" t="s">
        <v>741</v>
      </c>
      <c r="B289" s="14">
        <v>43502</v>
      </c>
      <c r="C289" s="13">
        <v>111</v>
      </c>
      <c r="D289" s="13" t="s">
        <v>1739</v>
      </c>
      <c r="E289" s="13" t="s">
        <v>434</v>
      </c>
      <c r="F289" s="4">
        <v>494400</v>
      </c>
      <c r="G289" s="29" t="s">
        <v>2693</v>
      </c>
      <c r="H289" s="14">
        <v>43454</v>
      </c>
      <c r="I289" s="4" t="s">
        <v>2694</v>
      </c>
      <c r="J289" s="128"/>
    </row>
    <row r="290" spans="1:19" hidden="1" x14ac:dyDescent="0.25">
      <c r="A290" s="61" t="s">
        <v>741</v>
      </c>
      <c r="B290" s="14">
        <v>43502</v>
      </c>
      <c r="C290" s="13">
        <v>112</v>
      </c>
      <c r="D290" s="13" t="s">
        <v>2198</v>
      </c>
      <c r="E290" s="13" t="s">
        <v>434</v>
      </c>
      <c r="F290" s="4">
        <v>309900</v>
      </c>
      <c r="G290" s="29" t="s">
        <v>2199</v>
      </c>
      <c r="H290" s="14">
        <v>43425</v>
      </c>
      <c r="I290" s="4" t="s">
        <v>2200</v>
      </c>
      <c r="J290" s="128"/>
    </row>
    <row r="291" spans="1:19" hidden="1" x14ac:dyDescent="0.25">
      <c r="A291" s="32" t="s">
        <v>741</v>
      </c>
      <c r="B291" s="14">
        <v>43502</v>
      </c>
      <c r="C291" s="13">
        <v>113</v>
      </c>
      <c r="D291" s="13" t="s">
        <v>307</v>
      </c>
      <c r="E291" s="13" t="s">
        <v>434</v>
      </c>
      <c r="F291" s="4">
        <v>200000</v>
      </c>
      <c r="G291" s="28" t="s">
        <v>3121</v>
      </c>
      <c r="H291" s="14">
        <v>43479</v>
      </c>
      <c r="I291" s="4" t="s">
        <v>1781</v>
      </c>
      <c r="J291" s="128"/>
    </row>
    <row r="292" spans="1:19" s="2" customFormat="1" hidden="1" x14ac:dyDescent="0.25">
      <c r="A292" s="61" t="s">
        <v>741</v>
      </c>
      <c r="B292" s="14">
        <v>43502</v>
      </c>
      <c r="C292" s="13">
        <v>114</v>
      </c>
      <c r="D292" s="13" t="s">
        <v>1690</v>
      </c>
      <c r="E292" s="13" t="s">
        <v>434</v>
      </c>
      <c r="F292" s="4">
        <v>4000</v>
      </c>
      <c r="G292" s="29" t="s">
        <v>3598</v>
      </c>
      <c r="H292" s="14">
        <v>43494</v>
      </c>
      <c r="I292" s="4" t="s">
        <v>1301</v>
      </c>
      <c r="J292" s="121"/>
      <c r="K292" s="5"/>
    </row>
    <row r="293" spans="1:19" s="62" customFormat="1" ht="13.95" hidden="1" customHeight="1" x14ac:dyDescent="0.25">
      <c r="A293" s="13" t="s">
        <v>311</v>
      </c>
      <c r="B293" s="14">
        <v>43502</v>
      </c>
      <c r="C293" s="13">
        <v>271</v>
      </c>
      <c r="D293" s="13" t="s">
        <v>267</v>
      </c>
      <c r="E293" s="13" t="s">
        <v>130</v>
      </c>
      <c r="F293" s="4">
        <v>85400</v>
      </c>
      <c r="G293" s="29" t="s">
        <v>376</v>
      </c>
      <c r="H293" s="14">
        <v>43465</v>
      </c>
      <c r="I293" s="4" t="s">
        <v>576</v>
      </c>
      <c r="J293" s="71"/>
      <c r="O293" s="35"/>
      <c r="P293" s="35"/>
      <c r="Q293" s="35"/>
      <c r="R293" s="35"/>
      <c r="S293" s="35"/>
    </row>
    <row r="294" spans="1:19" hidden="1" x14ac:dyDescent="0.25">
      <c r="A294" s="13" t="s">
        <v>311</v>
      </c>
      <c r="B294" s="14">
        <v>43502</v>
      </c>
      <c r="C294" s="13">
        <v>272</v>
      </c>
      <c r="D294" s="13" t="s">
        <v>1430</v>
      </c>
      <c r="E294" s="13" t="s">
        <v>130</v>
      </c>
      <c r="F294" s="4">
        <v>198990</v>
      </c>
      <c r="G294" s="29" t="s">
        <v>3129</v>
      </c>
      <c r="H294" s="14">
        <v>43463</v>
      </c>
      <c r="I294" s="4" t="s">
        <v>182</v>
      </c>
    </row>
    <row r="295" spans="1:19" ht="15" hidden="1" customHeight="1" x14ac:dyDescent="0.25">
      <c r="A295" s="32" t="s">
        <v>311</v>
      </c>
      <c r="B295" s="14">
        <v>43502</v>
      </c>
      <c r="C295" s="13">
        <v>61</v>
      </c>
      <c r="D295" s="32" t="s">
        <v>281</v>
      </c>
      <c r="E295" s="32" t="s">
        <v>408</v>
      </c>
      <c r="F295" s="4">
        <v>264163</v>
      </c>
      <c r="G295" s="29" t="s">
        <v>2979</v>
      </c>
      <c r="H295" s="14">
        <v>43477</v>
      </c>
      <c r="I295" s="41" t="s">
        <v>852</v>
      </c>
      <c r="J295" s="35" t="s">
        <v>721</v>
      </c>
      <c r="K295" s="35"/>
      <c r="L295" s="35"/>
    </row>
    <row r="296" spans="1:19" ht="15" hidden="1" customHeight="1" x14ac:dyDescent="0.25">
      <c r="A296" s="13" t="s">
        <v>794</v>
      </c>
      <c r="B296" s="126">
        <v>43502</v>
      </c>
      <c r="C296" s="13" t="s">
        <v>3814</v>
      </c>
      <c r="D296" s="32" t="s">
        <v>281</v>
      </c>
      <c r="E296" s="13" t="s">
        <v>195</v>
      </c>
      <c r="F296" s="4">
        <f>2883+3844</f>
        <v>6727</v>
      </c>
      <c r="G296" s="29" t="s">
        <v>3673</v>
      </c>
      <c r="H296" s="14">
        <v>43479</v>
      </c>
      <c r="I296" s="41" t="s">
        <v>3672</v>
      </c>
      <c r="J296" s="35" t="s">
        <v>721</v>
      </c>
      <c r="K296" s="35"/>
      <c r="L296" s="35"/>
    </row>
    <row r="297" spans="1:19" s="115" customFormat="1" ht="15" hidden="1" customHeight="1" x14ac:dyDescent="0.25">
      <c r="A297" s="13" t="s">
        <v>794</v>
      </c>
      <c r="B297" s="14">
        <v>43502</v>
      </c>
      <c r="C297" s="13">
        <v>34</v>
      </c>
      <c r="D297" s="13" t="s">
        <v>778</v>
      </c>
      <c r="E297" s="13" t="s">
        <v>195</v>
      </c>
      <c r="F297" s="4">
        <v>9584</v>
      </c>
      <c r="G297" s="29" t="s">
        <v>3519</v>
      </c>
      <c r="H297" s="14">
        <v>43430</v>
      </c>
      <c r="I297" s="4" t="s">
        <v>779</v>
      </c>
      <c r="J297" s="35" t="s">
        <v>323</v>
      </c>
      <c r="K297" s="62"/>
      <c r="L297" s="116"/>
      <c r="M297" s="116"/>
      <c r="N297" s="116"/>
      <c r="O297" s="117"/>
      <c r="P297" s="117"/>
      <c r="Q297" s="117"/>
      <c r="R297" s="117"/>
      <c r="S297" s="117"/>
    </row>
    <row r="298" spans="1:19" ht="13.8" hidden="1" customHeight="1" x14ac:dyDescent="0.25">
      <c r="A298" s="32" t="s">
        <v>198</v>
      </c>
      <c r="B298" s="126">
        <v>43502</v>
      </c>
      <c r="C298" s="67">
        <v>37</v>
      </c>
      <c r="D298" s="32" t="s">
        <v>116</v>
      </c>
      <c r="E298" s="32" t="s">
        <v>195</v>
      </c>
      <c r="F298" s="4">
        <f>592.86+2120.4</f>
        <v>2713.26</v>
      </c>
      <c r="G298" s="28" t="s">
        <v>3806</v>
      </c>
      <c r="H298" s="14">
        <v>43496</v>
      </c>
      <c r="I298" s="4" t="s">
        <v>118</v>
      </c>
      <c r="J298" s="170"/>
      <c r="K298" s="246"/>
    </row>
    <row r="299" spans="1:19" s="115" customFormat="1" ht="15" hidden="1" customHeight="1" x14ac:dyDescent="0.25">
      <c r="A299" s="13" t="s">
        <v>2320</v>
      </c>
      <c r="B299" s="14">
        <v>43502</v>
      </c>
      <c r="C299" s="13" t="s">
        <v>3815</v>
      </c>
      <c r="D299" s="13" t="s">
        <v>2615</v>
      </c>
      <c r="E299" s="13" t="s">
        <v>136</v>
      </c>
      <c r="F299" s="4">
        <f>200000+410169.5</f>
        <v>610169.5</v>
      </c>
      <c r="G299" s="265" t="s">
        <v>2616</v>
      </c>
      <c r="H299" s="126">
        <v>43374</v>
      </c>
      <c r="I299" s="4" t="s">
        <v>2617</v>
      </c>
      <c r="J299" s="21" t="s">
        <v>3521</v>
      </c>
      <c r="K299" s="116"/>
      <c r="L299" s="116"/>
      <c r="M299" s="116"/>
      <c r="N299" s="116"/>
      <c r="O299" s="117"/>
      <c r="P299" s="117"/>
      <c r="Q299" s="117"/>
      <c r="R299" s="117"/>
      <c r="S299" s="117"/>
    </row>
    <row r="300" spans="1:19" hidden="1" x14ac:dyDescent="0.25">
      <c r="A300" s="61" t="s">
        <v>460</v>
      </c>
      <c r="B300" s="14">
        <v>43502</v>
      </c>
      <c r="C300" s="13">
        <v>231</v>
      </c>
      <c r="D300" s="14" t="s">
        <v>2352</v>
      </c>
      <c r="E300" s="32" t="s">
        <v>888</v>
      </c>
      <c r="F300" s="4">
        <v>88865</v>
      </c>
      <c r="G300" s="86" t="s">
        <v>2353</v>
      </c>
      <c r="H300" s="211"/>
      <c r="I300" s="326"/>
      <c r="K300" s="62"/>
    </row>
    <row r="301" spans="1:19" hidden="1" x14ac:dyDescent="0.25">
      <c r="A301" s="61" t="s">
        <v>460</v>
      </c>
      <c r="B301" s="14">
        <v>43502</v>
      </c>
      <c r="C301" s="13">
        <v>232</v>
      </c>
      <c r="D301" s="14" t="s">
        <v>2361</v>
      </c>
      <c r="E301" s="32" t="s">
        <v>888</v>
      </c>
      <c r="F301" s="4">
        <v>116157</v>
      </c>
      <c r="G301" s="86" t="s">
        <v>2364</v>
      </c>
      <c r="H301" s="211"/>
      <c r="I301" s="326"/>
      <c r="K301" s="62"/>
    </row>
    <row r="302" spans="1:19" s="115" customFormat="1" ht="15.6" hidden="1" x14ac:dyDescent="0.25">
      <c r="A302" s="32" t="s">
        <v>6</v>
      </c>
      <c r="B302" s="14">
        <v>43503</v>
      </c>
      <c r="C302" s="13">
        <v>47</v>
      </c>
      <c r="D302" s="32" t="s">
        <v>3017</v>
      </c>
      <c r="E302" s="13" t="s">
        <v>183</v>
      </c>
      <c r="F302" s="4">
        <v>37200</v>
      </c>
      <c r="G302" s="13">
        <v>18</v>
      </c>
      <c r="H302" s="14">
        <v>43496</v>
      </c>
      <c r="I302" s="4" t="s">
        <v>3817</v>
      </c>
      <c r="J302" s="258"/>
      <c r="K302" s="116"/>
      <c r="L302" s="116"/>
      <c r="M302" s="116"/>
      <c r="N302" s="116"/>
      <c r="O302" s="117"/>
      <c r="P302" s="117"/>
      <c r="Q302" s="117"/>
      <c r="R302" s="117"/>
      <c r="S302" s="117"/>
    </row>
    <row r="303" spans="1:19" s="2" customFormat="1" ht="15" hidden="1" customHeight="1" x14ac:dyDescent="0.25">
      <c r="A303" s="13" t="s">
        <v>6</v>
      </c>
      <c r="B303" s="14">
        <v>43503</v>
      </c>
      <c r="C303" s="13">
        <v>48</v>
      </c>
      <c r="D303" s="13" t="s">
        <v>1679</v>
      </c>
      <c r="E303" s="13" t="s">
        <v>183</v>
      </c>
      <c r="F303" s="4">
        <v>33950</v>
      </c>
      <c r="G303" s="29" t="s">
        <v>3852</v>
      </c>
      <c r="H303" s="14">
        <v>43483</v>
      </c>
      <c r="I303" s="4" t="s">
        <v>3900</v>
      </c>
      <c r="J303" s="341"/>
      <c r="K303" s="31"/>
      <c r="L303" s="31"/>
      <c r="M303" s="31"/>
      <c r="N303" s="31"/>
      <c r="O303" s="34"/>
      <c r="P303" s="34"/>
      <c r="Q303" s="34"/>
      <c r="R303" s="34"/>
      <c r="S303" s="34"/>
    </row>
    <row r="304" spans="1:19" s="97" customFormat="1" hidden="1" x14ac:dyDescent="0.25">
      <c r="A304" s="13" t="s">
        <v>6</v>
      </c>
      <c r="B304" s="14">
        <v>43503</v>
      </c>
      <c r="C304" s="67">
        <v>49</v>
      </c>
      <c r="D304" s="13" t="s">
        <v>2050</v>
      </c>
      <c r="E304" s="13" t="s">
        <v>183</v>
      </c>
      <c r="F304" s="4">
        <v>10000</v>
      </c>
      <c r="G304" s="29" t="s">
        <v>3236</v>
      </c>
      <c r="H304" s="14">
        <v>43475</v>
      </c>
      <c r="I304" s="4" t="s">
        <v>1251</v>
      </c>
      <c r="J304" s="22" t="s">
        <v>239</v>
      </c>
      <c r="K304" s="22"/>
      <c r="L304" s="134"/>
    </row>
    <row r="305" spans="1:19" s="2" customFormat="1" ht="15" hidden="1" customHeight="1" x14ac:dyDescent="0.25">
      <c r="A305" s="13" t="s">
        <v>6</v>
      </c>
      <c r="B305" s="14">
        <v>43503</v>
      </c>
      <c r="C305" s="13">
        <v>53</v>
      </c>
      <c r="D305" s="13" t="s">
        <v>1416</v>
      </c>
      <c r="E305" s="13" t="s">
        <v>183</v>
      </c>
      <c r="F305" s="4">
        <v>25000</v>
      </c>
      <c r="G305" s="29" t="s">
        <v>3508</v>
      </c>
      <c r="H305" s="14">
        <v>43461</v>
      </c>
      <c r="I305" s="4" t="s">
        <v>398</v>
      </c>
      <c r="J305" s="341" t="s">
        <v>327</v>
      </c>
      <c r="K305" s="31"/>
      <c r="L305" s="31"/>
      <c r="M305" s="31"/>
      <c r="N305" s="31"/>
      <c r="O305" s="34"/>
      <c r="P305" s="34"/>
      <c r="Q305" s="34"/>
      <c r="R305" s="34"/>
      <c r="S305" s="34"/>
    </row>
    <row r="306" spans="1:19" s="2" customFormat="1" ht="15" hidden="1" customHeight="1" x14ac:dyDescent="0.25">
      <c r="A306" s="13" t="s">
        <v>6</v>
      </c>
      <c r="B306" s="14">
        <v>43503</v>
      </c>
      <c r="C306" s="13">
        <v>54</v>
      </c>
      <c r="D306" s="13" t="s">
        <v>1416</v>
      </c>
      <c r="E306" s="13" t="s">
        <v>183</v>
      </c>
      <c r="F306" s="4">
        <v>15000</v>
      </c>
      <c r="G306" s="29" t="s">
        <v>3507</v>
      </c>
      <c r="H306" s="14">
        <v>43461</v>
      </c>
      <c r="I306" s="4" t="s">
        <v>1417</v>
      </c>
      <c r="J306" s="341" t="s">
        <v>327</v>
      </c>
      <c r="K306" s="31"/>
      <c r="L306" s="31"/>
      <c r="M306" s="31"/>
      <c r="N306" s="31"/>
      <c r="O306" s="34"/>
      <c r="P306" s="34"/>
      <c r="Q306" s="34"/>
      <c r="R306" s="34"/>
      <c r="S306" s="34"/>
    </row>
    <row r="307" spans="1:19" s="2" customFormat="1" hidden="1" x14ac:dyDescent="0.25">
      <c r="A307" s="13" t="s">
        <v>6</v>
      </c>
      <c r="B307" s="14">
        <v>43503</v>
      </c>
      <c r="C307" s="13">
        <v>50</v>
      </c>
      <c r="D307" s="13" t="s">
        <v>743</v>
      </c>
      <c r="E307" s="13" t="s">
        <v>183</v>
      </c>
      <c r="F307" s="4">
        <v>34000</v>
      </c>
      <c r="G307" s="29" t="s">
        <v>3506</v>
      </c>
      <c r="H307" s="14">
        <v>43479</v>
      </c>
      <c r="I307" s="4" t="s">
        <v>105</v>
      </c>
      <c r="J307" s="341"/>
      <c r="K307" s="31"/>
      <c r="L307" s="31"/>
      <c r="M307" s="31"/>
      <c r="N307" s="31"/>
      <c r="O307" s="34"/>
      <c r="P307" s="34"/>
      <c r="Q307" s="34"/>
      <c r="R307" s="34"/>
      <c r="S307" s="34"/>
    </row>
    <row r="308" spans="1:19" s="2" customFormat="1" hidden="1" x14ac:dyDescent="0.25">
      <c r="A308" s="13" t="s">
        <v>6</v>
      </c>
      <c r="B308" s="14">
        <v>43503</v>
      </c>
      <c r="C308" s="13">
        <v>51</v>
      </c>
      <c r="D308" s="13" t="s">
        <v>3901</v>
      </c>
      <c r="E308" s="13" t="s">
        <v>183</v>
      </c>
      <c r="F308" s="4">
        <v>8600</v>
      </c>
      <c r="G308" s="29" t="s">
        <v>3522</v>
      </c>
      <c r="H308" s="14">
        <v>43495</v>
      </c>
      <c r="I308" s="4" t="s">
        <v>3902</v>
      </c>
      <c r="J308" s="341"/>
      <c r="K308" s="31"/>
      <c r="L308" s="31"/>
      <c r="M308" s="31"/>
      <c r="N308" s="31"/>
      <c r="O308" s="34"/>
      <c r="P308" s="34"/>
      <c r="Q308" s="34"/>
      <c r="R308" s="34"/>
      <c r="S308" s="34"/>
    </row>
    <row r="309" spans="1:19" s="2" customFormat="1" hidden="1" x14ac:dyDescent="0.25">
      <c r="A309" s="13" t="s">
        <v>6</v>
      </c>
      <c r="B309" s="14">
        <v>43503</v>
      </c>
      <c r="C309" s="13">
        <v>55</v>
      </c>
      <c r="D309" s="13" t="s">
        <v>585</v>
      </c>
      <c r="E309" s="13" t="s">
        <v>183</v>
      </c>
      <c r="F309" s="4">
        <f>1250+775</f>
        <v>2025</v>
      </c>
      <c r="G309" s="28" t="s">
        <v>3903</v>
      </c>
      <c r="H309" s="14" t="s">
        <v>3904</v>
      </c>
      <c r="I309" s="4" t="s">
        <v>1</v>
      </c>
      <c r="J309" s="341"/>
      <c r="K309" s="31"/>
      <c r="L309" s="31"/>
      <c r="M309" s="31"/>
      <c r="N309" s="31"/>
      <c r="O309" s="34"/>
      <c r="P309" s="34"/>
      <c r="Q309" s="34"/>
      <c r="R309" s="34"/>
      <c r="S309" s="34"/>
    </row>
    <row r="310" spans="1:19" s="2" customFormat="1" ht="15" hidden="1" customHeight="1" x14ac:dyDescent="0.25">
      <c r="A310" s="13" t="s">
        <v>6</v>
      </c>
      <c r="B310" s="14">
        <v>43503</v>
      </c>
      <c r="C310" s="13">
        <v>52</v>
      </c>
      <c r="D310" s="13" t="s">
        <v>3905</v>
      </c>
      <c r="E310" s="13" t="s">
        <v>183</v>
      </c>
      <c r="F310" s="4">
        <v>9604.5</v>
      </c>
      <c r="G310" s="29" t="s">
        <v>3906</v>
      </c>
      <c r="H310" s="14">
        <v>43495</v>
      </c>
      <c r="I310" s="4" t="s">
        <v>2200</v>
      </c>
      <c r="J310" s="341"/>
      <c r="K310" s="31"/>
      <c r="L310" s="31"/>
      <c r="M310" s="31"/>
      <c r="N310" s="31"/>
      <c r="O310" s="34"/>
      <c r="P310" s="34"/>
      <c r="Q310" s="34"/>
      <c r="R310" s="34"/>
      <c r="S310" s="34"/>
    </row>
    <row r="311" spans="1:19" hidden="1" x14ac:dyDescent="0.25">
      <c r="A311" s="61" t="s">
        <v>460</v>
      </c>
      <c r="B311" s="14">
        <v>43503</v>
      </c>
      <c r="C311" s="13">
        <v>7</v>
      </c>
      <c r="D311" s="13" t="s">
        <v>3514</v>
      </c>
      <c r="E311" s="13" t="s">
        <v>742</v>
      </c>
      <c r="F311" s="4">
        <f>3234400-734400</f>
        <v>2500000</v>
      </c>
      <c r="G311" s="69" t="s">
        <v>3515</v>
      </c>
      <c r="H311" s="14">
        <v>43490</v>
      </c>
      <c r="I311" s="274"/>
      <c r="J311" s="169"/>
    </row>
    <row r="312" spans="1:19" hidden="1" x14ac:dyDescent="0.25">
      <c r="A312" s="61" t="s">
        <v>460</v>
      </c>
      <c r="B312" s="14">
        <v>43503</v>
      </c>
      <c r="C312" s="13">
        <v>78</v>
      </c>
      <c r="D312" s="32" t="s">
        <v>3676</v>
      </c>
      <c r="E312" s="32" t="s">
        <v>144</v>
      </c>
      <c r="F312" s="4">
        <v>15000</v>
      </c>
      <c r="G312" s="86" t="s">
        <v>3677</v>
      </c>
      <c r="H312" s="14">
        <v>43487</v>
      </c>
      <c r="I312" s="326"/>
      <c r="K312" s="62"/>
    </row>
    <row r="313" spans="1:19" ht="15" hidden="1" customHeight="1" x14ac:dyDescent="0.25">
      <c r="A313" s="13" t="s">
        <v>184</v>
      </c>
      <c r="B313" s="14">
        <v>43503</v>
      </c>
      <c r="C313" s="13">
        <v>79</v>
      </c>
      <c r="D313" s="32" t="s">
        <v>1359</v>
      </c>
      <c r="E313" s="32" t="s">
        <v>144</v>
      </c>
      <c r="F313" s="4">
        <v>152560.68</v>
      </c>
      <c r="G313" s="25" t="s">
        <v>3796</v>
      </c>
      <c r="H313" s="212">
        <v>43455</v>
      </c>
      <c r="I313" s="4" t="s">
        <v>294</v>
      </c>
      <c r="J313" s="76" t="s">
        <v>239</v>
      </c>
    </row>
    <row r="314" spans="1:19" s="192" customFormat="1" ht="14.85" hidden="1" customHeight="1" x14ac:dyDescent="0.25">
      <c r="A314" s="147" t="s">
        <v>242</v>
      </c>
      <c r="B314" s="14">
        <v>43503</v>
      </c>
      <c r="C314" s="195">
        <v>80</v>
      </c>
      <c r="D314" s="149" t="s">
        <v>840</v>
      </c>
      <c r="E314" s="147" t="s">
        <v>144</v>
      </c>
      <c r="F314" s="158">
        <v>134647.92000000001</v>
      </c>
      <c r="G314" s="150" t="s">
        <v>3899</v>
      </c>
      <c r="H314" s="148">
        <v>43494</v>
      </c>
      <c r="I314" s="149" t="s">
        <v>143</v>
      </c>
      <c r="J314" s="193"/>
      <c r="K314" s="194"/>
      <c r="L314" s="190"/>
    </row>
    <row r="315" spans="1:19" ht="16.5" hidden="1" customHeight="1" x14ac:dyDescent="0.25">
      <c r="A315" s="13" t="s">
        <v>184</v>
      </c>
      <c r="B315" s="14">
        <v>43503</v>
      </c>
      <c r="C315" s="67">
        <v>137</v>
      </c>
      <c r="D315" s="32" t="s">
        <v>1359</v>
      </c>
      <c r="E315" s="32" t="s">
        <v>1121</v>
      </c>
      <c r="F315" s="208">
        <v>819242.04</v>
      </c>
      <c r="G315" s="25" t="s">
        <v>3768</v>
      </c>
      <c r="H315" s="212">
        <v>43455</v>
      </c>
      <c r="I315" s="208" t="s">
        <v>294</v>
      </c>
      <c r="J315" s="76" t="s">
        <v>239</v>
      </c>
      <c r="K315" s="260"/>
      <c r="L315" s="62"/>
    </row>
    <row r="316" spans="1:19" hidden="1" x14ac:dyDescent="0.25">
      <c r="A316" s="13" t="s">
        <v>184</v>
      </c>
      <c r="B316" s="14">
        <v>43503</v>
      </c>
      <c r="C316" s="13">
        <v>138</v>
      </c>
      <c r="D316" s="32" t="s">
        <v>747</v>
      </c>
      <c r="E316" s="32" t="s">
        <v>1121</v>
      </c>
      <c r="F316" s="4">
        <v>566055</v>
      </c>
      <c r="G316" s="28" t="s">
        <v>3774</v>
      </c>
      <c r="H316" s="14">
        <v>43494</v>
      </c>
      <c r="I316" s="4" t="s">
        <v>770</v>
      </c>
      <c r="J316" s="76" t="s">
        <v>721</v>
      </c>
    </row>
    <row r="317" spans="1:19" hidden="1" x14ac:dyDescent="0.25">
      <c r="A317" s="13" t="s">
        <v>184</v>
      </c>
      <c r="B317" s="14">
        <v>43503</v>
      </c>
      <c r="C317" s="13">
        <v>138</v>
      </c>
      <c r="D317" s="32" t="s">
        <v>747</v>
      </c>
      <c r="E317" s="32" t="s">
        <v>1121</v>
      </c>
      <c r="F317" s="4">
        <v>412741</v>
      </c>
      <c r="G317" s="28" t="s">
        <v>3775</v>
      </c>
      <c r="H317" s="14">
        <v>43494</v>
      </c>
      <c r="I317" s="4" t="s">
        <v>769</v>
      </c>
      <c r="J317" s="76" t="s">
        <v>721</v>
      </c>
    </row>
    <row r="318" spans="1:19" ht="15" hidden="1" customHeight="1" x14ac:dyDescent="0.25">
      <c r="A318" s="13" t="s">
        <v>184</v>
      </c>
      <c r="B318" s="14">
        <v>43503</v>
      </c>
      <c r="C318" s="13">
        <v>138</v>
      </c>
      <c r="D318" s="32" t="s">
        <v>747</v>
      </c>
      <c r="E318" s="32" t="s">
        <v>1121</v>
      </c>
      <c r="F318" s="4">
        <v>211907</v>
      </c>
      <c r="G318" s="28" t="s">
        <v>3776</v>
      </c>
      <c r="H318" s="14">
        <v>43494</v>
      </c>
      <c r="I318" s="4" t="s">
        <v>363</v>
      </c>
      <c r="J318" s="76" t="s">
        <v>721</v>
      </c>
    </row>
    <row r="319" spans="1:19" ht="15" hidden="1" customHeight="1" x14ac:dyDescent="0.25">
      <c r="A319" s="13" t="s">
        <v>184</v>
      </c>
      <c r="B319" s="14">
        <v>43503</v>
      </c>
      <c r="C319" s="13">
        <v>139</v>
      </c>
      <c r="D319" s="13" t="s">
        <v>1215</v>
      </c>
      <c r="E319" s="32" t="s">
        <v>1121</v>
      </c>
      <c r="F319" s="4">
        <v>147900</v>
      </c>
      <c r="G319" s="28" t="s">
        <v>479</v>
      </c>
      <c r="H319" s="14">
        <v>43493</v>
      </c>
      <c r="I319" s="4" t="s">
        <v>1865</v>
      </c>
      <c r="J319" s="76" t="s">
        <v>721</v>
      </c>
    </row>
    <row r="320" spans="1:19" ht="15" hidden="1" customHeight="1" x14ac:dyDescent="0.25">
      <c r="A320" s="13" t="s">
        <v>184</v>
      </c>
      <c r="B320" s="14">
        <v>43503</v>
      </c>
      <c r="C320" s="13">
        <v>139</v>
      </c>
      <c r="D320" s="13" t="s">
        <v>1215</v>
      </c>
      <c r="E320" s="32" t="s">
        <v>1121</v>
      </c>
      <c r="F320" s="4">
        <v>34320</v>
      </c>
      <c r="G320" s="28" t="s">
        <v>478</v>
      </c>
      <c r="H320" s="14">
        <v>43493</v>
      </c>
      <c r="I320" s="4" t="s">
        <v>3764</v>
      </c>
      <c r="J320" s="76" t="s">
        <v>721</v>
      </c>
    </row>
    <row r="321" spans="1:19" ht="15" hidden="1" customHeight="1" x14ac:dyDescent="0.25">
      <c r="A321" s="13" t="s">
        <v>184</v>
      </c>
      <c r="B321" s="14">
        <v>43503</v>
      </c>
      <c r="C321" s="13">
        <v>139</v>
      </c>
      <c r="D321" s="13" t="s">
        <v>1215</v>
      </c>
      <c r="E321" s="32" t="s">
        <v>1121</v>
      </c>
      <c r="F321" s="4">
        <v>34626</v>
      </c>
      <c r="G321" s="28" t="s">
        <v>1155</v>
      </c>
      <c r="H321" s="14">
        <v>43493</v>
      </c>
      <c r="I321" s="4" t="s">
        <v>1216</v>
      </c>
      <c r="J321" s="76" t="s">
        <v>721</v>
      </c>
    </row>
    <row r="322" spans="1:19" hidden="1" x14ac:dyDescent="0.25">
      <c r="A322" s="13" t="s">
        <v>184</v>
      </c>
      <c r="B322" s="14">
        <v>43503</v>
      </c>
      <c r="C322" s="13">
        <v>140</v>
      </c>
      <c r="D322" s="13" t="s">
        <v>491</v>
      </c>
      <c r="E322" s="32" t="s">
        <v>1121</v>
      </c>
      <c r="F322" s="4">
        <v>84000</v>
      </c>
      <c r="G322" s="28" t="s">
        <v>3769</v>
      </c>
      <c r="H322" s="14">
        <v>43487</v>
      </c>
      <c r="I322" s="4" t="s">
        <v>571</v>
      </c>
      <c r="J322" s="125">
        <v>43495</v>
      </c>
    </row>
    <row r="323" spans="1:19" ht="15" hidden="1" customHeight="1" x14ac:dyDescent="0.25">
      <c r="A323" s="13" t="s">
        <v>184</v>
      </c>
      <c r="B323" s="14">
        <v>43503</v>
      </c>
      <c r="C323" s="13">
        <v>141</v>
      </c>
      <c r="D323" s="13" t="s">
        <v>531</v>
      </c>
      <c r="E323" s="32" t="s">
        <v>1121</v>
      </c>
      <c r="F323" s="4">
        <v>36300</v>
      </c>
      <c r="G323" s="28" t="s">
        <v>3763</v>
      </c>
      <c r="H323" s="14">
        <v>43475</v>
      </c>
      <c r="I323" s="4" t="s">
        <v>532</v>
      </c>
      <c r="J323" s="125">
        <v>43488</v>
      </c>
    </row>
    <row r="324" spans="1:19" ht="15" hidden="1" customHeight="1" x14ac:dyDescent="0.25">
      <c r="A324" s="13" t="s">
        <v>184</v>
      </c>
      <c r="B324" s="14">
        <v>43503</v>
      </c>
      <c r="C324" s="13">
        <v>142</v>
      </c>
      <c r="D324" s="13" t="s">
        <v>48</v>
      </c>
      <c r="E324" s="32" t="s">
        <v>1121</v>
      </c>
      <c r="F324" s="4">
        <v>8667</v>
      </c>
      <c r="G324" s="28" t="s">
        <v>3211</v>
      </c>
      <c r="H324" s="14">
        <v>43497</v>
      </c>
      <c r="I324" s="4" t="s">
        <v>1028</v>
      </c>
      <c r="J324" s="76" t="s">
        <v>239</v>
      </c>
    </row>
    <row r="325" spans="1:19" s="192" customFormat="1" hidden="1" x14ac:dyDescent="0.25">
      <c r="A325" s="147" t="s">
        <v>242</v>
      </c>
      <c r="B325" s="14">
        <v>43503</v>
      </c>
      <c r="C325" s="195">
        <v>143</v>
      </c>
      <c r="D325" s="149" t="s">
        <v>490</v>
      </c>
      <c r="E325" s="147" t="s">
        <v>1121</v>
      </c>
      <c r="F325" s="158">
        <v>1839844.36</v>
      </c>
      <c r="G325" s="150" t="s">
        <v>3898</v>
      </c>
      <c r="H325" s="148">
        <v>43487</v>
      </c>
      <c r="I325" s="149" t="s">
        <v>143</v>
      </c>
      <c r="J325" s="193"/>
      <c r="K325" s="194"/>
      <c r="L325" s="190"/>
    </row>
    <row r="326" spans="1:19" s="115" customFormat="1" ht="15.6" hidden="1" customHeight="1" x14ac:dyDescent="0.25">
      <c r="A326" s="61" t="s">
        <v>455</v>
      </c>
      <c r="B326" s="14">
        <v>43503</v>
      </c>
      <c r="C326" s="13">
        <v>104</v>
      </c>
      <c r="D326" s="13" t="s">
        <v>873</v>
      </c>
      <c r="E326" s="13" t="s">
        <v>440</v>
      </c>
      <c r="F326" s="4">
        <f>1000000</f>
        <v>1000000</v>
      </c>
      <c r="G326" s="13" t="s">
        <v>874</v>
      </c>
      <c r="H326" s="126">
        <v>43445</v>
      </c>
      <c r="I326" s="29" t="s">
        <v>875</v>
      </c>
      <c r="J326" s="258"/>
      <c r="K326" s="116"/>
      <c r="L326" s="116"/>
      <c r="M326" s="116"/>
      <c r="N326" s="116"/>
      <c r="O326" s="117"/>
      <c r="P326" s="117"/>
      <c r="Q326" s="117"/>
      <c r="R326" s="117"/>
      <c r="S326" s="117"/>
    </row>
    <row r="327" spans="1:19" ht="15" hidden="1" customHeight="1" x14ac:dyDescent="0.25">
      <c r="A327" s="32" t="s">
        <v>1219</v>
      </c>
      <c r="B327" s="14">
        <v>43503</v>
      </c>
      <c r="C327" s="67">
        <v>3</v>
      </c>
      <c r="D327" s="32" t="s">
        <v>1220</v>
      </c>
      <c r="E327" s="32" t="s">
        <v>1221</v>
      </c>
      <c r="F327" s="4">
        <v>90000</v>
      </c>
      <c r="G327" s="28" t="s">
        <v>1158</v>
      </c>
      <c r="H327" s="14">
        <v>43497</v>
      </c>
      <c r="I327" s="41" t="s">
        <v>1325</v>
      </c>
      <c r="J327" s="167" t="s">
        <v>721</v>
      </c>
      <c r="K327" s="167"/>
      <c r="L327" s="35"/>
    </row>
    <row r="328" spans="1:19" ht="15" hidden="1" customHeight="1" x14ac:dyDescent="0.25">
      <c r="A328" s="32" t="s">
        <v>1219</v>
      </c>
      <c r="B328" s="14">
        <v>43503</v>
      </c>
      <c r="C328" s="67">
        <v>3</v>
      </c>
      <c r="D328" s="32" t="s">
        <v>1220</v>
      </c>
      <c r="E328" s="32" t="s">
        <v>1221</v>
      </c>
      <c r="F328" s="4">
        <v>15100</v>
      </c>
      <c r="G328" s="28" t="s">
        <v>299</v>
      </c>
      <c r="H328" s="14">
        <v>43497</v>
      </c>
      <c r="I328" s="41" t="s">
        <v>1950</v>
      </c>
      <c r="J328" s="167" t="s">
        <v>239</v>
      </c>
      <c r="K328" s="167"/>
      <c r="L328" s="35"/>
    </row>
    <row r="329" spans="1:19" ht="13.95" hidden="1" customHeight="1" x14ac:dyDescent="0.25">
      <c r="A329" s="68" t="s">
        <v>407</v>
      </c>
      <c r="B329" s="14">
        <v>43503</v>
      </c>
      <c r="C329" s="13">
        <v>12</v>
      </c>
      <c r="D329" s="32" t="s">
        <v>34</v>
      </c>
      <c r="E329" s="32" t="s">
        <v>488</v>
      </c>
      <c r="F329" s="4">
        <v>255145.24</v>
      </c>
      <c r="G329" s="86" t="s">
        <v>519</v>
      </c>
      <c r="H329" s="211"/>
      <c r="I329" s="208" t="s">
        <v>520</v>
      </c>
      <c r="J329" s="21"/>
      <c r="K329" s="228"/>
    </row>
    <row r="330" spans="1:19" hidden="1" x14ac:dyDescent="0.25">
      <c r="A330" s="32" t="s">
        <v>527</v>
      </c>
      <c r="B330" s="14">
        <v>43503</v>
      </c>
      <c r="C330" s="13">
        <v>220</v>
      </c>
      <c r="D330" s="32" t="s">
        <v>528</v>
      </c>
      <c r="E330" s="32" t="s">
        <v>62</v>
      </c>
      <c r="F330" s="4">
        <v>3809794.8</v>
      </c>
      <c r="G330" s="69" t="s">
        <v>529</v>
      </c>
      <c r="H330" s="14"/>
      <c r="I330" s="41" t="s">
        <v>273</v>
      </c>
      <c r="J330" s="21"/>
      <c r="K330" s="228"/>
    </row>
    <row r="331" spans="1:19" hidden="1" x14ac:dyDescent="0.25">
      <c r="A331" s="32" t="s">
        <v>1285</v>
      </c>
      <c r="B331" s="14">
        <v>43503</v>
      </c>
      <c r="C331" s="13">
        <v>223</v>
      </c>
      <c r="D331" s="32" t="s">
        <v>528</v>
      </c>
      <c r="E331" s="32" t="s">
        <v>62</v>
      </c>
      <c r="F331" s="4">
        <v>2190205.2000000002</v>
      </c>
      <c r="G331" s="69" t="s">
        <v>1287</v>
      </c>
      <c r="H331" s="14"/>
      <c r="I331" s="41" t="s">
        <v>273</v>
      </c>
      <c r="J331" s="21"/>
      <c r="K331" s="228"/>
    </row>
    <row r="332" spans="1:19" ht="13.95" hidden="1" customHeight="1" x14ac:dyDescent="0.25">
      <c r="A332" s="68" t="s">
        <v>1640</v>
      </c>
      <c r="B332" s="14">
        <v>43503</v>
      </c>
      <c r="C332" s="13">
        <v>204</v>
      </c>
      <c r="D332" s="32" t="s">
        <v>1644</v>
      </c>
      <c r="E332" s="32" t="s">
        <v>62</v>
      </c>
      <c r="F332" s="4">
        <f>9865037.2</f>
        <v>9865037.1999999993</v>
      </c>
      <c r="G332" s="86" t="s">
        <v>1645</v>
      </c>
      <c r="H332" s="211"/>
      <c r="I332" s="84" t="s">
        <v>23</v>
      </c>
      <c r="J332" s="21"/>
      <c r="K332" s="228"/>
    </row>
    <row r="333" spans="1:19" hidden="1" x14ac:dyDescent="0.25">
      <c r="A333" s="32" t="s">
        <v>1637</v>
      </c>
      <c r="B333" s="14">
        <v>43503</v>
      </c>
      <c r="C333" s="13">
        <v>224</v>
      </c>
      <c r="D333" s="32" t="s">
        <v>1179</v>
      </c>
      <c r="E333" s="32" t="s">
        <v>62</v>
      </c>
      <c r="F333" s="4">
        <v>5000000</v>
      </c>
      <c r="G333" s="86" t="s">
        <v>1696</v>
      </c>
      <c r="H333" s="211"/>
      <c r="I333" s="208" t="s">
        <v>237</v>
      </c>
      <c r="J333" s="21"/>
      <c r="K333" s="228"/>
    </row>
    <row r="334" spans="1:19" ht="13.95" hidden="1" customHeight="1" x14ac:dyDescent="0.25">
      <c r="A334" s="68" t="s">
        <v>358</v>
      </c>
      <c r="B334" s="14">
        <v>43503</v>
      </c>
      <c r="C334" s="13">
        <v>222</v>
      </c>
      <c r="D334" s="32" t="s">
        <v>269</v>
      </c>
      <c r="E334" s="32" t="s">
        <v>62</v>
      </c>
      <c r="F334" s="4">
        <v>1000000</v>
      </c>
      <c r="G334" s="86" t="s">
        <v>689</v>
      </c>
      <c r="H334" s="211"/>
      <c r="I334" s="41" t="s">
        <v>690</v>
      </c>
      <c r="J334" s="21"/>
      <c r="K334" s="228"/>
    </row>
    <row r="335" spans="1:19" ht="13.95" hidden="1" customHeight="1" x14ac:dyDescent="0.25">
      <c r="A335" s="68" t="s">
        <v>92</v>
      </c>
      <c r="B335" s="14">
        <v>43503</v>
      </c>
      <c r="C335" s="13">
        <v>205</v>
      </c>
      <c r="D335" s="32" t="s">
        <v>269</v>
      </c>
      <c r="E335" s="32" t="s">
        <v>62</v>
      </c>
      <c r="F335" s="4">
        <v>500000</v>
      </c>
      <c r="G335" s="86" t="s">
        <v>633</v>
      </c>
      <c r="H335" s="211"/>
      <c r="I335" s="41" t="s">
        <v>202</v>
      </c>
      <c r="J335" s="21"/>
      <c r="K335" s="228"/>
    </row>
    <row r="336" spans="1:19" ht="13.95" hidden="1" customHeight="1" x14ac:dyDescent="0.25">
      <c r="A336" s="13" t="s">
        <v>358</v>
      </c>
      <c r="B336" s="14">
        <v>43503</v>
      </c>
      <c r="C336" s="13">
        <v>206</v>
      </c>
      <c r="D336" s="32" t="s">
        <v>194</v>
      </c>
      <c r="E336" s="32" t="s">
        <v>62</v>
      </c>
      <c r="F336" s="4">
        <v>965532.33999999985</v>
      </c>
      <c r="G336" s="69" t="s">
        <v>661</v>
      </c>
      <c r="H336" s="14"/>
      <c r="I336" s="41" t="s">
        <v>688</v>
      </c>
      <c r="J336" s="21"/>
      <c r="K336" s="228"/>
    </row>
    <row r="337" spans="1:12" ht="13.95" hidden="1" customHeight="1" x14ac:dyDescent="0.25">
      <c r="A337" s="13" t="s">
        <v>442</v>
      </c>
      <c r="B337" s="14">
        <v>43503</v>
      </c>
      <c r="C337" s="13">
        <v>207</v>
      </c>
      <c r="D337" s="32" t="s">
        <v>194</v>
      </c>
      <c r="E337" s="32" t="s">
        <v>62</v>
      </c>
      <c r="F337" s="4">
        <v>1550000</v>
      </c>
      <c r="G337" s="69" t="s">
        <v>924</v>
      </c>
      <c r="H337" s="14"/>
      <c r="I337" s="41" t="s">
        <v>789</v>
      </c>
      <c r="J337" s="21"/>
      <c r="K337" s="228"/>
    </row>
    <row r="338" spans="1:12" ht="13.95" hidden="1" customHeight="1" x14ac:dyDescent="0.25">
      <c r="A338" s="61" t="s">
        <v>442</v>
      </c>
      <c r="B338" s="14">
        <v>43503</v>
      </c>
      <c r="C338" s="13">
        <v>208</v>
      </c>
      <c r="D338" s="13" t="s">
        <v>893</v>
      </c>
      <c r="E338" s="32" t="s">
        <v>62</v>
      </c>
      <c r="F338" s="4">
        <v>600000</v>
      </c>
      <c r="G338" s="86" t="s">
        <v>1909</v>
      </c>
      <c r="H338" s="211"/>
      <c r="I338" s="4" t="s">
        <v>1910</v>
      </c>
      <c r="J338" s="21"/>
      <c r="K338" s="228"/>
    </row>
    <row r="339" spans="1:12" s="97" customFormat="1" hidden="1" x14ac:dyDescent="0.25">
      <c r="A339" s="61" t="s">
        <v>91</v>
      </c>
      <c r="B339" s="14">
        <v>43503</v>
      </c>
      <c r="C339" s="13">
        <v>209</v>
      </c>
      <c r="D339" s="13" t="s">
        <v>157</v>
      </c>
      <c r="E339" s="13" t="s">
        <v>62</v>
      </c>
      <c r="F339" s="4">
        <v>800000</v>
      </c>
      <c r="G339" s="210" t="s">
        <v>1707</v>
      </c>
      <c r="H339" s="211">
        <v>43441</v>
      </c>
      <c r="I339" s="4" t="s">
        <v>305</v>
      </c>
      <c r="J339" s="133"/>
      <c r="K339" s="22"/>
      <c r="L339" s="134"/>
    </row>
    <row r="340" spans="1:12" s="97" customFormat="1" hidden="1" x14ac:dyDescent="0.25">
      <c r="A340" s="13" t="s">
        <v>358</v>
      </c>
      <c r="B340" s="14">
        <v>43503</v>
      </c>
      <c r="C340" s="13">
        <v>210</v>
      </c>
      <c r="D340" s="13" t="s">
        <v>740</v>
      </c>
      <c r="E340" s="13" t="s">
        <v>62</v>
      </c>
      <c r="F340" s="4">
        <v>1074725</v>
      </c>
      <c r="G340" s="29" t="s">
        <v>1995</v>
      </c>
      <c r="H340" s="14">
        <v>43356</v>
      </c>
      <c r="I340" s="4" t="s">
        <v>1996</v>
      </c>
      <c r="J340" s="133"/>
      <c r="K340" s="22"/>
      <c r="L340" s="134"/>
    </row>
    <row r="341" spans="1:12" s="97" customFormat="1" hidden="1" x14ac:dyDescent="0.25">
      <c r="A341" s="61" t="s">
        <v>442</v>
      </c>
      <c r="B341" s="14">
        <v>43503</v>
      </c>
      <c r="C341" s="13">
        <v>211</v>
      </c>
      <c r="D341" s="13" t="s">
        <v>254</v>
      </c>
      <c r="E341" s="13" t="s">
        <v>62</v>
      </c>
      <c r="F341" s="4">
        <v>892410.96</v>
      </c>
      <c r="G341" s="210" t="s">
        <v>2727</v>
      </c>
      <c r="H341" s="211">
        <v>43458</v>
      </c>
      <c r="I341" s="4" t="s">
        <v>2728</v>
      </c>
      <c r="J341" s="133"/>
      <c r="K341" s="22"/>
      <c r="L341" s="134"/>
    </row>
    <row r="342" spans="1:12" s="97" customFormat="1" hidden="1" x14ac:dyDescent="0.25">
      <c r="A342" s="61" t="s">
        <v>442</v>
      </c>
      <c r="B342" s="14">
        <v>43503</v>
      </c>
      <c r="C342" s="13">
        <v>212</v>
      </c>
      <c r="D342" s="13" t="s">
        <v>589</v>
      </c>
      <c r="E342" s="13" t="s">
        <v>62</v>
      </c>
      <c r="F342" s="4">
        <v>904641</v>
      </c>
      <c r="G342" s="210" t="s">
        <v>3651</v>
      </c>
      <c r="H342" s="211">
        <v>43376</v>
      </c>
      <c r="I342" s="4" t="s">
        <v>443</v>
      </c>
      <c r="J342" s="133"/>
      <c r="K342" s="22"/>
      <c r="L342" s="134"/>
    </row>
    <row r="343" spans="1:12" s="97" customFormat="1" hidden="1" x14ac:dyDescent="0.25">
      <c r="A343" s="61" t="s">
        <v>442</v>
      </c>
      <c r="B343" s="14">
        <v>43503</v>
      </c>
      <c r="C343" s="13">
        <v>227</v>
      </c>
      <c r="D343" s="13" t="s">
        <v>448</v>
      </c>
      <c r="E343" s="13" t="s">
        <v>62</v>
      </c>
      <c r="F343" s="4">
        <v>10400</v>
      </c>
      <c r="G343" s="29" t="s">
        <v>3453</v>
      </c>
      <c r="H343" s="14">
        <v>43447</v>
      </c>
      <c r="I343" s="4" t="s">
        <v>63</v>
      </c>
      <c r="J343" s="133"/>
      <c r="K343" s="22"/>
      <c r="L343" s="134"/>
    </row>
    <row r="344" spans="1:12" s="97" customFormat="1" hidden="1" x14ac:dyDescent="0.25">
      <c r="A344" s="61" t="s">
        <v>91</v>
      </c>
      <c r="B344" s="14">
        <v>43503</v>
      </c>
      <c r="C344" s="13">
        <v>227</v>
      </c>
      <c r="D344" s="13" t="s">
        <v>448</v>
      </c>
      <c r="E344" s="13" t="s">
        <v>62</v>
      </c>
      <c r="F344" s="4">
        <v>10400</v>
      </c>
      <c r="G344" s="29" t="s">
        <v>3454</v>
      </c>
      <c r="H344" s="14">
        <v>43448</v>
      </c>
      <c r="I344" s="4" t="s">
        <v>63</v>
      </c>
      <c r="J344" s="133"/>
      <c r="K344" s="22"/>
      <c r="L344" s="134"/>
    </row>
    <row r="345" spans="1:12" s="97" customFormat="1" hidden="1" x14ac:dyDescent="0.25">
      <c r="A345" s="32" t="s">
        <v>442</v>
      </c>
      <c r="B345" s="14">
        <v>43503</v>
      </c>
      <c r="C345" s="13">
        <v>213</v>
      </c>
      <c r="D345" s="13" t="s">
        <v>100</v>
      </c>
      <c r="E345" s="13" t="s">
        <v>62</v>
      </c>
      <c r="F345" s="4">
        <v>200000</v>
      </c>
      <c r="G345" s="28" t="s">
        <v>1510</v>
      </c>
      <c r="H345" s="14">
        <v>43481</v>
      </c>
      <c r="I345" s="4" t="s">
        <v>572</v>
      </c>
      <c r="J345" s="133"/>
      <c r="K345" s="22"/>
      <c r="L345" s="134"/>
    </row>
    <row r="346" spans="1:12" s="97" customFormat="1" hidden="1" x14ac:dyDescent="0.25">
      <c r="A346" s="13" t="s">
        <v>358</v>
      </c>
      <c r="B346" s="14">
        <v>43503</v>
      </c>
      <c r="C346" s="13">
        <v>226</v>
      </c>
      <c r="D346" s="13" t="s">
        <v>1065</v>
      </c>
      <c r="E346" s="13" t="s">
        <v>62</v>
      </c>
      <c r="F346" s="4">
        <v>25875.96</v>
      </c>
      <c r="G346" s="29" t="s">
        <v>3236</v>
      </c>
      <c r="H346" s="14">
        <v>43475</v>
      </c>
      <c r="I346" s="4" t="s">
        <v>3237</v>
      </c>
      <c r="J346" s="133"/>
      <c r="K346" s="22"/>
      <c r="L346" s="134"/>
    </row>
    <row r="347" spans="1:12" s="97" customFormat="1" hidden="1" x14ac:dyDescent="0.25">
      <c r="A347" s="32" t="s">
        <v>91</v>
      </c>
      <c r="B347" s="14">
        <v>43503</v>
      </c>
      <c r="C347" s="13">
        <v>226</v>
      </c>
      <c r="D347" s="13" t="s">
        <v>1065</v>
      </c>
      <c r="E347" s="13" t="s">
        <v>62</v>
      </c>
      <c r="F347" s="4">
        <v>4101.6000000000004</v>
      </c>
      <c r="G347" s="28" t="s">
        <v>458</v>
      </c>
      <c r="H347" s="14">
        <v>43475</v>
      </c>
      <c r="I347" s="4" t="s">
        <v>3238</v>
      </c>
      <c r="J347" s="133"/>
      <c r="K347" s="22"/>
      <c r="L347" s="134"/>
    </row>
    <row r="348" spans="1:12" s="97" customFormat="1" hidden="1" x14ac:dyDescent="0.25">
      <c r="A348" s="61" t="s">
        <v>442</v>
      </c>
      <c r="B348" s="14">
        <v>43503</v>
      </c>
      <c r="C348" s="13">
        <v>214</v>
      </c>
      <c r="D348" s="13" t="s">
        <v>1269</v>
      </c>
      <c r="E348" s="13" t="s">
        <v>62</v>
      </c>
      <c r="F348" s="4">
        <v>102810</v>
      </c>
      <c r="G348" s="29" t="s">
        <v>3230</v>
      </c>
      <c r="H348" s="14">
        <v>43455</v>
      </c>
      <c r="I348" s="4" t="s">
        <v>1550</v>
      </c>
      <c r="J348" s="133"/>
      <c r="K348" s="22"/>
      <c r="L348" s="134"/>
    </row>
    <row r="349" spans="1:12" s="97" customFormat="1" hidden="1" x14ac:dyDescent="0.25">
      <c r="A349" s="61" t="s">
        <v>91</v>
      </c>
      <c r="B349" s="14">
        <v>43503</v>
      </c>
      <c r="C349" s="13">
        <v>221</v>
      </c>
      <c r="D349" s="13" t="s">
        <v>157</v>
      </c>
      <c r="E349" s="13" t="s">
        <v>62</v>
      </c>
      <c r="F349" s="4">
        <f>302100-100000</f>
        <v>202100</v>
      </c>
      <c r="G349" s="29" t="s">
        <v>2745</v>
      </c>
      <c r="H349" s="14">
        <v>43447</v>
      </c>
      <c r="I349" s="4" t="s">
        <v>966</v>
      </c>
      <c r="J349" s="133"/>
      <c r="K349" s="22"/>
      <c r="L349" s="134"/>
    </row>
    <row r="350" spans="1:12" ht="13.8" hidden="1" customHeight="1" x14ac:dyDescent="0.25">
      <c r="A350" s="32" t="s">
        <v>442</v>
      </c>
      <c r="B350" s="14">
        <v>43503</v>
      </c>
      <c r="C350" s="13">
        <v>215</v>
      </c>
      <c r="D350" s="32" t="s">
        <v>181</v>
      </c>
      <c r="E350" s="32" t="s">
        <v>62</v>
      </c>
      <c r="F350" s="4">
        <v>60480</v>
      </c>
      <c r="G350" s="29" t="s">
        <v>325</v>
      </c>
      <c r="H350" s="14">
        <v>43501</v>
      </c>
      <c r="I350" s="4" t="s">
        <v>102</v>
      </c>
      <c r="J350" s="21"/>
      <c r="K350" s="228"/>
    </row>
    <row r="351" spans="1:12" s="2" customFormat="1" hidden="1" x14ac:dyDescent="0.25">
      <c r="A351" s="13" t="s">
        <v>92</v>
      </c>
      <c r="B351" s="14">
        <v>43503</v>
      </c>
      <c r="C351" s="13">
        <v>216</v>
      </c>
      <c r="D351" s="13" t="s">
        <v>1179</v>
      </c>
      <c r="E351" s="13" t="s">
        <v>62</v>
      </c>
      <c r="F351" s="4">
        <v>106140</v>
      </c>
      <c r="G351" s="28" t="s">
        <v>3611</v>
      </c>
      <c r="H351" s="14">
        <v>43495</v>
      </c>
      <c r="I351" s="4" t="s">
        <v>3816</v>
      </c>
      <c r="J351" s="121"/>
      <c r="K351" s="5"/>
    </row>
    <row r="352" spans="1:12" s="2" customFormat="1" hidden="1" x14ac:dyDescent="0.25">
      <c r="A352" s="13" t="s">
        <v>442</v>
      </c>
      <c r="B352" s="14">
        <v>43503</v>
      </c>
      <c r="C352" s="13">
        <v>217</v>
      </c>
      <c r="D352" s="13" t="s">
        <v>371</v>
      </c>
      <c r="E352" s="13" t="s">
        <v>62</v>
      </c>
      <c r="F352" s="4">
        <v>147000</v>
      </c>
      <c r="G352" s="28" t="s">
        <v>2818</v>
      </c>
      <c r="H352" s="14">
        <v>43458</v>
      </c>
      <c r="I352" s="4" t="s">
        <v>1237</v>
      </c>
      <c r="J352" s="121"/>
      <c r="K352" s="5"/>
    </row>
    <row r="353" spans="1:19" hidden="1" x14ac:dyDescent="0.25">
      <c r="A353" s="61" t="s">
        <v>1566</v>
      </c>
      <c r="B353" s="14">
        <v>43503</v>
      </c>
      <c r="C353" s="13">
        <v>219</v>
      </c>
      <c r="D353" s="13" t="s">
        <v>515</v>
      </c>
      <c r="E353" s="13" t="s">
        <v>62</v>
      </c>
      <c r="F353" s="4">
        <v>200000</v>
      </c>
      <c r="G353" s="29" t="s">
        <v>1146</v>
      </c>
      <c r="H353" s="14">
        <v>43449</v>
      </c>
      <c r="I353" s="4" t="s">
        <v>164</v>
      </c>
    </row>
    <row r="354" spans="1:19" hidden="1" x14ac:dyDescent="0.25">
      <c r="A354" s="61" t="s">
        <v>92</v>
      </c>
      <c r="B354" s="14">
        <v>43503</v>
      </c>
      <c r="C354" s="13">
        <v>225</v>
      </c>
      <c r="D354" s="13" t="s">
        <v>29</v>
      </c>
      <c r="E354" s="13" t="s">
        <v>62</v>
      </c>
      <c r="F354" s="4">
        <v>54000</v>
      </c>
      <c r="G354" s="29" t="s">
        <v>1594</v>
      </c>
      <c r="H354" s="14">
        <v>43434</v>
      </c>
      <c r="I354" s="4" t="s">
        <v>1602</v>
      </c>
    </row>
    <row r="355" spans="1:19" ht="27.6" hidden="1" x14ac:dyDescent="0.25">
      <c r="A355" s="32" t="s">
        <v>1706</v>
      </c>
      <c r="B355" s="14">
        <v>43503</v>
      </c>
      <c r="C355" s="13">
        <v>225</v>
      </c>
      <c r="D355" s="13" t="s">
        <v>29</v>
      </c>
      <c r="E355" s="13" t="s">
        <v>62</v>
      </c>
      <c r="F355" s="4">
        <v>197200</v>
      </c>
      <c r="G355" s="28" t="s">
        <v>1378</v>
      </c>
      <c r="H355" s="14">
        <v>43448</v>
      </c>
      <c r="I355" s="4" t="s">
        <v>95</v>
      </c>
    </row>
    <row r="356" spans="1:19" hidden="1" x14ac:dyDescent="0.25">
      <c r="A356" s="13" t="s">
        <v>1434</v>
      </c>
      <c r="B356" s="14">
        <v>43503</v>
      </c>
      <c r="C356" s="13">
        <v>218</v>
      </c>
      <c r="D356" s="13" t="s">
        <v>1985</v>
      </c>
      <c r="E356" s="13" t="s">
        <v>62</v>
      </c>
      <c r="F356" s="4">
        <v>241700</v>
      </c>
      <c r="G356" s="210" t="s">
        <v>1201</v>
      </c>
      <c r="H356" s="211">
        <v>43434</v>
      </c>
      <c r="I356" s="4" t="s">
        <v>122</v>
      </c>
    </row>
    <row r="357" spans="1:19" hidden="1" x14ac:dyDescent="0.25">
      <c r="A357" s="61" t="s">
        <v>460</v>
      </c>
      <c r="B357" s="14">
        <v>43504</v>
      </c>
      <c r="C357" s="13">
        <v>235</v>
      </c>
      <c r="D357" s="14" t="s">
        <v>2362</v>
      </c>
      <c r="E357" s="32" t="s">
        <v>888</v>
      </c>
      <c r="F357" s="4">
        <v>128898</v>
      </c>
      <c r="G357" s="86" t="s">
        <v>2363</v>
      </c>
      <c r="H357" s="211"/>
      <c r="I357" s="326"/>
      <c r="K357" s="62"/>
    </row>
    <row r="358" spans="1:19" hidden="1" x14ac:dyDescent="0.25">
      <c r="A358" s="61" t="s">
        <v>460</v>
      </c>
      <c r="B358" s="14">
        <v>43504</v>
      </c>
      <c r="C358" s="13">
        <v>236</v>
      </c>
      <c r="D358" s="14" t="s">
        <v>2460</v>
      </c>
      <c r="E358" s="32" t="s">
        <v>888</v>
      </c>
      <c r="F358" s="4">
        <v>110160</v>
      </c>
      <c r="G358" s="86" t="s">
        <v>2461</v>
      </c>
      <c r="H358" s="211"/>
      <c r="I358" s="326"/>
      <c r="K358" s="62"/>
    </row>
    <row r="359" spans="1:19" hidden="1" x14ac:dyDescent="0.25">
      <c r="A359" s="61" t="s">
        <v>460</v>
      </c>
      <c r="B359" s="14">
        <v>43504</v>
      </c>
      <c r="C359" s="13">
        <v>237</v>
      </c>
      <c r="D359" s="14" t="s">
        <v>2450</v>
      </c>
      <c r="E359" s="32" t="s">
        <v>888</v>
      </c>
      <c r="F359" s="4">
        <v>82861</v>
      </c>
      <c r="G359" s="86" t="s">
        <v>2451</v>
      </c>
      <c r="H359" s="211"/>
      <c r="I359" s="326"/>
      <c r="K359" s="62"/>
    </row>
    <row r="360" spans="1:19" hidden="1" x14ac:dyDescent="0.25">
      <c r="A360" s="61" t="s">
        <v>460</v>
      </c>
      <c r="B360" s="14">
        <v>43504</v>
      </c>
      <c r="C360" s="13">
        <v>238</v>
      </c>
      <c r="D360" s="14" t="s">
        <v>2490</v>
      </c>
      <c r="E360" s="32" t="s">
        <v>888</v>
      </c>
      <c r="F360" s="4">
        <v>92672</v>
      </c>
      <c r="G360" s="86" t="s">
        <v>2491</v>
      </c>
      <c r="H360" s="211"/>
      <c r="I360" s="326"/>
      <c r="K360" s="62"/>
    </row>
    <row r="361" spans="1:19" s="50" customFormat="1" ht="27.6" hidden="1" x14ac:dyDescent="0.25">
      <c r="A361" s="32" t="s">
        <v>91</v>
      </c>
      <c r="B361" s="14">
        <v>43504</v>
      </c>
      <c r="C361" s="13">
        <v>85</v>
      </c>
      <c r="D361" s="13" t="s">
        <v>1232</v>
      </c>
      <c r="E361" s="32" t="s">
        <v>2021</v>
      </c>
      <c r="F361" s="4">
        <f>40000</f>
        <v>40000</v>
      </c>
      <c r="G361" s="28" t="s">
        <v>177</v>
      </c>
      <c r="H361" s="14">
        <v>43481</v>
      </c>
      <c r="I361" s="32" t="s">
        <v>1538</v>
      </c>
      <c r="J361" s="21" t="s">
        <v>327</v>
      </c>
      <c r="K361" s="228"/>
      <c r="L361" s="228"/>
      <c r="M361" s="228"/>
      <c r="N361" s="228"/>
    </row>
    <row r="362" spans="1:19" ht="27.6" hidden="1" x14ac:dyDescent="0.25">
      <c r="A362" s="32" t="s">
        <v>91</v>
      </c>
      <c r="B362" s="14">
        <v>43504</v>
      </c>
      <c r="C362" s="13">
        <v>86</v>
      </c>
      <c r="D362" s="13" t="s">
        <v>373</v>
      </c>
      <c r="E362" s="32" t="s">
        <v>2021</v>
      </c>
      <c r="F362" s="4">
        <v>62600.83</v>
      </c>
      <c r="G362" s="29" t="s">
        <v>3800</v>
      </c>
      <c r="H362" s="14">
        <v>43500</v>
      </c>
      <c r="I362" s="4" t="s">
        <v>3801</v>
      </c>
      <c r="J362" s="128"/>
    </row>
    <row r="363" spans="1:19" ht="15" hidden="1" customHeight="1" x14ac:dyDescent="0.25">
      <c r="A363" s="32" t="s">
        <v>188</v>
      </c>
      <c r="B363" s="14">
        <v>43504</v>
      </c>
      <c r="C363" s="67">
        <v>20</v>
      </c>
      <c r="D363" s="32" t="s">
        <v>156</v>
      </c>
      <c r="E363" s="32" t="s">
        <v>483</v>
      </c>
      <c r="F363" s="4">
        <f>1020889.8-500000</f>
        <v>520889.80000000005</v>
      </c>
      <c r="G363" s="28" t="s">
        <v>3680</v>
      </c>
      <c r="H363" s="14">
        <v>43474</v>
      </c>
      <c r="I363" s="4" t="s">
        <v>362</v>
      </c>
      <c r="J363" s="166" t="s">
        <v>327</v>
      </c>
      <c r="K363" s="167"/>
      <c r="L363" s="35"/>
    </row>
    <row r="364" spans="1:19" hidden="1" x14ac:dyDescent="0.25">
      <c r="A364" s="13" t="s">
        <v>209</v>
      </c>
      <c r="B364" s="14">
        <v>43504</v>
      </c>
      <c r="C364" s="13">
        <v>26</v>
      </c>
      <c r="D364" s="13" t="s">
        <v>210</v>
      </c>
      <c r="E364" s="13" t="s">
        <v>134</v>
      </c>
      <c r="F364" s="4">
        <v>8140.1</v>
      </c>
      <c r="G364" s="67" t="s">
        <v>3922</v>
      </c>
      <c r="H364" s="14">
        <v>43502</v>
      </c>
      <c r="I364" s="4" t="s">
        <v>3923</v>
      </c>
      <c r="J364" s="21"/>
      <c r="K364" s="228"/>
    </row>
    <row r="365" spans="1:19" hidden="1" x14ac:dyDescent="0.25">
      <c r="A365" s="13" t="s">
        <v>209</v>
      </c>
      <c r="B365" s="14">
        <v>43504</v>
      </c>
      <c r="C365" s="13">
        <v>25</v>
      </c>
      <c r="D365" s="13" t="s">
        <v>210</v>
      </c>
      <c r="E365" s="13" t="s">
        <v>134</v>
      </c>
      <c r="F365" s="4">
        <v>37835.56</v>
      </c>
      <c r="G365" s="67" t="s">
        <v>3913</v>
      </c>
      <c r="H365" s="14">
        <v>43503</v>
      </c>
      <c r="I365" s="4" t="s">
        <v>3914</v>
      </c>
      <c r="J365" s="407"/>
      <c r="K365" s="228"/>
    </row>
    <row r="366" spans="1:19" s="115" customFormat="1" ht="15.6" hidden="1" x14ac:dyDescent="0.25">
      <c r="A366" s="13" t="s">
        <v>311</v>
      </c>
      <c r="B366" s="14">
        <v>43504</v>
      </c>
      <c r="C366" s="13">
        <v>66</v>
      </c>
      <c r="D366" s="13" t="s">
        <v>873</v>
      </c>
      <c r="E366" s="13" t="s">
        <v>408</v>
      </c>
      <c r="F366" s="4">
        <v>436794.04</v>
      </c>
      <c r="G366" s="13" t="s">
        <v>3924</v>
      </c>
      <c r="H366" s="126">
        <v>43489</v>
      </c>
      <c r="I366" s="29" t="s">
        <v>875</v>
      </c>
      <c r="J366" s="385"/>
      <c r="K366" s="116"/>
      <c r="L366" s="116"/>
      <c r="M366" s="116"/>
      <c r="N366" s="116"/>
      <c r="O366" s="117"/>
      <c r="P366" s="117"/>
      <c r="Q366" s="117"/>
      <c r="R366" s="117"/>
      <c r="S366" s="117"/>
    </row>
    <row r="367" spans="1:19" hidden="1" x14ac:dyDescent="0.25">
      <c r="A367" s="32" t="s">
        <v>311</v>
      </c>
      <c r="B367" s="14">
        <v>43504</v>
      </c>
      <c r="C367" s="13">
        <v>67</v>
      </c>
      <c r="D367" s="32" t="s">
        <v>485</v>
      </c>
      <c r="E367" s="32" t="s">
        <v>408</v>
      </c>
      <c r="F367" s="4">
        <v>67346.070000000007</v>
      </c>
      <c r="G367" s="29" t="s">
        <v>3912</v>
      </c>
      <c r="H367" s="14">
        <v>43503</v>
      </c>
      <c r="I367" s="41" t="s">
        <v>546</v>
      </c>
      <c r="J367" s="22" t="s">
        <v>239</v>
      </c>
      <c r="K367" s="22"/>
      <c r="L367" s="63"/>
      <c r="M367" s="62"/>
    </row>
    <row r="368" spans="1:19" ht="13.95" hidden="1" customHeight="1" x14ac:dyDescent="0.25">
      <c r="A368" s="68" t="s">
        <v>311</v>
      </c>
      <c r="B368" s="14">
        <v>43504</v>
      </c>
      <c r="C368" s="67">
        <v>68</v>
      </c>
      <c r="D368" s="32" t="s">
        <v>595</v>
      </c>
      <c r="E368" s="32" t="s">
        <v>408</v>
      </c>
      <c r="F368" s="4">
        <v>1315544.8500000001</v>
      </c>
      <c r="G368" s="28" t="s">
        <v>3926</v>
      </c>
      <c r="H368" s="14">
        <v>43465</v>
      </c>
      <c r="I368" s="41" t="s">
        <v>949</v>
      </c>
      <c r="J368" s="166" t="s">
        <v>327</v>
      </c>
      <c r="K368" s="167"/>
      <c r="L368" s="35"/>
    </row>
    <row r="369" spans="1:11" hidden="1" x14ac:dyDescent="0.25">
      <c r="A369" s="13" t="s">
        <v>311</v>
      </c>
      <c r="B369" s="14">
        <v>43504</v>
      </c>
      <c r="C369" s="13">
        <v>297</v>
      </c>
      <c r="D369" s="13" t="s">
        <v>1430</v>
      </c>
      <c r="E369" s="13" t="s">
        <v>130</v>
      </c>
      <c r="F369" s="4">
        <v>289440</v>
      </c>
      <c r="G369" s="29" t="s">
        <v>3838</v>
      </c>
      <c r="H369" s="14">
        <v>43496</v>
      </c>
      <c r="I369" s="4" t="s">
        <v>182</v>
      </c>
    </row>
    <row r="370" spans="1:11" ht="27.6" hidden="1" x14ac:dyDescent="0.25">
      <c r="A370" s="68" t="s">
        <v>3369</v>
      </c>
      <c r="B370" s="14">
        <v>43504</v>
      </c>
      <c r="C370" s="13">
        <v>286</v>
      </c>
      <c r="D370" s="32" t="s">
        <v>1805</v>
      </c>
      <c r="E370" s="32" t="s">
        <v>130</v>
      </c>
      <c r="F370" s="4">
        <f>500000-300000</f>
        <v>200000</v>
      </c>
      <c r="G370" s="86" t="s">
        <v>3367</v>
      </c>
      <c r="H370" s="211">
        <v>43426</v>
      </c>
      <c r="I370" s="208" t="s">
        <v>3368</v>
      </c>
      <c r="J370" s="21"/>
      <c r="K370" s="228"/>
    </row>
    <row r="371" spans="1:11" ht="13.95" hidden="1" customHeight="1" x14ac:dyDescent="0.25">
      <c r="A371" s="13" t="s">
        <v>91</v>
      </c>
      <c r="B371" s="14">
        <v>43504</v>
      </c>
      <c r="C371" s="13">
        <v>287</v>
      </c>
      <c r="D371" s="32" t="s">
        <v>1907</v>
      </c>
      <c r="E371" s="32" t="s">
        <v>130</v>
      </c>
      <c r="F371" s="4">
        <v>4000000</v>
      </c>
      <c r="G371" s="86" t="s">
        <v>2797</v>
      </c>
      <c r="H371" s="14"/>
      <c r="I371" s="41" t="s">
        <v>1834</v>
      </c>
      <c r="J371" s="21"/>
      <c r="K371" s="228"/>
    </row>
    <row r="372" spans="1:11" ht="13.95" hidden="1" customHeight="1" x14ac:dyDescent="0.25">
      <c r="A372" s="32" t="s">
        <v>213</v>
      </c>
      <c r="B372" s="14">
        <v>43504</v>
      </c>
      <c r="C372" s="13">
        <v>288</v>
      </c>
      <c r="D372" s="32" t="s">
        <v>739</v>
      </c>
      <c r="E372" s="32" t="s">
        <v>130</v>
      </c>
      <c r="F372" s="4">
        <v>855183.46</v>
      </c>
      <c r="G372" s="86" t="s">
        <v>1675</v>
      </c>
      <c r="H372" s="14"/>
      <c r="I372" s="41" t="s">
        <v>1676</v>
      </c>
      <c r="K372" s="62"/>
    </row>
    <row r="373" spans="1:11" ht="13.95" hidden="1" customHeight="1" x14ac:dyDescent="0.25">
      <c r="A373" s="32" t="s">
        <v>90</v>
      </c>
      <c r="B373" s="14">
        <v>43504</v>
      </c>
      <c r="C373" s="13">
        <v>289</v>
      </c>
      <c r="D373" s="13" t="s">
        <v>513</v>
      </c>
      <c r="E373" s="32" t="s">
        <v>130</v>
      </c>
      <c r="F373" s="4">
        <v>200000</v>
      </c>
      <c r="G373" s="86" t="s">
        <v>1946</v>
      </c>
      <c r="H373" s="14"/>
      <c r="I373" s="4" t="s">
        <v>315</v>
      </c>
      <c r="J373" s="21"/>
      <c r="K373" s="228"/>
    </row>
    <row r="374" spans="1:11" ht="13.95" hidden="1" customHeight="1" x14ac:dyDescent="0.25">
      <c r="A374" s="68" t="s">
        <v>213</v>
      </c>
      <c r="B374" s="14">
        <v>43504</v>
      </c>
      <c r="C374" s="13">
        <v>290</v>
      </c>
      <c r="D374" s="13" t="s">
        <v>34</v>
      </c>
      <c r="E374" s="32" t="s">
        <v>130</v>
      </c>
      <c r="F374" s="4">
        <v>105745.09</v>
      </c>
      <c r="G374" s="86" t="s">
        <v>2778</v>
      </c>
      <c r="H374" s="211"/>
      <c r="I374" s="4" t="s">
        <v>315</v>
      </c>
      <c r="J374" s="21"/>
      <c r="K374" s="228"/>
    </row>
    <row r="375" spans="1:11" ht="13.8" hidden="1" customHeight="1" x14ac:dyDescent="0.25">
      <c r="A375" s="61" t="s">
        <v>55</v>
      </c>
      <c r="B375" s="14">
        <v>43504</v>
      </c>
      <c r="C375" s="13">
        <v>291</v>
      </c>
      <c r="D375" s="13" t="s">
        <v>632</v>
      </c>
      <c r="E375" s="32" t="s">
        <v>130</v>
      </c>
      <c r="F375" s="4">
        <v>500000</v>
      </c>
      <c r="G375" s="86" t="s">
        <v>3803</v>
      </c>
      <c r="H375" s="211"/>
      <c r="I375" s="4" t="s">
        <v>3804</v>
      </c>
      <c r="J375" s="21"/>
      <c r="K375" s="228"/>
    </row>
    <row r="376" spans="1:11" hidden="1" x14ac:dyDescent="0.25">
      <c r="A376" s="61" t="s">
        <v>188</v>
      </c>
      <c r="B376" s="14">
        <v>43504</v>
      </c>
      <c r="C376" s="13">
        <v>292</v>
      </c>
      <c r="D376" s="13" t="s">
        <v>1430</v>
      </c>
      <c r="E376" s="13" t="s">
        <v>130</v>
      </c>
      <c r="F376" s="4">
        <v>36180</v>
      </c>
      <c r="G376" s="29" t="s">
        <v>3123</v>
      </c>
      <c r="H376" s="14">
        <v>43463</v>
      </c>
      <c r="I376" s="4" t="s">
        <v>182</v>
      </c>
    </row>
    <row r="377" spans="1:11" hidden="1" x14ac:dyDescent="0.25">
      <c r="A377" s="32" t="s">
        <v>956</v>
      </c>
      <c r="B377" s="14">
        <v>43504</v>
      </c>
      <c r="C377" s="13">
        <v>292</v>
      </c>
      <c r="D377" s="13" t="s">
        <v>1430</v>
      </c>
      <c r="E377" s="13" t="s">
        <v>130</v>
      </c>
      <c r="F377" s="4">
        <v>72360</v>
      </c>
      <c r="G377" s="28" t="s">
        <v>3126</v>
      </c>
      <c r="H377" s="14">
        <v>43463</v>
      </c>
      <c r="I377" s="4" t="s">
        <v>182</v>
      </c>
    </row>
    <row r="378" spans="1:11" hidden="1" x14ac:dyDescent="0.25">
      <c r="A378" s="61" t="s">
        <v>261</v>
      </c>
      <c r="B378" s="14">
        <v>43504</v>
      </c>
      <c r="C378" s="13">
        <v>292</v>
      </c>
      <c r="D378" s="13" t="s">
        <v>1430</v>
      </c>
      <c r="E378" s="13" t="s">
        <v>130</v>
      </c>
      <c r="F378" s="4">
        <v>54270</v>
      </c>
      <c r="G378" s="210" t="s">
        <v>3127</v>
      </c>
      <c r="H378" s="211">
        <v>43463</v>
      </c>
      <c r="I378" s="4" t="s">
        <v>182</v>
      </c>
    </row>
    <row r="379" spans="1:11" hidden="1" x14ac:dyDescent="0.25">
      <c r="A379" s="61" t="s">
        <v>637</v>
      </c>
      <c r="B379" s="14">
        <v>43504</v>
      </c>
      <c r="C379" s="13">
        <v>292</v>
      </c>
      <c r="D379" s="13" t="s">
        <v>1430</v>
      </c>
      <c r="E379" s="13" t="s">
        <v>130</v>
      </c>
      <c r="F379" s="4">
        <v>72360</v>
      </c>
      <c r="G379" s="29" t="s">
        <v>3128</v>
      </c>
      <c r="H379" s="14">
        <v>43463</v>
      </c>
      <c r="I379" s="4" t="s">
        <v>182</v>
      </c>
    </row>
    <row r="380" spans="1:11" hidden="1" x14ac:dyDescent="0.25">
      <c r="A380" s="61" t="s">
        <v>91</v>
      </c>
      <c r="B380" s="14">
        <v>43504</v>
      </c>
      <c r="C380" s="13">
        <v>293</v>
      </c>
      <c r="D380" s="13" t="s">
        <v>971</v>
      </c>
      <c r="E380" s="13" t="s">
        <v>130</v>
      </c>
      <c r="F380" s="4">
        <v>300000</v>
      </c>
      <c r="G380" s="29" t="s">
        <v>1372</v>
      </c>
      <c r="H380" s="14">
        <v>43434</v>
      </c>
      <c r="I380" s="4" t="s">
        <v>182</v>
      </c>
    </row>
    <row r="381" spans="1:11" ht="13.95" hidden="1" customHeight="1" x14ac:dyDescent="0.25">
      <c r="A381" s="68" t="s">
        <v>639</v>
      </c>
      <c r="B381" s="14">
        <v>43504</v>
      </c>
      <c r="C381" s="13">
        <v>192</v>
      </c>
      <c r="D381" s="32" t="s">
        <v>905</v>
      </c>
      <c r="E381" s="32" t="s">
        <v>60</v>
      </c>
      <c r="F381" s="4">
        <v>5500000</v>
      </c>
      <c r="G381" s="86" t="s">
        <v>1120</v>
      </c>
      <c r="H381" s="211"/>
      <c r="I381" s="208" t="s">
        <v>1119</v>
      </c>
      <c r="J381" s="21"/>
      <c r="K381" s="228"/>
    </row>
    <row r="382" spans="1:11" ht="13.95" hidden="1" customHeight="1" x14ac:dyDescent="0.25">
      <c r="A382" s="68" t="s">
        <v>213</v>
      </c>
      <c r="B382" s="14">
        <v>43504</v>
      </c>
      <c r="C382" s="13">
        <v>225</v>
      </c>
      <c r="D382" s="13" t="s">
        <v>34</v>
      </c>
      <c r="E382" s="32" t="s">
        <v>808</v>
      </c>
      <c r="F382" s="4">
        <v>143493.48000000001</v>
      </c>
      <c r="G382" s="86" t="s">
        <v>1043</v>
      </c>
      <c r="H382" s="211"/>
      <c r="I382" s="4" t="s">
        <v>20</v>
      </c>
      <c r="J382" s="21"/>
      <c r="K382" s="228"/>
    </row>
    <row r="383" spans="1:11" ht="13.95" hidden="1" customHeight="1" x14ac:dyDescent="0.25">
      <c r="A383" s="68" t="s">
        <v>213</v>
      </c>
      <c r="B383" s="14">
        <v>43504</v>
      </c>
      <c r="C383" s="13">
        <v>226</v>
      </c>
      <c r="D383" s="32" t="s">
        <v>34</v>
      </c>
      <c r="E383" s="32" t="s">
        <v>808</v>
      </c>
      <c r="F383" s="4">
        <v>64000</v>
      </c>
      <c r="G383" s="86" t="s">
        <v>1044</v>
      </c>
      <c r="H383" s="211"/>
      <c r="I383" s="208" t="s">
        <v>1045</v>
      </c>
      <c r="J383" s="21"/>
      <c r="K383" s="228"/>
    </row>
    <row r="384" spans="1:11" ht="13.95" hidden="1" customHeight="1" x14ac:dyDescent="0.25">
      <c r="A384" s="68" t="s">
        <v>213</v>
      </c>
      <c r="B384" s="14">
        <v>43504</v>
      </c>
      <c r="C384" s="13">
        <v>209</v>
      </c>
      <c r="D384" s="13" t="s">
        <v>34</v>
      </c>
      <c r="E384" s="32" t="s">
        <v>808</v>
      </c>
      <c r="F384" s="4">
        <v>233812.18</v>
      </c>
      <c r="G384" s="86" t="s">
        <v>1046</v>
      </c>
      <c r="H384" s="211"/>
      <c r="I384" s="4" t="s">
        <v>315</v>
      </c>
      <c r="J384" s="21"/>
      <c r="K384" s="228"/>
    </row>
    <row r="385" spans="1:12" ht="13.95" hidden="1" customHeight="1" x14ac:dyDescent="0.25">
      <c r="A385" s="32" t="s">
        <v>261</v>
      </c>
      <c r="B385" s="14">
        <v>43504</v>
      </c>
      <c r="C385" s="13">
        <v>202</v>
      </c>
      <c r="D385" s="32" t="s">
        <v>269</v>
      </c>
      <c r="E385" s="32" t="s">
        <v>808</v>
      </c>
      <c r="F385" s="4">
        <v>512570.53</v>
      </c>
      <c r="G385" s="69" t="s">
        <v>1039</v>
      </c>
      <c r="H385" s="14"/>
      <c r="I385" s="41" t="s">
        <v>202</v>
      </c>
      <c r="J385" s="21"/>
      <c r="K385" s="228"/>
    </row>
    <row r="386" spans="1:12" s="97" customFormat="1" hidden="1" x14ac:dyDescent="0.25">
      <c r="A386" s="61" t="s">
        <v>1147</v>
      </c>
      <c r="B386" s="14">
        <v>43504</v>
      </c>
      <c r="C386" s="13">
        <v>203</v>
      </c>
      <c r="D386" s="13" t="s">
        <v>539</v>
      </c>
      <c r="E386" s="13" t="s">
        <v>808</v>
      </c>
      <c r="F386" s="4">
        <v>769991</v>
      </c>
      <c r="G386" s="210" t="s">
        <v>2066</v>
      </c>
      <c r="H386" s="211">
        <v>43460</v>
      </c>
      <c r="I386" s="4" t="s">
        <v>1157</v>
      </c>
      <c r="J386" s="133"/>
      <c r="K386" s="22"/>
      <c r="L386" s="134"/>
    </row>
    <row r="387" spans="1:12" s="97" customFormat="1" hidden="1" x14ac:dyDescent="0.25">
      <c r="A387" s="32" t="s">
        <v>1148</v>
      </c>
      <c r="B387" s="14">
        <v>43504</v>
      </c>
      <c r="C387" s="13">
        <v>204</v>
      </c>
      <c r="D387" s="13" t="s">
        <v>276</v>
      </c>
      <c r="E387" s="13" t="s">
        <v>808</v>
      </c>
      <c r="F387" s="4">
        <v>904706</v>
      </c>
      <c r="G387" s="28" t="s">
        <v>2821</v>
      </c>
      <c r="H387" s="14">
        <v>43459</v>
      </c>
      <c r="I387" s="4" t="s">
        <v>1349</v>
      </c>
      <c r="J387" s="133"/>
      <c r="K387" s="22"/>
      <c r="L387" s="134"/>
    </row>
    <row r="388" spans="1:12" s="97" customFormat="1" hidden="1" x14ac:dyDescent="0.25">
      <c r="A388" s="61" t="s">
        <v>1316</v>
      </c>
      <c r="B388" s="14">
        <v>43504</v>
      </c>
      <c r="C388" s="13">
        <v>205</v>
      </c>
      <c r="D388" s="13" t="s">
        <v>589</v>
      </c>
      <c r="E388" s="13" t="s">
        <v>808</v>
      </c>
      <c r="F388" s="4">
        <v>890233.4</v>
      </c>
      <c r="G388" s="210" t="s">
        <v>3821</v>
      </c>
      <c r="H388" s="211">
        <v>43459</v>
      </c>
      <c r="I388" s="4" t="s">
        <v>2730</v>
      </c>
      <c r="J388" s="133"/>
      <c r="K388" s="22"/>
      <c r="L388" s="134"/>
    </row>
    <row r="389" spans="1:12" s="97" customFormat="1" hidden="1" x14ac:dyDescent="0.25">
      <c r="A389" s="32" t="s">
        <v>8</v>
      </c>
      <c r="B389" s="14">
        <v>43504</v>
      </c>
      <c r="C389" s="13">
        <v>206</v>
      </c>
      <c r="D389" s="13" t="s">
        <v>243</v>
      </c>
      <c r="E389" s="13" t="s">
        <v>808</v>
      </c>
      <c r="F389" s="4">
        <v>342958.72</v>
      </c>
      <c r="G389" s="29" t="s">
        <v>2393</v>
      </c>
      <c r="H389" s="14">
        <v>43445</v>
      </c>
      <c r="I389" s="4" t="s">
        <v>1996</v>
      </c>
      <c r="J389" s="133"/>
      <c r="K389" s="22"/>
      <c r="L389" s="134"/>
    </row>
    <row r="390" spans="1:12" s="97" customFormat="1" hidden="1" x14ac:dyDescent="0.25">
      <c r="A390" s="61" t="s">
        <v>8</v>
      </c>
      <c r="B390" s="14">
        <v>43504</v>
      </c>
      <c r="C390" s="13">
        <v>213</v>
      </c>
      <c r="D390" s="13" t="s">
        <v>243</v>
      </c>
      <c r="E390" s="13" t="s">
        <v>808</v>
      </c>
      <c r="F390" s="4">
        <v>8264.1299999999992</v>
      </c>
      <c r="G390" s="210" t="s">
        <v>983</v>
      </c>
      <c r="H390" s="211">
        <v>43447</v>
      </c>
      <c r="I390" s="4" t="s">
        <v>1104</v>
      </c>
      <c r="J390" s="133"/>
      <c r="K390" s="22"/>
      <c r="L390" s="134"/>
    </row>
    <row r="391" spans="1:12" s="97" customFormat="1" hidden="1" x14ac:dyDescent="0.25">
      <c r="A391" s="32" t="s">
        <v>1148</v>
      </c>
      <c r="B391" s="14">
        <v>43504</v>
      </c>
      <c r="C391" s="13">
        <v>207</v>
      </c>
      <c r="D391" s="13" t="s">
        <v>1082</v>
      </c>
      <c r="E391" s="13" t="s">
        <v>808</v>
      </c>
      <c r="F391" s="4">
        <v>813593.1</v>
      </c>
      <c r="G391" s="28" t="s">
        <v>54</v>
      </c>
      <c r="H391" s="14">
        <v>43460</v>
      </c>
      <c r="I391" s="4" t="s">
        <v>1349</v>
      </c>
      <c r="J391" s="133"/>
      <c r="K391" s="22"/>
      <c r="L391" s="134"/>
    </row>
    <row r="392" spans="1:12" ht="13.8" hidden="1" customHeight="1" x14ac:dyDescent="0.25">
      <c r="A392" s="32" t="s">
        <v>261</v>
      </c>
      <c r="B392" s="14">
        <v>43504</v>
      </c>
      <c r="C392" s="13">
        <v>214</v>
      </c>
      <c r="D392" s="32" t="s">
        <v>1254</v>
      </c>
      <c r="E392" s="32" t="s">
        <v>808</v>
      </c>
      <c r="F392" s="4">
        <v>1220</v>
      </c>
      <c r="G392" s="29" t="s">
        <v>3797</v>
      </c>
      <c r="H392" s="14">
        <v>43501</v>
      </c>
      <c r="I392" s="4" t="s">
        <v>3798</v>
      </c>
      <c r="J392" s="21"/>
      <c r="K392" s="228"/>
    </row>
    <row r="393" spans="1:12" s="129" customFormat="1" hidden="1" x14ac:dyDescent="0.25">
      <c r="A393" s="13" t="s">
        <v>1316</v>
      </c>
      <c r="B393" s="14">
        <v>43504</v>
      </c>
      <c r="C393" s="28" t="s">
        <v>1226</v>
      </c>
      <c r="D393" s="13" t="s">
        <v>1846</v>
      </c>
      <c r="E393" s="13" t="s">
        <v>808</v>
      </c>
      <c r="F393" s="4">
        <v>10285</v>
      </c>
      <c r="G393" s="28" t="s">
        <v>3822</v>
      </c>
      <c r="H393" s="14">
        <v>43502</v>
      </c>
      <c r="I393" s="4" t="s">
        <v>3823</v>
      </c>
      <c r="J393" s="133"/>
      <c r="K393" s="275"/>
    </row>
    <row r="394" spans="1:12" s="129" customFormat="1" hidden="1" x14ac:dyDescent="0.25">
      <c r="A394" s="13" t="s">
        <v>1316</v>
      </c>
      <c r="B394" s="14">
        <v>43504</v>
      </c>
      <c r="C394" s="28" t="s">
        <v>1133</v>
      </c>
      <c r="D394" s="13" t="s">
        <v>1757</v>
      </c>
      <c r="E394" s="13" t="s">
        <v>808</v>
      </c>
      <c r="F394" s="4">
        <v>200000</v>
      </c>
      <c r="G394" s="28" t="s">
        <v>3335</v>
      </c>
      <c r="H394" s="14">
        <v>43480</v>
      </c>
      <c r="I394" s="4" t="s">
        <v>3336</v>
      </c>
      <c r="J394" s="133"/>
      <c r="K394" s="275"/>
    </row>
    <row r="395" spans="1:12" s="97" customFormat="1" hidden="1" x14ac:dyDescent="0.25">
      <c r="A395" s="32" t="s">
        <v>1149</v>
      </c>
      <c r="B395" s="14">
        <v>43504</v>
      </c>
      <c r="C395" s="13">
        <v>221</v>
      </c>
      <c r="D395" s="13" t="s">
        <v>1032</v>
      </c>
      <c r="E395" s="13" t="s">
        <v>808</v>
      </c>
      <c r="F395" s="4">
        <v>71400</v>
      </c>
      <c r="G395" s="28" t="s">
        <v>2048</v>
      </c>
      <c r="H395" s="14">
        <v>43385</v>
      </c>
      <c r="I395" s="4" t="s">
        <v>142</v>
      </c>
      <c r="J395" s="133"/>
      <c r="K395" s="22"/>
      <c r="L395" s="134"/>
    </row>
    <row r="396" spans="1:12" s="97" customFormat="1" hidden="1" x14ac:dyDescent="0.25">
      <c r="A396" s="13" t="s">
        <v>1148</v>
      </c>
      <c r="B396" s="14">
        <v>43504</v>
      </c>
      <c r="C396" s="13">
        <v>221</v>
      </c>
      <c r="D396" s="13" t="s">
        <v>1032</v>
      </c>
      <c r="E396" s="13" t="s">
        <v>808</v>
      </c>
      <c r="F396" s="4">
        <v>72450</v>
      </c>
      <c r="G396" s="29" t="s">
        <v>2049</v>
      </c>
      <c r="H396" s="14">
        <v>43385</v>
      </c>
      <c r="I396" s="4" t="s">
        <v>142</v>
      </c>
      <c r="J396" s="133"/>
      <c r="K396" s="22"/>
      <c r="L396" s="134"/>
    </row>
    <row r="397" spans="1:12" s="97" customFormat="1" hidden="1" x14ac:dyDescent="0.25">
      <c r="A397" s="13" t="s">
        <v>261</v>
      </c>
      <c r="B397" s="14">
        <v>43504</v>
      </c>
      <c r="C397" s="13">
        <v>216</v>
      </c>
      <c r="D397" s="13" t="s">
        <v>1065</v>
      </c>
      <c r="E397" s="13" t="s">
        <v>808</v>
      </c>
      <c r="F397" s="4">
        <v>29857.94</v>
      </c>
      <c r="G397" s="210" t="s">
        <v>459</v>
      </c>
      <c r="H397" s="211">
        <v>43479</v>
      </c>
      <c r="I397" s="4" t="s">
        <v>3239</v>
      </c>
      <c r="J397" s="133"/>
      <c r="K397" s="22"/>
      <c r="L397" s="134"/>
    </row>
    <row r="398" spans="1:12" s="97" customFormat="1" hidden="1" x14ac:dyDescent="0.25">
      <c r="A398" s="13" t="s">
        <v>1147</v>
      </c>
      <c r="B398" s="14">
        <v>43504</v>
      </c>
      <c r="C398" s="13">
        <v>227</v>
      </c>
      <c r="D398" s="13" t="s">
        <v>72</v>
      </c>
      <c r="E398" s="13" t="s">
        <v>808</v>
      </c>
      <c r="F398" s="4">
        <v>26103.62</v>
      </c>
      <c r="G398" s="28" t="s">
        <v>1129</v>
      </c>
      <c r="H398" s="14">
        <v>43476</v>
      </c>
      <c r="I398" s="4" t="s">
        <v>3223</v>
      </c>
      <c r="J398" s="133"/>
      <c r="K398" s="22"/>
      <c r="L398" s="134"/>
    </row>
    <row r="399" spans="1:12" s="97" customFormat="1" hidden="1" x14ac:dyDescent="0.25">
      <c r="A399" s="13" t="s">
        <v>261</v>
      </c>
      <c r="B399" s="14">
        <v>43504</v>
      </c>
      <c r="C399" s="13">
        <v>227</v>
      </c>
      <c r="D399" s="13" t="s">
        <v>72</v>
      </c>
      <c r="E399" s="13" t="s">
        <v>808</v>
      </c>
      <c r="F399" s="4">
        <v>21199.41</v>
      </c>
      <c r="G399" s="28" t="s">
        <v>3225</v>
      </c>
      <c r="H399" s="14">
        <v>43480</v>
      </c>
      <c r="I399" s="4" t="s">
        <v>3226</v>
      </c>
      <c r="J399" s="133"/>
      <c r="K399" s="22"/>
      <c r="L399" s="134"/>
    </row>
    <row r="400" spans="1:12" hidden="1" x14ac:dyDescent="0.25">
      <c r="A400" s="61" t="s">
        <v>1149</v>
      </c>
      <c r="B400" s="14">
        <v>43504</v>
      </c>
      <c r="C400" s="13">
        <v>217</v>
      </c>
      <c r="D400" s="13" t="s">
        <v>1099</v>
      </c>
      <c r="E400" s="13" t="s">
        <v>808</v>
      </c>
      <c r="F400" s="4">
        <v>47989.2</v>
      </c>
      <c r="G400" s="29" t="s">
        <v>1096</v>
      </c>
      <c r="H400" s="14">
        <v>43404</v>
      </c>
      <c r="I400" s="4" t="s">
        <v>461</v>
      </c>
    </row>
    <row r="401" spans="1:12" ht="27.6" hidden="1" x14ac:dyDescent="0.25">
      <c r="A401" s="61" t="s">
        <v>1806</v>
      </c>
      <c r="B401" s="14">
        <v>43504</v>
      </c>
      <c r="C401" s="13">
        <v>208</v>
      </c>
      <c r="D401" s="13" t="s">
        <v>447</v>
      </c>
      <c r="E401" s="13" t="s">
        <v>808</v>
      </c>
      <c r="F401" s="4">
        <v>100000</v>
      </c>
      <c r="G401" s="29" t="s">
        <v>3118</v>
      </c>
      <c r="H401" s="14">
        <v>43465</v>
      </c>
      <c r="I401" s="4" t="s">
        <v>95</v>
      </c>
    </row>
    <row r="402" spans="1:12" hidden="1" x14ac:dyDescent="0.25">
      <c r="A402" s="61" t="s">
        <v>2320</v>
      </c>
      <c r="B402" s="14">
        <v>43504</v>
      </c>
      <c r="C402" s="13">
        <v>223</v>
      </c>
      <c r="D402" s="13" t="s">
        <v>3720</v>
      </c>
      <c r="E402" s="13" t="s">
        <v>808</v>
      </c>
      <c r="F402" s="4">
        <v>100000</v>
      </c>
      <c r="G402" s="29" t="s">
        <v>3011</v>
      </c>
      <c r="H402" s="14">
        <v>43482</v>
      </c>
      <c r="I402" s="4" t="s">
        <v>263</v>
      </c>
      <c r="J402" s="22" t="s">
        <v>3721</v>
      </c>
    </row>
    <row r="403" spans="1:12" hidden="1" x14ac:dyDescent="0.25">
      <c r="A403" s="13" t="s">
        <v>1148</v>
      </c>
      <c r="B403" s="14">
        <v>43504</v>
      </c>
      <c r="C403" s="13">
        <v>218</v>
      </c>
      <c r="D403" s="13" t="s">
        <v>1431</v>
      </c>
      <c r="E403" s="13" t="s">
        <v>808</v>
      </c>
      <c r="F403" s="4">
        <v>92500</v>
      </c>
      <c r="G403" s="29" t="s">
        <v>2255</v>
      </c>
      <c r="H403" s="14">
        <v>43434</v>
      </c>
      <c r="I403" s="4" t="s">
        <v>1061</v>
      </c>
    </row>
    <row r="404" spans="1:12" hidden="1" x14ac:dyDescent="0.25">
      <c r="A404" s="61" t="s">
        <v>1148</v>
      </c>
      <c r="B404" s="14">
        <v>43504</v>
      </c>
      <c r="C404" s="13">
        <v>219</v>
      </c>
      <c r="D404" s="13" t="s">
        <v>1395</v>
      </c>
      <c r="E404" s="13" t="s">
        <v>808</v>
      </c>
      <c r="F404" s="4">
        <v>53200</v>
      </c>
      <c r="G404" s="29" t="s">
        <v>1976</v>
      </c>
      <c r="H404" s="14">
        <v>43486</v>
      </c>
      <c r="I404" s="4" t="s">
        <v>3584</v>
      </c>
    </row>
    <row r="405" spans="1:12" ht="41.4" hidden="1" x14ac:dyDescent="0.25">
      <c r="A405" s="61" t="s">
        <v>2516</v>
      </c>
      <c r="B405" s="14">
        <v>43504</v>
      </c>
      <c r="C405" s="13">
        <v>222</v>
      </c>
      <c r="D405" s="13" t="s">
        <v>80</v>
      </c>
      <c r="E405" s="13" t="s">
        <v>808</v>
      </c>
      <c r="F405" s="4">
        <f>328250-200000</f>
        <v>128250</v>
      </c>
      <c r="G405" s="29" t="s">
        <v>2517</v>
      </c>
      <c r="H405" s="14">
        <v>43448</v>
      </c>
      <c r="I405" s="4" t="s">
        <v>2518</v>
      </c>
    </row>
    <row r="406" spans="1:12" hidden="1" x14ac:dyDescent="0.25">
      <c r="A406" s="61" t="s">
        <v>1147</v>
      </c>
      <c r="B406" s="14">
        <v>43504</v>
      </c>
      <c r="C406" s="13">
        <v>212</v>
      </c>
      <c r="D406" s="13" t="s">
        <v>692</v>
      </c>
      <c r="E406" s="13" t="s">
        <v>808</v>
      </c>
      <c r="F406" s="4">
        <v>241312.5</v>
      </c>
      <c r="G406" s="210" t="s">
        <v>1401</v>
      </c>
      <c r="H406" s="211">
        <v>43424</v>
      </c>
      <c r="I406" s="4" t="s">
        <v>2027</v>
      </c>
    </row>
    <row r="407" spans="1:12" ht="13.8" hidden="1" customHeight="1" x14ac:dyDescent="0.25">
      <c r="A407" s="32" t="s">
        <v>151</v>
      </c>
      <c r="B407" s="14">
        <v>43504</v>
      </c>
      <c r="C407" s="13">
        <v>220</v>
      </c>
      <c r="D407" s="32" t="s">
        <v>112</v>
      </c>
      <c r="E407" s="32" t="s">
        <v>808</v>
      </c>
      <c r="F407" s="4">
        <v>3000</v>
      </c>
      <c r="G407" s="29" t="s">
        <v>325</v>
      </c>
      <c r="H407" s="14">
        <v>43500</v>
      </c>
      <c r="I407" s="4" t="s">
        <v>3897</v>
      </c>
      <c r="J407" s="21"/>
      <c r="K407" s="228"/>
    </row>
    <row r="408" spans="1:12" hidden="1" x14ac:dyDescent="0.25">
      <c r="A408" s="13" t="s">
        <v>637</v>
      </c>
      <c r="B408" s="14">
        <v>43504</v>
      </c>
      <c r="C408" s="28" t="s">
        <v>3964</v>
      </c>
      <c r="D408" s="32" t="s">
        <v>432</v>
      </c>
      <c r="E408" s="32" t="s">
        <v>691</v>
      </c>
      <c r="F408" s="4">
        <v>300000</v>
      </c>
      <c r="G408" s="69" t="s">
        <v>3256</v>
      </c>
      <c r="H408" s="14"/>
      <c r="I408" s="4" t="s">
        <v>433</v>
      </c>
      <c r="J408" s="21"/>
      <c r="K408" s="228"/>
    </row>
    <row r="409" spans="1:12" s="97" customFormat="1" hidden="1" x14ac:dyDescent="0.25">
      <c r="A409" s="14" t="s">
        <v>1807</v>
      </c>
      <c r="B409" s="14">
        <v>43504</v>
      </c>
      <c r="C409" s="13">
        <v>52</v>
      </c>
      <c r="D409" s="218" t="s">
        <v>982</v>
      </c>
      <c r="E409" s="218" t="s">
        <v>691</v>
      </c>
      <c r="F409" s="4">
        <v>182064</v>
      </c>
      <c r="G409" s="29" t="s">
        <v>1450</v>
      </c>
      <c r="H409" s="14">
        <v>42753</v>
      </c>
      <c r="I409" s="32" t="s">
        <v>216</v>
      </c>
      <c r="J409" s="133"/>
      <c r="K409" s="22"/>
      <c r="L409" s="134"/>
    </row>
    <row r="410" spans="1:12" s="97" customFormat="1" hidden="1" x14ac:dyDescent="0.25">
      <c r="A410" s="13" t="s">
        <v>1255</v>
      </c>
      <c r="B410" s="14">
        <v>43504</v>
      </c>
      <c r="C410" s="13">
        <v>53</v>
      </c>
      <c r="D410" s="13" t="s">
        <v>590</v>
      </c>
      <c r="E410" s="13" t="s">
        <v>691</v>
      </c>
      <c r="F410" s="4">
        <v>1300000</v>
      </c>
      <c r="G410" s="29" t="s">
        <v>1323</v>
      </c>
      <c r="H410" s="14">
        <v>42746</v>
      </c>
      <c r="I410" s="4" t="s">
        <v>159</v>
      </c>
      <c r="J410" s="133"/>
      <c r="K410" s="22"/>
      <c r="L410" s="134"/>
    </row>
    <row r="411" spans="1:12" s="97" customFormat="1" hidden="1" x14ac:dyDescent="0.25">
      <c r="A411" s="61" t="s">
        <v>1350</v>
      </c>
      <c r="B411" s="14">
        <v>43504</v>
      </c>
      <c r="C411" s="13">
        <v>54</v>
      </c>
      <c r="D411" s="13" t="s">
        <v>257</v>
      </c>
      <c r="E411" s="13" t="s">
        <v>691</v>
      </c>
      <c r="F411" s="4">
        <v>906518</v>
      </c>
      <c r="G411" s="210" t="s">
        <v>2718</v>
      </c>
      <c r="H411" s="211">
        <v>43458</v>
      </c>
      <c r="I411" s="4" t="s">
        <v>735</v>
      </c>
      <c r="J411" s="133"/>
      <c r="K411" s="22"/>
      <c r="L411" s="134"/>
    </row>
    <row r="412" spans="1:12" s="97" customFormat="1" hidden="1" x14ac:dyDescent="0.25">
      <c r="A412" s="32" t="s">
        <v>659</v>
      </c>
      <c r="B412" s="14">
        <v>43504</v>
      </c>
      <c r="C412" s="13">
        <v>55</v>
      </c>
      <c r="D412" s="13" t="s">
        <v>243</v>
      </c>
      <c r="E412" s="13" t="s">
        <v>691</v>
      </c>
      <c r="F412" s="4">
        <f>2515643.18-1000000-515643.18-600000</f>
        <v>400000.00000000023</v>
      </c>
      <c r="G412" s="28" t="s">
        <v>2828</v>
      </c>
      <c r="H412" s="14">
        <v>43430</v>
      </c>
      <c r="I412" s="4" t="s">
        <v>1876</v>
      </c>
      <c r="J412" s="133"/>
      <c r="K412" s="22"/>
      <c r="L412" s="134"/>
    </row>
    <row r="413" spans="1:12" hidden="1" x14ac:dyDescent="0.25">
      <c r="A413" s="61" t="s">
        <v>1350</v>
      </c>
      <c r="B413" s="14">
        <v>43504</v>
      </c>
      <c r="C413" s="13">
        <v>56</v>
      </c>
      <c r="D413" s="13" t="s">
        <v>944</v>
      </c>
      <c r="E413" s="13" t="s">
        <v>691</v>
      </c>
      <c r="F413" s="4">
        <v>216000</v>
      </c>
      <c r="G413" s="29" t="s">
        <v>2258</v>
      </c>
      <c r="H413" s="14">
        <v>43434</v>
      </c>
      <c r="I413" s="4" t="s">
        <v>402</v>
      </c>
    </row>
    <row r="414" spans="1:12" ht="12.6" hidden="1" customHeight="1" x14ac:dyDescent="0.25">
      <c r="A414" s="61" t="s">
        <v>637</v>
      </c>
      <c r="B414" s="14">
        <v>43504</v>
      </c>
      <c r="C414" s="13">
        <v>57</v>
      </c>
      <c r="D414" s="13" t="s">
        <v>1099</v>
      </c>
      <c r="E414" s="13" t="s">
        <v>691</v>
      </c>
      <c r="F414" s="4">
        <v>46980</v>
      </c>
      <c r="G414" s="29" t="s">
        <v>2368</v>
      </c>
      <c r="H414" s="14">
        <v>43416</v>
      </c>
      <c r="I414" s="4" t="s">
        <v>14</v>
      </c>
    </row>
    <row r="415" spans="1:12" hidden="1" x14ac:dyDescent="0.25">
      <c r="A415" s="61" t="s">
        <v>1350</v>
      </c>
      <c r="B415" s="14">
        <v>43504</v>
      </c>
      <c r="C415" s="13">
        <v>58</v>
      </c>
      <c r="D415" s="13" t="s">
        <v>1395</v>
      </c>
      <c r="E415" s="13" t="s">
        <v>691</v>
      </c>
      <c r="F415" s="4">
        <v>38000</v>
      </c>
      <c r="G415" s="29" t="s">
        <v>1485</v>
      </c>
      <c r="H415" s="14">
        <v>43486</v>
      </c>
      <c r="I415" s="4" t="s">
        <v>3586</v>
      </c>
    </row>
    <row r="416" spans="1:12" hidden="1" x14ac:dyDescent="0.25">
      <c r="A416" s="61" t="s">
        <v>1350</v>
      </c>
      <c r="B416" s="14">
        <v>43504</v>
      </c>
      <c r="C416" s="13">
        <v>58</v>
      </c>
      <c r="D416" s="13" t="s">
        <v>1395</v>
      </c>
      <c r="E416" s="13" t="s">
        <v>691</v>
      </c>
      <c r="F416" s="4">
        <v>19400</v>
      </c>
      <c r="G416" s="29" t="s">
        <v>3587</v>
      </c>
      <c r="H416" s="14">
        <v>43486</v>
      </c>
      <c r="I416" s="4" t="s">
        <v>3585</v>
      </c>
    </row>
    <row r="417" spans="1:19" hidden="1" x14ac:dyDescent="0.25">
      <c r="A417" s="32" t="s">
        <v>1350</v>
      </c>
      <c r="B417" s="14">
        <v>43504</v>
      </c>
      <c r="C417" s="13">
        <v>59</v>
      </c>
      <c r="D417" s="13" t="s">
        <v>250</v>
      </c>
      <c r="E417" s="13" t="s">
        <v>691</v>
      </c>
      <c r="F417" s="4">
        <v>197125</v>
      </c>
      <c r="G417" s="28" t="s">
        <v>2379</v>
      </c>
      <c r="H417" s="14">
        <v>43434</v>
      </c>
      <c r="I417" s="4" t="s">
        <v>1601</v>
      </c>
    </row>
    <row r="418" spans="1:19" hidden="1" x14ac:dyDescent="0.25">
      <c r="A418" s="61" t="s">
        <v>660</v>
      </c>
      <c r="B418" s="14">
        <v>43504</v>
      </c>
      <c r="C418" s="13">
        <v>60</v>
      </c>
      <c r="D418" s="13" t="s">
        <v>2115</v>
      </c>
      <c r="E418" s="13" t="s">
        <v>691</v>
      </c>
      <c r="F418" s="4">
        <v>968775</v>
      </c>
      <c r="G418" s="29" t="s">
        <v>54</v>
      </c>
      <c r="H418" s="14">
        <v>43434</v>
      </c>
      <c r="I418" s="4" t="s">
        <v>2385</v>
      </c>
    </row>
    <row r="419" spans="1:19" hidden="1" x14ac:dyDescent="0.25">
      <c r="A419" s="13" t="s">
        <v>659</v>
      </c>
      <c r="B419" s="14">
        <v>43504</v>
      </c>
      <c r="C419" s="13">
        <v>61</v>
      </c>
      <c r="D419" s="13" t="s">
        <v>2115</v>
      </c>
      <c r="E419" s="13" t="s">
        <v>691</v>
      </c>
      <c r="F419" s="4">
        <v>20800</v>
      </c>
      <c r="G419" s="29" t="s">
        <v>169</v>
      </c>
      <c r="H419" s="14">
        <v>43465</v>
      </c>
      <c r="I419" s="4" t="s">
        <v>164</v>
      </c>
    </row>
    <row r="420" spans="1:19" hidden="1" x14ac:dyDescent="0.25">
      <c r="A420" s="61" t="s">
        <v>1350</v>
      </c>
      <c r="B420" s="14">
        <v>43504</v>
      </c>
      <c r="C420" s="13">
        <v>62</v>
      </c>
      <c r="D420" s="13" t="s">
        <v>2115</v>
      </c>
      <c r="E420" s="13" t="s">
        <v>691</v>
      </c>
      <c r="F420" s="4">
        <v>26775</v>
      </c>
      <c r="G420" s="29" t="s">
        <v>154</v>
      </c>
      <c r="H420" s="14">
        <v>43465</v>
      </c>
      <c r="I420" s="4" t="s">
        <v>164</v>
      </c>
    </row>
    <row r="421" spans="1:19" hidden="1" x14ac:dyDescent="0.25">
      <c r="A421" s="13" t="s">
        <v>637</v>
      </c>
      <c r="B421" s="14">
        <v>43504</v>
      </c>
      <c r="C421" s="13">
        <v>104</v>
      </c>
      <c r="D421" s="32" t="s">
        <v>312</v>
      </c>
      <c r="E421" s="13" t="s">
        <v>691</v>
      </c>
      <c r="F421" s="4">
        <v>663660</v>
      </c>
      <c r="G421" s="29" t="s">
        <v>3268</v>
      </c>
      <c r="H421" s="14"/>
      <c r="I421" s="4" t="s">
        <v>78</v>
      </c>
      <c r="J421" s="62"/>
      <c r="K421" s="62"/>
      <c r="L421" s="35"/>
      <c r="M421" s="35"/>
      <c r="N421" s="35"/>
      <c r="O421" s="35"/>
      <c r="P421" s="35"/>
    </row>
    <row r="422" spans="1:19" hidden="1" x14ac:dyDescent="0.25">
      <c r="A422" s="13" t="s">
        <v>151</v>
      </c>
      <c r="B422" s="14">
        <v>43504</v>
      </c>
      <c r="C422" s="13">
        <v>82</v>
      </c>
      <c r="D422" s="32" t="s">
        <v>3533</v>
      </c>
      <c r="E422" s="32" t="s">
        <v>144</v>
      </c>
      <c r="F422" s="4">
        <v>400000</v>
      </c>
      <c r="G422" s="210" t="s">
        <v>3534</v>
      </c>
      <c r="H422" s="211">
        <v>42853</v>
      </c>
      <c r="I422" s="4" t="s">
        <v>4807</v>
      </c>
      <c r="J422" s="166"/>
      <c r="K422" s="228"/>
    </row>
    <row r="423" spans="1:19" s="115" customFormat="1" ht="15.6" hidden="1" x14ac:dyDescent="0.25">
      <c r="A423" s="61" t="s">
        <v>651</v>
      </c>
      <c r="B423" s="14">
        <v>43504</v>
      </c>
      <c r="C423" s="13">
        <v>119</v>
      </c>
      <c r="D423" s="13" t="s">
        <v>813</v>
      </c>
      <c r="E423" s="13" t="s">
        <v>547</v>
      </c>
      <c r="F423" s="4">
        <v>6500000</v>
      </c>
      <c r="G423" s="29" t="s">
        <v>810</v>
      </c>
      <c r="H423" s="14">
        <v>42340</v>
      </c>
      <c r="I423" s="41" t="s">
        <v>1560</v>
      </c>
      <c r="J423" s="258"/>
      <c r="K423" s="116"/>
      <c r="L423" s="116"/>
      <c r="M423" s="116"/>
      <c r="N423" s="116"/>
      <c r="O423" s="117"/>
      <c r="P423" s="117"/>
      <c r="Q423" s="117"/>
      <c r="R423" s="117"/>
      <c r="S423" s="117"/>
    </row>
    <row r="424" spans="1:19" s="115" customFormat="1" ht="15.6" hidden="1" x14ac:dyDescent="0.25">
      <c r="A424" s="61" t="s">
        <v>166</v>
      </c>
      <c r="B424" s="14">
        <v>43504</v>
      </c>
      <c r="C424" s="13">
        <v>10</v>
      </c>
      <c r="D424" s="13" t="s">
        <v>3530</v>
      </c>
      <c r="E424" s="13" t="s">
        <v>76</v>
      </c>
      <c r="F424" s="4">
        <v>1000000</v>
      </c>
      <c r="G424" s="29" t="s">
        <v>3965</v>
      </c>
      <c r="H424" s="14">
        <v>41177</v>
      </c>
      <c r="I424" s="41" t="s">
        <v>818</v>
      </c>
      <c r="J424" s="258"/>
      <c r="K424" s="116"/>
      <c r="L424" s="116"/>
      <c r="M424" s="116"/>
      <c r="N424" s="116"/>
      <c r="O424" s="117"/>
      <c r="P424" s="117"/>
      <c r="Q424" s="117"/>
      <c r="R424" s="117"/>
      <c r="S424" s="117"/>
    </row>
    <row r="425" spans="1:19" s="62" customFormat="1" hidden="1" x14ac:dyDescent="0.25">
      <c r="A425" s="13" t="s">
        <v>956</v>
      </c>
      <c r="B425" s="14">
        <v>43507</v>
      </c>
      <c r="C425" s="13">
        <v>70</v>
      </c>
      <c r="D425" s="13" t="s">
        <v>1516</v>
      </c>
      <c r="E425" s="13" t="s">
        <v>481</v>
      </c>
      <c r="F425" s="4">
        <v>1000000</v>
      </c>
      <c r="G425" s="69" t="s">
        <v>1799</v>
      </c>
      <c r="H425" s="14"/>
      <c r="I425" s="4" t="s">
        <v>16</v>
      </c>
      <c r="J425" s="71"/>
    </row>
    <row r="426" spans="1:19" ht="14.1" hidden="1" customHeight="1" x14ac:dyDescent="0.25">
      <c r="A426" s="68" t="s">
        <v>956</v>
      </c>
      <c r="B426" s="14">
        <v>43507</v>
      </c>
      <c r="C426" s="13" t="s">
        <v>3991</v>
      </c>
      <c r="D426" s="32" t="s">
        <v>219</v>
      </c>
      <c r="E426" s="13" t="s">
        <v>481</v>
      </c>
      <c r="F426" s="4">
        <v>590000</v>
      </c>
      <c r="G426" s="86" t="s">
        <v>1848</v>
      </c>
      <c r="H426" s="211"/>
      <c r="I426" s="208" t="s">
        <v>297</v>
      </c>
      <c r="J426" s="21"/>
      <c r="K426" s="228"/>
    </row>
    <row r="427" spans="1:19" hidden="1" x14ac:dyDescent="0.25">
      <c r="A427" s="61" t="s">
        <v>460</v>
      </c>
      <c r="B427" s="14">
        <v>43507</v>
      </c>
      <c r="C427" s="13">
        <v>87</v>
      </c>
      <c r="D427" s="32" t="s">
        <v>2442</v>
      </c>
      <c r="E427" s="32" t="s">
        <v>144</v>
      </c>
      <c r="F427" s="4">
        <v>1973160</v>
      </c>
      <c r="G427" s="86" t="s">
        <v>2443</v>
      </c>
      <c r="H427" s="14">
        <v>43446</v>
      </c>
      <c r="I427" s="326"/>
      <c r="K427" s="62"/>
    </row>
    <row r="428" spans="1:19" hidden="1" x14ac:dyDescent="0.25">
      <c r="A428" s="61" t="s">
        <v>460</v>
      </c>
      <c r="B428" s="14">
        <v>43507</v>
      </c>
      <c r="C428" s="13">
        <v>88</v>
      </c>
      <c r="D428" s="14" t="s">
        <v>2500</v>
      </c>
      <c r="E428" s="32" t="s">
        <v>144</v>
      </c>
      <c r="F428" s="4">
        <v>34128</v>
      </c>
      <c r="G428" s="86" t="s">
        <v>2501</v>
      </c>
      <c r="H428" s="211"/>
      <c r="I428" s="326"/>
      <c r="K428" s="62"/>
    </row>
    <row r="429" spans="1:19" hidden="1" x14ac:dyDescent="0.25">
      <c r="A429" s="61" t="s">
        <v>460</v>
      </c>
      <c r="B429" s="14">
        <v>43507</v>
      </c>
      <c r="C429" s="13">
        <v>89</v>
      </c>
      <c r="D429" s="14" t="s">
        <v>2502</v>
      </c>
      <c r="E429" s="32" t="s">
        <v>144</v>
      </c>
      <c r="F429" s="4">
        <v>57292</v>
      </c>
      <c r="G429" s="86" t="s">
        <v>2503</v>
      </c>
      <c r="H429" s="211"/>
      <c r="I429" s="326"/>
      <c r="K429" s="62"/>
    </row>
    <row r="430" spans="1:19" hidden="1" x14ac:dyDescent="0.25">
      <c r="A430" s="61" t="s">
        <v>460</v>
      </c>
      <c r="B430" s="14">
        <v>43507</v>
      </c>
      <c r="C430" s="13">
        <v>90</v>
      </c>
      <c r="D430" s="14" t="s">
        <v>2504</v>
      </c>
      <c r="E430" s="32" t="s">
        <v>144</v>
      </c>
      <c r="F430" s="4">
        <v>34128</v>
      </c>
      <c r="G430" s="86" t="s">
        <v>2505</v>
      </c>
      <c r="H430" s="211"/>
      <c r="I430" s="326"/>
      <c r="K430" s="62"/>
    </row>
    <row r="431" spans="1:19" hidden="1" x14ac:dyDescent="0.25">
      <c r="A431" s="13" t="s">
        <v>184</v>
      </c>
      <c r="B431" s="14">
        <v>43507</v>
      </c>
      <c r="C431" s="13">
        <v>91</v>
      </c>
      <c r="D431" s="13" t="s">
        <v>781</v>
      </c>
      <c r="E431" s="13" t="s">
        <v>144</v>
      </c>
      <c r="F431" s="4">
        <v>16000</v>
      </c>
      <c r="G431" s="29" t="s">
        <v>3212</v>
      </c>
      <c r="H431" s="14">
        <v>43489</v>
      </c>
      <c r="I431" s="4" t="s">
        <v>782</v>
      </c>
      <c r="J431" s="128" t="s">
        <v>721</v>
      </c>
    </row>
    <row r="432" spans="1:19" hidden="1" x14ac:dyDescent="0.25">
      <c r="A432" s="13" t="s">
        <v>184</v>
      </c>
      <c r="B432" s="14">
        <v>43507</v>
      </c>
      <c r="C432" s="13">
        <v>91</v>
      </c>
      <c r="D432" s="13" t="s">
        <v>781</v>
      </c>
      <c r="E432" s="13" t="s">
        <v>144</v>
      </c>
      <c r="F432" s="4">
        <v>24000</v>
      </c>
      <c r="G432" s="29" t="s">
        <v>2963</v>
      </c>
      <c r="H432" s="14">
        <v>43489</v>
      </c>
      <c r="I432" s="4" t="s">
        <v>934</v>
      </c>
      <c r="J432" s="128" t="s">
        <v>721</v>
      </c>
    </row>
    <row r="433" spans="1:19" ht="15" hidden="1" customHeight="1" x14ac:dyDescent="0.25">
      <c r="A433" s="13" t="s">
        <v>184</v>
      </c>
      <c r="B433" s="14">
        <v>43507</v>
      </c>
      <c r="C433" s="13">
        <v>145</v>
      </c>
      <c r="D433" s="32" t="s">
        <v>747</v>
      </c>
      <c r="E433" s="32" t="s">
        <v>1121</v>
      </c>
      <c r="F433" s="4">
        <v>238653</v>
      </c>
      <c r="G433" s="28" t="s">
        <v>3777</v>
      </c>
      <c r="H433" s="14">
        <v>43494</v>
      </c>
      <c r="I433" s="4" t="s">
        <v>424</v>
      </c>
      <c r="J433" s="76" t="s">
        <v>721</v>
      </c>
    </row>
    <row r="434" spans="1:19" hidden="1" x14ac:dyDescent="0.25">
      <c r="A434" s="13" t="s">
        <v>184</v>
      </c>
      <c r="B434" s="14">
        <v>43507</v>
      </c>
      <c r="C434" s="13">
        <v>145</v>
      </c>
      <c r="D434" s="32" t="s">
        <v>747</v>
      </c>
      <c r="E434" s="32" t="s">
        <v>1121</v>
      </c>
      <c r="F434" s="4">
        <v>58641</v>
      </c>
      <c r="G434" s="28" t="s">
        <v>3779</v>
      </c>
      <c r="H434" s="14">
        <v>43494</v>
      </c>
      <c r="I434" s="4" t="s">
        <v>750</v>
      </c>
      <c r="J434" s="76" t="s">
        <v>721</v>
      </c>
    </row>
    <row r="435" spans="1:19" ht="15" hidden="1" customHeight="1" x14ac:dyDescent="0.25">
      <c r="A435" s="13" t="s">
        <v>184</v>
      </c>
      <c r="B435" s="14">
        <v>43507</v>
      </c>
      <c r="C435" s="13">
        <v>145</v>
      </c>
      <c r="D435" s="32" t="s">
        <v>747</v>
      </c>
      <c r="E435" s="32" t="s">
        <v>1121</v>
      </c>
      <c r="F435" s="4">
        <v>86428</v>
      </c>
      <c r="G435" s="28" t="s">
        <v>3780</v>
      </c>
      <c r="H435" s="14">
        <v>43494</v>
      </c>
      <c r="I435" s="4" t="s">
        <v>658</v>
      </c>
      <c r="J435" s="76" t="s">
        <v>721</v>
      </c>
    </row>
    <row r="436" spans="1:19" ht="15" hidden="1" customHeight="1" x14ac:dyDescent="0.25">
      <c r="A436" s="13" t="s">
        <v>184</v>
      </c>
      <c r="B436" s="14">
        <v>43507</v>
      </c>
      <c r="C436" s="13">
        <v>145</v>
      </c>
      <c r="D436" s="32" t="s">
        <v>747</v>
      </c>
      <c r="E436" s="32" t="s">
        <v>1121</v>
      </c>
      <c r="F436" s="4">
        <v>50750</v>
      </c>
      <c r="G436" s="28" t="s">
        <v>3781</v>
      </c>
      <c r="H436" s="14">
        <v>43494</v>
      </c>
      <c r="I436" s="4" t="s">
        <v>749</v>
      </c>
      <c r="J436" s="76" t="s">
        <v>721</v>
      </c>
    </row>
    <row r="437" spans="1:19" ht="15" hidden="1" customHeight="1" x14ac:dyDescent="0.25">
      <c r="A437" s="13" t="s">
        <v>184</v>
      </c>
      <c r="B437" s="14">
        <v>43507</v>
      </c>
      <c r="C437" s="13">
        <v>145</v>
      </c>
      <c r="D437" s="32" t="s">
        <v>747</v>
      </c>
      <c r="E437" s="32" t="s">
        <v>1121</v>
      </c>
      <c r="F437" s="4">
        <v>71835</v>
      </c>
      <c r="G437" s="28" t="s">
        <v>3782</v>
      </c>
      <c r="H437" s="14">
        <v>43494</v>
      </c>
      <c r="I437" s="4" t="s">
        <v>3783</v>
      </c>
      <c r="J437" s="76" t="s">
        <v>721</v>
      </c>
    </row>
    <row r="438" spans="1:19" ht="15" hidden="1" customHeight="1" x14ac:dyDescent="0.25">
      <c r="A438" s="13" t="s">
        <v>184</v>
      </c>
      <c r="B438" s="14">
        <v>43507</v>
      </c>
      <c r="C438" s="13">
        <v>146</v>
      </c>
      <c r="D438" s="32" t="s">
        <v>747</v>
      </c>
      <c r="E438" s="32" t="s">
        <v>1121</v>
      </c>
      <c r="F438" s="4">
        <v>65994</v>
      </c>
      <c r="G438" s="28" t="s">
        <v>3784</v>
      </c>
      <c r="H438" s="14">
        <v>43494</v>
      </c>
      <c r="I438" s="4" t="s">
        <v>748</v>
      </c>
      <c r="J438" s="76" t="s">
        <v>721</v>
      </c>
    </row>
    <row r="439" spans="1:19" ht="15" hidden="1" customHeight="1" x14ac:dyDescent="0.25">
      <c r="A439" s="13" t="s">
        <v>184</v>
      </c>
      <c r="B439" s="14">
        <v>43507</v>
      </c>
      <c r="C439" s="13">
        <v>146</v>
      </c>
      <c r="D439" s="32" t="s">
        <v>747</v>
      </c>
      <c r="E439" s="32" t="s">
        <v>1121</v>
      </c>
      <c r="F439" s="4">
        <v>62830</v>
      </c>
      <c r="G439" s="28" t="s">
        <v>3785</v>
      </c>
      <c r="H439" s="14">
        <v>43494</v>
      </c>
      <c r="I439" s="4" t="s">
        <v>1139</v>
      </c>
      <c r="J439" s="76" t="s">
        <v>721</v>
      </c>
    </row>
    <row r="440" spans="1:19" ht="15" hidden="1" customHeight="1" x14ac:dyDescent="0.25">
      <c r="A440" s="13" t="s">
        <v>184</v>
      </c>
      <c r="B440" s="14">
        <v>43507</v>
      </c>
      <c r="C440" s="13">
        <v>146</v>
      </c>
      <c r="D440" s="32" t="s">
        <v>747</v>
      </c>
      <c r="E440" s="32" t="s">
        <v>1121</v>
      </c>
      <c r="F440" s="4">
        <v>47235</v>
      </c>
      <c r="G440" s="28" t="s">
        <v>3786</v>
      </c>
      <c r="H440" s="14">
        <v>43494</v>
      </c>
      <c r="I440" s="4" t="s">
        <v>357</v>
      </c>
      <c r="J440" s="76" t="s">
        <v>721</v>
      </c>
    </row>
    <row r="441" spans="1:19" ht="15" hidden="1" customHeight="1" x14ac:dyDescent="0.25">
      <c r="A441" s="13" t="s">
        <v>184</v>
      </c>
      <c r="B441" s="14">
        <v>43507</v>
      </c>
      <c r="C441" s="13">
        <v>146</v>
      </c>
      <c r="D441" s="32" t="s">
        <v>747</v>
      </c>
      <c r="E441" s="32" t="s">
        <v>1121</v>
      </c>
      <c r="F441" s="4">
        <v>46075</v>
      </c>
      <c r="G441" s="28" t="s">
        <v>3787</v>
      </c>
      <c r="H441" s="14">
        <v>43494</v>
      </c>
      <c r="I441" s="4" t="s">
        <v>492</v>
      </c>
      <c r="J441" s="76" t="s">
        <v>721</v>
      </c>
    </row>
    <row r="442" spans="1:19" ht="15" hidden="1" customHeight="1" x14ac:dyDescent="0.25">
      <c r="A442" s="13" t="s">
        <v>184</v>
      </c>
      <c r="B442" s="14">
        <v>43507</v>
      </c>
      <c r="C442" s="13">
        <v>155</v>
      </c>
      <c r="D442" s="32" t="s">
        <v>747</v>
      </c>
      <c r="E442" s="32" t="s">
        <v>1121</v>
      </c>
      <c r="F442" s="4">
        <v>61235</v>
      </c>
      <c r="G442" s="28" t="s">
        <v>3778</v>
      </c>
      <c r="H442" s="14">
        <v>43463</v>
      </c>
      <c r="I442" s="28">
        <v>78</v>
      </c>
      <c r="J442" s="76" t="s">
        <v>721</v>
      </c>
    </row>
    <row r="443" spans="1:19" hidden="1" x14ac:dyDescent="0.25">
      <c r="A443" s="13" t="s">
        <v>184</v>
      </c>
      <c r="B443" s="14">
        <v>43507</v>
      </c>
      <c r="C443" s="13">
        <v>155</v>
      </c>
      <c r="D443" s="32" t="s">
        <v>747</v>
      </c>
      <c r="E443" s="32" t="s">
        <v>1121</v>
      </c>
      <c r="F443" s="4">
        <v>37698</v>
      </c>
      <c r="G443" s="28" t="s">
        <v>3773</v>
      </c>
      <c r="H443" s="14">
        <v>43494</v>
      </c>
      <c r="I443" s="4" t="s">
        <v>425</v>
      </c>
      <c r="J443" s="76" t="s">
        <v>721</v>
      </c>
    </row>
    <row r="444" spans="1:19" ht="15" hidden="1" customHeight="1" x14ac:dyDescent="0.25">
      <c r="A444" s="13" t="s">
        <v>184</v>
      </c>
      <c r="B444" s="14">
        <v>43507</v>
      </c>
      <c r="C444" s="13">
        <v>147</v>
      </c>
      <c r="D444" s="13" t="s">
        <v>1533</v>
      </c>
      <c r="E444" s="32" t="s">
        <v>1121</v>
      </c>
      <c r="F444" s="4">
        <f>229500-35500</f>
        <v>194000</v>
      </c>
      <c r="G444" s="28" t="s">
        <v>3388</v>
      </c>
      <c r="H444" s="14">
        <v>43483</v>
      </c>
      <c r="I444" s="4" t="s">
        <v>1535</v>
      </c>
      <c r="J444" s="125" t="s">
        <v>721</v>
      </c>
    </row>
    <row r="445" spans="1:19" ht="30" hidden="1" customHeight="1" x14ac:dyDescent="0.25">
      <c r="A445" s="13" t="s">
        <v>184</v>
      </c>
      <c r="B445" s="14">
        <v>43507</v>
      </c>
      <c r="C445" s="13">
        <v>148</v>
      </c>
      <c r="D445" s="13" t="s">
        <v>104</v>
      </c>
      <c r="E445" s="32" t="s">
        <v>1121</v>
      </c>
      <c r="F445" s="4">
        <v>50000</v>
      </c>
      <c r="G445" s="28" t="s">
        <v>1265</v>
      </c>
      <c r="H445" s="14">
        <v>43495</v>
      </c>
      <c r="I445" s="4" t="s">
        <v>3483</v>
      </c>
      <c r="J445" s="76" t="s">
        <v>3767</v>
      </c>
    </row>
    <row r="446" spans="1:19" ht="15" hidden="1" customHeight="1" x14ac:dyDescent="0.25">
      <c r="A446" s="13" t="s">
        <v>964</v>
      </c>
      <c r="B446" s="14">
        <v>43507</v>
      </c>
      <c r="C446" s="13">
        <v>149</v>
      </c>
      <c r="D446" s="13" t="s">
        <v>1885</v>
      </c>
      <c r="E446" s="32" t="s">
        <v>1121</v>
      </c>
      <c r="F446" s="4">
        <v>130800</v>
      </c>
      <c r="G446" s="28" t="s">
        <v>3566</v>
      </c>
      <c r="H446" s="14">
        <v>43495</v>
      </c>
      <c r="I446" s="4" t="s">
        <v>1892</v>
      </c>
      <c r="J446" s="76" t="s">
        <v>721</v>
      </c>
    </row>
    <row r="447" spans="1:19" ht="15" hidden="1" customHeight="1" x14ac:dyDescent="0.25">
      <c r="A447" s="13" t="s">
        <v>964</v>
      </c>
      <c r="B447" s="14">
        <v>43507</v>
      </c>
      <c r="C447" s="13">
        <v>150</v>
      </c>
      <c r="D447" s="13" t="s">
        <v>1886</v>
      </c>
      <c r="E447" s="32" t="s">
        <v>1121</v>
      </c>
      <c r="F447" s="4">
        <v>36000</v>
      </c>
      <c r="G447" s="28" t="s">
        <v>1433</v>
      </c>
      <c r="H447" s="14">
        <v>43480</v>
      </c>
      <c r="I447" s="4" t="s">
        <v>1887</v>
      </c>
      <c r="J447" s="76" t="s">
        <v>721</v>
      </c>
    </row>
    <row r="448" spans="1:19" s="62" customFormat="1" ht="15" hidden="1" customHeight="1" x14ac:dyDescent="0.25">
      <c r="A448" s="13" t="s">
        <v>151</v>
      </c>
      <c r="B448" s="14">
        <v>43507</v>
      </c>
      <c r="C448" s="13">
        <v>151</v>
      </c>
      <c r="D448" s="13" t="s">
        <v>3908</v>
      </c>
      <c r="E448" s="13" t="s">
        <v>1121</v>
      </c>
      <c r="F448" s="4">
        <v>14730.5</v>
      </c>
      <c r="G448" s="29" t="s">
        <v>3909</v>
      </c>
      <c r="H448" s="14">
        <v>43503</v>
      </c>
      <c r="I448" s="4" t="s">
        <v>3910</v>
      </c>
      <c r="J448" s="71"/>
      <c r="O448" s="35"/>
      <c r="P448" s="35"/>
      <c r="Q448" s="35"/>
      <c r="R448" s="35"/>
      <c r="S448" s="35"/>
    </row>
    <row r="449" spans="1:19" s="62" customFormat="1" ht="15" hidden="1" customHeight="1" x14ac:dyDescent="0.25">
      <c r="A449" s="13" t="s">
        <v>151</v>
      </c>
      <c r="B449" s="14">
        <v>43507</v>
      </c>
      <c r="C449" s="28" t="s">
        <v>858</v>
      </c>
      <c r="D449" s="13" t="s">
        <v>1555</v>
      </c>
      <c r="E449" s="32" t="s">
        <v>1121</v>
      </c>
      <c r="F449" s="4">
        <v>55116.24</v>
      </c>
      <c r="G449" s="29" t="s">
        <v>3920</v>
      </c>
      <c r="H449" s="14">
        <v>43496</v>
      </c>
      <c r="I449" s="4" t="s">
        <v>3277</v>
      </c>
      <c r="J449" s="71" t="s">
        <v>721</v>
      </c>
      <c r="O449" s="35"/>
      <c r="P449" s="35"/>
      <c r="Q449" s="35"/>
      <c r="R449" s="35"/>
      <c r="S449" s="35"/>
    </row>
    <row r="450" spans="1:19" ht="13.8" hidden="1" customHeight="1" x14ac:dyDescent="0.25">
      <c r="A450" s="32" t="s">
        <v>151</v>
      </c>
      <c r="B450" s="14">
        <v>43507</v>
      </c>
      <c r="C450" s="67" t="s">
        <v>3990</v>
      </c>
      <c r="D450" s="32" t="s">
        <v>116</v>
      </c>
      <c r="E450" s="32" t="s">
        <v>1121</v>
      </c>
      <c r="F450" s="4">
        <f>453.36+3468.63</f>
        <v>3921.9900000000002</v>
      </c>
      <c r="G450" s="28" t="s">
        <v>3805</v>
      </c>
      <c r="H450" s="14">
        <v>43496</v>
      </c>
      <c r="I450" s="4" t="s">
        <v>118</v>
      </c>
      <c r="J450" s="170"/>
      <c r="K450" s="167"/>
      <c r="L450" s="35"/>
    </row>
    <row r="451" spans="1:19" s="129" customFormat="1" hidden="1" x14ac:dyDescent="0.25">
      <c r="A451" s="13" t="s">
        <v>151</v>
      </c>
      <c r="B451" s="14">
        <v>43507</v>
      </c>
      <c r="C451" s="28" t="s">
        <v>299</v>
      </c>
      <c r="D451" s="13" t="s">
        <v>1589</v>
      </c>
      <c r="E451" s="13" t="s">
        <v>22</v>
      </c>
      <c r="F451" s="4">
        <v>1350</v>
      </c>
      <c r="G451" s="28" t="s">
        <v>1313</v>
      </c>
      <c r="H451" s="14">
        <v>43503</v>
      </c>
      <c r="I451" s="4" t="s">
        <v>3062</v>
      </c>
      <c r="J451" s="133"/>
      <c r="K451" s="275"/>
    </row>
    <row r="452" spans="1:19" s="115" customFormat="1" ht="15.6" hidden="1" customHeight="1" x14ac:dyDescent="0.25">
      <c r="A452" s="61" t="s">
        <v>455</v>
      </c>
      <c r="B452" s="14">
        <v>43507</v>
      </c>
      <c r="C452" s="13">
        <v>107</v>
      </c>
      <c r="D452" s="13" t="s">
        <v>873</v>
      </c>
      <c r="E452" s="13" t="s">
        <v>440</v>
      </c>
      <c r="F452" s="4">
        <f>1799985.56-1000000</f>
        <v>799985.56</v>
      </c>
      <c r="G452" s="13" t="s">
        <v>874</v>
      </c>
      <c r="H452" s="126">
        <v>43445</v>
      </c>
      <c r="I452" s="29" t="s">
        <v>875</v>
      </c>
      <c r="J452" s="258"/>
      <c r="K452" s="116"/>
      <c r="L452" s="116"/>
      <c r="M452" s="116"/>
      <c r="N452" s="116"/>
      <c r="O452" s="117"/>
      <c r="P452" s="117"/>
      <c r="Q452" s="117"/>
      <c r="R452" s="117"/>
      <c r="S452" s="117"/>
    </row>
    <row r="453" spans="1:19" hidden="1" x14ac:dyDescent="0.25">
      <c r="A453" s="68" t="s">
        <v>455</v>
      </c>
      <c r="B453" s="14">
        <v>43507</v>
      </c>
      <c r="C453" s="13">
        <v>108</v>
      </c>
      <c r="D453" s="32" t="s">
        <v>485</v>
      </c>
      <c r="E453" s="32" t="s">
        <v>440</v>
      </c>
      <c r="F453" s="4">
        <v>67341.179999999993</v>
      </c>
      <c r="G453" s="29" t="s">
        <v>3915</v>
      </c>
      <c r="H453" s="14">
        <v>43502</v>
      </c>
      <c r="I453" s="41" t="s">
        <v>546</v>
      </c>
      <c r="J453" s="22" t="s">
        <v>239</v>
      </c>
      <c r="K453" s="22"/>
      <c r="L453" s="63"/>
      <c r="M453" s="62"/>
    </row>
    <row r="454" spans="1:19" hidden="1" x14ac:dyDescent="0.25">
      <c r="A454" s="13" t="s">
        <v>310</v>
      </c>
      <c r="B454" s="14">
        <v>43507</v>
      </c>
      <c r="C454" s="13">
        <v>49</v>
      </c>
      <c r="D454" s="13" t="s">
        <v>210</v>
      </c>
      <c r="E454" s="13" t="s">
        <v>314</v>
      </c>
      <c r="F454" s="4">
        <v>1013.92</v>
      </c>
      <c r="G454" s="29" t="s">
        <v>3927</v>
      </c>
      <c r="H454" s="14">
        <v>43476</v>
      </c>
      <c r="I454" s="4" t="s">
        <v>426</v>
      </c>
      <c r="J454" s="22" t="s">
        <v>327</v>
      </c>
    </row>
    <row r="455" spans="1:19" s="129" customFormat="1" hidden="1" x14ac:dyDescent="0.25">
      <c r="A455" s="13" t="s">
        <v>310</v>
      </c>
      <c r="B455" s="14">
        <v>43507</v>
      </c>
      <c r="C455" s="13">
        <v>50</v>
      </c>
      <c r="D455" s="13" t="s">
        <v>210</v>
      </c>
      <c r="E455" s="13" t="s">
        <v>314</v>
      </c>
      <c r="F455" s="4">
        <v>6744.95</v>
      </c>
      <c r="G455" s="29" t="s">
        <v>3928</v>
      </c>
      <c r="H455" s="14">
        <v>43476</v>
      </c>
      <c r="I455" s="4" t="s">
        <v>546</v>
      </c>
      <c r="J455" s="22" t="s">
        <v>327</v>
      </c>
      <c r="K455" s="136"/>
    </row>
    <row r="456" spans="1:19" hidden="1" x14ac:dyDescent="0.25">
      <c r="A456" s="32" t="s">
        <v>660</v>
      </c>
      <c r="B456" s="14">
        <v>43507</v>
      </c>
      <c r="C456" s="67">
        <v>13</v>
      </c>
      <c r="D456" s="32" t="s">
        <v>595</v>
      </c>
      <c r="E456" s="32" t="s">
        <v>488</v>
      </c>
      <c r="F456" s="4">
        <v>149833.45000000001</v>
      </c>
      <c r="G456" s="29" t="s">
        <v>2256</v>
      </c>
      <c r="H456" s="14">
        <v>43465</v>
      </c>
      <c r="I456" s="41" t="s">
        <v>949</v>
      </c>
      <c r="J456" s="35" t="s">
        <v>327</v>
      </c>
      <c r="K456" s="167"/>
      <c r="L456" s="35"/>
    </row>
    <row r="457" spans="1:19" hidden="1" x14ac:dyDescent="0.25">
      <c r="A457" s="32" t="s">
        <v>659</v>
      </c>
      <c r="B457" s="14">
        <v>43507</v>
      </c>
      <c r="C457" s="67">
        <v>14</v>
      </c>
      <c r="D457" s="32" t="s">
        <v>595</v>
      </c>
      <c r="E457" s="32" t="s">
        <v>488</v>
      </c>
      <c r="F457" s="4">
        <v>163333.18</v>
      </c>
      <c r="G457" s="29" t="s">
        <v>1603</v>
      </c>
      <c r="H457" s="14">
        <v>43465</v>
      </c>
      <c r="I457" s="41" t="s">
        <v>949</v>
      </c>
      <c r="J457" s="35" t="s">
        <v>327</v>
      </c>
      <c r="K457" s="167"/>
      <c r="L457" s="35"/>
    </row>
    <row r="458" spans="1:19" ht="27.6" hidden="1" x14ac:dyDescent="0.25">
      <c r="A458" s="32" t="s">
        <v>261</v>
      </c>
      <c r="B458" s="14">
        <v>43507</v>
      </c>
      <c r="C458" s="67">
        <v>156</v>
      </c>
      <c r="D458" s="32" t="s">
        <v>595</v>
      </c>
      <c r="E458" s="32" t="s">
        <v>3309</v>
      </c>
      <c r="F458" s="4">
        <v>298315.3</v>
      </c>
      <c r="G458" s="29" t="s">
        <v>3284</v>
      </c>
      <c r="H458" s="14">
        <v>43445</v>
      </c>
      <c r="I458" s="41" t="s">
        <v>949</v>
      </c>
      <c r="J458" s="166" t="s">
        <v>327</v>
      </c>
      <c r="K458" s="167"/>
      <c r="L458" s="35"/>
    </row>
    <row r="459" spans="1:19" s="192" customFormat="1" hidden="1" x14ac:dyDescent="0.25">
      <c r="A459" s="147" t="s">
        <v>92</v>
      </c>
      <c r="B459" s="14">
        <v>43507</v>
      </c>
      <c r="C459" s="187">
        <v>510</v>
      </c>
      <c r="D459" s="233" t="s">
        <v>737</v>
      </c>
      <c r="E459" s="147" t="s">
        <v>140</v>
      </c>
      <c r="F459" s="158">
        <f>23524.54</f>
        <v>23524.54</v>
      </c>
      <c r="G459" s="264" t="s">
        <v>1163</v>
      </c>
      <c r="H459" s="151"/>
      <c r="I459" s="233" t="s">
        <v>1249</v>
      </c>
      <c r="J459" s="257" t="s">
        <v>239</v>
      </c>
      <c r="K459" s="194"/>
      <c r="L459" s="190"/>
    </row>
    <row r="460" spans="1:19" s="192" customFormat="1" hidden="1" x14ac:dyDescent="0.25">
      <c r="A460" s="147" t="s">
        <v>92</v>
      </c>
      <c r="B460" s="164">
        <v>43507</v>
      </c>
      <c r="C460" s="187">
        <v>511</v>
      </c>
      <c r="D460" s="233" t="s">
        <v>737</v>
      </c>
      <c r="E460" s="147" t="s">
        <v>140</v>
      </c>
      <c r="F460" s="158">
        <v>38399.94</v>
      </c>
      <c r="G460" s="264" t="s">
        <v>1184</v>
      </c>
      <c r="H460" s="151">
        <v>43109</v>
      </c>
      <c r="I460" s="233" t="s">
        <v>1250</v>
      </c>
      <c r="J460" s="257" t="s">
        <v>239</v>
      </c>
      <c r="K460" s="194"/>
      <c r="L460" s="190"/>
    </row>
    <row r="461" spans="1:19" ht="13.95" hidden="1" customHeight="1" x14ac:dyDescent="0.25">
      <c r="A461" s="13" t="s">
        <v>55</v>
      </c>
      <c r="B461" s="14">
        <v>43507</v>
      </c>
      <c r="C461" s="13">
        <v>299</v>
      </c>
      <c r="D461" s="32" t="s">
        <v>285</v>
      </c>
      <c r="E461" s="32" t="s">
        <v>888</v>
      </c>
      <c r="F461" s="4">
        <v>5000000</v>
      </c>
      <c r="G461" s="69" t="s">
        <v>954</v>
      </c>
      <c r="H461" s="14"/>
      <c r="I461" s="41" t="s">
        <v>955</v>
      </c>
      <c r="K461" s="62"/>
    </row>
    <row r="462" spans="1:19" ht="13.95" hidden="1" customHeight="1" x14ac:dyDescent="0.25">
      <c r="A462" s="68" t="s">
        <v>358</v>
      </c>
      <c r="B462" s="14">
        <v>43507</v>
      </c>
      <c r="C462" s="13">
        <v>355</v>
      </c>
      <c r="D462" s="32" t="s">
        <v>1077</v>
      </c>
      <c r="E462" s="32" t="s">
        <v>38</v>
      </c>
      <c r="F462" s="4">
        <v>7000000</v>
      </c>
      <c r="G462" s="86" t="s">
        <v>410</v>
      </c>
      <c r="H462" s="211"/>
      <c r="I462" s="208" t="s">
        <v>581</v>
      </c>
      <c r="J462" s="21"/>
      <c r="K462" s="228"/>
    </row>
    <row r="463" spans="1:19" s="129" customFormat="1" hidden="1" x14ac:dyDescent="0.25">
      <c r="A463" s="13" t="s">
        <v>151</v>
      </c>
      <c r="B463" s="14">
        <v>43507</v>
      </c>
      <c r="C463" s="28" t="s">
        <v>3989</v>
      </c>
      <c r="D463" s="13" t="s">
        <v>3916</v>
      </c>
      <c r="E463" s="13" t="s">
        <v>38</v>
      </c>
      <c r="F463" s="4">
        <v>2940</v>
      </c>
      <c r="G463" s="28" t="s">
        <v>3917</v>
      </c>
      <c r="H463" s="14">
        <v>43503</v>
      </c>
      <c r="I463" s="4" t="s">
        <v>3918</v>
      </c>
      <c r="J463" s="133"/>
      <c r="K463" s="275"/>
    </row>
    <row r="464" spans="1:19" ht="15.6" hidden="1" customHeight="1" x14ac:dyDescent="0.25">
      <c r="A464" s="68" t="s">
        <v>188</v>
      </c>
      <c r="B464" s="14">
        <v>43507</v>
      </c>
      <c r="C464" s="13">
        <v>195</v>
      </c>
      <c r="D464" s="32" t="s">
        <v>506</v>
      </c>
      <c r="E464" s="32" t="s">
        <v>60</v>
      </c>
      <c r="F464" s="4">
        <v>625000</v>
      </c>
      <c r="G464" s="86" t="s">
        <v>1086</v>
      </c>
      <c r="H464" s="211"/>
      <c r="I464" s="84" t="s">
        <v>220</v>
      </c>
      <c r="J464" s="21"/>
      <c r="K464" s="228"/>
    </row>
    <row r="465" spans="1:12" s="129" customFormat="1" hidden="1" x14ac:dyDescent="0.25">
      <c r="A465" s="13" t="s">
        <v>151</v>
      </c>
      <c r="B465" s="14">
        <v>43507</v>
      </c>
      <c r="C465" s="28" t="s">
        <v>3316</v>
      </c>
      <c r="D465" s="13" t="s">
        <v>3916</v>
      </c>
      <c r="E465" s="13" t="s">
        <v>60</v>
      </c>
      <c r="F465" s="4">
        <v>2940</v>
      </c>
      <c r="G465" s="28" t="s">
        <v>3919</v>
      </c>
      <c r="H465" s="14">
        <v>43503</v>
      </c>
      <c r="I465" s="4" t="s">
        <v>3918</v>
      </c>
      <c r="J465" s="133"/>
      <c r="K465" s="275"/>
    </row>
    <row r="466" spans="1:12" ht="27.6" hidden="1" customHeight="1" x14ac:dyDescent="0.25">
      <c r="A466" s="13" t="s">
        <v>261</v>
      </c>
      <c r="B466" s="14">
        <v>43507</v>
      </c>
      <c r="C466" s="13">
        <v>228</v>
      </c>
      <c r="D466" s="32" t="s">
        <v>228</v>
      </c>
      <c r="E466" s="32" t="s">
        <v>808</v>
      </c>
      <c r="F466" s="4">
        <v>2000000</v>
      </c>
      <c r="G466" s="86" t="s">
        <v>1273</v>
      </c>
      <c r="H466" s="14"/>
      <c r="I466" s="41" t="s">
        <v>229</v>
      </c>
      <c r="J466" s="21"/>
      <c r="K466" s="228"/>
    </row>
    <row r="467" spans="1:12" ht="15" hidden="1" customHeight="1" x14ac:dyDescent="0.25">
      <c r="A467" s="68" t="s">
        <v>213</v>
      </c>
      <c r="B467" s="14">
        <v>43507</v>
      </c>
      <c r="C467" s="13">
        <v>254</v>
      </c>
      <c r="D467" s="13" t="s">
        <v>507</v>
      </c>
      <c r="E467" s="32" t="s">
        <v>808</v>
      </c>
      <c r="F467" s="4">
        <v>3800721.200000003</v>
      </c>
      <c r="G467" s="86" t="s">
        <v>1123</v>
      </c>
      <c r="H467" s="14"/>
      <c r="I467" s="4" t="s">
        <v>237</v>
      </c>
      <c r="J467" s="71"/>
      <c r="K467" s="62"/>
      <c r="L467" s="62"/>
    </row>
    <row r="468" spans="1:12" hidden="1" x14ac:dyDescent="0.25">
      <c r="A468" s="13" t="s">
        <v>261</v>
      </c>
      <c r="B468" s="14">
        <v>43507</v>
      </c>
      <c r="C468" s="13">
        <v>245</v>
      </c>
      <c r="D468" s="13" t="s">
        <v>1930</v>
      </c>
      <c r="E468" s="13" t="s">
        <v>808</v>
      </c>
      <c r="F468" s="4">
        <v>1146659.1599999999</v>
      </c>
      <c r="G468" s="69" t="s">
        <v>3359</v>
      </c>
      <c r="H468" s="14"/>
      <c r="I468" s="4" t="s">
        <v>1676</v>
      </c>
      <c r="J468" s="169"/>
    </row>
    <row r="469" spans="1:12" ht="13.95" hidden="1" customHeight="1" x14ac:dyDescent="0.25">
      <c r="A469" s="13" t="s">
        <v>1148</v>
      </c>
      <c r="B469" s="14">
        <v>43507</v>
      </c>
      <c r="C469" s="13">
        <v>229</v>
      </c>
      <c r="D469" s="13" t="s">
        <v>950</v>
      </c>
      <c r="E469" s="13" t="s">
        <v>808</v>
      </c>
      <c r="F469" s="4">
        <v>379685</v>
      </c>
      <c r="G469" s="86" t="s">
        <v>1829</v>
      </c>
      <c r="H469" s="14"/>
      <c r="I469" s="4" t="s">
        <v>1830</v>
      </c>
      <c r="K469" s="228"/>
    </row>
    <row r="470" spans="1:12" ht="13.95" hidden="1" customHeight="1" x14ac:dyDescent="0.25">
      <c r="A470" s="61" t="s">
        <v>261</v>
      </c>
      <c r="B470" s="14">
        <v>43507</v>
      </c>
      <c r="C470" s="13">
        <v>230</v>
      </c>
      <c r="D470" s="32" t="s">
        <v>418</v>
      </c>
      <c r="E470" s="32" t="s">
        <v>808</v>
      </c>
      <c r="F470" s="4">
        <v>137200</v>
      </c>
      <c r="G470" s="86" t="s">
        <v>942</v>
      </c>
      <c r="H470" s="211"/>
      <c r="I470" s="4" t="s">
        <v>943</v>
      </c>
      <c r="J470" s="21"/>
      <c r="K470" s="228"/>
    </row>
    <row r="471" spans="1:12" ht="13.95" hidden="1" customHeight="1" x14ac:dyDescent="0.25">
      <c r="A471" s="61" t="s">
        <v>261</v>
      </c>
      <c r="B471" s="14">
        <v>43507</v>
      </c>
      <c r="C471" s="13">
        <v>246</v>
      </c>
      <c r="D471" s="32" t="s">
        <v>418</v>
      </c>
      <c r="E471" s="32" t="s">
        <v>808</v>
      </c>
      <c r="F471" s="4">
        <v>862800</v>
      </c>
      <c r="G471" s="86" t="s">
        <v>941</v>
      </c>
      <c r="H471" s="211"/>
      <c r="I471" s="4" t="s">
        <v>879</v>
      </c>
      <c r="J471" s="21"/>
      <c r="K471" s="228"/>
    </row>
    <row r="472" spans="1:12" ht="13.95" hidden="1" customHeight="1" x14ac:dyDescent="0.25">
      <c r="A472" s="61" t="s">
        <v>1147</v>
      </c>
      <c r="B472" s="14">
        <v>43507</v>
      </c>
      <c r="C472" s="13">
        <v>231</v>
      </c>
      <c r="D472" s="13" t="s">
        <v>679</v>
      </c>
      <c r="E472" s="32" t="s">
        <v>808</v>
      </c>
      <c r="F472" s="4">
        <v>779031</v>
      </c>
      <c r="G472" s="86" t="s">
        <v>1749</v>
      </c>
      <c r="H472" s="211"/>
      <c r="I472" s="4" t="s">
        <v>1750</v>
      </c>
      <c r="J472" s="21"/>
      <c r="K472" s="228"/>
    </row>
    <row r="473" spans="1:12" ht="13.95" hidden="1" customHeight="1" x14ac:dyDescent="0.25">
      <c r="A473" s="61" t="s">
        <v>1147</v>
      </c>
      <c r="B473" s="14">
        <v>43507</v>
      </c>
      <c r="C473" s="13">
        <v>232</v>
      </c>
      <c r="D473" s="13" t="s">
        <v>679</v>
      </c>
      <c r="E473" s="32" t="s">
        <v>808</v>
      </c>
      <c r="F473" s="4">
        <v>1343500</v>
      </c>
      <c r="G473" s="86" t="s">
        <v>2192</v>
      </c>
      <c r="H473" s="211"/>
      <c r="I473" s="4" t="s">
        <v>78</v>
      </c>
      <c r="J473" s="21"/>
      <c r="K473" s="228"/>
    </row>
    <row r="474" spans="1:12" ht="13.95" hidden="1" customHeight="1" x14ac:dyDescent="0.25">
      <c r="A474" s="61" t="s">
        <v>261</v>
      </c>
      <c r="B474" s="14">
        <v>43507</v>
      </c>
      <c r="C474" s="13">
        <v>233</v>
      </c>
      <c r="D474" s="13" t="s">
        <v>30</v>
      </c>
      <c r="E474" s="32" t="s">
        <v>808</v>
      </c>
      <c r="F474" s="4">
        <v>140533.07</v>
      </c>
      <c r="G474" s="86" t="s">
        <v>1051</v>
      </c>
      <c r="H474" s="211"/>
      <c r="I474" s="4" t="s">
        <v>1537</v>
      </c>
      <c r="J474" s="21"/>
      <c r="K474" s="228"/>
    </row>
    <row r="475" spans="1:12" s="97" customFormat="1" hidden="1" x14ac:dyDescent="0.25">
      <c r="A475" s="13" t="s">
        <v>1148</v>
      </c>
      <c r="B475" s="14">
        <v>43507</v>
      </c>
      <c r="C475" s="13">
        <v>234</v>
      </c>
      <c r="D475" s="13" t="s">
        <v>487</v>
      </c>
      <c r="E475" s="13" t="s">
        <v>808</v>
      </c>
      <c r="F475" s="4">
        <v>804718.4</v>
      </c>
      <c r="G475" s="29" t="s">
        <v>2819</v>
      </c>
      <c r="H475" s="14">
        <v>43460</v>
      </c>
      <c r="I475" s="4" t="s">
        <v>421</v>
      </c>
      <c r="J475" s="133"/>
      <c r="K475" s="22"/>
      <c r="L475" s="134"/>
    </row>
    <row r="476" spans="1:12" s="97" customFormat="1" hidden="1" x14ac:dyDescent="0.25">
      <c r="A476" s="61" t="s">
        <v>1148</v>
      </c>
      <c r="B476" s="14">
        <v>43507</v>
      </c>
      <c r="C476" s="13">
        <v>235</v>
      </c>
      <c r="D476" s="13" t="s">
        <v>257</v>
      </c>
      <c r="E476" s="13" t="s">
        <v>808</v>
      </c>
      <c r="F476" s="4">
        <v>869446.25</v>
      </c>
      <c r="G476" s="210" t="s">
        <v>2715</v>
      </c>
      <c r="H476" s="211">
        <v>43455</v>
      </c>
      <c r="I476" s="4" t="s">
        <v>1349</v>
      </c>
      <c r="J476" s="133"/>
      <c r="K476" s="22"/>
      <c r="L476" s="134"/>
    </row>
    <row r="477" spans="1:12" s="97" customFormat="1" hidden="1" x14ac:dyDescent="0.25">
      <c r="A477" s="32" t="s">
        <v>1148</v>
      </c>
      <c r="B477" s="14">
        <v>43507</v>
      </c>
      <c r="C477" s="13">
        <v>236</v>
      </c>
      <c r="D477" s="13" t="s">
        <v>1377</v>
      </c>
      <c r="E477" s="13" t="s">
        <v>808</v>
      </c>
      <c r="F477" s="4">
        <v>950000</v>
      </c>
      <c r="G477" s="28" t="s">
        <v>2820</v>
      </c>
      <c r="H477" s="14">
        <v>43460</v>
      </c>
      <c r="I477" s="4" t="s">
        <v>1349</v>
      </c>
      <c r="J477" s="133"/>
      <c r="K477" s="22"/>
      <c r="L477" s="134"/>
    </row>
    <row r="478" spans="1:12" s="97" customFormat="1" hidden="1" x14ac:dyDescent="0.25">
      <c r="A478" s="61" t="s">
        <v>1147</v>
      </c>
      <c r="B478" s="14">
        <v>43507</v>
      </c>
      <c r="C478" s="13">
        <v>237</v>
      </c>
      <c r="D478" s="13" t="s">
        <v>1206</v>
      </c>
      <c r="E478" s="13" t="s">
        <v>808</v>
      </c>
      <c r="F478" s="4">
        <v>816000</v>
      </c>
      <c r="G478" s="29" t="s">
        <v>3214</v>
      </c>
      <c r="H478" s="14">
        <v>43463</v>
      </c>
      <c r="I478" s="4" t="s">
        <v>421</v>
      </c>
      <c r="J478" s="133"/>
      <c r="K478" s="22"/>
      <c r="L478" s="134"/>
    </row>
    <row r="479" spans="1:12" s="97" customFormat="1" hidden="1" x14ac:dyDescent="0.25">
      <c r="A479" s="32" t="s">
        <v>1147</v>
      </c>
      <c r="B479" s="14">
        <v>43507</v>
      </c>
      <c r="C479" s="13">
        <v>247</v>
      </c>
      <c r="D479" s="13" t="s">
        <v>589</v>
      </c>
      <c r="E479" s="13" t="s">
        <v>808</v>
      </c>
      <c r="F479" s="4">
        <v>796380</v>
      </c>
      <c r="G479" s="28" t="s">
        <v>2822</v>
      </c>
      <c r="H479" s="14">
        <v>43460</v>
      </c>
      <c r="I479" s="4" t="s">
        <v>423</v>
      </c>
      <c r="J479" s="133"/>
      <c r="K479" s="22"/>
      <c r="L479" s="134"/>
    </row>
    <row r="480" spans="1:12" s="97" customFormat="1" hidden="1" x14ac:dyDescent="0.25">
      <c r="A480" s="32" t="s">
        <v>1148</v>
      </c>
      <c r="B480" s="14">
        <v>43507</v>
      </c>
      <c r="C480" s="13">
        <v>247</v>
      </c>
      <c r="D480" s="13" t="s">
        <v>589</v>
      </c>
      <c r="E480" s="13" t="s">
        <v>808</v>
      </c>
      <c r="F480" s="4">
        <v>779600</v>
      </c>
      <c r="G480" s="28" t="s">
        <v>2823</v>
      </c>
      <c r="H480" s="14">
        <v>43461</v>
      </c>
      <c r="I480" s="4" t="s">
        <v>2824</v>
      </c>
      <c r="J480" s="133"/>
      <c r="K480" s="22"/>
      <c r="L480" s="134"/>
    </row>
    <row r="481" spans="1:12" s="97" customFormat="1" hidden="1" x14ac:dyDescent="0.25">
      <c r="A481" s="32" t="s">
        <v>1148</v>
      </c>
      <c r="B481" s="14">
        <v>43507</v>
      </c>
      <c r="C481" s="13">
        <v>247</v>
      </c>
      <c r="D481" s="13" t="s">
        <v>589</v>
      </c>
      <c r="E481" s="13" t="s">
        <v>808</v>
      </c>
      <c r="F481" s="4">
        <v>772500</v>
      </c>
      <c r="G481" s="28" t="s">
        <v>2825</v>
      </c>
      <c r="H481" s="14">
        <v>43461</v>
      </c>
      <c r="I481" s="4" t="s">
        <v>2826</v>
      </c>
      <c r="J481" s="133"/>
      <c r="K481" s="22"/>
      <c r="L481" s="134"/>
    </row>
    <row r="482" spans="1:12" s="97" customFormat="1" hidden="1" x14ac:dyDescent="0.25">
      <c r="A482" s="32" t="s">
        <v>1316</v>
      </c>
      <c r="B482" s="14">
        <v>43507</v>
      </c>
      <c r="C482" s="13">
        <v>247</v>
      </c>
      <c r="D482" s="13" t="s">
        <v>589</v>
      </c>
      <c r="E482" s="13" t="s">
        <v>808</v>
      </c>
      <c r="F482" s="4">
        <v>804000</v>
      </c>
      <c r="G482" s="28" t="s">
        <v>2827</v>
      </c>
      <c r="H482" s="14">
        <v>43461</v>
      </c>
      <c r="I482" s="4" t="s">
        <v>443</v>
      </c>
      <c r="J482" s="133"/>
      <c r="K482" s="22"/>
      <c r="L482" s="134"/>
    </row>
    <row r="483" spans="1:12" s="97" customFormat="1" hidden="1" x14ac:dyDescent="0.25">
      <c r="A483" s="32" t="s">
        <v>1149</v>
      </c>
      <c r="B483" s="14">
        <v>43507</v>
      </c>
      <c r="C483" s="13">
        <v>248</v>
      </c>
      <c r="D483" s="13" t="s">
        <v>243</v>
      </c>
      <c r="E483" s="13" t="s">
        <v>808</v>
      </c>
      <c r="F483" s="4">
        <v>864339.5</v>
      </c>
      <c r="G483" s="28" t="s">
        <v>2829</v>
      </c>
      <c r="H483" s="14">
        <v>43462</v>
      </c>
      <c r="I483" s="4" t="s">
        <v>2175</v>
      </c>
      <c r="J483" s="133"/>
      <c r="K483" s="22"/>
      <c r="L483" s="134"/>
    </row>
    <row r="484" spans="1:12" s="97" customFormat="1" hidden="1" x14ac:dyDescent="0.25">
      <c r="A484" s="32" t="s">
        <v>1148</v>
      </c>
      <c r="B484" s="14">
        <v>43507</v>
      </c>
      <c r="C484" s="13">
        <v>248</v>
      </c>
      <c r="D484" s="13" t="s">
        <v>243</v>
      </c>
      <c r="E484" s="13" t="s">
        <v>808</v>
      </c>
      <c r="F484" s="4">
        <v>823931.46</v>
      </c>
      <c r="G484" s="28" t="s">
        <v>3215</v>
      </c>
      <c r="H484" s="14">
        <v>43462</v>
      </c>
      <c r="I484" s="4" t="s">
        <v>421</v>
      </c>
      <c r="J484" s="133"/>
      <c r="K484" s="22"/>
      <c r="L484" s="134"/>
    </row>
    <row r="485" spans="1:12" s="97" customFormat="1" hidden="1" x14ac:dyDescent="0.25">
      <c r="A485" s="13" t="s">
        <v>1148</v>
      </c>
      <c r="B485" s="14">
        <v>43507</v>
      </c>
      <c r="C485" s="13">
        <v>248</v>
      </c>
      <c r="D485" s="13" t="s">
        <v>243</v>
      </c>
      <c r="E485" s="13" t="s">
        <v>808</v>
      </c>
      <c r="F485" s="4">
        <v>842180.34</v>
      </c>
      <c r="G485" s="28" t="s">
        <v>3216</v>
      </c>
      <c r="H485" s="14">
        <v>43463</v>
      </c>
      <c r="I485" s="4" t="s">
        <v>765</v>
      </c>
      <c r="J485" s="133"/>
      <c r="K485" s="22"/>
      <c r="L485" s="134"/>
    </row>
    <row r="486" spans="1:12" s="129" customFormat="1" hidden="1" x14ac:dyDescent="0.25">
      <c r="A486" s="13" t="s">
        <v>659</v>
      </c>
      <c r="B486" s="14">
        <v>43507</v>
      </c>
      <c r="C486" s="28" t="s">
        <v>3388</v>
      </c>
      <c r="D486" s="13" t="s">
        <v>1757</v>
      </c>
      <c r="E486" s="13" t="s">
        <v>808</v>
      </c>
      <c r="F486" s="4">
        <f>460943.8-100000</f>
        <v>360943.8</v>
      </c>
      <c r="G486" s="28" t="s">
        <v>3224</v>
      </c>
      <c r="H486" s="14">
        <v>43480</v>
      </c>
      <c r="I486" s="4" t="s">
        <v>3334</v>
      </c>
      <c r="J486" s="133"/>
      <c r="K486" s="275"/>
    </row>
    <row r="487" spans="1:12" s="97" customFormat="1" hidden="1" x14ac:dyDescent="0.25">
      <c r="A487" s="61" t="s">
        <v>1148</v>
      </c>
      <c r="B487" s="14">
        <v>43507</v>
      </c>
      <c r="C487" s="13">
        <v>238</v>
      </c>
      <c r="D487" s="13" t="s">
        <v>1032</v>
      </c>
      <c r="E487" s="13" t="s">
        <v>808</v>
      </c>
      <c r="F487" s="4">
        <v>122850</v>
      </c>
      <c r="G487" s="29" t="s">
        <v>3892</v>
      </c>
      <c r="H487" s="14">
        <v>43476</v>
      </c>
      <c r="I487" s="4" t="s">
        <v>142</v>
      </c>
      <c r="J487" s="133"/>
      <c r="K487" s="22"/>
      <c r="L487" s="134"/>
    </row>
    <row r="488" spans="1:12" s="97" customFormat="1" hidden="1" x14ac:dyDescent="0.25">
      <c r="A488" s="61" t="s">
        <v>1316</v>
      </c>
      <c r="B488" s="14">
        <v>43507</v>
      </c>
      <c r="C488" s="13">
        <v>239</v>
      </c>
      <c r="D488" s="13" t="s">
        <v>1065</v>
      </c>
      <c r="E488" s="13" t="s">
        <v>808</v>
      </c>
      <c r="F488" s="4">
        <v>50549.17</v>
      </c>
      <c r="G488" s="29" t="s">
        <v>300</v>
      </c>
      <c r="H488" s="14">
        <v>43480</v>
      </c>
      <c r="I488" s="4" t="s">
        <v>3240</v>
      </c>
      <c r="J488" s="133"/>
      <c r="K488" s="22"/>
      <c r="L488" s="134"/>
    </row>
    <row r="489" spans="1:12" s="97" customFormat="1" hidden="1" x14ac:dyDescent="0.25">
      <c r="A489" s="61" t="s">
        <v>1147</v>
      </c>
      <c r="B489" s="14">
        <v>43507</v>
      </c>
      <c r="C489" s="13">
        <v>240</v>
      </c>
      <c r="D489" s="13" t="s">
        <v>734</v>
      </c>
      <c r="E489" s="13" t="s">
        <v>808</v>
      </c>
      <c r="F489" s="4">
        <v>12160</v>
      </c>
      <c r="G489" s="29" t="s">
        <v>3619</v>
      </c>
      <c r="H489" s="14">
        <v>43494</v>
      </c>
      <c r="I489" s="4" t="s">
        <v>985</v>
      </c>
      <c r="J489" s="133"/>
      <c r="K489" s="22"/>
      <c r="L489" s="134"/>
    </row>
    <row r="490" spans="1:12" s="97" customFormat="1" hidden="1" x14ac:dyDescent="0.25">
      <c r="A490" s="61" t="s">
        <v>659</v>
      </c>
      <c r="B490" s="14">
        <v>43507</v>
      </c>
      <c r="C490" s="13">
        <v>241</v>
      </c>
      <c r="D490" s="13" t="s">
        <v>516</v>
      </c>
      <c r="E490" s="13" t="s">
        <v>808</v>
      </c>
      <c r="F490" s="4">
        <v>100000</v>
      </c>
      <c r="G490" s="28" t="s">
        <v>3609</v>
      </c>
      <c r="H490" s="14">
        <v>43494</v>
      </c>
      <c r="I490" s="4" t="s">
        <v>2289</v>
      </c>
      <c r="J490" s="133"/>
      <c r="K490" s="22"/>
      <c r="L490" s="134"/>
    </row>
    <row r="491" spans="1:12" hidden="1" x14ac:dyDescent="0.25">
      <c r="A491" s="61" t="s">
        <v>1149</v>
      </c>
      <c r="B491" s="14">
        <v>43507</v>
      </c>
      <c r="C491" s="13">
        <v>251</v>
      </c>
      <c r="D491" s="13" t="s">
        <v>1099</v>
      </c>
      <c r="E491" s="13" t="s">
        <v>808</v>
      </c>
      <c r="F491" s="4">
        <v>41133.599999999999</v>
      </c>
      <c r="G491" s="29" t="s">
        <v>2369</v>
      </c>
      <c r="H491" s="14">
        <v>43420</v>
      </c>
      <c r="I491" s="4" t="s">
        <v>461</v>
      </c>
    </row>
    <row r="492" spans="1:12" hidden="1" x14ac:dyDescent="0.25">
      <c r="A492" s="61" t="s">
        <v>1149</v>
      </c>
      <c r="B492" s="14">
        <v>43507</v>
      </c>
      <c r="C492" s="13">
        <v>251</v>
      </c>
      <c r="D492" s="13" t="s">
        <v>1099</v>
      </c>
      <c r="E492" s="13" t="s">
        <v>808</v>
      </c>
      <c r="F492" s="4">
        <v>17139</v>
      </c>
      <c r="G492" s="29" t="s">
        <v>1755</v>
      </c>
      <c r="H492" s="14">
        <v>43434</v>
      </c>
      <c r="I492" s="4" t="s">
        <v>461</v>
      </c>
    </row>
    <row r="493" spans="1:12" hidden="1" x14ac:dyDescent="0.25">
      <c r="A493" s="61" t="s">
        <v>1149</v>
      </c>
      <c r="B493" s="14">
        <v>43507</v>
      </c>
      <c r="C493" s="13">
        <v>251</v>
      </c>
      <c r="D493" s="13" t="s">
        <v>1099</v>
      </c>
      <c r="E493" s="13" t="s">
        <v>808</v>
      </c>
      <c r="F493" s="4">
        <v>3993.3</v>
      </c>
      <c r="G493" s="29" t="s">
        <v>2370</v>
      </c>
      <c r="H493" s="14">
        <v>43437</v>
      </c>
      <c r="I493" s="4" t="s">
        <v>2371</v>
      </c>
    </row>
    <row r="494" spans="1:12" hidden="1" x14ac:dyDescent="0.25">
      <c r="A494" s="13" t="s">
        <v>8</v>
      </c>
      <c r="B494" s="14">
        <v>43507</v>
      </c>
      <c r="C494" s="13">
        <v>251</v>
      </c>
      <c r="D494" s="13" t="s">
        <v>1099</v>
      </c>
      <c r="E494" s="13" t="s">
        <v>808</v>
      </c>
      <c r="F494" s="4">
        <v>4906.8</v>
      </c>
      <c r="G494" s="28" t="s">
        <v>3574</v>
      </c>
      <c r="H494" s="14">
        <v>43439</v>
      </c>
      <c r="I494" s="4" t="s">
        <v>14</v>
      </c>
    </row>
    <row r="495" spans="1:12" hidden="1" x14ac:dyDescent="0.25">
      <c r="A495" s="61" t="s">
        <v>1147</v>
      </c>
      <c r="B495" s="14">
        <v>43507</v>
      </c>
      <c r="C495" s="13">
        <v>257</v>
      </c>
      <c r="D495" s="13" t="s">
        <v>515</v>
      </c>
      <c r="E495" s="13" t="s">
        <v>808</v>
      </c>
      <c r="F495" s="4">
        <v>150000</v>
      </c>
      <c r="G495" s="29" t="s">
        <v>173</v>
      </c>
      <c r="H495" s="14">
        <v>43456</v>
      </c>
      <c r="I495" s="4" t="s">
        <v>2661</v>
      </c>
    </row>
    <row r="496" spans="1:12" ht="27.6" hidden="1" x14ac:dyDescent="0.25">
      <c r="A496" s="61" t="s">
        <v>1806</v>
      </c>
      <c r="B496" s="14">
        <v>43507</v>
      </c>
      <c r="C496" s="13">
        <v>250</v>
      </c>
      <c r="D496" s="13" t="s">
        <v>447</v>
      </c>
      <c r="E496" s="13" t="s">
        <v>808</v>
      </c>
      <c r="F496" s="4">
        <f>205700-100000</f>
        <v>105700</v>
      </c>
      <c r="G496" s="29" t="s">
        <v>3118</v>
      </c>
      <c r="H496" s="14">
        <v>43465</v>
      </c>
      <c r="I496" s="4" t="s">
        <v>95</v>
      </c>
    </row>
    <row r="497" spans="1:10" hidden="1" x14ac:dyDescent="0.25">
      <c r="A497" s="61" t="s">
        <v>2320</v>
      </c>
      <c r="B497" s="14">
        <v>43507</v>
      </c>
      <c r="C497" s="13">
        <v>258</v>
      </c>
      <c r="D497" s="13" t="s">
        <v>3720</v>
      </c>
      <c r="E497" s="13" t="s">
        <v>808</v>
      </c>
      <c r="F497" s="4">
        <f>321600-150000-100000</f>
        <v>71600</v>
      </c>
      <c r="G497" s="29" t="s">
        <v>3011</v>
      </c>
      <c r="H497" s="14">
        <v>43482</v>
      </c>
      <c r="I497" s="4" t="s">
        <v>263</v>
      </c>
      <c r="J497" s="22" t="s">
        <v>3721</v>
      </c>
    </row>
    <row r="498" spans="1:10" hidden="1" x14ac:dyDescent="0.25">
      <c r="A498" s="61" t="s">
        <v>1147</v>
      </c>
      <c r="B498" s="14">
        <v>43507</v>
      </c>
      <c r="C498" s="13">
        <v>252</v>
      </c>
      <c r="D498" s="13" t="s">
        <v>1395</v>
      </c>
      <c r="E498" s="13" t="s">
        <v>808</v>
      </c>
      <c r="F498" s="4">
        <v>30400</v>
      </c>
      <c r="G498" s="29" t="s">
        <v>3588</v>
      </c>
      <c r="H498" s="14">
        <v>43487</v>
      </c>
      <c r="I498" s="4" t="s">
        <v>3585</v>
      </c>
    </row>
    <row r="499" spans="1:10" hidden="1" x14ac:dyDescent="0.25">
      <c r="A499" s="61" t="s">
        <v>659</v>
      </c>
      <c r="B499" s="14">
        <v>43507</v>
      </c>
      <c r="C499" s="13">
        <v>252</v>
      </c>
      <c r="D499" s="13" t="s">
        <v>1395</v>
      </c>
      <c r="E499" s="13" t="s">
        <v>808</v>
      </c>
      <c r="F499" s="4">
        <v>38000</v>
      </c>
      <c r="G499" s="29" t="s">
        <v>3589</v>
      </c>
      <c r="H499" s="14">
        <v>43489</v>
      </c>
      <c r="I499" s="4" t="s">
        <v>3590</v>
      </c>
    </row>
    <row r="500" spans="1:10" hidden="1" x14ac:dyDescent="0.25">
      <c r="A500" s="32" t="s">
        <v>1316</v>
      </c>
      <c r="B500" s="14">
        <v>43507</v>
      </c>
      <c r="C500" s="13">
        <v>252</v>
      </c>
      <c r="D500" s="13" t="s">
        <v>1395</v>
      </c>
      <c r="E500" s="13" t="s">
        <v>808</v>
      </c>
      <c r="F500" s="4">
        <v>45600</v>
      </c>
      <c r="G500" s="28" t="s">
        <v>984</v>
      </c>
      <c r="H500" s="14">
        <v>43493</v>
      </c>
      <c r="I500" s="4" t="s">
        <v>3839</v>
      </c>
    </row>
    <row r="501" spans="1:10" hidden="1" x14ac:dyDescent="0.25">
      <c r="A501" s="61" t="s">
        <v>1316</v>
      </c>
      <c r="B501" s="14">
        <v>43507</v>
      </c>
      <c r="C501" s="13">
        <v>252</v>
      </c>
      <c r="D501" s="13" t="s">
        <v>1395</v>
      </c>
      <c r="E501" s="13" t="s">
        <v>808</v>
      </c>
      <c r="F501" s="4">
        <v>41800</v>
      </c>
      <c r="G501" s="28" t="s">
        <v>3840</v>
      </c>
      <c r="H501" s="14">
        <v>43494</v>
      </c>
      <c r="I501" s="4" t="s">
        <v>3841</v>
      </c>
    </row>
    <row r="502" spans="1:10" ht="27.6" hidden="1" x14ac:dyDescent="0.25">
      <c r="A502" s="61" t="s">
        <v>1806</v>
      </c>
      <c r="B502" s="14">
        <v>43507</v>
      </c>
      <c r="C502" s="13">
        <v>242</v>
      </c>
      <c r="D502" s="13" t="s">
        <v>80</v>
      </c>
      <c r="E502" s="13" t="s">
        <v>808</v>
      </c>
      <c r="F502" s="4">
        <v>200000</v>
      </c>
      <c r="G502" s="29" t="s">
        <v>2808</v>
      </c>
      <c r="H502" s="14">
        <v>43463</v>
      </c>
      <c r="I502" s="4" t="s">
        <v>2157</v>
      </c>
    </row>
    <row r="503" spans="1:10" hidden="1" x14ac:dyDescent="0.25">
      <c r="A503" s="61" t="s">
        <v>1148</v>
      </c>
      <c r="B503" s="14">
        <v>43507</v>
      </c>
      <c r="C503" s="13">
        <v>255</v>
      </c>
      <c r="D503" s="13" t="s">
        <v>29</v>
      </c>
      <c r="E503" s="13" t="s">
        <v>808</v>
      </c>
      <c r="F503" s="4">
        <v>136800</v>
      </c>
      <c r="G503" s="29" t="s">
        <v>3165</v>
      </c>
      <c r="H503" s="14">
        <v>43463</v>
      </c>
      <c r="I503" s="4" t="s">
        <v>1061</v>
      </c>
    </row>
    <row r="504" spans="1:10" hidden="1" x14ac:dyDescent="0.25">
      <c r="A504" s="61" t="s">
        <v>1316</v>
      </c>
      <c r="B504" s="14">
        <v>43507</v>
      </c>
      <c r="C504" s="13">
        <v>255</v>
      </c>
      <c r="D504" s="13" t="s">
        <v>29</v>
      </c>
      <c r="E504" s="13" t="s">
        <v>808</v>
      </c>
      <c r="F504" s="4">
        <v>26550</v>
      </c>
      <c r="G504" s="29" t="s">
        <v>3166</v>
      </c>
      <c r="H504" s="14">
        <v>43463</v>
      </c>
      <c r="I504" s="4" t="s">
        <v>87</v>
      </c>
    </row>
    <row r="505" spans="1:10" hidden="1" x14ac:dyDescent="0.25">
      <c r="A505" s="61" t="s">
        <v>261</v>
      </c>
      <c r="B505" s="14">
        <v>43507</v>
      </c>
      <c r="C505" s="13">
        <v>253</v>
      </c>
      <c r="D505" s="13" t="s">
        <v>2047</v>
      </c>
      <c r="E505" s="13" t="s">
        <v>808</v>
      </c>
      <c r="F505" s="4">
        <v>34000</v>
      </c>
      <c r="G505" s="29" t="s">
        <v>3143</v>
      </c>
      <c r="H505" s="14">
        <v>43487</v>
      </c>
      <c r="I505" s="4" t="s">
        <v>95</v>
      </c>
    </row>
    <row r="506" spans="1:10" hidden="1" x14ac:dyDescent="0.25">
      <c r="A506" s="61" t="s">
        <v>495</v>
      </c>
      <c r="B506" s="14">
        <v>43507</v>
      </c>
      <c r="C506" s="13">
        <v>253</v>
      </c>
      <c r="D506" s="13" t="s">
        <v>2047</v>
      </c>
      <c r="E506" s="13" t="s">
        <v>808</v>
      </c>
      <c r="F506" s="4">
        <v>30600</v>
      </c>
      <c r="G506" s="29" t="s">
        <v>111</v>
      </c>
      <c r="H506" s="14">
        <v>43487</v>
      </c>
      <c r="I506" s="4" t="s">
        <v>95</v>
      </c>
    </row>
    <row r="507" spans="1:10" ht="14.4" hidden="1" customHeight="1" x14ac:dyDescent="0.25">
      <c r="A507" s="68" t="s">
        <v>659</v>
      </c>
      <c r="B507" s="14">
        <v>43507</v>
      </c>
      <c r="C507" s="13">
        <v>253</v>
      </c>
      <c r="D507" s="13" t="s">
        <v>2047</v>
      </c>
      <c r="E507" s="13" t="s">
        <v>808</v>
      </c>
      <c r="F507" s="4">
        <v>17000</v>
      </c>
      <c r="G507" s="28" t="s">
        <v>2819</v>
      </c>
      <c r="H507" s="14">
        <v>43487</v>
      </c>
      <c r="I507" s="4" t="s">
        <v>95</v>
      </c>
    </row>
    <row r="508" spans="1:10" hidden="1" x14ac:dyDescent="0.25">
      <c r="A508" s="61" t="s">
        <v>1149</v>
      </c>
      <c r="B508" s="14">
        <v>43507</v>
      </c>
      <c r="C508" s="13">
        <v>256</v>
      </c>
      <c r="D508" s="13" t="s">
        <v>692</v>
      </c>
      <c r="E508" s="13" t="s">
        <v>808</v>
      </c>
      <c r="F508" s="4">
        <v>203500</v>
      </c>
      <c r="G508" s="210" t="s">
        <v>1794</v>
      </c>
      <c r="H508" s="211">
        <v>43424</v>
      </c>
      <c r="I508" s="4" t="s">
        <v>419</v>
      </c>
    </row>
    <row r="509" spans="1:10" hidden="1" x14ac:dyDescent="0.25">
      <c r="A509" s="14" t="s">
        <v>1149</v>
      </c>
      <c r="B509" s="14">
        <v>43507</v>
      </c>
      <c r="C509" s="13">
        <v>256</v>
      </c>
      <c r="D509" s="13" t="s">
        <v>692</v>
      </c>
      <c r="E509" s="13" t="s">
        <v>808</v>
      </c>
      <c r="F509" s="4">
        <v>127875</v>
      </c>
      <c r="G509" s="29" t="s">
        <v>1189</v>
      </c>
      <c r="H509" s="14">
        <v>43436</v>
      </c>
      <c r="I509" s="4" t="s">
        <v>419</v>
      </c>
    </row>
    <row r="510" spans="1:10" hidden="1" x14ac:dyDescent="0.25">
      <c r="A510" s="61" t="s">
        <v>1148</v>
      </c>
      <c r="B510" s="14">
        <v>43507</v>
      </c>
      <c r="C510" s="13">
        <v>256</v>
      </c>
      <c r="D510" s="13" t="s">
        <v>692</v>
      </c>
      <c r="E510" s="13" t="s">
        <v>808</v>
      </c>
      <c r="F510" s="4">
        <v>173250</v>
      </c>
      <c r="G510" s="29" t="s">
        <v>1341</v>
      </c>
      <c r="H510" s="14">
        <v>43436</v>
      </c>
      <c r="I510" s="4" t="s">
        <v>419</v>
      </c>
    </row>
    <row r="511" spans="1:10" hidden="1" x14ac:dyDescent="0.25">
      <c r="A511" s="14" t="s">
        <v>107</v>
      </c>
      <c r="B511" s="14">
        <v>43507</v>
      </c>
      <c r="C511" s="13">
        <v>244</v>
      </c>
      <c r="D511" s="13" t="s">
        <v>2115</v>
      </c>
      <c r="E511" s="13" t="s">
        <v>808</v>
      </c>
      <c r="F511" s="4">
        <v>21600</v>
      </c>
      <c r="G511" s="29" t="s">
        <v>1529</v>
      </c>
      <c r="H511" s="14">
        <v>43434</v>
      </c>
      <c r="I511" s="4" t="s">
        <v>1373</v>
      </c>
    </row>
    <row r="512" spans="1:10" ht="27.6" hidden="1" x14ac:dyDescent="0.25">
      <c r="A512" s="61" t="s">
        <v>1894</v>
      </c>
      <c r="B512" s="14">
        <v>43507</v>
      </c>
      <c r="C512" s="13">
        <v>244</v>
      </c>
      <c r="D512" s="13" t="s">
        <v>2115</v>
      </c>
      <c r="E512" s="13" t="s">
        <v>808</v>
      </c>
      <c r="F512" s="4">
        <v>1358950</v>
      </c>
      <c r="G512" s="29" t="s">
        <v>1493</v>
      </c>
      <c r="H512" s="14">
        <v>43434</v>
      </c>
      <c r="I512" s="4" t="s">
        <v>2521</v>
      </c>
    </row>
    <row r="513" spans="1:12" hidden="1" x14ac:dyDescent="0.25">
      <c r="A513" s="32" t="s">
        <v>1149</v>
      </c>
      <c r="B513" s="14">
        <v>43507</v>
      </c>
      <c r="C513" s="13">
        <v>243</v>
      </c>
      <c r="D513" s="13" t="s">
        <v>862</v>
      </c>
      <c r="E513" s="32" t="s">
        <v>808</v>
      </c>
      <c r="F513" s="4">
        <v>11250</v>
      </c>
      <c r="G513" s="29" t="s">
        <v>3120</v>
      </c>
      <c r="H513" s="14">
        <v>43475</v>
      </c>
      <c r="I513" s="32" t="s">
        <v>354</v>
      </c>
    </row>
    <row r="514" spans="1:12" ht="13.95" hidden="1" customHeight="1" x14ac:dyDescent="0.25">
      <c r="A514" s="68" t="s">
        <v>1165</v>
      </c>
      <c r="B514" s="14">
        <v>43507</v>
      </c>
      <c r="C514" s="13">
        <v>238</v>
      </c>
      <c r="D514" s="32" t="s">
        <v>2759</v>
      </c>
      <c r="E514" s="32" t="s">
        <v>62</v>
      </c>
      <c r="F514" s="4">
        <v>2000000</v>
      </c>
      <c r="G514" s="86" t="s">
        <v>2608</v>
      </c>
      <c r="H514" s="211"/>
      <c r="I514" s="84" t="s">
        <v>23</v>
      </c>
      <c r="J514" s="21"/>
      <c r="K514" s="228"/>
    </row>
    <row r="515" spans="1:12" ht="13.95" hidden="1" customHeight="1" x14ac:dyDescent="0.25">
      <c r="A515" s="32" t="s">
        <v>550</v>
      </c>
      <c r="B515" s="14">
        <v>43507</v>
      </c>
      <c r="C515" s="13">
        <v>240</v>
      </c>
      <c r="D515" s="32" t="s">
        <v>452</v>
      </c>
      <c r="E515" s="32" t="s">
        <v>62</v>
      </c>
      <c r="F515" s="4">
        <v>3500000</v>
      </c>
      <c r="G515" s="86" t="s">
        <v>453</v>
      </c>
      <c r="H515" s="211"/>
      <c r="I515" s="208" t="s">
        <v>671</v>
      </c>
      <c r="J515" s="21"/>
      <c r="K515" s="228"/>
    </row>
    <row r="516" spans="1:12" hidden="1" x14ac:dyDescent="0.25">
      <c r="A516" s="13" t="s">
        <v>55</v>
      </c>
      <c r="B516" s="14">
        <v>43507</v>
      </c>
      <c r="C516" s="13">
        <v>241</v>
      </c>
      <c r="D516" s="32" t="s">
        <v>833</v>
      </c>
      <c r="E516" s="32" t="s">
        <v>62</v>
      </c>
      <c r="F516" s="4">
        <v>2000000</v>
      </c>
      <c r="G516" s="86" t="s">
        <v>835</v>
      </c>
      <c r="H516" s="14"/>
      <c r="I516" s="41" t="s">
        <v>229</v>
      </c>
      <c r="J516" s="21"/>
      <c r="K516" s="228"/>
    </row>
    <row r="517" spans="1:12" s="97" customFormat="1" hidden="1" x14ac:dyDescent="0.25">
      <c r="A517" s="61" t="s">
        <v>91</v>
      </c>
      <c r="B517" s="14">
        <v>43507</v>
      </c>
      <c r="C517" s="13">
        <v>242</v>
      </c>
      <c r="D517" s="13" t="s">
        <v>157</v>
      </c>
      <c r="E517" s="13" t="s">
        <v>62</v>
      </c>
      <c r="F517" s="4">
        <f>1300092.95-800000</f>
        <v>500092.94999999995</v>
      </c>
      <c r="G517" s="210" t="s">
        <v>1707</v>
      </c>
      <c r="H517" s="211">
        <v>43441</v>
      </c>
      <c r="I517" s="4" t="s">
        <v>305</v>
      </c>
      <c r="J517" s="133"/>
      <c r="K517" s="22"/>
      <c r="L517" s="134"/>
    </row>
    <row r="518" spans="1:12" s="97" customFormat="1" hidden="1" x14ac:dyDescent="0.25">
      <c r="A518" s="13" t="s">
        <v>358</v>
      </c>
      <c r="B518" s="14">
        <v>43507</v>
      </c>
      <c r="C518" s="13">
        <v>243</v>
      </c>
      <c r="D518" s="13" t="s">
        <v>740</v>
      </c>
      <c r="E518" s="13" t="s">
        <v>62</v>
      </c>
      <c r="F518" s="4">
        <v>327400</v>
      </c>
      <c r="G518" s="29" t="s">
        <v>1997</v>
      </c>
      <c r="H518" s="14">
        <v>43356</v>
      </c>
      <c r="I518" s="4" t="s">
        <v>370</v>
      </c>
      <c r="J518" s="133"/>
      <c r="K518" s="22"/>
      <c r="L518" s="134"/>
    </row>
    <row r="519" spans="1:12" s="97" customFormat="1" hidden="1" x14ac:dyDescent="0.25">
      <c r="A519" s="61" t="s">
        <v>442</v>
      </c>
      <c r="B519" s="14">
        <v>43507</v>
      </c>
      <c r="C519" s="13">
        <v>243</v>
      </c>
      <c r="D519" s="13" t="s">
        <v>740</v>
      </c>
      <c r="E519" s="13" t="s">
        <v>62</v>
      </c>
      <c r="F519" s="4">
        <v>117000</v>
      </c>
      <c r="G519" s="210" t="s">
        <v>2124</v>
      </c>
      <c r="H519" s="211">
        <v>43371</v>
      </c>
      <c r="I519" s="4" t="s">
        <v>2125</v>
      </c>
      <c r="J519" s="133"/>
      <c r="K519" s="22"/>
      <c r="L519" s="134"/>
    </row>
    <row r="520" spans="1:12" s="97" customFormat="1" hidden="1" x14ac:dyDescent="0.25">
      <c r="A520" s="61" t="s">
        <v>91</v>
      </c>
      <c r="B520" s="14">
        <v>43507</v>
      </c>
      <c r="C520" s="13">
        <v>239</v>
      </c>
      <c r="D520" s="13" t="s">
        <v>868</v>
      </c>
      <c r="E520" s="13" t="s">
        <v>62</v>
      </c>
      <c r="F520" s="4">
        <v>5595.84</v>
      </c>
      <c r="G520" s="29" t="s">
        <v>3231</v>
      </c>
      <c r="H520" s="14">
        <v>43480</v>
      </c>
      <c r="I520" s="4" t="s">
        <v>3232</v>
      </c>
      <c r="J520" s="133"/>
      <c r="K520" s="22"/>
      <c r="L520" s="134"/>
    </row>
    <row r="521" spans="1:12" s="97" customFormat="1" hidden="1" x14ac:dyDescent="0.25">
      <c r="A521" s="13" t="s">
        <v>442</v>
      </c>
      <c r="B521" s="14">
        <v>43507</v>
      </c>
      <c r="C521" s="13">
        <v>239</v>
      </c>
      <c r="D521" s="13" t="s">
        <v>868</v>
      </c>
      <c r="E521" s="13" t="s">
        <v>62</v>
      </c>
      <c r="F521" s="4">
        <v>16792.5</v>
      </c>
      <c r="G521" s="29" t="s">
        <v>3233</v>
      </c>
      <c r="H521" s="14">
        <v>43481</v>
      </c>
      <c r="I521" s="4" t="s">
        <v>345</v>
      </c>
      <c r="J521" s="133"/>
      <c r="K521" s="22"/>
      <c r="L521" s="134"/>
    </row>
    <row r="522" spans="1:12" hidden="1" x14ac:dyDescent="0.25">
      <c r="A522" s="61" t="s">
        <v>92</v>
      </c>
      <c r="B522" s="14">
        <v>43507</v>
      </c>
      <c r="C522" s="13">
        <v>244</v>
      </c>
      <c r="D522" s="13" t="s">
        <v>282</v>
      </c>
      <c r="E522" s="13" t="s">
        <v>62</v>
      </c>
      <c r="F522" s="4">
        <v>5005</v>
      </c>
      <c r="G522" s="28" t="s">
        <v>772</v>
      </c>
      <c r="H522" s="14">
        <v>43482</v>
      </c>
      <c r="I522" s="4" t="s">
        <v>283</v>
      </c>
    </row>
    <row r="523" spans="1:12" hidden="1" x14ac:dyDescent="0.25">
      <c r="A523" s="61" t="s">
        <v>91</v>
      </c>
      <c r="B523" s="14">
        <v>43507</v>
      </c>
      <c r="C523" s="13">
        <v>244</v>
      </c>
      <c r="D523" s="13" t="s">
        <v>282</v>
      </c>
      <c r="E523" s="13" t="s">
        <v>62</v>
      </c>
      <c r="F523" s="4">
        <v>4290</v>
      </c>
      <c r="G523" s="28" t="s">
        <v>1685</v>
      </c>
      <c r="H523" s="14">
        <v>43482</v>
      </c>
      <c r="I523" s="4" t="s">
        <v>283</v>
      </c>
    </row>
    <row r="524" spans="1:12" hidden="1" x14ac:dyDescent="0.25">
      <c r="A524" s="61" t="s">
        <v>442</v>
      </c>
      <c r="B524" s="14">
        <v>43507</v>
      </c>
      <c r="C524" s="13">
        <v>244</v>
      </c>
      <c r="D524" s="13" t="s">
        <v>282</v>
      </c>
      <c r="E524" s="13" t="s">
        <v>62</v>
      </c>
      <c r="F524" s="4">
        <v>20020</v>
      </c>
      <c r="G524" s="28" t="s">
        <v>1686</v>
      </c>
      <c r="H524" s="14">
        <v>43482</v>
      </c>
      <c r="I524" s="4" t="s">
        <v>283</v>
      </c>
    </row>
    <row r="525" spans="1:12" hidden="1" x14ac:dyDescent="0.25">
      <c r="A525" s="61" t="s">
        <v>358</v>
      </c>
      <c r="B525" s="14">
        <v>43507</v>
      </c>
      <c r="C525" s="13">
        <v>244</v>
      </c>
      <c r="D525" s="13" t="s">
        <v>282</v>
      </c>
      <c r="E525" s="13" t="s">
        <v>62</v>
      </c>
      <c r="F525" s="4">
        <v>4290</v>
      </c>
      <c r="G525" s="29" t="s">
        <v>1551</v>
      </c>
      <c r="H525" s="14">
        <v>43482</v>
      </c>
      <c r="I525" s="4" t="s">
        <v>283</v>
      </c>
    </row>
    <row r="526" spans="1:12" hidden="1" x14ac:dyDescent="0.25">
      <c r="A526" s="61" t="s">
        <v>92</v>
      </c>
      <c r="B526" s="14">
        <v>43507</v>
      </c>
      <c r="C526" s="13">
        <v>244</v>
      </c>
      <c r="D526" s="13" t="s">
        <v>282</v>
      </c>
      <c r="E526" s="13" t="s">
        <v>62</v>
      </c>
      <c r="F526" s="4">
        <v>2860</v>
      </c>
      <c r="G526" s="29" t="s">
        <v>1687</v>
      </c>
      <c r="H526" s="14">
        <v>43489</v>
      </c>
      <c r="I526" s="4" t="s">
        <v>283</v>
      </c>
    </row>
    <row r="527" spans="1:12" hidden="1" x14ac:dyDescent="0.25">
      <c r="A527" s="61" t="s">
        <v>442</v>
      </c>
      <c r="B527" s="14">
        <v>43507</v>
      </c>
      <c r="C527" s="13">
        <v>244</v>
      </c>
      <c r="D527" s="13" t="s">
        <v>282</v>
      </c>
      <c r="E527" s="13" t="s">
        <v>62</v>
      </c>
      <c r="F527" s="4">
        <v>18590</v>
      </c>
      <c r="G527" s="29" t="s">
        <v>3576</v>
      </c>
      <c r="H527" s="14">
        <v>43489</v>
      </c>
      <c r="I527" s="4" t="s">
        <v>283</v>
      </c>
    </row>
    <row r="528" spans="1:12" hidden="1" x14ac:dyDescent="0.25">
      <c r="A528" s="61" t="s">
        <v>358</v>
      </c>
      <c r="B528" s="14">
        <v>43507</v>
      </c>
      <c r="C528" s="13">
        <v>244</v>
      </c>
      <c r="D528" s="13" t="s">
        <v>282</v>
      </c>
      <c r="E528" s="13" t="s">
        <v>62</v>
      </c>
      <c r="F528" s="4">
        <v>4290</v>
      </c>
      <c r="G528" s="29" t="s">
        <v>3577</v>
      </c>
      <c r="H528" s="14">
        <v>43489</v>
      </c>
      <c r="I528" s="4" t="s">
        <v>283</v>
      </c>
    </row>
    <row r="529" spans="1:11" hidden="1" x14ac:dyDescent="0.25">
      <c r="A529" s="61" t="s">
        <v>91</v>
      </c>
      <c r="B529" s="14">
        <v>43507</v>
      </c>
      <c r="C529" s="13">
        <v>244</v>
      </c>
      <c r="D529" s="13" t="s">
        <v>282</v>
      </c>
      <c r="E529" s="13" t="s">
        <v>62</v>
      </c>
      <c r="F529" s="4">
        <v>3575</v>
      </c>
      <c r="G529" s="29" t="s">
        <v>3973</v>
      </c>
      <c r="H529" s="14">
        <v>43489</v>
      </c>
      <c r="I529" s="4" t="s">
        <v>283</v>
      </c>
    </row>
    <row r="530" spans="1:11" hidden="1" x14ac:dyDescent="0.25">
      <c r="A530" s="61" t="s">
        <v>92</v>
      </c>
      <c r="B530" s="14">
        <v>43507</v>
      </c>
      <c r="C530" s="13">
        <v>234</v>
      </c>
      <c r="D530" s="13" t="s">
        <v>250</v>
      </c>
      <c r="E530" s="13" t="s">
        <v>62</v>
      </c>
      <c r="F530" s="4">
        <v>132812.5</v>
      </c>
      <c r="G530" s="29" t="s">
        <v>2272</v>
      </c>
      <c r="H530" s="14">
        <v>43424</v>
      </c>
      <c r="I530" s="4" t="s">
        <v>2159</v>
      </c>
    </row>
    <row r="531" spans="1:11" ht="27.6" hidden="1" x14ac:dyDescent="0.25">
      <c r="A531" s="13" t="s">
        <v>1706</v>
      </c>
      <c r="B531" s="14">
        <v>43507</v>
      </c>
      <c r="C531" s="13">
        <v>235</v>
      </c>
      <c r="D531" s="13" t="s">
        <v>29</v>
      </c>
      <c r="E531" s="13" t="s">
        <v>62</v>
      </c>
      <c r="F531" s="4">
        <v>250750</v>
      </c>
      <c r="G531" s="28" t="s">
        <v>1400</v>
      </c>
      <c r="H531" s="14">
        <v>43448</v>
      </c>
      <c r="I531" s="4" t="s">
        <v>511</v>
      </c>
    </row>
    <row r="532" spans="1:11" hidden="1" x14ac:dyDescent="0.25">
      <c r="A532" s="13" t="s">
        <v>358</v>
      </c>
      <c r="B532" s="14">
        <v>43507</v>
      </c>
      <c r="C532" s="13">
        <v>245</v>
      </c>
      <c r="D532" s="13" t="s">
        <v>2115</v>
      </c>
      <c r="E532" s="13" t="s">
        <v>62</v>
      </c>
      <c r="F532" s="4">
        <f>245000-100000</f>
        <v>145000</v>
      </c>
      <c r="G532" s="210" t="s">
        <v>1347</v>
      </c>
      <c r="H532" s="211">
        <v>43434</v>
      </c>
      <c r="I532" s="4" t="s">
        <v>1602</v>
      </c>
    </row>
    <row r="533" spans="1:11" hidden="1" x14ac:dyDescent="0.25">
      <c r="A533" s="61" t="s">
        <v>55</v>
      </c>
      <c r="B533" s="14">
        <v>43507</v>
      </c>
      <c r="C533" s="13">
        <v>237</v>
      </c>
      <c r="D533" s="13" t="s">
        <v>862</v>
      </c>
      <c r="E533" s="13" t="s">
        <v>62</v>
      </c>
      <c r="F533" s="4">
        <v>9025</v>
      </c>
      <c r="G533" s="29" t="s">
        <v>3853</v>
      </c>
      <c r="H533" s="14">
        <v>43314</v>
      </c>
      <c r="I533" s="4" t="s">
        <v>81</v>
      </c>
    </row>
    <row r="534" spans="1:11" hidden="1" x14ac:dyDescent="0.25">
      <c r="A534" s="61" t="s">
        <v>55</v>
      </c>
      <c r="B534" s="14">
        <v>43507</v>
      </c>
      <c r="C534" s="13">
        <v>237</v>
      </c>
      <c r="D534" s="13" t="s">
        <v>862</v>
      </c>
      <c r="E534" s="13" t="s">
        <v>62</v>
      </c>
      <c r="F534" s="4">
        <v>6650</v>
      </c>
      <c r="G534" s="29" t="s">
        <v>3854</v>
      </c>
      <c r="H534" s="14">
        <v>43315</v>
      </c>
      <c r="I534" s="4" t="s">
        <v>81</v>
      </c>
    </row>
    <row r="535" spans="1:11" hidden="1" x14ac:dyDescent="0.25">
      <c r="A535" s="61" t="s">
        <v>55</v>
      </c>
      <c r="B535" s="14">
        <v>43507</v>
      </c>
      <c r="C535" s="13">
        <v>237</v>
      </c>
      <c r="D535" s="13" t="s">
        <v>862</v>
      </c>
      <c r="E535" s="13" t="s">
        <v>62</v>
      </c>
      <c r="F535" s="4">
        <v>19475</v>
      </c>
      <c r="G535" s="29" t="s">
        <v>3855</v>
      </c>
      <c r="H535" s="14">
        <v>43329</v>
      </c>
      <c r="I535" s="4" t="s">
        <v>81</v>
      </c>
    </row>
    <row r="536" spans="1:11" hidden="1" x14ac:dyDescent="0.25">
      <c r="A536" s="61" t="s">
        <v>349</v>
      </c>
      <c r="B536" s="14">
        <v>43507</v>
      </c>
      <c r="C536" s="13">
        <v>236</v>
      </c>
      <c r="D536" s="13" t="s">
        <v>149</v>
      </c>
      <c r="E536" s="13" t="s">
        <v>62</v>
      </c>
      <c r="F536" s="4">
        <v>55000</v>
      </c>
      <c r="G536" s="29" t="s">
        <v>3401</v>
      </c>
      <c r="H536" s="14">
        <v>43465</v>
      </c>
      <c r="I536" s="4" t="s">
        <v>3396</v>
      </c>
    </row>
    <row r="537" spans="1:11" ht="27.6" hidden="1" x14ac:dyDescent="0.25">
      <c r="A537" s="61" t="s">
        <v>460</v>
      </c>
      <c r="B537" s="14">
        <v>43507</v>
      </c>
      <c r="C537" s="13">
        <v>577</v>
      </c>
      <c r="D537" s="13" t="s">
        <v>3818</v>
      </c>
      <c r="E537" s="13" t="s">
        <v>3340</v>
      </c>
      <c r="F537" s="4">
        <v>100000</v>
      </c>
      <c r="G537" s="69" t="s">
        <v>3819</v>
      </c>
      <c r="H537" s="14"/>
      <c r="I537" s="4" t="s">
        <v>3820</v>
      </c>
      <c r="J537" s="169"/>
    </row>
    <row r="538" spans="1:11" ht="27.6" hidden="1" x14ac:dyDescent="0.25">
      <c r="A538" s="61" t="s">
        <v>460</v>
      </c>
      <c r="B538" s="14">
        <v>43507</v>
      </c>
      <c r="C538" s="13">
        <v>239</v>
      </c>
      <c r="D538" s="14" t="s">
        <v>2492</v>
      </c>
      <c r="E538" s="32" t="s">
        <v>2058</v>
      </c>
      <c r="F538" s="4">
        <v>112608</v>
      </c>
      <c r="G538" s="86" t="s">
        <v>2493</v>
      </c>
      <c r="H538" s="211"/>
      <c r="I538" s="326"/>
      <c r="K538" s="62"/>
    </row>
    <row r="539" spans="1:11" ht="27.6" hidden="1" x14ac:dyDescent="0.25">
      <c r="A539" s="61" t="s">
        <v>460</v>
      </c>
      <c r="B539" s="14">
        <v>43507</v>
      </c>
      <c r="C539" s="13">
        <v>244</v>
      </c>
      <c r="D539" s="14" t="s">
        <v>2494</v>
      </c>
      <c r="E539" s="32" t="s">
        <v>2058</v>
      </c>
      <c r="F539" s="4">
        <v>101199</v>
      </c>
      <c r="G539" s="86" t="s">
        <v>2495</v>
      </c>
      <c r="H539" s="211"/>
      <c r="I539" s="326"/>
      <c r="K539" s="62"/>
    </row>
    <row r="540" spans="1:11" ht="27.6" hidden="1" x14ac:dyDescent="0.25">
      <c r="A540" s="61" t="s">
        <v>460</v>
      </c>
      <c r="B540" s="14">
        <v>43507</v>
      </c>
      <c r="C540" s="13">
        <v>245</v>
      </c>
      <c r="D540" s="14" t="s">
        <v>2496</v>
      </c>
      <c r="E540" s="32" t="s">
        <v>2058</v>
      </c>
      <c r="F540" s="4">
        <v>114400</v>
      </c>
      <c r="G540" s="86" t="s">
        <v>2497</v>
      </c>
      <c r="H540" s="211"/>
      <c r="I540" s="326"/>
      <c r="K540" s="62"/>
    </row>
    <row r="541" spans="1:11" ht="13.95" hidden="1" customHeight="1" x14ac:dyDescent="0.25">
      <c r="A541" s="32" t="s">
        <v>215</v>
      </c>
      <c r="B541" s="14">
        <v>43508</v>
      </c>
      <c r="C541" s="13">
        <v>318</v>
      </c>
      <c r="D541" s="32" t="s">
        <v>1800</v>
      </c>
      <c r="E541" s="32" t="s">
        <v>130</v>
      </c>
      <c r="F541" s="4">
        <v>949525.36</v>
      </c>
      <c r="G541" s="86" t="s">
        <v>2771</v>
      </c>
      <c r="H541" s="211"/>
      <c r="I541" s="208" t="s">
        <v>2772</v>
      </c>
      <c r="J541" s="21"/>
      <c r="K541" s="228"/>
    </row>
    <row r="542" spans="1:11" ht="13.8" hidden="1" customHeight="1" x14ac:dyDescent="0.25">
      <c r="A542" s="32" t="s">
        <v>668</v>
      </c>
      <c r="B542" s="14">
        <v>43508</v>
      </c>
      <c r="C542" s="13">
        <v>319</v>
      </c>
      <c r="D542" s="32" t="s">
        <v>669</v>
      </c>
      <c r="E542" s="32" t="s">
        <v>130</v>
      </c>
      <c r="F542" s="4">
        <v>5000000</v>
      </c>
      <c r="G542" s="86" t="s">
        <v>3961</v>
      </c>
      <c r="H542" s="211"/>
      <c r="I542" s="208" t="s">
        <v>3962</v>
      </c>
      <c r="J542" s="21"/>
      <c r="K542" s="228"/>
    </row>
    <row r="543" spans="1:11" ht="27.6" hidden="1" customHeight="1" x14ac:dyDescent="0.25">
      <c r="A543" s="61" t="s">
        <v>35</v>
      </c>
      <c r="B543" s="14">
        <v>43508</v>
      </c>
      <c r="C543" s="13">
        <v>323</v>
      </c>
      <c r="D543" s="32" t="s">
        <v>1113</v>
      </c>
      <c r="E543" s="32" t="s">
        <v>130</v>
      </c>
      <c r="F543" s="4">
        <v>2479294.0499999998</v>
      </c>
      <c r="G543" s="86" t="s">
        <v>1114</v>
      </c>
      <c r="H543" s="211"/>
      <c r="I543" s="4" t="s">
        <v>315</v>
      </c>
      <c r="J543" s="21"/>
      <c r="K543" s="228"/>
    </row>
    <row r="544" spans="1:11" ht="13.95" hidden="1" customHeight="1" x14ac:dyDescent="0.25">
      <c r="A544" s="61" t="s">
        <v>55</v>
      </c>
      <c r="B544" s="14">
        <v>43508</v>
      </c>
      <c r="C544" s="13">
        <v>320</v>
      </c>
      <c r="D544" s="13" t="s">
        <v>679</v>
      </c>
      <c r="E544" s="32" t="s">
        <v>130</v>
      </c>
      <c r="F544" s="4">
        <v>50000</v>
      </c>
      <c r="G544" s="86" t="s">
        <v>1761</v>
      </c>
      <c r="H544" s="211"/>
      <c r="I544" s="4" t="s">
        <v>1762</v>
      </c>
      <c r="J544" s="21"/>
      <c r="K544" s="228"/>
    </row>
    <row r="545" spans="1:16" hidden="1" x14ac:dyDescent="0.25">
      <c r="A545" s="13" t="s">
        <v>107</v>
      </c>
      <c r="B545" s="14">
        <v>43508</v>
      </c>
      <c r="C545" s="13">
        <v>321</v>
      </c>
      <c r="D545" s="13" t="s">
        <v>30</v>
      </c>
      <c r="E545" s="13" t="s">
        <v>130</v>
      </c>
      <c r="F545" s="4">
        <v>1022000</v>
      </c>
      <c r="G545" s="86" t="s">
        <v>2084</v>
      </c>
      <c r="H545" s="211"/>
      <c r="I545" s="4" t="s">
        <v>2085</v>
      </c>
      <c r="J545" s="21"/>
      <c r="K545" s="228"/>
    </row>
    <row r="546" spans="1:16" hidden="1" x14ac:dyDescent="0.25">
      <c r="A546" s="61" t="s">
        <v>188</v>
      </c>
      <c r="B546" s="14">
        <v>43508</v>
      </c>
      <c r="C546" s="13">
        <v>324</v>
      </c>
      <c r="D546" s="13" t="s">
        <v>1430</v>
      </c>
      <c r="E546" s="13" t="s">
        <v>130</v>
      </c>
      <c r="F546" s="4">
        <v>18090</v>
      </c>
      <c r="G546" s="29" t="s">
        <v>3831</v>
      </c>
      <c r="H546" s="14">
        <v>43496</v>
      </c>
      <c r="I546" s="4" t="s">
        <v>182</v>
      </c>
    </row>
    <row r="547" spans="1:16" hidden="1" x14ac:dyDescent="0.25">
      <c r="A547" s="61" t="s">
        <v>659</v>
      </c>
      <c r="B547" s="14">
        <v>43508</v>
      </c>
      <c r="C547" s="13">
        <v>324</v>
      </c>
      <c r="D547" s="13" t="s">
        <v>1430</v>
      </c>
      <c r="E547" s="13" t="s">
        <v>130</v>
      </c>
      <c r="F547" s="4">
        <v>18090</v>
      </c>
      <c r="G547" s="29" t="s">
        <v>3832</v>
      </c>
      <c r="H547" s="14">
        <v>43496</v>
      </c>
      <c r="I547" s="4" t="s">
        <v>182</v>
      </c>
    </row>
    <row r="548" spans="1:16" hidden="1" x14ac:dyDescent="0.25">
      <c r="A548" s="61" t="s">
        <v>455</v>
      </c>
      <c r="B548" s="14">
        <v>43508</v>
      </c>
      <c r="C548" s="13">
        <v>324</v>
      </c>
      <c r="D548" s="13" t="s">
        <v>1430</v>
      </c>
      <c r="E548" s="13" t="s">
        <v>130</v>
      </c>
      <c r="F548" s="4">
        <v>72360</v>
      </c>
      <c r="G548" s="29" t="s">
        <v>3833</v>
      </c>
      <c r="H548" s="14">
        <v>43496</v>
      </c>
      <c r="I548" s="4" t="s">
        <v>182</v>
      </c>
    </row>
    <row r="549" spans="1:16" hidden="1" x14ac:dyDescent="0.25">
      <c r="A549" s="61" t="s">
        <v>310</v>
      </c>
      <c r="B549" s="14">
        <v>43508</v>
      </c>
      <c r="C549" s="13">
        <v>324</v>
      </c>
      <c r="D549" s="13" t="s">
        <v>1430</v>
      </c>
      <c r="E549" s="13" t="s">
        <v>130</v>
      </c>
      <c r="F549" s="4">
        <v>36180</v>
      </c>
      <c r="G549" s="29" t="s">
        <v>3834</v>
      </c>
      <c r="H549" s="14">
        <v>43496</v>
      </c>
      <c r="I549" s="4" t="s">
        <v>182</v>
      </c>
    </row>
    <row r="550" spans="1:16" hidden="1" x14ac:dyDescent="0.25">
      <c r="A550" s="61" t="s">
        <v>637</v>
      </c>
      <c r="B550" s="14">
        <v>43508</v>
      </c>
      <c r="C550" s="13">
        <v>324</v>
      </c>
      <c r="D550" s="13" t="s">
        <v>1430</v>
      </c>
      <c r="E550" s="13" t="s">
        <v>130</v>
      </c>
      <c r="F550" s="4">
        <v>36180</v>
      </c>
      <c r="G550" s="29" t="s">
        <v>3835</v>
      </c>
      <c r="H550" s="14">
        <v>43496</v>
      </c>
      <c r="I550" s="4" t="s">
        <v>182</v>
      </c>
    </row>
    <row r="551" spans="1:16" hidden="1" x14ac:dyDescent="0.25">
      <c r="A551" s="61" t="s">
        <v>956</v>
      </c>
      <c r="B551" s="14">
        <v>43508</v>
      </c>
      <c r="C551" s="13">
        <v>324</v>
      </c>
      <c r="D551" s="13" t="s">
        <v>1430</v>
      </c>
      <c r="E551" s="13" t="s">
        <v>130</v>
      </c>
      <c r="F551" s="4">
        <v>36180</v>
      </c>
      <c r="G551" s="29" t="s">
        <v>3836</v>
      </c>
      <c r="H551" s="14">
        <v>43496</v>
      </c>
      <c r="I551" s="4" t="s">
        <v>182</v>
      </c>
    </row>
    <row r="552" spans="1:16" hidden="1" x14ac:dyDescent="0.25">
      <c r="A552" s="61" t="s">
        <v>261</v>
      </c>
      <c r="B552" s="14">
        <v>43508</v>
      </c>
      <c r="C552" s="13">
        <v>324</v>
      </c>
      <c r="D552" s="13" t="s">
        <v>1430</v>
      </c>
      <c r="E552" s="13" t="s">
        <v>130</v>
      </c>
      <c r="F552" s="4">
        <v>36180</v>
      </c>
      <c r="G552" s="29" t="s">
        <v>3837</v>
      </c>
      <c r="H552" s="14">
        <v>43496</v>
      </c>
      <c r="I552" s="4" t="s">
        <v>182</v>
      </c>
    </row>
    <row r="553" spans="1:16" hidden="1" x14ac:dyDescent="0.25">
      <c r="A553" s="61" t="s">
        <v>91</v>
      </c>
      <c r="B553" s="14">
        <v>43508</v>
      </c>
      <c r="C553" s="13">
        <v>322</v>
      </c>
      <c r="D553" s="13" t="s">
        <v>971</v>
      </c>
      <c r="E553" s="13" t="s">
        <v>130</v>
      </c>
      <c r="F553" s="4">
        <f>591610-300000</f>
        <v>291610</v>
      </c>
      <c r="G553" s="29" t="s">
        <v>1372</v>
      </c>
      <c r="H553" s="14">
        <v>43434</v>
      </c>
      <c r="I553" s="4" t="s">
        <v>182</v>
      </c>
    </row>
    <row r="554" spans="1:16" hidden="1" x14ac:dyDescent="0.25">
      <c r="A554" s="61" t="s">
        <v>1148</v>
      </c>
      <c r="B554" s="14">
        <v>43508</v>
      </c>
      <c r="C554" s="13">
        <v>322</v>
      </c>
      <c r="D554" s="13" t="s">
        <v>971</v>
      </c>
      <c r="E554" s="13" t="s">
        <v>130</v>
      </c>
      <c r="F554" s="4">
        <v>66330</v>
      </c>
      <c r="G554" s="29" t="s">
        <v>1428</v>
      </c>
      <c r="H554" s="14">
        <v>43460</v>
      </c>
      <c r="I554" s="4" t="s">
        <v>182</v>
      </c>
    </row>
    <row r="555" spans="1:16" hidden="1" x14ac:dyDescent="0.25">
      <c r="A555" s="32" t="s">
        <v>91</v>
      </c>
      <c r="B555" s="14">
        <v>43508</v>
      </c>
      <c r="C555" s="13">
        <v>322</v>
      </c>
      <c r="D555" s="13" t="s">
        <v>971</v>
      </c>
      <c r="E555" s="13" t="s">
        <v>130</v>
      </c>
      <c r="F555" s="4">
        <v>144050</v>
      </c>
      <c r="G555" s="28" t="s">
        <v>700</v>
      </c>
      <c r="H555" s="14">
        <v>43460</v>
      </c>
      <c r="I555" s="4" t="s">
        <v>182</v>
      </c>
    </row>
    <row r="556" spans="1:16" hidden="1" x14ac:dyDescent="0.25">
      <c r="A556" s="61" t="s">
        <v>442</v>
      </c>
      <c r="B556" s="14">
        <v>43508</v>
      </c>
      <c r="C556" s="13">
        <v>322</v>
      </c>
      <c r="D556" s="13" t="s">
        <v>971</v>
      </c>
      <c r="E556" s="13" t="s">
        <v>130</v>
      </c>
      <c r="F556" s="4">
        <v>193630</v>
      </c>
      <c r="G556" s="29" t="s">
        <v>2806</v>
      </c>
      <c r="H556" s="14">
        <v>43460</v>
      </c>
      <c r="I556" s="4" t="s">
        <v>182</v>
      </c>
    </row>
    <row r="557" spans="1:16" hidden="1" x14ac:dyDescent="0.25">
      <c r="A557" s="61" t="s">
        <v>107</v>
      </c>
      <c r="B557" s="14">
        <v>43508</v>
      </c>
      <c r="C557" s="13">
        <v>322</v>
      </c>
      <c r="D557" s="13" t="s">
        <v>971</v>
      </c>
      <c r="E557" s="13" t="s">
        <v>130</v>
      </c>
      <c r="F557" s="4">
        <v>18090</v>
      </c>
      <c r="G557" s="29" t="s">
        <v>3146</v>
      </c>
      <c r="H557" s="14">
        <v>43460</v>
      </c>
      <c r="I557" s="4" t="s">
        <v>182</v>
      </c>
    </row>
    <row r="558" spans="1:16" hidden="1" x14ac:dyDescent="0.25">
      <c r="A558" s="68" t="s">
        <v>637</v>
      </c>
      <c r="B558" s="242">
        <v>43508</v>
      </c>
      <c r="C558" s="13" t="s">
        <v>4030</v>
      </c>
      <c r="D558" s="32" t="s">
        <v>837</v>
      </c>
      <c r="E558" s="32" t="s">
        <v>691</v>
      </c>
      <c r="F558" s="4">
        <v>500000</v>
      </c>
      <c r="G558" s="210" t="s">
        <v>207</v>
      </c>
      <c r="H558" s="211"/>
      <c r="I558" s="208" t="s">
        <v>838</v>
      </c>
      <c r="J558" s="228"/>
      <c r="K558" s="228"/>
    </row>
    <row r="559" spans="1:16" hidden="1" x14ac:dyDescent="0.25">
      <c r="A559" s="13" t="s">
        <v>637</v>
      </c>
      <c r="B559" s="242">
        <v>43508</v>
      </c>
      <c r="C559" s="13">
        <v>105</v>
      </c>
      <c r="D559" s="13" t="s">
        <v>528</v>
      </c>
      <c r="E559" s="13" t="s">
        <v>691</v>
      </c>
      <c r="F559" s="4">
        <v>10000000</v>
      </c>
      <c r="G559" s="29" t="s">
        <v>1649</v>
      </c>
      <c r="H559" s="14"/>
      <c r="I559" s="4" t="s">
        <v>1650</v>
      </c>
      <c r="J559" s="62"/>
      <c r="K559" s="62"/>
      <c r="L559" s="35"/>
      <c r="M559" s="35"/>
      <c r="N559" s="35"/>
      <c r="O559" s="35"/>
      <c r="P559" s="35"/>
    </row>
    <row r="560" spans="1:16" hidden="1" x14ac:dyDescent="0.25">
      <c r="A560" s="13" t="s">
        <v>637</v>
      </c>
      <c r="B560" s="242">
        <v>43508</v>
      </c>
      <c r="C560" s="13">
        <v>106</v>
      </c>
      <c r="D560" s="13" t="s">
        <v>1664</v>
      </c>
      <c r="E560" s="13" t="s">
        <v>691</v>
      </c>
      <c r="F560" s="4">
        <v>10000000</v>
      </c>
      <c r="G560" s="29" t="s">
        <v>1665</v>
      </c>
      <c r="H560" s="14"/>
      <c r="I560" s="4" t="s">
        <v>16</v>
      </c>
      <c r="J560" s="62"/>
      <c r="K560" s="62"/>
      <c r="L560" s="35"/>
      <c r="M560" s="35"/>
      <c r="N560" s="35"/>
      <c r="O560" s="35"/>
      <c r="P560" s="35"/>
    </row>
    <row r="561" spans="1:16" hidden="1" x14ac:dyDescent="0.25">
      <c r="A561" s="13" t="s">
        <v>637</v>
      </c>
      <c r="B561" s="242">
        <v>43508</v>
      </c>
      <c r="C561" s="13">
        <v>107</v>
      </c>
      <c r="D561" s="13" t="s">
        <v>1539</v>
      </c>
      <c r="E561" s="13" t="s">
        <v>691</v>
      </c>
      <c r="F561" s="4">
        <v>1000000</v>
      </c>
      <c r="G561" s="29" t="s">
        <v>1540</v>
      </c>
      <c r="H561" s="14"/>
      <c r="I561" s="208" t="s">
        <v>1418</v>
      </c>
      <c r="J561" s="62"/>
      <c r="K561" s="62"/>
      <c r="L561" s="35"/>
      <c r="M561" s="35"/>
      <c r="N561" s="35"/>
      <c r="O561" s="35"/>
      <c r="P561" s="35"/>
    </row>
    <row r="562" spans="1:16" s="97" customFormat="1" hidden="1" x14ac:dyDescent="0.25">
      <c r="A562" s="13" t="s">
        <v>1255</v>
      </c>
      <c r="B562" s="242">
        <v>43508</v>
      </c>
      <c r="C562" s="13">
        <v>108</v>
      </c>
      <c r="D562" s="13" t="s">
        <v>590</v>
      </c>
      <c r="E562" s="13" t="s">
        <v>691</v>
      </c>
      <c r="F562" s="4">
        <v>5000000</v>
      </c>
      <c r="G562" s="29" t="s">
        <v>1323</v>
      </c>
      <c r="H562" s="14">
        <v>42746</v>
      </c>
      <c r="I562" s="4" t="s">
        <v>159</v>
      </c>
      <c r="J562" s="133"/>
      <c r="K562" s="22"/>
      <c r="L562" s="134"/>
    </row>
    <row r="563" spans="1:16" s="97" customFormat="1" hidden="1" x14ac:dyDescent="0.25">
      <c r="A563" s="61" t="s">
        <v>1350</v>
      </c>
      <c r="B563" s="242">
        <v>43508</v>
      </c>
      <c r="C563" s="13">
        <v>109</v>
      </c>
      <c r="D563" s="13" t="s">
        <v>257</v>
      </c>
      <c r="E563" s="13" t="s">
        <v>691</v>
      </c>
      <c r="F563" s="4">
        <v>873439.75</v>
      </c>
      <c r="G563" s="210" t="s">
        <v>2719</v>
      </c>
      <c r="H563" s="211">
        <v>43458</v>
      </c>
      <c r="I563" s="4" t="s">
        <v>2134</v>
      </c>
      <c r="J563" s="133"/>
      <c r="K563" s="22"/>
      <c r="L563" s="134"/>
    </row>
    <row r="564" spans="1:16" s="97" customFormat="1" hidden="1" x14ac:dyDescent="0.25">
      <c r="A564" s="61" t="s">
        <v>659</v>
      </c>
      <c r="B564" s="242">
        <v>43508</v>
      </c>
      <c r="C564" s="13">
        <v>110</v>
      </c>
      <c r="D564" s="13" t="s">
        <v>1206</v>
      </c>
      <c r="E564" s="13" t="s">
        <v>691</v>
      </c>
      <c r="F564" s="4">
        <v>22750</v>
      </c>
      <c r="G564" s="210" t="s">
        <v>2723</v>
      </c>
      <c r="H564" s="211">
        <v>43458</v>
      </c>
      <c r="I564" s="4" t="s">
        <v>900</v>
      </c>
      <c r="J564" s="133"/>
      <c r="K564" s="22"/>
      <c r="L564" s="134"/>
    </row>
    <row r="565" spans="1:16" s="97" customFormat="1" hidden="1" x14ac:dyDescent="0.25">
      <c r="A565" s="61" t="s">
        <v>659</v>
      </c>
      <c r="B565" s="242">
        <v>43508</v>
      </c>
      <c r="C565" s="13">
        <v>111</v>
      </c>
      <c r="D565" s="13" t="s">
        <v>589</v>
      </c>
      <c r="E565" s="13" t="s">
        <v>691</v>
      </c>
      <c r="F565" s="4">
        <v>798602</v>
      </c>
      <c r="G565" s="210" t="s">
        <v>2729</v>
      </c>
      <c r="H565" s="211">
        <v>43459</v>
      </c>
      <c r="I565" s="4" t="s">
        <v>717</v>
      </c>
      <c r="J565" s="133"/>
      <c r="K565" s="22"/>
      <c r="L565" s="134"/>
    </row>
    <row r="566" spans="1:16" s="97" customFormat="1" hidden="1" x14ac:dyDescent="0.25">
      <c r="A566" s="61" t="s">
        <v>659</v>
      </c>
      <c r="B566" s="242">
        <v>43508</v>
      </c>
      <c r="C566" s="13">
        <v>112</v>
      </c>
      <c r="D566" s="13" t="s">
        <v>243</v>
      </c>
      <c r="E566" s="13" t="s">
        <v>691</v>
      </c>
      <c r="F566" s="4">
        <v>902452.79</v>
      </c>
      <c r="G566" s="210" t="s">
        <v>1160</v>
      </c>
      <c r="H566" s="211">
        <v>43454</v>
      </c>
      <c r="I566" s="4" t="s">
        <v>2731</v>
      </c>
      <c r="J566" s="133"/>
      <c r="K566" s="22"/>
      <c r="L566" s="134"/>
    </row>
    <row r="567" spans="1:16" s="97" customFormat="1" hidden="1" x14ac:dyDescent="0.25">
      <c r="A567" s="13" t="s">
        <v>1350</v>
      </c>
      <c r="B567" s="242">
        <v>43508</v>
      </c>
      <c r="C567" s="13">
        <v>113</v>
      </c>
      <c r="D567" s="13" t="s">
        <v>249</v>
      </c>
      <c r="E567" s="13" t="s">
        <v>691</v>
      </c>
      <c r="F567" s="4">
        <v>831833.66</v>
      </c>
      <c r="G567" s="29" t="s">
        <v>2151</v>
      </c>
      <c r="H567" s="14">
        <v>43461</v>
      </c>
      <c r="I567" s="4" t="s">
        <v>443</v>
      </c>
      <c r="J567" s="133"/>
      <c r="K567" s="22"/>
      <c r="L567" s="134"/>
    </row>
    <row r="568" spans="1:16" s="97" customFormat="1" hidden="1" x14ac:dyDescent="0.25">
      <c r="A568" s="61" t="s">
        <v>659</v>
      </c>
      <c r="B568" s="242">
        <v>43508</v>
      </c>
      <c r="C568" s="13">
        <v>114</v>
      </c>
      <c r="D568" s="13" t="s">
        <v>1065</v>
      </c>
      <c r="E568" s="13" t="s">
        <v>691</v>
      </c>
      <c r="F568" s="4">
        <v>34603.01</v>
      </c>
      <c r="G568" s="29" t="s">
        <v>728</v>
      </c>
      <c r="H568" s="14">
        <v>43480</v>
      </c>
      <c r="I568" s="4" t="s">
        <v>3241</v>
      </c>
      <c r="J568" s="133"/>
      <c r="K568" s="22"/>
      <c r="L568" s="134"/>
    </row>
    <row r="569" spans="1:16" s="97" customFormat="1" hidden="1" x14ac:dyDescent="0.25">
      <c r="A569" s="61" t="s">
        <v>1350</v>
      </c>
      <c r="B569" s="242">
        <v>43508</v>
      </c>
      <c r="C569" s="13">
        <v>115</v>
      </c>
      <c r="D569" s="13" t="s">
        <v>280</v>
      </c>
      <c r="E569" s="13" t="s">
        <v>691</v>
      </c>
      <c r="F569" s="4">
        <v>100000</v>
      </c>
      <c r="G569" s="29" t="s">
        <v>86</v>
      </c>
      <c r="H569" s="14">
        <v>43488</v>
      </c>
      <c r="I569" s="4" t="s">
        <v>3617</v>
      </c>
      <c r="J569" s="133"/>
      <c r="K569" s="22"/>
      <c r="L569" s="134"/>
    </row>
    <row r="570" spans="1:16" s="97" customFormat="1" hidden="1" x14ac:dyDescent="0.25">
      <c r="A570" s="61" t="s">
        <v>637</v>
      </c>
      <c r="B570" s="242">
        <v>43508</v>
      </c>
      <c r="C570" s="13">
        <v>116</v>
      </c>
      <c r="D570" s="13" t="s">
        <v>72</v>
      </c>
      <c r="E570" s="13" t="s">
        <v>691</v>
      </c>
      <c r="F570" s="4">
        <v>110186.19</v>
      </c>
      <c r="G570" s="29" t="s">
        <v>1351</v>
      </c>
      <c r="H570" s="14">
        <v>43483</v>
      </c>
      <c r="I570" s="4" t="s">
        <v>3434</v>
      </c>
      <c r="J570" s="133"/>
      <c r="K570" s="22"/>
      <c r="L570" s="134"/>
    </row>
    <row r="571" spans="1:16" s="97" customFormat="1" hidden="1" x14ac:dyDescent="0.25">
      <c r="A571" s="61" t="s">
        <v>637</v>
      </c>
      <c r="B571" s="242">
        <v>43508</v>
      </c>
      <c r="C571" s="13">
        <v>117</v>
      </c>
      <c r="D571" s="13" t="s">
        <v>244</v>
      </c>
      <c r="E571" s="13" t="s">
        <v>691</v>
      </c>
      <c r="F571" s="4">
        <v>92579.68</v>
      </c>
      <c r="G571" s="29" t="s">
        <v>3432</v>
      </c>
      <c r="H571" s="14">
        <v>43486</v>
      </c>
      <c r="I571" s="4" t="s">
        <v>3433</v>
      </c>
      <c r="J571" s="133"/>
      <c r="K571" s="22"/>
      <c r="L571" s="134"/>
    </row>
    <row r="572" spans="1:16" hidden="1" x14ac:dyDescent="0.25">
      <c r="A572" s="61" t="s">
        <v>1350</v>
      </c>
      <c r="B572" s="242">
        <v>43508</v>
      </c>
      <c r="C572" s="13">
        <v>118</v>
      </c>
      <c r="D572" s="13" t="s">
        <v>944</v>
      </c>
      <c r="E572" s="13" t="s">
        <v>691</v>
      </c>
      <c r="F572" s="4">
        <v>168750</v>
      </c>
      <c r="G572" s="29" t="s">
        <v>3112</v>
      </c>
      <c r="H572" s="14">
        <v>43445</v>
      </c>
      <c r="I572" s="4" t="s">
        <v>402</v>
      </c>
    </row>
    <row r="573" spans="1:16" hidden="1" x14ac:dyDescent="0.25">
      <c r="A573" s="61" t="s">
        <v>637</v>
      </c>
      <c r="B573" s="242">
        <v>43508</v>
      </c>
      <c r="C573" s="13">
        <v>119</v>
      </c>
      <c r="D573" s="13" t="s">
        <v>282</v>
      </c>
      <c r="E573" s="13" t="s">
        <v>691</v>
      </c>
      <c r="F573" s="4">
        <v>7865</v>
      </c>
      <c r="G573" s="29" t="s">
        <v>3828</v>
      </c>
      <c r="H573" s="14">
        <v>43496</v>
      </c>
      <c r="I573" s="4" t="s">
        <v>283</v>
      </c>
    </row>
    <row r="574" spans="1:16" hidden="1" x14ac:dyDescent="0.25">
      <c r="A574" s="61" t="s">
        <v>1350</v>
      </c>
      <c r="B574" s="242">
        <v>43508</v>
      </c>
      <c r="C574" s="13">
        <v>120</v>
      </c>
      <c r="D574" s="13" t="s">
        <v>1395</v>
      </c>
      <c r="E574" s="13" t="s">
        <v>691</v>
      </c>
      <c r="F574" s="4">
        <v>19400</v>
      </c>
      <c r="G574" s="28" t="s">
        <v>2001</v>
      </c>
      <c r="H574" s="14">
        <v>43496</v>
      </c>
      <c r="I574" s="4" t="s">
        <v>3842</v>
      </c>
    </row>
    <row r="575" spans="1:16" hidden="1" x14ac:dyDescent="0.25">
      <c r="A575" s="61" t="s">
        <v>1350</v>
      </c>
      <c r="B575" s="242">
        <v>43508</v>
      </c>
      <c r="C575" s="13">
        <v>120</v>
      </c>
      <c r="D575" s="13" t="s">
        <v>1395</v>
      </c>
      <c r="E575" s="13" t="s">
        <v>691</v>
      </c>
      <c r="F575" s="4">
        <v>34200</v>
      </c>
      <c r="G575" s="28" t="s">
        <v>1205</v>
      </c>
      <c r="H575" s="14">
        <v>43500</v>
      </c>
      <c r="I575" s="4" t="s">
        <v>3847</v>
      </c>
    </row>
    <row r="576" spans="1:16" hidden="1" x14ac:dyDescent="0.25">
      <c r="A576" s="61" t="s">
        <v>1350</v>
      </c>
      <c r="B576" s="242">
        <v>43508</v>
      </c>
      <c r="C576" s="13">
        <v>121</v>
      </c>
      <c r="D576" s="13" t="s">
        <v>250</v>
      </c>
      <c r="E576" s="13" t="s">
        <v>691</v>
      </c>
      <c r="F576" s="4">
        <v>117375</v>
      </c>
      <c r="G576" s="29" t="s">
        <v>2810</v>
      </c>
      <c r="H576" s="14">
        <v>43449</v>
      </c>
      <c r="I576" s="4" t="s">
        <v>2811</v>
      </c>
    </row>
    <row r="577" spans="1:19" hidden="1" x14ac:dyDescent="0.25">
      <c r="A577" s="13" t="s">
        <v>660</v>
      </c>
      <c r="B577" s="242">
        <v>43508</v>
      </c>
      <c r="C577" s="13">
        <v>122</v>
      </c>
      <c r="D577" s="13" t="s">
        <v>29</v>
      </c>
      <c r="E577" s="13" t="s">
        <v>691</v>
      </c>
      <c r="F577" s="4">
        <v>36750</v>
      </c>
      <c r="G577" s="28" t="s">
        <v>2813</v>
      </c>
      <c r="H577" s="14">
        <v>43451</v>
      </c>
      <c r="I577" s="4" t="s">
        <v>87</v>
      </c>
    </row>
    <row r="578" spans="1:19" hidden="1" x14ac:dyDescent="0.25">
      <c r="A578" s="68" t="s">
        <v>659</v>
      </c>
      <c r="B578" s="242">
        <v>43508</v>
      </c>
      <c r="C578" s="13">
        <v>122</v>
      </c>
      <c r="D578" s="13" t="s">
        <v>29</v>
      </c>
      <c r="E578" s="13" t="s">
        <v>691</v>
      </c>
      <c r="F578" s="4">
        <v>8000</v>
      </c>
      <c r="G578" s="28" t="s">
        <v>3384</v>
      </c>
      <c r="H578" s="14">
        <v>43455</v>
      </c>
      <c r="I578" s="4" t="s">
        <v>87</v>
      </c>
    </row>
    <row r="579" spans="1:19" hidden="1" x14ac:dyDescent="0.25">
      <c r="A579" s="68" t="s">
        <v>1350</v>
      </c>
      <c r="B579" s="242">
        <v>43508</v>
      </c>
      <c r="C579" s="13">
        <v>122</v>
      </c>
      <c r="D579" s="13" t="s">
        <v>29</v>
      </c>
      <c r="E579" s="13" t="s">
        <v>691</v>
      </c>
      <c r="F579" s="4">
        <v>15000</v>
      </c>
      <c r="G579" s="28" t="s">
        <v>3385</v>
      </c>
      <c r="H579" s="14">
        <v>43458</v>
      </c>
      <c r="I579" s="4" t="s">
        <v>87</v>
      </c>
    </row>
    <row r="580" spans="1:19" hidden="1" x14ac:dyDescent="0.25">
      <c r="A580" s="61" t="s">
        <v>1350</v>
      </c>
      <c r="B580" s="242">
        <v>43508</v>
      </c>
      <c r="C580" s="13">
        <v>122</v>
      </c>
      <c r="D580" s="13" t="s">
        <v>29</v>
      </c>
      <c r="E580" s="13" t="s">
        <v>691</v>
      </c>
      <c r="F580" s="4">
        <v>15000</v>
      </c>
      <c r="G580" s="29" t="s">
        <v>866</v>
      </c>
      <c r="H580" s="14">
        <v>43458</v>
      </c>
      <c r="I580" s="4" t="s">
        <v>87</v>
      </c>
    </row>
    <row r="581" spans="1:19" hidden="1" x14ac:dyDescent="0.25">
      <c r="A581" s="61" t="s">
        <v>637</v>
      </c>
      <c r="B581" s="242">
        <v>43508</v>
      </c>
      <c r="C581" s="13">
        <v>122</v>
      </c>
      <c r="D581" s="13" t="s">
        <v>29</v>
      </c>
      <c r="E581" s="13" t="s">
        <v>691</v>
      </c>
      <c r="F581" s="4">
        <v>18700</v>
      </c>
      <c r="G581" s="29" t="s">
        <v>2135</v>
      </c>
      <c r="H581" s="14">
        <v>43463</v>
      </c>
      <c r="I581" s="4" t="s">
        <v>95</v>
      </c>
    </row>
    <row r="582" spans="1:19" hidden="1" x14ac:dyDescent="0.25">
      <c r="A582" s="68" t="s">
        <v>1350</v>
      </c>
      <c r="B582" s="242">
        <v>43508</v>
      </c>
      <c r="C582" s="13">
        <v>123</v>
      </c>
      <c r="D582" s="13" t="s">
        <v>2047</v>
      </c>
      <c r="E582" s="13" t="s">
        <v>691</v>
      </c>
      <c r="F582" s="4">
        <v>34000</v>
      </c>
      <c r="G582" s="28" t="s">
        <v>66</v>
      </c>
      <c r="H582" s="14">
        <v>43487</v>
      </c>
      <c r="I582" s="4" t="s">
        <v>95</v>
      </c>
    </row>
    <row r="583" spans="1:19" hidden="1" x14ac:dyDescent="0.25">
      <c r="A583" s="61" t="s">
        <v>1350</v>
      </c>
      <c r="B583" s="242">
        <v>43508</v>
      </c>
      <c r="C583" s="13">
        <v>124</v>
      </c>
      <c r="D583" s="13" t="s">
        <v>2115</v>
      </c>
      <c r="E583" s="13" t="s">
        <v>691</v>
      </c>
      <c r="F583" s="4">
        <v>475850</v>
      </c>
      <c r="G583" s="29" t="s">
        <v>64</v>
      </c>
      <c r="H583" s="14">
        <v>43434</v>
      </c>
      <c r="I583" s="4" t="s">
        <v>2384</v>
      </c>
    </row>
    <row r="584" spans="1:19" hidden="1" x14ac:dyDescent="0.25">
      <c r="A584" s="61" t="s">
        <v>1350</v>
      </c>
      <c r="B584" s="242">
        <v>43508</v>
      </c>
      <c r="C584" s="13">
        <v>125</v>
      </c>
      <c r="D584" s="13" t="s">
        <v>303</v>
      </c>
      <c r="E584" s="13" t="s">
        <v>691</v>
      </c>
      <c r="F584" s="4">
        <v>8000</v>
      </c>
      <c r="G584" s="29" t="s">
        <v>1264</v>
      </c>
      <c r="H584" s="14">
        <v>43479</v>
      </c>
      <c r="I584" s="4" t="s">
        <v>87</v>
      </c>
    </row>
    <row r="585" spans="1:19" hidden="1" x14ac:dyDescent="0.25">
      <c r="A585" s="61" t="s">
        <v>1350</v>
      </c>
      <c r="B585" s="242">
        <v>43508</v>
      </c>
      <c r="C585" s="13">
        <v>126</v>
      </c>
      <c r="D585" s="13" t="s">
        <v>303</v>
      </c>
      <c r="E585" s="13" t="s">
        <v>691</v>
      </c>
      <c r="F585" s="4">
        <v>8000</v>
      </c>
      <c r="G585" s="29" t="s">
        <v>3394</v>
      </c>
      <c r="H585" s="14">
        <v>43483</v>
      </c>
      <c r="I585" s="4" t="s">
        <v>87</v>
      </c>
    </row>
    <row r="586" spans="1:19" s="2" customFormat="1" ht="15" hidden="1" customHeight="1" x14ac:dyDescent="0.25">
      <c r="A586" s="61" t="s">
        <v>6</v>
      </c>
      <c r="B586" s="14">
        <v>43508</v>
      </c>
      <c r="C586" s="13">
        <v>57</v>
      </c>
      <c r="D586" s="13" t="s">
        <v>225</v>
      </c>
      <c r="E586" s="13" t="s">
        <v>183</v>
      </c>
      <c r="F586" s="4">
        <v>6000</v>
      </c>
      <c r="G586" s="29" t="s">
        <v>2963</v>
      </c>
      <c r="H586" s="14">
        <v>43496</v>
      </c>
      <c r="I586" s="4" t="s">
        <v>1441</v>
      </c>
      <c r="J586" s="341" t="s">
        <v>721</v>
      </c>
      <c r="K586" s="31"/>
      <c r="L586" s="31"/>
      <c r="M586" s="31"/>
      <c r="N586" s="31"/>
      <c r="O586" s="34"/>
      <c r="P586" s="34"/>
      <c r="Q586" s="34"/>
      <c r="R586" s="34"/>
      <c r="S586" s="34"/>
    </row>
    <row r="587" spans="1:19" s="2" customFormat="1" ht="15" hidden="1" customHeight="1" x14ac:dyDescent="0.25">
      <c r="A587" s="13" t="s">
        <v>6</v>
      </c>
      <c r="B587" s="14">
        <v>43508</v>
      </c>
      <c r="C587" s="13">
        <v>58</v>
      </c>
      <c r="D587" s="13" t="s">
        <v>1394</v>
      </c>
      <c r="E587" s="13" t="s">
        <v>183</v>
      </c>
      <c r="F587" s="4">
        <f>309600-154800</f>
        <v>154800</v>
      </c>
      <c r="G587" s="29" t="s">
        <v>3375</v>
      </c>
      <c r="H587" s="14">
        <v>43488</v>
      </c>
      <c r="I587" s="4" t="s">
        <v>1562</v>
      </c>
      <c r="J587" s="341"/>
      <c r="K587" s="31"/>
      <c r="L587" s="31"/>
      <c r="M587" s="31"/>
      <c r="N587" s="31"/>
      <c r="O587" s="34"/>
      <c r="P587" s="34"/>
      <c r="Q587" s="34"/>
      <c r="R587" s="34"/>
      <c r="S587" s="34"/>
    </row>
    <row r="588" spans="1:19" s="2" customFormat="1" ht="15" hidden="1" customHeight="1" x14ac:dyDescent="0.25">
      <c r="A588" s="13" t="s">
        <v>6</v>
      </c>
      <c r="B588" s="14">
        <v>43508</v>
      </c>
      <c r="C588" s="13">
        <v>59</v>
      </c>
      <c r="D588" s="13" t="s">
        <v>1394</v>
      </c>
      <c r="E588" s="13" t="s">
        <v>183</v>
      </c>
      <c r="F588" s="4">
        <v>58800</v>
      </c>
      <c r="G588" s="29" t="s">
        <v>299</v>
      </c>
      <c r="H588" s="14">
        <v>43503</v>
      </c>
      <c r="I588" s="4" t="s">
        <v>4000</v>
      </c>
      <c r="J588" s="341"/>
      <c r="K588" s="31"/>
      <c r="L588" s="31"/>
      <c r="M588" s="31"/>
      <c r="N588" s="31"/>
      <c r="O588" s="34"/>
      <c r="P588" s="34"/>
      <c r="Q588" s="34"/>
      <c r="R588" s="34"/>
      <c r="S588" s="34"/>
    </row>
    <row r="589" spans="1:19" s="2" customFormat="1" hidden="1" x14ac:dyDescent="0.25">
      <c r="A589" s="13" t="s">
        <v>6</v>
      </c>
      <c r="B589" s="14">
        <v>43508</v>
      </c>
      <c r="C589" s="13">
        <v>60</v>
      </c>
      <c r="D589" s="13" t="s">
        <v>743</v>
      </c>
      <c r="E589" s="13" t="s">
        <v>183</v>
      </c>
      <c r="F589" s="4">
        <v>55000</v>
      </c>
      <c r="G589" s="29" t="s">
        <v>3966</v>
      </c>
      <c r="H589" s="14">
        <v>43496</v>
      </c>
      <c r="I589" s="4" t="s">
        <v>208</v>
      </c>
      <c r="J589" s="341"/>
      <c r="K589" s="31"/>
      <c r="L589" s="31"/>
      <c r="M589" s="31"/>
      <c r="N589" s="31"/>
      <c r="O589" s="34"/>
      <c r="P589" s="34"/>
      <c r="Q589" s="34"/>
      <c r="R589" s="34"/>
      <c r="S589" s="34"/>
    </row>
    <row r="590" spans="1:19" s="2" customFormat="1" hidden="1" x14ac:dyDescent="0.25">
      <c r="A590" s="13" t="s">
        <v>6</v>
      </c>
      <c r="B590" s="14">
        <v>43508</v>
      </c>
      <c r="C590" s="13">
        <v>61</v>
      </c>
      <c r="D590" s="13" t="s">
        <v>768</v>
      </c>
      <c r="E590" s="13" t="s">
        <v>183</v>
      </c>
      <c r="F590" s="4">
        <v>26500</v>
      </c>
      <c r="G590" s="29" t="s">
        <v>3212</v>
      </c>
      <c r="H590" s="14">
        <v>43501</v>
      </c>
      <c r="I590" s="4" t="s">
        <v>3999</v>
      </c>
      <c r="J590" s="341"/>
      <c r="K590" s="31"/>
      <c r="L590" s="31"/>
      <c r="M590" s="31"/>
      <c r="N590" s="31"/>
      <c r="O590" s="34"/>
      <c r="P590" s="34"/>
      <c r="Q590" s="34"/>
      <c r="R590" s="34"/>
      <c r="S590" s="34"/>
    </row>
    <row r="591" spans="1:19" s="2" customFormat="1" hidden="1" x14ac:dyDescent="0.25">
      <c r="A591" s="61" t="s">
        <v>6</v>
      </c>
      <c r="B591" s="14">
        <v>43508</v>
      </c>
      <c r="C591" s="13">
        <v>62</v>
      </c>
      <c r="D591" s="32" t="s">
        <v>3017</v>
      </c>
      <c r="E591" s="13" t="s">
        <v>183</v>
      </c>
      <c r="F591" s="4">
        <v>8400</v>
      </c>
      <c r="G591" s="13" t="s">
        <v>4001</v>
      </c>
      <c r="H591" s="14">
        <v>43503</v>
      </c>
      <c r="I591" s="4" t="s">
        <v>3018</v>
      </c>
      <c r="J591" s="341"/>
      <c r="K591" s="31"/>
      <c r="L591" s="31"/>
      <c r="M591" s="31"/>
      <c r="N591" s="31"/>
      <c r="O591" s="34"/>
      <c r="P591" s="34"/>
      <c r="Q591" s="34"/>
      <c r="R591" s="34"/>
      <c r="S591" s="34"/>
    </row>
    <row r="592" spans="1:19" s="2" customFormat="1" hidden="1" x14ac:dyDescent="0.25">
      <c r="A592" s="61" t="s">
        <v>6</v>
      </c>
      <c r="B592" s="14">
        <v>43508</v>
      </c>
      <c r="C592" s="13">
        <v>63</v>
      </c>
      <c r="D592" s="32" t="s">
        <v>3455</v>
      </c>
      <c r="E592" s="13" t="s">
        <v>183</v>
      </c>
      <c r="F592" s="4">
        <v>34000</v>
      </c>
      <c r="G592" s="13">
        <v>10</v>
      </c>
      <c r="H592" s="14">
        <v>43494</v>
      </c>
      <c r="I592" s="4" t="s">
        <v>4002</v>
      </c>
      <c r="J592" s="341"/>
      <c r="K592" s="31"/>
      <c r="L592" s="31"/>
      <c r="M592" s="31"/>
      <c r="N592" s="31"/>
      <c r="O592" s="34"/>
      <c r="P592" s="34"/>
      <c r="Q592" s="34"/>
      <c r="R592" s="34"/>
      <c r="S592" s="34"/>
    </row>
    <row r="593" spans="1:19" s="2" customFormat="1" ht="15" hidden="1" customHeight="1" x14ac:dyDescent="0.25">
      <c r="A593" s="13" t="s">
        <v>6</v>
      </c>
      <c r="B593" s="14">
        <v>43508</v>
      </c>
      <c r="C593" s="13">
        <v>64</v>
      </c>
      <c r="D593" s="32" t="s">
        <v>863</v>
      </c>
      <c r="E593" s="13" t="s">
        <v>183</v>
      </c>
      <c r="F593" s="4">
        <v>64000</v>
      </c>
      <c r="G593" s="29" t="s">
        <v>4003</v>
      </c>
      <c r="H593" s="14">
        <v>43494</v>
      </c>
      <c r="I593" s="4" t="s">
        <v>354</v>
      </c>
      <c r="J593" s="341"/>
      <c r="K593" s="31"/>
      <c r="L593" s="31"/>
      <c r="M593" s="31"/>
      <c r="N593" s="31"/>
      <c r="O593" s="34"/>
      <c r="P593" s="34"/>
      <c r="Q593" s="34"/>
      <c r="R593" s="34"/>
      <c r="S593" s="34"/>
    </row>
    <row r="594" spans="1:19" s="2" customFormat="1" ht="15" hidden="1" customHeight="1" x14ac:dyDescent="0.25">
      <c r="A594" s="61" t="s">
        <v>6</v>
      </c>
      <c r="B594" s="14">
        <v>43508</v>
      </c>
      <c r="C594" s="13">
        <v>65</v>
      </c>
      <c r="D594" s="13" t="s">
        <v>545</v>
      </c>
      <c r="E594" s="13" t="s">
        <v>183</v>
      </c>
      <c r="F594" s="4">
        <v>144750</v>
      </c>
      <c r="G594" s="29" t="s">
        <v>4004</v>
      </c>
      <c r="H594" s="14">
        <v>43507</v>
      </c>
      <c r="I594" s="4" t="s">
        <v>1366</v>
      </c>
      <c r="J594" s="341"/>
      <c r="K594" s="31"/>
      <c r="L594" s="31"/>
      <c r="M594" s="31"/>
      <c r="N594" s="31"/>
      <c r="O594" s="34"/>
      <c r="P594" s="34"/>
      <c r="Q594" s="34"/>
      <c r="R594" s="34"/>
      <c r="S594" s="34"/>
    </row>
    <row r="595" spans="1:19" hidden="1" x14ac:dyDescent="0.25">
      <c r="A595" s="13" t="s">
        <v>92</v>
      </c>
      <c r="B595" s="14">
        <v>43508</v>
      </c>
      <c r="C595" s="28" t="s">
        <v>1330</v>
      </c>
      <c r="D595" s="13" t="s">
        <v>3716</v>
      </c>
      <c r="E595" s="13" t="s">
        <v>62</v>
      </c>
      <c r="F595" s="4">
        <v>2455</v>
      </c>
      <c r="G595" s="29" t="s">
        <v>4015</v>
      </c>
      <c r="H595" s="14">
        <v>43507</v>
      </c>
      <c r="I595" s="4" t="s">
        <v>4016</v>
      </c>
      <c r="J595" s="128"/>
    </row>
    <row r="596" spans="1:19" hidden="1" x14ac:dyDescent="0.25">
      <c r="A596" s="32" t="s">
        <v>1147</v>
      </c>
      <c r="B596" s="14">
        <v>43508</v>
      </c>
      <c r="C596" s="13">
        <v>129</v>
      </c>
      <c r="D596" s="32" t="s">
        <v>4006</v>
      </c>
      <c r="E596" s="32" t="s">
        <v>136</v>
      </c>
      <c r="F596" s="4">
        <v>1000000</v>
      </c>
      <c r="G596" s="174" t="s">
        <v>4007</v>
      </c>
      <c r="H596" s="14">
        <v>43486</v>
      </c>
      <c r="I596" s="41" t="s">
        <v>490</v>
      </c>
      <c r="K596" s="63"/>
      <c r="L596" s="62"/>
    </row>
    <row r="597" spans="1:19" s="31" customFormat="1" ht="27.6" hidden="1" customHeight="1" x14ac:dyDescent="0.25">
      <c r="A597" s="13" t="s">
        <v>495</v>
      </c>
      <c r="B597" s="14">
        <v>43508</v>
      </c>
      <c r="C597" s="13">
        <v>13</v>
      </c>
      <c r="D597" s="13" t="s">
        <v>598</v>
      </c>
      <c r="E597" s="13" t="s">
        <v>2093</v>
      </c>
      <c r="F597" s="4">
        <v>11250</v>
      </c>
      <c r="G597" s="29" t="s">
        <v>3723</v>
      </c>
      <c r="H597" s="14"/>
      <c r="I597" s="4" t="s">
        <v>678</v>
      </c>
      <c r="J597" s="34" t="s">
        <v>1844</v>
      </c>
      <c r="K597" s="389"/>
      <c r="L597" s="388"/>
      <c r="O597" s="34"/>
      <c r="P597" s="34"/>
      <c r="Q597" s="34"/>
      <c r="R597" s="34"/>
      <c r="S597" s="34"/>
    </row>
    <row r="598" spans="1:19" ht="16.5" hidden="1" customHeight="1" x14ac:dyDescent="0.25">
      <c r="A598" s="13" t="s">
        <v>184</v>
      </c>
      <c r="B598" s="14">
        <v>43508</v>
      </c>
      <c r="C598" s="67">
        <v>159</v>
      </c>
      <c r="D598" s="32" t="s">
        <v>1359</v>
      </c>
      <c r="E598" s="32" t="s">
        <v>1121</v>
      </c>
      <c r="F598" s="208">
        <f>1109528</f>
        <v>1109528</v>
      </c>
      <c r="G598" s="25" t="s">
        <v>3766</v>
      </c>
      <c r="H598" s="212">
        <v>43485</v>
      </c>
      <c r="I598" s="208" t="s">
        <v>294</v>
      </c>
      <c r="J598" s="76" t="s">
        <v>721</v>
      </c>
      <c r="K598" s="260"/>
      <c r="L598" s="62"/>
    </row>
    <row r="599" spans="1:19" ht="15" hidden="1" customHeight="1" x14ac:dyDescent="0.25">
      <c r="A599" s="13" t="s">
        <v>184</v>
      </c>
      <c r="B599" s="14">
        <v>43508</v>
      </c>
      <c r="C599" s="13">
        <v>160</v>
      </c>
      <c r="D599" s="13" t="s">
        <v>1215</v>
      </c>
      <c r="E599" s="32" t="s">
        <v>1121</v>
      </c>
      <c r="F599" s="4">
        <v>268600</v>
      </c>
      <c r="G599" s="28" t="s">
        <v>308</v>
      </c>
      <c r="H599" s="14">
        <v>43493</v>
      </c>
      <c r="I599" s="4" t="s">
        <v>2218</v>
      </c>
      <c r="J599" s="76" t="s">
        <v>721</v>
      </c>
    </row>
    <row r="600" spans="1:19" s="192" customFormat="1" hidden="1" x14ac:dyDescent="0.25">
      <c r="A600" s="147" t="s">
        <v>242</v>
      </c>
      <c r="B600" s="14">
        <v>43508</v>
      </c>
      <c r="C600" s="195">
        <v>161</v>
      </c>
      <c r="D600" s="149" t="s">
        <v>490</v>
      </c>
      <c r="E600" s="147" t="s">
        <v>1121</v>
      </c>
      <c r="F600" s="158">
        <v>1255001.68</v>
      </c>
      <c r="G600" s="150" t="s">
        <v>3986</v>
      </c>
      <c r="H600" s="148">
        <v>43487</v>
      </c>
      <c r="I600" s="149" t="s">
        <v>143</v>
      </c>
      <c r="J600" s="193"/>
      <c r="K600" s="194"/>
      <c r="L600" s="190"/>
    </row>
    <row r="601" spans="1:19" s="192" customFormat="1" hidden="1" x14ac:dyDescent="0.25">
      <c r="A601" s="147" t="s">
        <v>242</v>
      </c>
      <c r="B601" s="14">
        <v>43508</v>
      </c>
      <c r="C601" s="195">
        <v>161</v>
      </c>
      <c r="D601" s="149" t="s">
        <v>490</v>
      </c>
      <c r="E601" s="147" t="s">
        <v>1121</v>
      </c>
      <c r="F601" s="158">
        <v>342785.2</v>
      </c>
      <c r="G601" s="150" t="s">
        <v>3987</v>
      </c>
      <c r="H601" s="148">
        <v>43502</v>
      </c>
      <c r="I601" s="149" t="s">
        <v>143</v>
      </c>
      <c r="J601" s="193"/>
      <c r="K601" s="194"/>
      <c r="L601" s="190"/>
    </row>
    <row r="602" spans="1:19" s="192" customFormat="1" hidden="1" x14ac:dyDescent="0.25">
      <c r="A602" s="147" t="s">
        <v>242</v>
      </c>
      <c r="B602" s="14">
        <v>43508</v>
      </c>
      <c r="C602" s="195">
        <v>162</v>
      </c>
      <c r="D602" s="149" t="s">
        <v>784</v>
      </c>
      <c r="E602" s="147" t="s">
        <v>1121</v>
      </c>
      <c r="F602" s="158">
        <v>1429629.12</v>
      </c>
      <c r="G602" s="150" t="s">
        <v>66</v>
      </c>
      <c r="H602" s="148">
        <v>43507</v>
      </c>
      <c r="I602" s="149" t="s">
        <v>143</v>
      </c>
      <c r="J602" s="193"/>
      <c r="K602" s="194"/>
      <c r="L602" s="190"/>
    </row>
    <row r="603" spans="1:19" s="192" customFormat="1" hidden="1" x14ac:dyDescent="0.25">
      <c r="A603" s="147" t="s">
        <v>242</v>
      </c>
      <c r="B603" s="14">
        <v>43508</v>
      </c>
      <c r="C603" s="195">
        <v>162</v>
      </c>
      <c r="D603" s="149" t="s">
        <v>784</v>
      </c>
      <c r="E603" s="147" t="s">
        <v>1121</v>
      </c>
      <c r="F603" s="158">
        <v>128075.12</v>
      </c>
      <c r="G603" s="150" t="s">
        <v>199</v>
      </c>
      <c r="H603" s="148">
        <v>43507</v>
      </c>
      <c r="I603" s="149" t="s">
        <v>143</v>
      </c>
      <c r="J603" s="193"/>
      <c r="K603" s="194"/>
      <c r="L603" s="190"/>
    </row>
    <row r="604" spans="1:19" s="192" customFormat="1" hidden="1" x14ac:dyDescent="0.25">
      <c r="A604" s="147" t="s">
        <v>242</v>
      </c>
      <c r="B604" s="14">
        <v>43508</v>
      </c>
      <c r="C604" s="195">
        <v>162</v>
      </c>
      <c r="D604" s="149" t="s">
        <v>784</v>
      </c>
      <c r="E604" s="147" t="s">
        <v>1121</v>
      </c>
      <c r="F604" s="158">
        <v>55800</v>
      </c>
      <c r="G604" s="150" t="s">
        <v>3143</v>
      </c>
      <c r="H604" s="148">
        <v>43507</v>
      </c>
      <c r="I604" s="149" t="s">
        <v>143</v>
      </c>
      <c r="J604" s="193"/>
      <c r="K604" s="194"/>
      <c r="L604" s="190"/>
    </row>
    <row r="605" spans="1:19" s="192" customFormat="1" hidden="1" x14ac:dyDescent="0.25">
      <c r="A605" s="147" t="s">
        <v>242</v>
      </c>
      <c r="B605" s="14">
        <v>43508</v>
      </c>
      <c r="C605" s="187">
        <v>163</v>
      </c>
      <c r="D605" s="149" t="s">
        <v>3988</v>
      </c>
      <c r="E605" s="147" t="s">
        <v>1121</v>
      </c>
      <c r="F605" s="158">
        <v>160342</v>
      </c>
      <c r="G605" s="150" t="s">
        <v>1199</v>
      </c>
      <c r="H605" s="148">
        <v>43489</v>
      </c>
      <c r="I605" s="149" t="s">
        <v>143</v>
      </c>
      <c r="J605" s="193"/>
      <c r="K605" s="194"/>
      <c r="L605" s="190"/>
    </row>
    <row r="606" spans="1:19" s="192" customFormat="1" hidden="1" x14ac:dyDescent="0.25">
      <c r="A606" s="147" t="s">
        <v>242</v>
      </c>
      <c r="B606" s="14">
        <v>43508</v>
      </c>
      <c r="C606" s="187">
        <v>164</v>
      </c>
      <c r="D606" s="149" t="s">
        <v>291</v>
      </c>
      <c r="E606" s="147" t="s">
        <v>1121</v>
      </c>
      <c r="F606" s="158">
        <v>174685</v>
      </c>
      <c r="G606" s="150" t="s">
        <v>728</v>
      </c>
      <c r="H606" s="148">
        <v>43507</v>
      </c>
      <c r="I606" s="149" t="s">
        <v>143</v>
      </c>
      <c r="J606" s="193"/>
      <c r="K606" s="194"/>
      <c r="L606" s="190"/>
    </row>
    <row r="607" spans="1:19" s="129" customFormat="1" ht="13.95" hidden="1" customHeight="1" x14ac:dyDescent="0.25">
      <c r="A607" s="13" t="s">
        <v>151</v>
      </c>
      <c r="B607" s="14">
        <v>43508</v>
      </c>
      <c r="C607" s="28" t="s">
        <v>139</v>
      </c>
      <c r="D607" s="13" t="s">
        <v>1212</v>
      </c>
      <c r="E607" s="32" t="s">
        <v>1121</v>
      </c>
      <c r="F607" s="4">
        <v>13620</v>
      </c>
      <c r="G607" s="28" t="s">
        <v>3976</v>
      </c>
      <c r="H607" s="14">
        <v>43507</v>
      </c>
      <c r="I607" s="4" t="s">
        <v>3061</v>
      </c>
      <c r="J607" s="22"/>
      <c r="K607" s="136"/>
    </row>
    <row r="608" spans="1:19" s="129" customFormat="1" ht="13.95" hidden="1" customHeight="1" x14ac:dyDescent="0.25">
      <c r="A608" s="13" t="s">
        <v>151</v>
      </c>
      <c r="B608" s="14">
        <v>43508</v>
      </c>
      <c r="C608" s="28" t="s">
        <v>170</v>
      </c>
      <c r="D608" s="13" t="s">
        <v>3055</v>
      </c>
      <c r="E608" s="32" t="s">
        <v>1121</v>
      </c>
      <c r="F608" s="4">
        <v>18500</v>
      </c>
      <c r="G608" s="28" t="s">
        <v>3980</v>
      </c>
      <c r="H608" s="14">
        <v>43507</v>
      </c>
      <c r="I608" s="4" t="s">
        <v>3981</v>
      </c>
      <c r="J608" s="22"/>
      <c r="K608" s="136"/>
    </row>
    <row r="609" spans="1:19" s="62" customFormat="1" ht="15" hidden="1" customHeight="1" x14ac:dyDescent="0.25">
      <c r="A609" s="13" t="s">
        <v>151</v>
      </c>
      <c r="B609" s="14">
        <v>43508</v>
      </c>
      <c r="C609" s="67">
        <v>167</v>
      </c>
      <c r="D609" s="13" t="s">
        <v>43</v>
      </c>
      <c r="E609" s="32" t="s">
        <v>1121</v>
      </c>
      <c r="F609" s="4">
        <v>67474.62</v>
      </c>
      <c r="G609" s="29" t="s">
        <v>3802</v>
      </c>
      <c r="H609" s="14">
        <v>43496</v>
      </c>
      <c r="I609" s="4" t="s">
        <v>3277</v>
      </c>
      <c r="J609" s="71" t="s">
        <v>239</v>
      </c>
      <c r="O609" s="35"/>
      <c r="P609" s="35"/>
      <c r="Q609" s="35"/>
      <c r="R609" s="35"/>
      <c r="S609" s="35"/>
    </row>
    <row r="610" spans="1:19" s="129" customFormat="1" ht="13.95" hidden="1" customHeight="1" x14ac:dyDescent="0.25">
      <c r="A610" s="13" t="s">
        <v>151</v>
      </c>
      <c r="B610" s="14">
        <v>43508</v>
      </c>
      <c r="C610" s="28" t="s">
        <v>4</v>
      </c>
      <c r="D610" s="13" t="s">
        <v>1846</v>
      </c>
      <c r="E610" s="13" t="s">
        <v>22</v>
      </c>
      <c r="F610" s="4">
        <v>10493</v>
      </c>
      <c r="G610" s="28" t="s">
        <v>3974</v>
      </c>
      <c r="H610" s="14">
        <v>43507</v>
      </c>
      <c r="I610" s="4" t="s">
        <v>3975</v>
      </c>
      <c r="J610" s="22"/>
      <c r="K610" s="136"/>
    </row>
    <row r="611" spans="1:19" hidden="1" x14ac:dyDescent="0.25">
      <c r="A611" s="13" t="s">
        <v>151</v>
      </c>
      <c r="B611" s="14">
        <v>43508</v>
      </c>
      <c r="C611" s="28" t="s">
        <v>302</v>
      </c>
      <c r="D611" s="13" t="s">
        <v>596</v>
      </c>
      <c r="E611" s="13" t="s">
        <v>22</v>
      </c>
      <c r="F611" s="4">
        <v>2500</v>
      </c>
      <c r="G611" s="29" t="s">
        <v>3142</v>
      </c>
      <c r="H611" s="14">
        <v>43476</v>
      </c>
      <c r="I611" s="4" t="s">
        <v>3982</v>
      </c>
      <c r="K611" s="260"/>
    </row>
    <row r="612" spans="1:19" s="129" customFormat="1" ht="13.95" hidden="1" customHeight="1" x14ac:dyDescent="0.25">
      <c r="A612" s="13" t="s">
        <v>151</v>
      </c>
      <c r="B612" s="14">
        <v>43508</v>
      </c>
      <c r="C612" s="28" t="s">
        <v>196</v>
      </c>
      <c r="D612" s="13" t="s">
        <v>1078</v>
      </c>
      <c r="E612" s="13" t="s">
        <v>22</v>
      </c>
      <c r="F612" s="4">
        <v>14720</v>
      </c>
      <c r="G612" s="28" t="s">
        <v>1372</v>
      </c>
      <c r="H612" s="14">
        <v>43507</v>
      </c>
      <c r="I612" s="4" t="s">
        <v>3979</v>
      </c>
      <c r="J612" s="22"/>
      <c r="K612" s="136"/>
    </row>
    <row r="613" spans="1:19" s="129" customFormat="1" ht="13.95" hidden="1" customHeight="1" x14ac:dyDescent="0.25">
      <c r="A613" s="13" t="s">
        <v>151</v>
      </c>
      <c r="B613" s="14">
        <v>43508</v>
      </c>
      <c r="C613" s="28" t="s">
        <v>196</v>
      </c>
      <c r="D613" s="13" t="s">
        <v>1078</v>
      </c>
      <c r="E613" s="13" t="s">
        <v>22</v>
      </c>
      <c r="F613" s="4">
        <v>6975</v>
      </c>
      <c r="G613" s="28" t="s">
        <v>2648</v>
      </c>
      <c r="H613" s="14">
        <v>43458</v>
      </c>
      <c r="I613" s="4" t="s">
        <v>3968</v>
      </c>
      <c r="J613" s="22"/>
      <c r="K613" s="136"/>
    </row>
    <row r="614" spans="1:19" s="129" customFormat="1" ht="13.95" hidden="1" customHeight="1" x14ac:dyDescent="0.25">
      <c r="A614" s="13" t="s">
        <v>151</v>
      </c>
      <c r="B614" s="14">
        <v>43508</v>
      </c>
      <c r="C614" s="28" t="s">
        <v>196</v>
      </c>
      <c r="D614" s="13" t="s">
        <v>1078</v>
      </c>
      <c r="E614" s="13" t="s">
        <v>22</v>
      </c>
      <c r="F614" s="4">
        <v>6370</v>
      </c>
      <c r="G614" s="28" t="s">
        <v>85</v>
      </c>
      <c r="H614" s="14">
        <v>43500</v>
      </c>
      <c r="I614" s="4" t="s">
        <v>3967</v>
      </c>
      <c r="J614" s="22"/>
      <c r="K614" s="136"/>
    </row>
    <row r="615" spans="1:19" s="97" customFormat="1" hidden="1" x14ac:dyDescent="0.25">
      <c r="A615" s="13" t="s">
        <v>637</v>
      </c>
      <c r="B615" s="14">
        <v>43508</v>
      </c>
      <c r="C615" s="13">
        <v>153</v>
      </c>
      <c r="D615" s="13" t="s">
        <v>3056</v>
      </c>
      <c r="E615" s="13" t="s">
        <v>547</v>
      </c>
      <c r="F615" s="4">
        <v>61400</v>
      </c>
      <c r="G615" s="29" t="s">
        <v>3339</v>
      </c>
      <c r="H615" s="14">
        <v>43496</v>
      </c>
      <c r="I615" s="4" t="s">
        <v>3057</v>
      </c>
      <c r="J615" s="358"/>
      <c r="K615" s="76"/>
      <c r="L615" s="134"/>
    </row>
    <row r="616" spans="1:19" s="97" customFormat="1" hidden="1" x14ac:dyDescent="0.25">
      <c r="A616" s="13" t="s">
        <v>639</v>
      </c>
      <c r="B616" s="14">
        <v>43508</v>
      </c>
      <c r="C616" s="13">
        <v>154</v>
      </c>
      <c r="D616" s="13" t="s">
        <v>3056</v>
      </c>
      <c r="E616" s="13" t="s">
        <v>547</v>
      </c>
      <c r="F616" s="4">
        <v>304800</v>
      </c>
      <c r="G616" s="29" t="s">
        <v>3339</v>
      </c>
      <c r="H616" s="14">
        <v>43496</v>
      </c>
      <c r="I616" s="4" t="s">
        <v>3057</v>
      </c>
      <c r="J616" s="358"/>
      <c r="K616" s="76"/>
      <c r="L616" s="134"/>
    </row>
    <row r="617" spans="1:19" s="115" customFormat="1" ht="15.6" hidden="1" x14ac:dyDescent="0.25">
      <c r="A617" s="13" t="s">
        <v>638</v>
      </c>
      <c r="B617" s="14">
        <v>43508</v>
      </c>
      <c r="C617" s="13" t="s">
        <v>4029</v>
      </c>
      <c r="D617" s="13" t="s">
        <v>873</v>
      </c>
      <c r="E617" s="13" t="s">
        <v>547</v>
      </c>
      <c r="F617" s="4">
        <v>297286.55</v>
      </c>
      <c r="G617" s="13" t="s">
        <v>874</v>
      </c>
      <c r="H617" s="126">
        <v>43489</v>
      </c>
      <c r="I617" s="29" t="s">
        <v>875</v>
      </c>
      <c r="K617" s="116"/>
      <c r="L617" s="116"/>
      <c r="M617" s="116"/>
      <c r="N617" s="116"/>
      <c r="O617" s="117"/>
      <c r="P617" s="117"/>
      <c r="Q617" s="117"/>
      <c r="R617" s="117"/>
      <c r="S617" s="117"/>
    </row>
    <row r="618" spans="1:19" ht="55.2" hidden="1" x14ac:dyDescent="0.25">
      <c r="A618" s="13" t="s">
        <v>1422</v>
      </c>
      <c r="B618" s="14">
        <v>43508</v>
      </c>
      <c r="C618" s="13">
        <v>114</v>
      </c>
      <c r="D618" s="13" t="s">
        <v>3005</v>
      </c>
      <c r="E618" s="13" t="s">
        <v>3345</v>
      </c>
      <c r="F618" s="4">
        <v>567653.78</v>
      </c>
      <c r="G618" s="29" t="s">
        <v>3348</v>
      </c>
      <c r="H618" s="14">
        <v>43377</v>
      </c>
      <c r="I618" s="4" t="s">
        <v>3346</v>
      </c>
      <c r="J618" s="169"/>
    </row>
    <row r="619" spans="1:19" s="115" customFormat="1" ht="15.6" hidden="1" customHeight="1" x14ac:dyDescent="0.25">
      <c r="A619" s="61" t="s">
        <v>455</v>
      </c>
      <c r="B619" s="14">
        <v>43508</v>
      </c>
      <c r="C619" s="13">
        <v>113</v>
      </c>
      <c r="D619" s="13" t="s">
        <v>873</v>
      </c>
      <c r="E619" s="13" t="s">
        <v>440</v>
      </c>
      <c r="F619" s="4">
        <f>1348413.72</f>
        <v>1348413.72</v>
      </c>
      <c r="G619" s="13" t="s">
        <v>874</v>
      </c>
      <c r="H619" s="126">
        <v>43489</v>
      </c>
      <c r="I619" s="29" t="s">
        <v>875</v>
      </c>
      <c r="J619" s="258"/>
      <c r="K619" s="116"/>
      <c r="L619" s="116"/>
      <c r="M619" s="116"/>
      <c r="N619" s="116"/>
      <c r="O619" s="117"/>
      <c r="P619" s="117"/>
      <c r="Q619" s="117"/>
      <c r="R619" s="117"/>
      <c r="S619" s="117"/>
    </row>
    <row r="620" spans="1:19" s="97" customFormat="1" hidden="1" x14ac:dyDescent="0.25">
      <c r="A620" s="32" t="s">
        <v>455</v>
      </c>
      <c r="B620" s="14">
        <v>43508</v>
      </c>
      <c r="C620" s="13">
        <v>112</v>
      </c>
      <c r="D620" s="13" t="s">
        <v>3056</v>
      </c>
      <c r="E620" s="13" t="s">
        <v>440</v>
      </c>
      <c r="F620" s="4">
        <v>174600</v>
      </c>
      <c r="G620" s="29" t="s">
        <v>2222</v>
      </c>
      <c r="H620" s="14">
        <v>43496</v>
      </c>
      <c r="I620" s="4" t="s">
        <v>3057</v>
      </c>
      <c r="J620" s="22"/>
      <c r="K620" s="76"/>
      <c r="L620" s="134"/>
    </row>
    <row r="621" spans="1:19" ht="27.6" hidden="1" x14ac:dyDescent="0.25">
      <c r="A621" s="32" t="s">
        <v>2020</v>
      </c>
      <c r="B621" s="14">
        <v>43508</v>
      </c>
      <c r="C621" s="67">
        <v>158</v>
      </c>
      <c r="D621" s="32" t="s">
        <v>392</v>
      </c>
      <c r="E621" s="32" t="s">
        <v>3309</v>
      </c>
      <c r="F621" s="4">
        <v>1655475.7</v>
      </c>
      <c r="G621" s="28" t="s">
        <v>2998</v>
      </c>
      <c r="H621" s="14">
        <v>43479</v>
      </c>
      <c r="I621" s="41" t="s">
        <v>848</v>
      </c>
      <c r="J621" s="35" t="s">
        <v>721</v>
      </c>
      <c r="K621" s="167"/>
      <c r="L621" s="35"/>
    </row>
    <row r="622" spans="1:19" ht="13.95" hidden="1" customHeight="1" x14ac:dyDescent="0.25">
      <c r="A622" s="13" t="s">
        <v>495</v>
      </c>
      <c r="B622" s="151">
        <v>43508</v>
      </c>
      <c r="C622" s="13">
        <v>306</v>
      </c>
      <c r="D622" s="32" t="s">
        <v>390</v>
      </c>
      <c r="E622" s="32" t="s">
        <v>130</v>
      </c>
      <c r="F622" s="4">
        <v>50000</v>
      </c>
      <c r="G622" s="210" t="s">
        <v>2062</v>
      </c>
      <c r="H622" s="211">
        <v>43402</v>
      </c>
      <c r="I622" s="84" t="s">
        <v>2063</v>
      </c>
      <c r="J622" s="21"/>
      <c r="K622" s="389"/>
      <c r="L622" s="388"/>
    </row>
    <row r="623" spans="1:19" s="62" customFormat="1" ht="13.95" hidden="1" customHeight="1" x14ac:dyDescent="0.25">
      <c r="A623" s="13" t="s">
        <v>651</v>
      </c>
      <c r="B623" s="151">
        <v>43508</v>
      </c>
      <c r="C623" s="13">
        <v>305</v>
      </c>
      <c r="D623" s="13" t="s">
        <v>2928</v>
      </c>
      <c r="E623" s="13" t="s">
        <v>130</v>
      </c>
      <c r="F623" s="4">
        <v>281355</v>
      </c>
      <c r="G623" s="29" t="s">
        <v>4009</v>
      </c>
      <c r="H623" s="14">
        <v>43501</v>
      </c>
      <c r="I623" s="4" t="s">
        <v>2930</v>
      </c>
      <c r="J623" s="393" t="s">
        <v>4010</v>
      </c>
      <c r="O623" s="35"/>
      <c r="P623" s="35"/>
      <c r="Q623" s="35"/>
      <c r="R623" s="35"/>
      <c r="S623" s="35"/>
    </row>
    <row r="624" spans="1:19" s="62" customFormat="1" hidden="1" x14ac:dyDescent="0.25">
      <c r="A624" s="61" t="s">
        <v>2924</v>
      </c>
      <c r="B624" s="151">
        <v>43508</v>
      </c>
      <c r="C624" s="13">
        <v>307</v>
      </c>
      <c r="D624" s="13" t="s">
        <v>133</v>
      </c>
      <c r="E624" s="13" t="s">
        <v>130</v>
      </c>
      <c r="F624" s="4">
        <f>440140-250000</f>
        <v>190140</v>
      </c>
      <c r="G624" s="29" t="s">
        <v>2923</v>
      </c>
      <c r="H624" s="14">
        <v>43160</v>
      </c>
      <c r="I624" s="4" t="s">
        <v>1134</v>
      </c>
      <c r="J624" s="71" t="s">
        <v>2925</v>
      </c>
      <c r="O624" s="35"/>
      <c r="P624" s="35"/>
      <c r="Q624" s="35"/>
      <c r="R624" s="35"/>
      <c r="S624" s="35"/>
    </row>
    <row r="625" spans="1:19" s="62" customFormat="1" ht="13.95" hidden="1" customHeight="1" x14ac:dyDescent="0.25">
      <c r="A625" s="61" t="s">
        <v>260</v>
      </c>
      <c r="B625" s="151">
        <v>43508</v>
      </c>
      <c r="C625" s="13">
        <v>308</v>
      </c>
      <c r="D625" s="13" t="s">
        <v>133</v>
      </c>
      <c r="E625" s="13" t="s">
        <v>130</v>
      </c>
      <c r="F625" s="4">
        <v>109740</v>
      </c>
      <c r="G625" s="29" t="s">
        <v>2036</v>
      </c>
      <c r="H625" s="14">
        <v>43362</v>
      </c>
      <c r="I625" s="4" t="s">
        <v>1134</v>
      </c>
      <c r="J625" s="71" t="s">
        <v>2919</v>
      </c>
      <c r="O625" s="35"/>
      <c r="P625" s="35"/>
      <c r="Q625" s="35"/>
      <c r="R625" s="35"/>
      <c r="S625" s="35"/>
    </row>
    <row r="626" spans="1:19" s="62" customFormat="1" ht="13.95" hidden="1" customHeight="1" x14ac:dyDescent="0.25">
      <c r="A626" s="61" t="s">
        <v>1471</v>
      </c>
      <c r="B626" s="151">
        <v>43508</v>
      </c>
      <c r="C626" s="13">
        <v>309</v>
      </c>
      <c r="D626" s="13" t="s">
        <v>133</v>
      </c>
      <c r="E626" s="13" t="s">
        <v>130</v>
      </c>
      <c r="F626" s="4">
        <v>200000</v>
      </c>
      <c r="G626" s="29" t="s">
        <v>1628</v>
      </c>
      <c r="H626" s="14">
        <v>43234</v>
      </c>
      <c r="I626" s="4" t="s">
        <v>1134</v>
      </c>
      <c r="J626" s="71" t="s">
        <v>1629</v>
      </c>
      <c r="O626" s="35"/>
      <c r="P626" s="35"/>
      <c r="Q626" s="35"/>
      <c r="R626" s="35"/>
      <c r="S626" s="35"/>
    </row>
    <row r="627" spans="1:19" s="62" customFormat="1" ht="13.95" hidden="1" customHeight="1" x14ac:dyDescent="0.25">
      <c r="A627" s="13" t="s">
        <v>639</v>
      </c>
      <c r="B627" s="151">
        <v>43508</v>
      </c>
      <c r="C627" s="13">
        <v>311</v>
      </c>
      <c r="D627" s="13" t="s">
        <v>267</v>
      </c>
      <c r="E627" s="13" t="s">
        <v>130</v>
      </c>
      <c r="F627" s="4">
        <v>19600</v>
      </c>
      <c r="G627" s="29" t="s">
        <v>700</v>
      </c>
      <c r="H627" s="14">
        <v>43434</v>
      </c>
      <c r="I627" s="4" t="s">
        <v>576</v>
      </c>
      <c r="J627" s="71"/>
      <c r="O627" s="35"/>
      <c r="P627" s="35"/>
      <c r="Q627" s="35"/>
      <c r="R627" s="35"/>
      <c r="S627" s="35"/>
    </row>
    <row r="628" spans="1:19" s="62" customFormat="1" ht="13.95" hidden="1" customHeight="1" x14ac:dyDescent="0.25">
      <c r="A628" s="13" t="s">
        <v>92</v>
      </c>
      <c r="B628" s="151">
        <v>43508</v>
      </c>
      <c r="C628" s="13">
        <v>310</v>
      </c>
      <c r="D628" s="13" t="s">
        <v>267</v>
      </c>
      <c r="E628" s="13" t="s">
        <v>130</v>
      </c>
      <c r="F628" s="4">
        <v>86400</v>
      </c>
      <c r="G628" s="29" t="s">
        <v>1372</v>
      </c>
      <c r="H628" s="14">
        <v>43404</v>
      </c>
      <c r="I628" s="4" t="s">
        <v>576</v>
      </c>
      <c r="J628" s="71"/>
      <c r="O628" s="35"/>
      <c r="P628" s="35"/>
      <c r="Q628" s="35"/>
      <c r="R628" s="35"/>
      <c r="S628" s="35"/>
    </row>
    <row r="629" spans="1:19" s="62" customFormat="1" ht="13.95" hidden="1" customHeight="1" x14ac:dyDescent="0.25">
      <c r="A629" s="13" t="s">
        <v>92</v>
      </c>
      <c r="B629" s="151">
        <v>43508</v>
      </c>
      <c r="C629" s="13">
        <v>310</v>
      </c>
      <c r="D629" s="13" t="s">
        <v>267</v>
      </c>
      <c r="E629" s="13" t="s">
        <v>130</v>
      </c>
      <c r="F629" s="4">
        <v>86400</v>
      </c>
      <c r="G629" s="29" t="s">
        <v>114</v>
      </c>
      <c r="H629" s="14">
        <v>43434</v>
      </c>
      <c r="I629" s="4" t="s">
        <v>576</v>
      </c>
      <c r="J629" s="71"/>
      <c r="O629" s="35"/>
      <c r="P629" s="35"/>
      <c r="Q629" s="35"/>
      <c r="R629" s="35"/>
      <c r="S629" s="35"/>
    </row>
    <row r="630" spans="1:19" s="62" customFormat="1" ht="13.95" hidden="1" customHeight="1" x14ac:dyDescent="0.25">
      <c r="A630" s="13" t="s">
        <v>92</v>
      </c>
      <c r="B630" s="151">
        <v>43508</v>
      </c>
      <c r="C630" s="13">
        <v>310</v>
      </c>
      <c r="D630" s="13" t="s">
        <v>267</v>
      </c>
      <c r="E630" s="13" t="s">
        <v>130</v>
      </c>
      <c r="F630" s="4">
        <v>86400</v>
      </c>
      <c r="G630" s="29" t="s">
        <v>3279</v>
      </c>
      <c r="H630" s="14">
        <v>43465</v>
      </c>
      <c r="I630" s="4" t="s">
        <v>576</v>
      </c>
      <c r="J630" s="71"/>
      <c r="O630" s="35"/>
      <c r="P630" s="35"/>
      <c r="Q630" s="35"/>
      <c r="R630" s="35"/>
      <c r="S630" s="35"/>
    </row>
    <row r="631" spans="1:19" s="62" customFormat="1" ht="13.95" hidden="1" customHeight="1" x14ac:dyDescent="0.25">
      <c r="A631" s="13" t="s">
        <v>358</v>
      </c>
      <c r="B631" s="151">
        <v>43508</v>
      </c>
      <c r="C631" s="13">
        <v>312</v>
      </c>
      <c r="D631" s="13" t="s">
        <v>267</v>
      </c>
      <c r="E631" s="13" t="s">
        <v>130</v>
      </c>
      <c r="F631" s="4">
        <v>37100</v>
      </c>
      <c r="G631" s="29" t="s">
        <v>3281</v>
      </c>
      <c r="H631" s="14">
        <v>43465</v>
      </c>
      <c r="I631" s="4" t="s">
        <v>576</v>
      </c>
      <c r="J631" s="71"/>
      <c r="O631" s="35"/>
      <c r="P631" s="35"/>
      <c r="Q631" s="35"/>
      <c r="R631" s="35"/>
      <c r="S631" s="35"/>
    </row>
    <row r="632" spans="1:19" s="62" customFormat="1" ht="13.95" hidden="1" customHeight="1" x14ac:dyDescent="0.25">
      <c r="A632" s="13" t="s">
        <v>637</v>
      </c>
      <c r="B632" s="151">
        <v>43508</v>
      </c>
      <c r="C632" s="13">
        <v>313</v>
      </c>
      <c r="D632" s="13" t="s">
        <v>267</v>
      </c>
      <c r="E632" s="13" t="s">
        <v>130</v>
      </c>
      <c r="F632" s="4">
        <v>15400</v>
      </c>
      <c r="G632" s="29" t="s">
        <v>74</v>
      </c>
      <c r="H632" s="14">
        <v>43465</v>
      </c>
      <c r="I632" s="4" t="s">
        <v>576</v>
      </c>
      <c r="J632" s="71"/>
      <c r="O632" s="35"/>
      <c r="P632" s="35"/>
      <c r="Q632" s="35"/>
      <c r="R632" s="35"/>
      <c r="S632" s="35"/>
    </row>
    <row r="633" spans="1:19" s="62" customFormat="1" ht="13.95" hidden="1" customHeight="1" x14ac:dyDescent="0.25">
      <c r="A633" s="13" t="s">
        <v>639</v>
      </c>
      <c r="B633" s="151">
        <v>43508</v>
      </c>
      <c r="C633" s="13">
        <v>314</v>
      </c>
      <c r="D633" s="13" t="s">
        <v>267</v>
      </c>
      <c r="E633" s="13" t="s">
        <v>130</v>
      </c>
      <c r="F633" s="4">
        <v>38500</v>
      </c>
      <c r="G633" s="29" t="s">
        <v>3317</v>
      </c>
      <c r="H633" s="14">
        <v>43465</v>
      </c>
      <c r="I633" s="4" t="s">
        <v>576</v>
      </c>
      <c r="J633" s="71"/>
      <c r="O633" s="35"/>
      <c r="P633" s="35"/>
      <c r="Q633" s="35"/>
      <c r="R633" s="35"/>
      <c r="S633" s="35"/>
    </row>
    <row r="634" spans="1:19" s="129" customFormat="1" ht="13.95" hidden="1" customHeight="1" x14ac:dyDescent="0.25">
      <c r="A634" s="13" t="s">
        <v>151</v>
      </c>
      <c r="B634" s="14">
        <v>43508</v>
      </c>
      <c r="C634" s="28" t="s">
        <v>1162</v>
      </c>
      <c r="D634" s="13" t="s">
        <v>258</v>
      </c>
      <c r="E634" s="32" t="s">
        <v>38</v>
      </c>
      <c r="F634" s="4">
        <v>4363</v>
      </c>
      <c r="G634" s="28" t="s">
        <v>3977</v>
      </c>
      <c r="H634" s="14">
        <v>43507</v>
      </c>
      <c r="I634" s="4" t="s">
        <v>3978</v>
      </c>
      <c r="J634" s="22"/>
      <c r="K634" s="136"/>
    </row>
    <row r="635" spans="1:19" ht="13.95" hidden="1" customHeight="1" x14ac:dyDescent="0.25">
      <c r="A635" s="32" t="s">
        <v>35</v>
      </c>
      <c r="B635" s="14">
        <v>43508</v>
      </c>
      <c r="C635" s="13">
        <v>205</v>
      </c>
      <c r="D635" s="32" t="s">
        <v>39</v>
      </c>
      <c r="E635" s="32" t="s">
        <v>963</v>
      </c>
      <c r="F635" s="4">
        <v>10000000</v>
      </c>
      <c r="G635" s="86" t="s">
        <v>1019</v>
      </c>
      <c r="H635" s="211"/>
      <c r="I635" s="41" t="s">
        <v>97</v>
      </c>
      <c r="J635" s="21"/>
      <c r="K635" s="228"/>
    </row>
    <row r="636" spans="1:19" s="31" customFormat="1" ht="27.6" hidden="1" customHeight="1" x14ac:dyDescent="0.25">
      <c r="A636" s="32" t="s">
        <v>236</v>
      </c>
      <c r="B636" s="14">
        <v>43508</v>
      </c>
      <c r="C636" s="13">
        <v>206</v>
      </c>
      <c r="D636" s="32" t="s">
        <v>185</v>
      </c>
      <c r="E636" s="32" t="s">
        <v>60</v>
      </c>
      <c r="F636" s="4">
        <f>561116.47-100000*2</f>
        <v>361116.47</v>
      </c>
      <c r="G636" s="28" t="s">
        <v>697</v>
      </c>
      <c r="H636" s="14">
        <v>42521</v>
      </c>
      <c r="I636" s="4" t="s">
        <v>698</v>
      </c>
      <c r="J636" s="34"/>
    </row>
    <row r="637" spans="1:19" ht="13.95" hidden="1" customHeight="1" x14ac:dyDescent="0.25">
      <c r="A637" s="61" t="s">
        <v>1316</v>
      </c>
      <c r="B637" s="14">
        <v>43508</v>
      </c>
      <c r="C637" s="13">
        <v>264</v>
      </c>
      <c r="D637" s="13" t="s">
        <v>432</v>
      </c>
      <c r="E637" s="32" t="s">
        <v>808</v>
      </c>
      <c r="F637" s="4">
        <v>1500000</v>
      </c>
      <c r="G637" s="86" t="s">
        <v>4008</v>
      </c>
      <c r="H637" s="211"/>
      <c r="I637" s="4" t="s">
        <v>24</v>
      </c>
      <c r="J637" s="21"/>
      <c r="K637" s="228"/>
    </row>
    <row r="638" spans="1:19" hidden="1" x14ac:dyDescent="0.25">
      <c r="A638" s="13" t="s">
        <v>1149</v>
      </c>
      <c r="B638" s="14">
        <v>43508</v>
      </c>
      <c r="C638" s="13">
        <v>263</v>
      </c>
      <c r="D638" s="13" t="s">
        <v>1708</v>
      </c>
      <c r="E638" s="13" t="s">
        <v>808</v>
      </c>
      <c r="F638" s="4">
        <v>64800</v>
      </c>
      <c r="G638" s="29" t="s">
        <v>3011</v>
      </c>
      <c r="H638" s="14">
        <v>43483</v>
      </c>
      <c r="I638" s="4" t="s">
        <v>3715</v>
      </c>
      <c r="J638" s="71"/>
      <c r="K638" s="62"/>
      <c r="L638" s="62"/>
      <c r="M638" s="35"/>
      <c r="N638" s="35"/>
      <c r="O638" s="35"/>
      <c r="P638" s="35"/>
      <c r="Q638" s="35"/>
    </row>
    <row r="639" spans="1:19" s="192" customFormat="1" ht="14.85" hidden="1" customHeight="1" x14ac:dyDescent="0.25">
      <c r="A639" s="147" t="s">
        <v>242</v>
      </c>
      <c r="B639" s="164">
        <v>43508</v>
      </c>
      <c r="C639" s="195">
        <v>513</v>
      </c>
      <c r="D639" s="149" t="s">
        <v>1816</v>
      </c>
      <c r="E639" s="147" t="s">
        <v>140</v>
      </c>
      <c r="F639" s="158">
        <v>72155.16</v>
      </c>
      <c r="G639" s="150" t="s">
        <v>3983</v>
      </c>
      <c r="H639" s="148">
        <v>43507</v>
      </c>
      <c r="I639" s="149" t="s">
        <v>143</v>
      </c>
      <c r="J639" s="193"/>
      <c r="K639" s="194"/>
      <c r="L639" s="190"/>
    </row>
    <row r="640" spans="1:19" hidden="1" x14ac:dyDescent="0.25">
      <c r="A640" s="61" t="s">
        <v>460</v>
      </c>
      <c r="B640" s="14">
        <v>43508</v>
      </c>
      <c r="C640" s="13">
        <v>93</v>
      </c>
      <c r="D640" s="14" t="s">
        <v>2622</v>
      </c>
      <c r="E640" s="32" t="s">
        <v>144</v>
      </c>
      <c r="F640" s="4">
        <v>42976</v>
      </c>
      <c r="G640" s="86" t="s">
        <v>2623</v>
      </c>
      <c r="H640" s="211"/>
      <c r="I640" s="326"/>
      <c r="K640" s="62"/>
    </row>
    <row r="641" spans="1:12" hidden="1" x14ac:dyDescent="0.25">
      <c r="A641" s="61" t="s">
        <v>460</v>
      </c>
      <c r="B641" s="14">
        <v>43508</v>
      </c>
      <c r="C641" s="13">
        <v>95</v>
      </c>
      <c r="D641" s="14" t="s">
        <v>2626</v>
      </c>
      <c r="E641" s="32" t="s">
        <v>144</v>
      </c>
      <c r="F641" s="4">
        <v>41234</v>
      </c>
      <c r="G641" s="86" t="s">
        <v>2627</v>
      </c>
      <c r="H641" s="211"/>
      <c r="I641" s="326"/>
      <c r="K641" s="62"/>
    </row>
    <row r="642" spans="1:12" hidden="1" x14ac:dyDescent="0.25">
      <c r="A642" s="61" t="s">
        <v>460</v>
      </c>
      <c r="B642" s="14">
        <v>43508</v>
      </c>
      <c r="C642" s="13">
        <v>96</v>
      </c>
      <c r="D642" s="14" t="s">
        <v>2628</v>
      </c>
      <c r="E642" s="32" t="s">
        <v>144</v>
      </c>
      <c r="F642" s="4">
        <v>43982</v>
      </c>
      <c r="G642" s="86" t="s">
        <v>2629</v>
      </c>
      <c r="H642" s="211"/>
      <c r="I642" s="326"/>
      <c r="K642" s="62"/>
    </row>
    <row r="643" spans="1:12" hidden="1" x14ac:dyDescent="0.25">
      <c r="A643" s="61" t="s">
        <v>460</v>
      </c>
      <c r="B643" s="14">
        <v>43508</v>
      </c>
      <c r="C643" s="13">
        <v>97</v>
      </c>
      <c r="D643" s="14" t="s">
        <v>2630</v>
      </c>
      <c r="E643" s="32" t="s">
        <v>144</v>
      </c>
      <c r="F643" s="4">
        <v>32032</v>
      </c>
      <c r="G643" s="86" t="s">
        <v>2631</v>
      </c>
      <c r="H643" s="211"/>
      <c r="I643" s="326"/>
      <c r="K643" s="62"/>
    </row>
    <row r="644" spans="1:12" hidden="1" x14ac:dyDescent="0.25">
      <c r="A644" s="61" t="s">
        <v>460</v>
      </c>
      <c r="B644" s="14">
        <v>43508</v>
      </c>
      <c r="C644" s="13">
        <v>98</v>
      </c>
      <c r="D644" s="14" t="s">
        <v>2632</v>
      </c>
      <c r="E644" s="32" t="s">
        <v>144</v>
      </c>
      <c r="F644" s="4">
        <v>45662</v>
      </c>
      <c r="G644" s="86" t="s">
        <v>2633</v>
      </c>
      <c r="H644" s="211"/>
      <c r="I644" s="326"/>
      <c r="K644" s="62"/>
    </row>
    <row r="645" spans="1:12" hidden="1" x14ac:dyDescent="0.25">
      <c r="A645" s="61" t="s">
        <v>460</v>
      </c>
      <c r="B645" s="14">
        <v>43508</v>
      </c>
      <c r="C645" s="13">
        <v>99</v>
      </c>
      <c r="D645" s="14" t="s">
        <v>2636</v>
      </c>
      <c r="E645" s="32" t="s">
        <v>144</v>
      </c>
      <c r="F645" s="4">
        <v>34970</v>
      </c>
      <c r="G645" s="86" t="s">
        <v>2637</v>
      </c>
      <c r="H645" s="211"/>
      <c r="I645" s="326"/>
      <c r="K645" s="62"/>
    </row>
    <row r="646" spans="1:12" hidden="1" x14ac:dyDescent="0.25">
      <c r="A646" s="61" t="s">
        <v>460</v>
      </c>
      <c r="B646" s="14">
        <v>43508</v>
      </c>
      <c r="C646" s="13">
        <v>100</v>
      </c>
      <c r="D646" s="14" t="s">
        <v>2638</v>
      </c>
      <c r="E646" s="32" t="s">
        <v>144</v>
      </c>
      <c r="F646" s="4">
        <v>47869</v>
      </c>
      <c r="G646" s="86" t="s">
        <v>2639</v>
      </c>
      <c r="H646" s="211"/>
      <c r="I646" s="326"/>
      <c r="K646" s="62"/>
    </row>
    <row r="647" spans="1:12" hidden="1" x14ac:dyDescent="0.25">
      <c r="A647" s="61" t="s">
        <v>460</v>
      </c>
      <c r="B647" s="14">
        <v>43508</v>
      </c>
      <c r="C647" s="13">
        <v>101</v>
      </c>
      <c r="D647" s="14" t="s">
        <v>2634</v>
      </c>
      <c r="E647" s="32" t="s">
        <v>144</v>
      </c>
      <c r="F647" s="4">
        <v>41292</v>
      </c>
      <c r="G647" s="86" t="s">
        <v>2635</v>
      </c>
      <c r="H647" s="211"/>
      <c r="I647" s="326"/>
      <c r="K647" s="62"/>
    </row>
    <row r="648" spans="1:12" hidden="1" x14ac:dyDescent="0.25">
      <c r="A648" s="61" t="s">
        <v>460</v>
      </c>
      <c r="B648" s="14">
        <v>43508</v>
      </c>
      <c r="C648" s="13">
        <v>102</v>
      </c>
      <c r="D648" s="14" t="s">
        <v>2644</v>
      </c>
      <c r="E648" s="32" t="s">
        <v>144</v>
      </c>
      <c r="F648" s="4">
        <v>49000</v>
      </c>
      <c r="G648" s="86" t="s">
        <v>2645</v>
      </c>
      <c r="H648" s="211"/>
      <c r="I648" s="326"/>
      <c r="K648" s="62"/>
    </row>
    <row r="649" spans="1:12" hidden="1" x14ac:dyDescent="0.25">
      <c r="A649" s="61" t="s">
        <v>460</v>
      </c>
      <c r="B649" s="14">
        <v>43508</v>
      </c>
      <c r="C649" s="13">
        <v>103</v>
      </c>
      <c r="D649" s="14" t="s">
        <v>2646</v>
      </c>
      <c r="E649" s="32" t="s">
        <v>144</v>
      </c>
      <c r="F649" s="4">
        <v>39184</v>
      </c>
      <c r="G649" s="86" t="s">
        <v>2647</v>
      </c>
      <c r="H649" s="211"/>
      <c r="I649" s="326"/>
      <c r="K649" s="62"/>
    </row>
    <row r="650" spans="1:12" hidden="1" x14ac:dyDescent="0.25">
      <c r="A650" s="61" t="s">
        <v>151</v>
      </c>
      <c r="B650" s="14">
        <v>43508</v>
      </c>
      <c r="C650" s="13">
        <v>127</v>
      </c>
      <c r="D650" s="14" t="s">
        <v>3641</v>
      </c>
      <c r="E650" s="32" t="s">
        <v>691</v>
      </c>
      <c r="F650" s="4">
        <v>20000</v>
      </c>
      <c r="G650" s="210" t="s">
        <v>4031</v>
      </c>
      <c r="H650" s="211">
        <v>43502</v>
      </c>
      <c r="I650" s="41" t="s">
        <v>4769</v>
      </c>
      <c r="K650" s="62"/>
    </row>
    <row r="651" spans="1:12" hidden="1" x14ac:dyDescent="0.25">
      <c r="A651" s="61" t="s">
        <v>151</v>
      </c>
      <c r="B651" s="14">
        <v>43508</v>
      </c>
      <c r="C651" s="13">
        <v>261</v>
      </c>
      <c r="D651" s="14" t="s">
        <v>3641</v>
      </c>
      <c r="E651" s="32" t="s">
        <v>808</v>
      </c>
      <c r="F651" s="4">
        <v>6000</v>
      </c>
      <c r="G651" s="210" t="s">
        <v>4032</v>
      </c>
      <c r="H651" s="211">
        <v>43502</v>
      </c>
      <c r="I651" s="41" t="s">
        <v>512</v>
      </c>
      <c r="K651" s="62"/>
    </row>
    <row r="652" spans="1:12" ht="13.95" hidden="1" customHeight="1" x14ac:dyDescent="0.25">
      <c r="A652" s="68" t="s">
        <v>151</v>
      </c>
      <c r="B652" s="14">
        <v>43508</v>
      </c>
      <c r="C652" s="13">
        <v>1</v>
      </c>
      <c r="D652" s="32" t="s">
        <v>1263</v>
      </c>
      <c r="E652" s="32" t="s">
        <v>4033</v>
      </c>
      <c r="F652" s="4">
        <v>1715</v>
      </c>
      <c r="G652" s="210" t="s">
        <v>4034</v>
      </c>
      <c r="H652" s="211">
        <v>43507</v>
      </c>
      <c r="I652" s="208" t="s">
        <v>1722</v>
      </c>
      <c r="J652" s="21"/>
      <c r="K652" s="228"/>
    </row>
    <row r="653" spans="1:12" ht="14.1" hidden="1" customHeight="1" x14ac:dyDescent="0.25">
      <c r="A653" s="68" t="s">
        <v>956</v>
      </c>
      <c r="B653" s="14">
        <v>43509</v>
      </c>
      <c r="C653" s="13">
        <v>82</v>
      </c>
      <c r="D653" s="32" t="s">
        <v>219</v>
      </c>
      <c r="E653" s="13" t="s">
        <v>481</v>
      </c>
      <c r="F653" s="4">
        <v>554937.59000000008</v>
      </c>
      <c r="G653" s="86" t="s">
        <v>2080</v>
      </c>
      <c r="H653" s="211"/>
      <c r="I653" s="208" t="s">
        <v>2081</v>
      </c>
      <c r="J653" s="21"/>
      <c r="K653" s="228"/>
    </row>
    <row r="654" spans="1:12" s="2" customFormat="1" hidden="1" x14ac:dyDescent="0.25">
      <c r="A654" s="13" t="s">
        <v>956</v>
      </c>
      <c r="B654" s="14">
        <v>43509</v>
      </c>
      <c r="C654" s="13">
        <v>83</v>
      </c>
      <c r="D654" s="13" t="s">
        <v>3653</v>
      </c>
      <c r="E654" s="13" t="s">
        <v>481</v>
      </c>
      <c r="F654" s="4">
        <f>51744-37344</f>
        <v>14400</v>
      </c>
      <c r="G654" s="28" t="s">
        <v>1686</v>
      </c>
      <c r="H654" s="14">
        <v>43496</v>
      </c>
      <c r="I654" s="4" t="s">
        <v>3799</v>
      </c>
      <c r="J654" s="121"/>
      <c r="K654" s="5"/>
    </row>
    <row r="655" spans="1:12" s="97" customFormat="1" hidden="1" x14ac:dyDescent="0.25">
      <c r="A655" s="13" t="s">
        <v>956</v>
      </c>
      <c r="B655" s="14">
        <v>43509</v>
      </c>
      <c r="C655" s="13">
        <v>84</v>
      </c>
      <c r="D655" s="218" t="s">
        <v>982</v>
      </c>
      <c r="E655" s="218" t="s">
        <v>481</v>
      </c>
      <c r="F655" s="4">
        <v>320000</v>
      </c>
      <c r="G655" s="29" t="s">
        <v>3907</v>
      </c>
      <c r="H655" s="14">
        <v>42989</v>
      </c>
      <c r="I655" s="32" t="s">
        <v>1093</v>
      </c>
      <c r="J655" s="133"/>
      <c r="K655" s="22"/>
      <c r="L655" s="134"/>
    </row>
    <row r="656" spans="1:12" s="97" customFormat="1" hidden="1" x14ac:dyDescent="0.25">
      <c r="A656" s="32" t="s">
        <v>956</v>
      </c>
      <c r="B656" s="14">
        <v>43509</v>
      </c>
      <c r="C656" s="13">
        <v>85</v>
      </c>
      <c r="D656" s="13" t="s">
        <v>72</v>
      </c>
      <c r="E656" s="13" t="s">
        <v>481</v>
      </c>
      <c r="F656" s="4">
        <v>18546.52</v>
      </c>
      <c r="G656" s="28" t="s">
        <v>13</v>
      </c>
      <c r="H656" s="14">
        <v>43475</v>
      </c>
      <c r="I656" s="4" t="s">
        <v>3222</v>
      </c>
      <c r="J656" s="133"/>
      <c r="K656" s="22"/>
      <c r="L656" s="134"/>
    </row>
    <row r="657" spans="1:19" s="97" customFormat="1" hidden="1" x14ac:dyDescent="0.25">
      <c r="A657" s="13" t="s">
        <v>956</v>
      </c>
      <c r="B657" s="14">
        <v>43509</v>
      </c>
      <c r="C657" s="13">
        <v>85</v>
      </c>
      <c r="D657" s="13" t="s">
        <v>72</v>
      </c>
      <c r="E657" s="13" t="s">
        <v>481</v>
      </c>
      <c r="F657" s="4">
        <v>4234.5200000000004</v>
      </c>
      <c r="G657" s="28" t="s">
        <v>3224</v>
      </c>
      <c r="H657" s="14">
        <v>43480</v>
      </c>
      <c r="I657" s="4" t="s">
        <v>395</v>
      </c>
      <c r="J657" s="133"/>
      <c r="K657" s="22"/>
      <c r="L657" s="134"/>
    </row>
    <row r="658" spans="1:19" hidden="1" x14ac:dyDescent="0.25">
      <c r="A658" s="61" t="s">
        <v>956</v>
      </c>
      <c r="B658" s="14">
        <v>43509</v>
      </c>
      <c r="C658" s="13">
        <v>86</v>
      </c>
      <c r="D658" s="13" t="s">
        <v>149</v>
      </c>
      <c r="E658" s="13" t="s">
        <v>481</v>
      </c>
      <c r="F658" s="4">
        <v>7000</v>
      </c>
      <c r="G658" s="29" t="s">
        <v>3400</v>
      </c>
      <c r="H658" s="14">
        <v>43465</v>
      </c>
      <c r="I658" s="4" t="s">
        <v>3396</v>
      </c>
    </row>
    <row r="659" spans="1:19" ht="27.6" hidden="1" x14ac:dyDescent="0.25">
      <c r="A659" s="61" t="s">
        <v>956</v>
      </c>
      <c r="B659" s="14">
        <v>43509</v>
      </c>
      <c r="C659" s="13">
        <v>87</v>
      </c>
      <c r="D659" s="13" t="s">
        <v>3659</v>
      </c>
      <c r="E659" s="13" t="s">
        <v>481</v>
      </c>
      <c r="F659" s="4">
        <v>3106</v>
      </c>
      <c r="G659" s="29" t="s">
        <v>3929</v>
      </c>
      <c r="H659" s="14">
        <v>43502</v>
      </c>
      <c r="I659" s="4" t="s">
        <v>3930</v>
      </c>
    </row>
    <row r="660" spans="1:19" ht="13.95" hidden="1" customHeight="1" x14ac:dyDescent="0.25">
      <c r="A660" s="13" t="s">
        <v>956</v>
      </c>
      <c r="B660" s="242">
        <v>43509</v>
      </c>
      <c r="C660" s="13">
        <v>73</v>
      </c>
      <c r="D660" s="13" t="s">
        <v>950</v>
      </c>
      <c r="E660" s="32" t="s">
        <v>481</v>
      </c>
      <c r="F660" s="4">
        <v>2123784</v>
      </c>
      <c r="G660" s="86" t="s">
        <v>1783</v>
      </c>
      <c r="H660" s="14"/>
      <c r="I660" s="4" t="s">
        <v>361</v>
      </c>
      <c r="K660" s="228"/>
    </row>
    <row r="661" spans="1:19" ht="13.8" hidden="1" customHeight="1" x14ac:dyDescent="0.25">
      <c r="A661" s="13" t="s">
        <v>956</v>
      </c>
      <c r="B661" s="242">
        <v>43509</v>
      </c>
      <c r="C661" s="13">
        <v>78</v>
      </c>
      <c r="D661" s="32" t="s">
        <v>506</v>
      </c>
      <c r="E661" s="13" t="s">
        <v>481</v>
      </c>
      <c r="F661" s="4">
        <f>375948.34</f>
        <v>375948.34</v>
      </c>
      <c r="G661" s="86" t="s">
        <v>2780</v>
      </c>
      <c r="H661" s="211"/>
      <c r="I661" s="41" t="s">
        <v>220</v>
      </c>
      <c r="J661" s="71"/>
      <c r="K661" s="62"/>
      <c r="L661" s="62"/>
      <c r="M661" s="35"/>
      <c r="N661" s="35"/>
      <c r="O661" s="35"/>
      <c r="P661" s="35"/>
      <c r="Q661" s="35"/>
    </row>
    <row r="662" spans="1:19" hidden="1" x14ac:dyDescent="0.25">
      <c r="A662" s="13" t="s">
        <v>956</v>
      </c>
      <c r="B662" s="242">
        <v>43509</v>
      </c>
      <c r="C662" s="13">
        <v>79</v>
      </c>
      <c r="D662" s="13" t="s">
        <v>30</v>
      </c>
      <c r="E662" s="13" t="s">
        <v>481</v>
      </c>
      <c r="F662" s="4">
        <v>1452871.2</v>
      </c>
      <c r="G662" s="86" t="s">
        <v>2039</v>
      </c>
      <c r="H662" s="211"/>
      <c r="I662" s="4" t="s">
        <v>20</v>
      </c>
      <c r="J662" s="21"/>
      <c r="K662" s="228"/>
    </row>
    <row r="663" spans="1:19" hidden="1" x14ac:dyDescent="0.25">
      <c r="A663" s="13" t="s">
        <v>956</v>
      </c>
      <c r="B663" s="242">
        <v>43509</v>
      </c>
      <c r="C663" s="13">
        <v>80</v>
      </c>
      <c r="D663" s="13" t="s">
        <v>30</v>
      </c>
      <c r="E663" s="13" t="s">
        <v>481</v>
      </c>
      <c r="F663" s="4">
        <v>385706.15</v>
      </c>
      <c r="G663" s="86" t="s">
        <v>1975</v>
      </c>
      <c r="H663" s="211"/>
      <c r="I663" s="4" t="s">
        <v>79</v>
      </c>
      <c r="J663" s="21"/>
      <c r="K663" s="228"/>
    </row>
    <row r="664" spans="1:19" ht="13.95" hidden="1" customHeight="1" x14ac:dyDescent="0.25">
      <c r="A664" s="13" t="s">
        <v>956</v>
      </c>
      <c r="B664" s="242">
        <v>43509</v>
      </c>
      <c r="C664" s="13">
        <v>81</v>
      </c>
      <c r="D664" s="13" t="s">
        <v>679</v>
      </c>
      <c r="E664" s="32" t="s">
        <v>481</v>
      </c>
      <c r="F664" s="4">
        <v>1328972.3</v>
      </c>
      <c r="G664" s="69" t="s">
        <v>1663</v>
      </c>
      <c r="H664" s="14"/>
      <c r="I664" s="4" t="s">
        <v>24</v>
      </c>
      <c r="J664" s="21"/>
      <c r="K664" s="228"/>
    </row>
    <row r="665" spans="1:19" s="31" customFormat="1" ht="27.6" hidden="1" x14ac:dyDescent="0.25">
      <c r="A665" s="61" t="s">
        <v>91</v>
      </c>
      <c r="B665" s="14">
        <v>43509</v>
      </c>
      <c r="C665" s="13">
        <v>104</v>
      </c>
      <c r="D665" s="13" t="s">
        <v>745</v>
      </c>
      <c r="E665" s="13" t="s">
        <v>2021</v>
      </c>
      <c r="F665" s="4">
        <v>1000000</v>
      </c>
      <c r="G665" s="29" t="s">
        <v>1425</v>
      </c>
      <c r="H665" s="14">
        <v>43160</v>
      </c>
      <c r="I665" s="4" t="s">
        <v>484</v>
      </c>
      <c r="J665" s="34"/>
      <c r="O665" s="34"/>
      <c r="P665" s="34"/>
      <c r="Q665" s="34"/>
      <c r="R665" s="34"/>
      <c r="S665" s="34"/>
    </row>
    <row r="666" spans="1:19" s="31" customFormat="1" ht="27.6" hidden="1" x14ac:dyDescent="0.25">
      <c r="A666" s="13" t="s">
        <v>91</v>
      </c>
      <c r="B666" s="14">
        <v>43509</v>
      </c>
      <c r="C666" s="13">
        <v>105</v>
      </c>
      <c r="D666" s="13" t="s">
        <v>745</v>
      </c>
      <c r="E666" s="13" t="s">
        <v>2021</v>
      </c>
      <c r="F666" s="4">
        <v>200000</v>
      </c>
      <c r="G666" s="29" t="s">
        <v>2018</v>
      </c>
      <c r="H666" s="14">
        <v>43377</v>
      </c>
      <c r="I666" s="4" t="s">
        <v>484</v>
      </c>
      <c r="J666" s="34"/>
      <c r="O666" s="34"/>
      <c r="P666" s="34"/>
      <c r="Q666" s="34"/>
      <c r="R666" s="34"/>
      <c r="S666" s="34"/>
    </row>
    <row r="667" spans="1:19" ht="16.2" hidden="1" customHeight="1" x14ac:dyDescent="0.25">
      <c r="A667" s="68" t="s">
        <v>1654</v>
      </c>
      <c r="B667" s="14">
        <v>43509</v>
      </c>
      <c r="C667" s="13">
        <v>253</v>
      </c>
      <c r="D667" s="32" t="s">
        <v>1655</v>
      </c>
      <c r="E667" s="32" t="s">
        <v>62</v>
      </c>
      <c r="F667" s="4">
        <v>5000000</v>
      </c>
      <c r="G667" s="69" t="s">
        <v>1656</v>
      </c>
      <c r="H667" s="14"/>
      <c r="I667" s="84" t="s">
        <v>273</v>
      </c>
      <c r="K667" s="62"/>
    </row>
    <row r="668" spans="1:19" ht="15" hidden="1" customHeight="1" x14ac:dyDescent="0.25">
      <c r="A668" s="68" t="s">
        <v>91</v>
      </c>
      <c r="B668" s="14">
        <v>43509</v>
      </c>
      <c r="C668" s="13">
        <v>254</v>
      </c>
      <c r="D668" s="13" t="s">
        <v>969</v>
      </c>
      <c r="E668" s="32" t="s">
        <v>62</v>
      </c>
      <c r="F668" s="4">
        <v>1500000</v>
      </c>
      <c r="G668" s="86" t="s">
        <v>970</v>
      </c>
      <c r="H668" s="14"/>
      <c r="I668" s="4" t="s">
        <v>229</v>
      </c>
      <c r="J668" s="71"/>
      <c r="K668" s="62"/>
      <c r="L668" s="62"/>
    </row>
    <row r="669" spans="1:19" ht="13.95" hidden="1" customHeight="1" x14ac:dyDescent="0.25">
      <c r="A669" s="68" t="s">
        <v>91</v>
      </c>
      <c r="B669" s="14">
        <v>43509</v>
      </c>
      <c r="C669" s="13">
        <v>255</v>
      </c>
      <c r="D669" s="32" t="s">
        <v>1664</v>
      </c>
      <c r="E669" s="32" t="s">
        <v>62</v>
      </c>
      <c r="F669" s="4">
        <v>20000000</v>
      </c>
      <c r="G669" s="86" t="s">
        <v>912</v>
      </c>
      <c r="H669" s="211"/>
      <c r="I669" s="208" t="s">
        <v>16</v>
      </c>
      <c r="J669" s="21"/>
      <c r="K669" s="228"/>
    </row>
    <row r="670" spans="1:19" ht="13.95" hidden="1" customHeight="1" x14ac:dyDescent="0.25">
      <c r="A670" s="61" t="s">
        <v>91</v>
      </c>
      <c r="B670" s="14">
        <v>43509</v>
      </c>
      <c r="C670" s="13">
        <v>256</v>
      </c>
      <c r="D670" s="13" t="s">
        <v>204</v>
      </c>
      <c r="E670" s="32" t="s">
        <v>62</v>
      </c>
      <c r="F670" s="4">
        <v>1000000</v>
      </c>
      <c r="G670" s="86" t="s">
        <v>785</v>
      </c>
      <c r="H670" s="211"/>
      <c r="I670" s="4" t="s">
        <v>20</v>
      </c>
      <c r="J670" s="21"/>
      <c r="K670" s="228"/>
    </row>
    <row r="671" spans="1:19" ht="13.95" hidden="1" customHeight="1" x14ac:dyDescent="0.25">
      <c r="A671" s="68" t="s">
        <v>91</v>
      </c>
      <c r="B671" s="14">
        <v>43509</v>
      </c>
      <c r="C671" s="13">
        <v>257</v>
      </c>
      <c r="D671" s="32" t="s">
        <v>1151</v>
      </c>
      <c r="E671" s="32" t="s">
        <v>62</v>
      </c>
      <c r="F671" s="4">
        <v>1182460.9500000002</v>
      </c>
      <c r="G671" s="86" t="s">
        <v>1574</v>
      </c>
      <c r="H671" s="14"/>
      <c r="I671" s="41" t="s">
        <v>1531</v>
      </c>
      <c r="K671" s="62"/>
    </row>
    <row r="672" spans="1:19" ht="13.8" hidden="1" customHeight="1" x14ac:dyDescent="0.25">
      <c r="A672" s="61" t="s">
        <v>668</v>
      </c>
      <c r="B672" s="14">
        <v>43509</v>
      </c>
      <c r="C672" s="13">
        <v>258</v>
      </c>
      <c r="D672" s="13" t="s">
        <v>578</v>
      </c>
      <c r="E672" s="32" t="s">
        <v>62</v>
      </c>
      <c r="F672" s="4">
        <v>1000000</v>
      </c>
      <c r="G672" s="86" t="s">
        <v>1217</v>
      </c>
      <c r="H672" s="211"/>
      <c r="I672" s="4" t="s">
        <v>879</v>
      </c>
      <c r="J672" s="21"/>
      <c r="K672" s="228"/>
    </row>
    <row r="673" spans="1:16" hidden="1" x14ac:dyDescent="0.25">
      <c r="A673" s="13" t="s">
        <v>637</v>
      </c>
      <c r="B673" s="126">
        <v>43509</v>
      </c>
      <c r="C673" s="13">
        <v>128</v>
      </c>
      <c r="D673" s="13" t="s">
        <v>528</v>
      </c>
      <c r="E673" s="13" t="s">
        <v>691</v>
      </c>
      <c r="F673" s="4">
        <v>3000000</v>
      </c>
      <c r="G673" s="29" t="s">
        <v>1649</v>
      </c>
      <c r="H673" s="14"/>
      <c r="I673" s="4" t="s">
        <v>1650</v>
      </c>
      <c r="J673" s="62"/>
      <c r="K673" s="62"/>
      <c r="L673" s="35"/>
      <c r="M673" s="35"/>
      <c r="N673" s="35"/>
      <c r="O673" s="35"/>
      <c r="P673" s="35"/>
    </row>
    <row r="674" spans="1:16" hidden="1" x14ac:dyDescent="0.25">
      <c r="A674" s="68" t="s">
        <v>659</v>
      </c>
      <c r="B674" s="126">
        <v>43509</v>
      </c>
      <c r="C674" s="127">
        <v>129</v>
      </c>
      <c r="D674" s="32" t="s">
        <v>1555</v>
      </c>
      <c r="E674" s="32" t="s">
        <v>691</v>
      </c>
      <c r="F674" s="4">
        <v>8400</v>
      </c>
      <c r="G674" s="29" t="s">
        <v>3971</v>
      </c>
      <c r="H674" s="14">
        <v>43496</v>
      </c>
      <c r="I674" s="208" t="s">
        <v>3972</v>
      </c>
      <c r="J674" s="21"/>
      <c r="K674" s="228"/>
    </row>
    <row r="675" spans="1:16" s="97" customFormat="1" hidden="1" x14ac:dyDescent="0.25">
      <c r="A675" s="61" t="s">
        <v>1350</v>
      </c>
      <c r="B675" s="126">
        <v>43509</v>
      </c>
      <c r="C675" s="13">
        <v>130</v>
      </c>
      <c r="D675" s="13" t="s">
        <v>280</v>
      </c>
      <c r="E675" s="13" t="s">
        <v>691</v>
      </c>
      <c r="F675" s="4">
        <v>153565</v>
      </c>
      <c r="G675" s="29" t="s">
        <v>3390</v>
      </c>
      <c r="H675" s="14">
        <v>43488</v>
      </c>
      <c r="I675" s="4" t="s">
        <v>3616</v>
      </c>
      <c r="J675" s="133"/>
      <c r="K675" s="22"/>
      <c r="L675" s="134"/>
    </row>
    <row r="676" spans="1:16" s="97" customFormat="1" hidden="1" x14ac:dyDescent="0.25">
      <c r="A676" s="61" t="s">
        <v>1350</v>
      </c>
      <c r="B676" s="126">
        <v>43509</v>
      </c>
      <c r="C676" s="13">
        <v>130</v>
      </c>
      <c r="D676" s="13" t="s">
        <v>280</v>
      </c>
      <c r="E676" s="13" t="s">
        <v>691</v>
      </c>
      <c r="F676" s="4">
        <f>206036.84-100000</f>
        <v>106036.84</v>
      </c>
      <c r="G676" s="29" t="s">
        <v>86</v>
      </c>
      <c r="H676" s="14">
        <v>43488</v>
      </c>
      <c r="I676" s="4" t="s">
        <v>3617</v>
      </c>
      <c r="J676" s="133"/>
      <c r="K676" s="22"/>
      <c r="L676" s="134"/>
    </row>
    <row r="677" spans="1:16" s="97" customFormat="1" hidden="1" x14ac:dyDescent="0.25">
      <c r="A677" s="61" t="s">
        <v>637</v>
      </c>
      <c r="B677" s="126">
        <v>43509</v>
      </c>
      <c r="C677" s="13">
        <v>131</v>
      </c>
      <c r="D677" s="13" t="s">
        <v>72</v>
      </c>
      <c r="E677" s="13" t="s">
        <v>691</v>
      </c>
      <c r="F677" s="4">
        <v>116791.84</v>
      </c>
      <c r="G677" s="29" t="s">
        <v>2024</v>
      </c>
      <c r="H677" s="14">
        <v>43486</v>
      </c>
      <c r="I677" s="4" t="s">
        <v>555</v>
      </c>
      <c r="J677" s="133"/>
      <c r="K677" s="22"/>
      <c r="L677" s="134"/>
    </row>
    <row r="678" spans="1:16" s="97" customFormat="1" hidden="1" x14ac:dyDescent="0.25">
      <c r="A678" s="61" t="s">
        <v>1350</v>
      </c>
      <c r="B678" s="126">
        <v>43509</v>
      </c>
      <c r="C678" s="13">
        <v>131</v>
      </c>
      <c r="D678" s="13" t="s">
        <v>72</v>
      </c>
      <c r="E678" s="13" t="s">
        <v>691</v>
      </c>
      <c r="F678" s="4">
        <v>100000</v>
      </c>
      <c r="G678" s="29" t="s">
        <v>3614</v>
      </c>
      <c r="H678" s="14">
        <v>43494</v>
      </c>
      <c r="I678" s="4" t="s">
        <v>3615</v>
      </c>
      <c r="J678" s="133"/>
      <c r="K678" s="22"/>
      <c r="L678" s="134"/>
    </row>
    <row r="679" spans="1:16" s="97" customFormat="1" hidden="1" x14ac:dyDescent="0.25">
      <c r="A679" s="61" t="s">
        <v>1350</v>
      </c>
      <c r="B679" s="126">
        <v>43509</v>
      </c>
      <c r="C679" s="13">
        <v>132</v>
      </c>
      <c r="D679" s="13" t="s">
        <v>70</v>
      </c>
      <c r="E679" s="13" t="s">
        <v>691</v>
      </c>
      <c r="F679" s="4">
        <v>14080</v>
      </c>
      <c r="G679" s="29" t="s">
        <v>18</v>
      </c>
      <c r="H679" s="14">
        <v>43487</v>
      </c>
      <c r="I679" s="4" t="s">
        <v>1756</v>
      </c>
      <c r="J679" s="133"/>
      <c r="K679" s="22"/>
      <c r="L679" s="134"/>
    </row>
    <row r="680" spans="1:16" hidden="1" x14ac:dyDescent="0.25">
      <c r="A680" s="61" t="s">
        <v>1350</v>
      </c>
      <c r="B680" s="126">
        <v>43509</v>
      </c>
      <c r="C680" s="13">
        <v>133</v>
      </c>
      <c r="D680" s="13" t="s">
        <v>944</v>
      </c>
      <c r="E680" s="13" t="s">
        <v>691</v>
      </c>
      <c r="F680" s="4">
        <v>24750</v>
      </c>
      <c r="G680" s="29" t="s">
        <v>1378</v>
      </c>
      <c r="H680" s="14">
        <v>43446</v>
      </c>
      <c r="I680" s="4" t="s">
        <v>402</v>
      </c>
    </row>
    <row r="681" spans="1:16" hidden="1" x14ac:dyDescent="0.25">
      <c r="A681" s="61" t="s">
        <v>1350</v>
      </c>
      <c r="B681" s="126">
        <v>43509</v>
      </c>
      <c r="C681" s="13">
        <v>133</v>
      </c>
      <c r="D681" s="13" t="s">
        <v>944</v>
      </c>
      <c r="E681" s="13" t="s">
        <v>691</v>
      </c>
      <c r="F681" s="4">
        <v>162000</v>
      </c>
      <c r="G681" s="29" t="s">
        <v>3113</v>
      </c>
      <c r="H681" s="14">
        <v>43451</v>
      </c>
      <c r="I681" s="4" t="s">
        <v>402</v>
      </c>
    </row>
    <row r="682" spans="1:16" hidden="1" x14ac:dyDescent="0.25">
      <c r="A682" s="61" t="s">
        <v>1350</v>
      </c>
      <c r="B682" s="126">
        <v>43509</v>
      </c>
      <c r="C682" s="13">
        <v>133</v>
      </c>
      <c r="D682" s="13" t="s">
        <v>944</v>
      </c>
      <c r="E682" s="13" t="s">
        <v>691</v>
      </c>
      <c r="F682" s="4">
        <v>87000</v>
      </c>
      <c r="G682" s="29" t="s">
        <v>3114</v>
      </c>
      <c r="H682" s="14">
        <v>43459</v>
      </c>
      <c r="I682" s="4" t="s">
        <v>402</v>
      </c>
    </row>
    <row r="683" spans="1:16" hidden="1" x14ac:dyDescent="0.25">
      <c r="A683" s="61" t="s">
        <v>659</v>
      </c>
      <c r="B683" s="126">
        <v>43509</v>
      </c>
      <c r="C683" s="13">
        <v>134</v>
      </c>
      <c r="D683" s="13" t="s">
        <v>250</v>
      </c>
      <c r="E683" s="13" t="s">
        <v>691</v>
      </c>
      <c r="F683" s="4">
        <v>19125</v>
      </c>
      <c r="G683" s="29" t="s">
        <v>3147</v>
      </c>
      <c r="H683" s="14">
        <v>43452</v>
      </c>
      <c r="I683" s="4" t="s">
        <v>402</v>
      </c>
    </row>
    <row r="684" spans="1:16" hidden="1" x14ac:dyDescent="0.25">
      <c r="A684" s="61" t="s">
        <v>659</v>
      </c>
      <c r="B684" s="126">
        <v>43509</v>
      </c>
      <c r="C684" s="13">
        <v>134</v>
      </c>
      <c r="D684" s="13" t="s">
        <v>250</v>
      </c>
      <c r="E684" s="13" t="s">
        <v>691</v>
      </c>
      <c r="F684" s="4">
        <v>24750</v>
      </c>
      <c r="G684" s="29" t="s">
        <v>3148</v>
      </c>
      <c r="H684" s="14">
        <v>43455</v>
      </c>
      <c r="I684" s="4" t="s">
        <v>337</v>
      </c>
    </row>
    <row r="685" spans="1:16" hidden="1" x14ac:dyDescent="0.25">
      <c r="A685" s="61" t="s">
        <v>1350</v>
      </c>
      <c r="B685" s="126">
        <v>43509</v>
      </c>
      <c r="C685" s="13">
        <v>134</v>
      </c>
      <c r="D685" s="13" t="s">
        <v>250</v>
      </c>
      <c r="E685" s="13" t="s">
        <v>691</v>
      </c>
      <c r="F685" s="4">
        <v>137750</v>
      </c>
      <c r="G685" s="29" t="s">
        <v>3149</v>
      </c>
      <c r="H685" s="14">
        <v>43463</v>
      </c>
      <c r="I685" s="4" t="s">
        <v>1601</v>
      </c>
    </row>
    <row r="686" spans="1:16" hidden="1" x14ac:dyDescent="0.25">
      <c r="A686" s="32" t="s">
        <v>1316</v>
      </c>
      <c r="B686" s="126">
        <v>43509</v>
      </c>
      <c r="C686" s="13">
        <v>135</v>
      </c>
      <c r="D686" s="13" t="s">
        <v>29</v>
      </c>
      <c r="E686" s="13" t="s">
        <v>691</v>
      </c>
      <c r="F686" s="4">
        <v>8000</v>
      </c>
      <c r="G686" s="28" t="s">
        <v>77</v>
      </c>
      <c r="H686" s="14">
        <v>43486</v>
      </c>
      <c r="I686" s="4" t="s">
        <v>87</v>
      </c>
    </row>
    <row r="687" spans="1:16" hidden="1" x14ac:dyDescent="0.25">
      <c r="A687" s="32" t="s">
        <v>637</v>
      </c>
      <c r="B687" s="126">
        <v>43509</v>
      </c>
      <c r="C687" s="13">
        <v>136</v>
      </c>
      <c r="D687" s="13" t="s">
        <v>692</v>
      </c>
      <c r="E687" s="13" t="s">
        <v>691</v>
      </c>
      <c r="F687" s="4">
        <v>12375</v>
      </c>
      <c r="G687" s="28" t="s">
        <v>1327</v>
      </c>
      <c r="H687" s="14">
        <v>43449</v>
      </c>
      <c r="I687" s="4" t="s">
        <v>419</v>
      </c>
    </row>
    <row r="688" spans="1:16" ht="27.6" hidden="1" x14ac:dyDescent="0.25">
      <c r="A688" s="32" t="s">
        <v>3172</v>
      </c>
      <c r="B688" s="126">
        <v>43509</v>
      </c>
      <c r="C688" s="13">
        <v>137</v>
      </c>
      <c r="D688" s="13" t="s">
        <v>303</v>
      </c>
      <c r="E688" s="13" t="s">
        <v>691</v>
      </c>
      <c r="F688" s="4">
        <v>22400</v>
      </c>
      <c r="G688" s="28" t="s">
        <v>1670</v>
      </c>
      <c r="H688" s="14">
        <v>43488</v>
      </c>
      <c r="I688" s="4" t="s">
        <v>87</v>
      </c>
    </row>
    <row r="689" spans="1:11" hidden="1" x14ac:dyDescent="0.25">
      <c r="A689" s="32" t="s">
        <v>637</v>
      </c>
      <c r="B689" s="126">
        <v>43509</v>
      </c>
      <c r="C689" s="13">
        <v>138</v>
      </c>
      <c r="D689" s="13" t="s">
        <v>149</v>
      </c>
      <c r="E689" s="13" t="s">
        <v>691</v>
      </c>
      <c r="F689" s="4">
        <v>1500</v>
      </c>
      <c r="G689" s="28" t="s">
        <v>2075</v>
      </c>
      <c r="H689" s="14">
        <v>43486</v>
      </c>
      <c r="I689" s="4" t="s">
        <v>3402</v>
      </c>
    </row>
    <row r="690" spans="1:11" hidden="1" x14ac:dyDescent="0.25">
      <c r="A690" s="32" t="s">
        <v>660</v>
      </c>
      <c r="B690" s="126">
        <v>43509</v>
      </c>
      <c r="C690" s="13">
        <v>138</v>
      </c>
      <c r="D690" s="13" t="s">
        <v>149</v>
      </c>
      <c r="E690" s="13" t="s">
        <v>691</v>
      </c>
      <c r="F690" s="4">
        <v>1000</v>
      </c>
      <c r="G690" s="28" t="s">
        <v>763</v>
      </c>
      <c r="H690" s="14">
        <v>43486</v>
      </c>
      <c r="I690" s="4" t="s">
        <v>3402</v>
      </c>
    </row>
    <row r="691" spans="1:11" hidden="1" x14ac:dyDescent="0.25">
      <c r="A691" s="13" t="s">
        <v>151</v>
      </c>
      <c r="B691" s="14">
        <v>43509</v>
      </c>
      <c r="C691" s="13">
        <v>34</v>
      </c>
      <c r="D691" s="13" t="s">
        <v>606</v>
      </c>
      <c r="E691" s="32" t="s">
        <v>22</v>
      </c>
      <c r="F691" s="4">
        <f>3575+1000</f>
        <v>4575</v>
      </c>
      <c r="G691" s="28" t="s">
        <v>4013</v>
      </c>
      <c r="H691" s="14">
        <v>43507</v>
      </c>
      <c r="I691" s="4" t="s">
        <v>4012</v>
      </c>
      <c r="J691" s="125"/>
    </row>
    <row r="692" spans="1:11" hidden="1" x14ac:dyDescent="0.25">
      <c r="A692" s="32" t="s">
        <v>358</v>
      </c>
      <c r="B692" s="14">
        <v>43509</v>
      </c>
      <c r="C692" s="13">
        <v>9</v>
      </c>
      <c r="D692" s="13" t="s">
        <v>373</v>
      </c>
      <c r="E692" s="32" t="s">
        <v>742</v>
      </c>
      <c r="F692" s="37">
        <f>65802.14-14891.3</f>
        <v>50910.84</v>
      </c>
      <c r="G692" s="29" t="s">
        <v>4017</v>
      </c>
      <c r="H692" s="14">
        <v>43504</v>
      </c>
      <c r="I692" s="4" t="s">
        <v>4018</v>
      </c>
      <c r="J692" s="128"/>
    </row>
    <row r="693" spans="1:11" ht="13.95" hidden="1" customHeight="1" x14ac:dyDescent="0.25">
      <c r="A693" s="68" t="s">
        <v>358</v>
      </c>
      <c r="B693" s="14">
        <v>43509</v>
      </c>
      <c r="C693" s="13">
        <v>361</v>
      </c>
      <c r="D693" s="32" t="s">
        <v>1077</v>
      </c>
      <c r="E693" s="32" t="s">
        <v>38</v>
      </c>
      <c r="F693" s="4">
        <v>4000000</v>
      </c>
      <c r="G693" s="86" t="s">
        <v>410</v>
      </c>
      <c r="H693" s="211"/>
      <c r="I693" s="208" t="s">
        <v>581</v>
      </c>
      <c r="J693" s="21"/>
      <c r="K693" s="228"/>
    </row>
    <row r="694" spans="1:11" ht="13.95" hidden="1" customHeight="1" x14ac:dyDescent="0.25">
      <c r="A694" s="68" t="s">
        <v>639</v>
      </c>
      <c r="B694" s="14">
        <v>43509</v>
      </c>
      <c r="C694" s="13">
        <v>216</v>
      </c>
      <c r="D694" s="32" t="s">
        <v>905</v>
      </c>
      <c r="E694" s="32" t="s">
        <v>60</v>
      </c>
      <c r="F694" s="4">
        <v>3700000</v>
      </c>
      <c r="G694" s="86" t="s">
        <v>1120</v>
      </c>
      <c r="H694" s="211"/>
      <c r="I694" s="208" t="s">
        <v>1119</v>
      </c>
      <c r="J694" s="21"/>
      <c r="K694" s="228"/>
    </row>
    <row r="695" spans="1:11" hidden="1" x14ac:dyDescent="0.25">
      <c r="A695" s="61" t="s">
        <v>956</v>
      </c>
      <c r="B695" s="14">
        <v>43509</v>
      </c>
      <c r="C695" s="13">
        <v>88</v>
      </c>
      <c r="D695" s="13" t="s">
        <v>250</v>
      </c>
      <c r="E695" s="13" t="s">
        <v>481</v>
      </c>
      <c r="F695" s="37">
        <v>11000</v>
      </c>
      <c r="G695" s="29" t="s">
        <v>2838</v>
      </c>
      <c r="H695" s="14">
        <v>43453</v>
      </c>
      <c r="I695" s="4" t="s">
        <v>337</v>
      </c>
    </row>
    <row r="696" spans="1:11" hidden="1" x14ac:dyDescent="0.25">
      <c r="A696" s="32" t="s">
        <v>956</v>
      </c>
      <c r="B696" s="14">
        <v>43509</v>
      </c>
      <c r="C696" s="13">
        <v>89</v>
      </c>
      <c r="D696" s="13" t="s">
        <v>149</v>
      </c>
      <c r="E696" s="13" t="s">
        <v>481</v>
      </c>
      <c r="F696" s="4">
        <v>1000</v>
      </c>
      <c r="G696" s="28" t="s">
        <v>1101</v>
      </c>
      <c r="H696" s="14">
        <v>43486</v>
      </c>
      <c r="I696" s="4" t="s">
        <v>3402</v>
      </c>
    </row>
    <row r="697" spans="1:11" hidden="1" x14ac:dyDescent="0.25">
      <c r="A697" s="61" t="s">
        <v>741</v>
      </c>
      <c r="B697" s="14">
        <v>43509</v>
      </c>
      <c r="C697" s="13">
        <v>131</v>
      </c>
      <c r="D697" s="13" t="s">
        <v>1739</v>
      </c>
      <c r="E697" s="13" t="s">
        <v>434</v>
      </c>
      <c r="F697" s="37">
        <f>2198400-494400</f>
        <v>1704000</v>
      </c>
      <c r="G697" s="29" t="s">
        <v>2693</v>
      </c>
      <c r="H697" s="14">
        <v>43454</v>
      </c>
      <c r="I697" s="4" t="s">
        <v>2694</v>
      </c>
      <c r="J697" s="128"/>
    </row>
    <row r="698" spans="1:11" hidden="1" x14ac:dyDescent="0.25">
      <c r="A698" s="32" t="s">
        <v>741</v>
      </c>
      <c r="B698" s="14">
        <v>43509</v>
      </c>
      <c r="C698" s="13">
        <v>132</v>
      </c>
      <c r="D698" s="13" t="s">
        <v>307</v>
      </c>
      <c r="E698" s="13" t="s">
        <v>434</v>
      </c>
      <c r="F698" s="4">
        <v>327000</v>
      </c>
      <c r="G698" s="28" t="s">
        <v>3121</v>
      </c>
      <c r="H698" s="14">
        <v>43479</v>
      </c>
      <c r="I698" s="4" t="s">
        <v>1781</v>
      </c>
      <c r="J698" s="128"/>
    </row>
    <row r="699" spans="1:11" s="2" customFormat="1" hidden="1" x14ac:dyDescent="0.25">
      <c r="A699" s="61" t="s">
        <v>741</v>
      </c>
      <c r="B699" s="14">
        <v>43509</v>
      </c>
      <c r="C699" s="13">
        <v>133</v>
      </c>
      <c r="D699" s="13" t="s">
        <v>3183</v>
      </c>
      <c r="E699" s="13" t="s">
        <v>434</v>
      </c>
      <c r="F699" s="37">
        <v>525790</v>
      </c>
      <c r="G699" s="29" t="s">
        <v>132</v>
      </c>
      <c r="H699" s="14">
        <v>43501</v>
      </c>
      <c r="I699" s="4" t="s">
        <v>3856</v>
      </c>
      <c r="J699" s="121"/>
      <c r="K699" s="5"/>
    </row>
    <row r="700" spans="1:11" s="2" customFormat="1" hidden="1" x14ac:dyDescent="0.25">
      <c r="A700" s="61" t="s">
        <v>741</v>
      </c>
      <c r="B700" s="14">
        <v>43509</v>
      </c>
      <c r="C700" s="13">
        <v>134</v>
      </c>
      <c r="D700" s="13" t="s">
        <v>3858</v>
      </c>
      <c r="E700" s="13" t="s">
        <v>434</v>
      </c>
      <c r="F700" s="37">
        <v>6300</v>
      </c>
      <c r="G700" s="29" t="s">
        <v>3236</v>
      </c>
      <c r="H700" s="14">
        <v>43496</v>
      </c>
      <c r="I700" s="4" t="s">
        <v>3859</v>
      </c>
      <c r="J700" s="121"/>
      <c r="K700" s="5"/>
    </row>
    <row r="701" spans="1:11" s="2" customFormat="1" hidden="1" x14ac:dyDescent="0.25">
      <c r="A701" s="32" t="s">
        <v>741</v>
      </c>
      <c r="B701" s="14">
        <v>43509</v>
      </c>
      <c r="C701" s="13">
        <v>135</v>
      </c>
      <c r="D701" s="13" t="s">
        <v>1512</v>
      </c>
      <c r="E701" s="13" t="s">
        <v>434</v>
      </c>
      <c r="F701" s="4">
        <v>18700</v>
      </c>
      <c r="G701" s="28" t="s">
        <v>3862</v>
      </c>
      <c r="H701" s="14">
        <v>43363</v>
      </c>
      <c r="I701" s="4" t="s">
        <v>95</v>
      </c>
      <c r="J701" s="121"/>
      <c r="K701" s="5"/>
    </row>
    <row r="702" spans="1:11" hidden="1" x14ac:dyDescent="0.25">
      <c r="A702" s="61" t="s">
        <v>741</v>
      </c>
      <c r="B702" s="14">
        <v>43509</v>
      </c>
      <c r="C702" s="13">
        <v>136</v>
      </c>
      <c r="D702" s="13" t="s">
        <v>3192</v>
      </c>
      <c r="E702" s="13" t="s">
        <v>434</v>
      </c>
      <c r="F702" s="37">
        <v>165739.92000000001</v>
      </c>
      <c r="G702" s="29" t="s">
        <v>4019</v>
      </c>
      <c r="H702" s="14">
        <v>43507</v>
      </c>
      <c r="I702" s="4" t="s">
        <v>4020</v>
      </c>
      <c r="J702" s="128"/>
    </row>
    <row r="703" spans="1:11" hidden="1" x14ac:dyDescent="0.25">
      <c r="A703" s="61" t="s">
        <v>741</v>
      </c>
      <c r="B703" s="14">
        <v>43509</v>
      </c>
      <c r="C703" s="13">
        <v>137</v>
      </c>
      <c r="D703" s="13" t="s">
        <v>4021</v>
      </c>
      <c r="E703" s="13" t="s">
        <v>434</v>
      </c>
      <c r="F703" s="37">
        <v>3500</v>
      </c>
      <c r="G703" s="29" t="s">
        <v>199</v>
      </c>
      <c r="H703" s="14">
        <v>43507</v>
      </c>
      <c r="I703" s="4" t="s">
        <v>4022</v>
      </c>
      <c r="J703" s="128"/>
    </row>
    <row r="704" spans="1:11" hidden="1" x14ac:dyDescent="0.25">
      <c r="A704" s="61" t="s">
        <v>741</v>
      </c>
      <c r="B704" s="14">
        <v>43509</v>
      </c>
      <c r="C704" s="13">
        <v>138</v>
      </c>
      <c r="D704" s="13" t="s">
        <v>4023</v>
      </c>
      <c r="E704" s="13" t="s">
        <v>434</v>
      </c>
      <c r="F704" s="37">
        <v>2400</v>
      </c>
      <c r="G704" s="29" t="s">
        <v>1389</v>
      </c>
      <c r="H704" s="14">
        <v>43503</v>
      </c>
      <c r="I704" s="4" t="s">
        <v>4024</v>
      </c>
      <c r="J704" s="128"/>
    </row>
    <row r="705" spans="1:12" hidden="1" x14ac:dyDescent="0.25">
      <c r="A705" s="61" t="s">
        <v>741</v>
      </c>
      <c r="B705" s="14">
        <v>43509</v>
      </c>
      <c r="C705" s="13">
        <v>139</v>
      </c>
      <c r="D705" s="13" t="s">
        <v>4027</v>
      </c>
      <c r="E705" s="13" t="s">
        <v>434</v>
      </c>
      <c r="F705" s="37">
        <v>5025.63</v>
      </c>
      <c r="G705" s="29" t="s">
        <v>859</v>
      </c>
      <c r="H705" s="14">
        <v>43504</v>
      </c>
      <c r="I705" s="4" t="s">
        <v>4028</v>
      </c>
      <c r="J705" s="128"/>
    </row>
    <row r="706" spans="1:12" ht="13.8" hidden="1" customHeight="1" x14ac:dyDescent="0.25">
      <c r="A706" s="32" t="s">
        <v>261</v>
      </c>
      <c r="B706" s="14">
        <v>43509</v>
      </c>
      <c r="C706" s="13">
        <v>266</v>
      </c>
      <c r="D706" s="32" t="s">
        <v>272</v>
      </c>
      <c r="E706" s="32" t="s">
        <v>808</v>
      </c>
      <c r="F706" s="4">
        <v>17686654.349999994</v>
      </c>
      <c r="G706" s="69" t="s">
        <v>1027</v>
      </c>
      <c r="H706" s="14"/>
      <c r="I706" s="84" t="s">
        <v>273</v>
      </c>
      <c r="K706" s="62"/>
    </row>
    <row r="707" spans="1:12" ht="13.8" hidden="1" customHeight="1" x14ac:dyDescent="0.25">
      <c r="A707" s="32" t="s">
        <v>188</v>
      </c>
      <c r="B707" s="14">
        <v>43509</v>
      </c>
      <c r="C707" s="13">
        <v>267</v>
      </c>
      <c r="D707" s="32" t="s">
        <v>272</v>
      </c>
      <c r="E707" s="32" t="s">
        <v>808</v>
      </c>
      <c r="F707" s="4">
        <v>58320</v>
      </c>
      <c r="G707" s="69" t="s">
        <v>1770</v>
      </c>
      <c r="H707" s="14"/>
      <c r="I707" s="84" t="s">
        <v>1771</v>
      </c>
      <c r="K707" s="62"/>
    </row>
    <row r="708" spans="1:12" s="97" customFormat="1" hidden="1" x14ac:dyDescent="0.25">
      <c r="A708" s="61" t="s">
        <v>1148</v>
      </c>
      <c r="B708" s="14">
        <v>43509</v>
      </c>
      <c r="C708" s="13">
        <v>268</v>
      </c>
      <c r="D708" s="13" t="s">
        <v>257</v>
      </c>
      <c r="E708" s="13" t="s">
        <v>808</v>
      </c>
      <c r="F708" s="37">
        <v>898238.75</v>
      </c>
      <c r="G708" s="210" t="s">
        <v>2716</v>
      </c>
      <c r="H708" s="211">
        <v>43455</v>
      </c>
      <c r="I708" s="4" t="s">
        <v>2717</v>
      </c>
      <c r="J708" s="133"/>
      <c r="K708" s="22"/>
      <c r="L708" s="134"/>
    </row>
    <row r="709" spans="1:12" s="97" customFormat="1" hidden="1" x14ac:dyDescent="0.25">
      <c r="A709" s="32" t="s">
        <v>1148</v>
      </c>
      <c r="B709" s="14">
        <v>43509</v>
      </c>
      <c r="C709" s="13">
        <v>269</v>
      </c>
      <c r="D709" s="13" t="s">
        <v>539</v>
      </c>
      <c r="E709" s="13" t="s">
        <v>808</v>
      </c>
      <c r="F709" s="4">
        <v>725725</v>
      </c>
      <c r="G709" s="28" t="s">
        <v>152</v>
      </c>
      <c r="H709" s="14">
        <v>43483</v>
      </c>
      <c r="I709" s="4" t="s">
        <v>1349</v>
      </c>
      <c r="J709" s="133"/>
      <c r="K709" s="22"/>
      <c r="L709" s="134"/>
    </row>
    <row r="710" spans="1:12" s="97" customFormat="1" hidden="1" x14ac:dyDescent="0.25">
      <c r="A710" s="13" t="s">
        <v>1148</v>
      </c>
      <c r="B710" s="14">
        <v>43509</v>
      </c>
      <c r="C710" s="13">
        <v>270</v>
      </c>
      <c r="D710" s="13" t="s">
        <v>254</v>
      </c>
      <c r="E710" s="13" t="s">
        <v>808</v>
      </c>
      <c r="F710" s="37">
        <v>774000</v>
      </c>
      <c r="G710" s="29" t="s">
        <v>3425</v>
      </c>
      <c r="H710" s="14">
        <v>43481</v>
      </c>
      <c r="I710" s="4" t="s">
        <v>2722</v>
      </c>
      <c r="J710" s="133"/>
      <c r="K710" s="22"/>
      <c r="L710" s="134"/>
    </row>
    <row r="711" spans="1:12" s="97" customFormat="1" hidden="1" x14ac:dyDescent="0.25">
      <c r="A711" s="32" t="s">
        <v>1149</v>
      </c>
      <c r="B711" s="14">
        <v>43509</v>
      </c>
      <c r="C711" s="13">
        <v>271</v>
      </c>
      <c r="D711" s="13" t="s">
        <v>589</v>
      </c>
      <c r="E711" s="13" t="s">
        <v>808</v>
      </c>
      <c r="F711" s="4">
        <v>87870</v>
      </c>
      <c r="G711" s="28" t="s">
        <v>725</v>
      </c>
      <c r="H711" s="14">
        <v>43479</v>
      </c>
      <c r="I711" s="4" t="s">
        <v>900</v>
      </c>
      <c r="J711" s="133"/>
      <c r="K711" s="22"/>
      <c r="L711" s="134"/>
    </row>
    <row r="712" spans="1:12" s="97" customFormat="1" hidden="1" x14ac:dyDescent="0.25">
      <c r="A712" s="61" t="s">
        <v>1147</v>
      </c>
      <c r="B712" s="14">
        <v>43509</v>
      </c>
      <c r="C712" s="13">
        <v>271</v>
      </c>
      <c r="D712" s="13" t="s">
        <v>589</v>
      </c>
      <c r="E712" s="13" t="s">
        <v>808</v>
      </c>
      <c r="F712" s="37">
        <v>88305</v>
      </c>
      <c r="G712" s="210" t="s">
        <v>161</v>
      </c>
      <c r="H712" s="211">
        <v>43479</v>
      </c>
      <c r="I712" s="4" t="s">
        <v>900</v>
      </c>
      <c r="J712" s="133"/>
      <c r="K712" s="22"/>
      <c r="L712" s="134"/>
    </row>
    <row r="713" spans="1:12" s="97" customFormat="1" hidden="1" x14ac:dyDescent="0.25">
      <c r="A713" s="13" t="s">
        <v>1148</v>
      </c>
      <c r="B713" s="14">
        <v>43509</v>
      </c>
      <c r="C713" s="13">
        <v>271</v>
      </c>
      <c r="D713" s="13" t="s">
        <v>589</v>
      </c>
      <c r="E713" s="13" t="s">
        <v>808</v>
      </c>
      <c r="F713" s="37">
        <v>777165</v>
      </c>
      <c r="G713" s="29" t="s">
        <v>3426</v>
      </c>
      <c r="H713" s="14">
        <v>43483</v>
      </c>
      <c r="I713" s="4" t="s">
        <v>717</v>
      </c>
      <c r="J713" s="133"/>
      <c r="K713" s="22"/>
      <c r="L713" s="134"/>
    </row>
    <row r="714" spans="1:12" s="97" customFormat="1" hidden="1" x14ac:dyDescent="0.25">
      <c r="A714" s="61" t="s">
        <v>1148</v>
      </c>
      <c r="B714" s="14">
        <v>43509</v>
      </c>
      <c r="C714" s="13">
        <v>271</v>
      </c>
      <c r="D714" s="13" t="s">
        <v>589</v>
      </c>
      <c r="E714" s="13" t="s">
        <v>808</v>
      </c>
      <c r="F714" s="37">
        <v>758303</v>
      </c>
      <c r="G714" s="29" t="s">
        <v>803</v>
      </c>
      <c r="H714" s="14">
        <v>43483</v>
      </c>
      <c r="I714" s="4" t="s">
        <v>765</v>
      </c>
      <c r="J714" s="133"/>
      <c r="K714" s="22"/>
      <c r="L714" s="134"/>
    </row>
    <row r="715" spans="1:12" s="97" customFormat="1" hidden="1" x14ac:dyDescent="0.25">
      <c r="A715" s="61" t="s">
        <v>1148</v>
      </c>
      <c r="B715" s="14">
        <v>43509</v>
      </c>
      <c r="C715" s="13">
        <v>271</v>
      </c>
      <c r="D715" s="13" t="s">
        <v>589</v>
      </c>
      <c r="E715" s="13" t="s">
        <v>808</v>
      </c>
      <c r="F715" s="37">
        <v>750520</v>
      </c>
      <c r="G715" s="29" t="s">
        <v>3427</v>
      </c>
      <c r="H715" s="14">
        <v>43483</v>
      </c>
      <c r="I715" s="4" t="s">
        <v>3428</v>
      </c>
      <c r="J715" s="133"/>
      <c r="K715" s="22"/>
      <c r="L715" s="134"/>
    </row>
    <row r="716" spans="1:12" s="97" customFormat="1" hidden="1" x14ac:dyDescent="0.25">
      <c r="A716" s="61" t="s">
        <v>1148</v>
      </c>
      <c r="B716" s="14">
        <v>43509</v>
      </c>
      <c r="C716" s="13">
        <v>272</v>
      </c>
      <c r="D716" s="13" t="s">
        <v>243</v>
      </c>
      <c r="E716" s="13" t="s">
        <v>808</v>
      </c>
      <c r="F716" s="37">
        <v>888087.6</v>
      </c>
      <c r="G716" s="29" t="s">
        <v>1158</v>
      </c>
      <c r="H716" s="14">
        <v>43479</v>
      </c>
      <c r="I716" s="4" t="s">
        <v>1349</v>
      </c>
      <c r="J716" s="133"/>
      <c r="K716" s="22"/>
      <c r="L716" s="134"/>
    </row>
    <row r="717" spans="1:12" s="97" customFormat="1" hidden="1" x14ac:dyDescent="0.25">
      <c r="A717" s="61" t="s">
        <v>1147</v>
      </c>
      <c r="B717" s="14">
        <v>43509</v>
      </c>
      <c r="C717" s="13">
        <v>272</v>
      </c>
      <c r="D717" s="13" t="s">
        <v>243</v>
      </c>
      <c r="E717" s="13" t="s">
        <v>808</v>
      </c>
      <c r="F717" s="37">
        <v>821311.2</v>
      </c>
      <c r="G717" s="29" t="s">
        <v>4</v>
      </c>
      <c r="H717" s="14">
        <v>43483</v>
      </c>
      <c r="I717" s="4" t="s">
        <v>3429</v>
      </c>
      <c r="J717" s="133"/>
      <c r="K717" s="22"/>
      <c r="L717" s="134"/>
    </row>
    <row r="718" spans="1:12" s="97" customFormat="1" hidden="1" x14ac:dyDescent="0.25">
      <c r="A718" s="61" t="s">
        <v>1148</v>
      </c>
      <c r="B718" s="14">
        <v>43509</v>
      </c>
      <c r="C718" s="13">
        <v>273</v>
      </c>
      <c r="D718" s="13" t="s">
        <v>1353</v>
      </c>
      <c r="E718" s="13" t="s">
        <v>808</v>
      </c>
      <c r="F718" s="37">
        <v>23562</v>
      </c>
      <c r="G718" s="29" t="s">
        <v>1605</v>
      </c>
      <c r="H718" s="14">
        <v>43490</v>
      </c>
      <c r="I718" s="4" t="s">
        <v>1497</v>
      </c>
      <c r="J718" s="133"/>
      <c r="K718" s="22"/>
      <c r="L718" s="134"/>
    </row>
    <row r="719" spans="1:12" s="129" customFormat="1" hidden="1" x14ac:dyDescent="0.25">
      <c r="A719" s="13" t="s">
        <v>1316</v>
      </c>
      <c r="B719" s="14">
        <v>43509</v>
      </c>
      <c r="C719" s="28" t="s">
        <v>4045</v>
      </c>
      <c r="D719" s="13" t="s">
        <v>1757</v>
      </c>
      <c r="E719" s="13" t="s">
        <v>808</v>
      </c>
      <c r="F719" s="37">
        <f>635481-200000*2</f>
        <v>235481</v>
      </c>
      <c r="G719" s="28" t="s">
        <v>3335</v>
      </c>
      <c r="H719" s="14">
        <v>43480</v>
      </c>
      <c r="I719" s="4" t="s">
        <v>3336</v>
      </c>
      <c r="J719" s="133"/>
      <c r="K719" s="275"/>
    </row>
    <row r="720" spans="1:12" s="97" customFormat="1" hidden="1" x14ac:dyDescent="0.25">
      <c r="A720" s="61" t="s">
        <v>659</v>
      </c>
      <c r="B720" s="14">
        <v>43509</v>
      </c>
      <c r="C720" s="13">
        <v>275</v>
      </c>
      <c r="D720" s="13" t="s">
        <v>3438</v>
      </c>
      <c r="E720" s="13" t="s">
        <v>808</v>
      </c>
      <c r="F720" s="37">
        <v>36900</v>
      </c>
      <c r="G720" s="29" t="s">
        <v>3104</v>
      </c>
      <c r="H720" s="14">
        <v>43480</v>
      </c>
      <c r="I720" s="4" t="s">
        <v>3439</v>
      </c>
      <c r="J720" s="133"/>
      <c r="K720" s="22"/>
      <c r="L720" s="134"/>
    </row>
    <row r="721" spans="1:19" s="62" customFormat="1" ht="15" hidden="1" customHeight="1" x14ac:dyDescent="0.25">
      <c r="A721" s="13" t="s">
        <v>1316</v>
      </c>
      <c r="B721" s="14">
        <v>43509</v>
      </c>
      <c r="C721" s="28" t="s">
        <v>4046</v>
      </c>
      <c r="D721" s="13" t="s">
        <v>1555</v>
      </c>
      <c r="E721" s="32" t="s">
        <v>808</v>
      </c>
      <c r="F721" s="37">
        <v>18840</v>
      </c>
      <c r="G721" s="29" t="s">
        <v>4014</v>
      </c>
      <c r="H721" s="14">
        <v>43496</v>
      </c>
      <c r="I721" s="4" t="s">
        <v>118</v>
      </c>
      <c r="J721" s="71" t="s">
        <v>721</v>
      </c>
      <c r="O721" s="35"/>
      <c r="P721" s="35"/>
      <c r="Q721" s="35"/>
      <c r="R721" s="35"/>
      <c r="S721" s="35"/>
    </row>
    <row r="722" spans="1:19" hidden="1" x14ac:dyDescent="0.25">
      <c r="A722" s="13" t="s">
        <v>1147</v>
      </c>
      <c r="B722" s="14">
        <v>43509</v>
      </c>
      <c r="C722" s="13">
        <v>277</v>
      </c>
      <c r="D722" s="13" t="s">
        <v>1935</v>
      </c>
      <c r="E722" s="13" t="s">
        <v>808</v>
      </c>
      <c r="F722" s="37">
        <v>177000</v>
      </c>
      <c r="G722" s="69" t="s">
        <v>2321</v>
      </c>
      <c r="H722" s="14"/>
      <c r="I722" s="4" t="s">
        <v>2318</v>
      </c>
      <c r="J722" s="169"/>
    </row>
    <row r="723" spans="1:19" hidden="1" x14ac:dyDescent="0.25">
      <c r="A723" s="13" t="s">
        <v>1149</v>
      </c>
      <c r="B723" s="14">
        <v>43509</v>
      </c>
      <c r="C723" s="13">
        <v>277</v>
      </c>
      <c r="D723" s="13" t="s">
        <v>1935</v>
      </c>
      <c r="E723" s="13" t="s">
        <v>808</v>
      </c>
      <c r="F723" s="37">
        <v>403000</v>
      </c>
      <c r="G723" s="69" t="s">
        <v>2321</v>
      </c>
      <c r="H723" s="14"/>
      <c r="I723" s="4" t="s">
        <v>2318</v>
      </c>
      <c r="J723" s="169"/>
    </row>
    <row r="724" spans="1:19" hidden="1" x14ac:dyDescent="0.25">
      <c r="A724" s="13" t="s">
        <v>1147</v>
      </c>
      <c r="B724" s="14">
        <v>43509</v>
      </c>
      <c r="C724" s="13">
        <v>278</v>
      </c>
      <c r="D724" s="13" t="s">
        <v>1935</v>
      </c>
      <c r="E724" s="13" t="s">
        <v>808</v>
      </c>
      <c r="F724" s="37">
        <v>806000</v>
      </c>
      <c r="G724" s="69" t="s">
        <v>2321</v>
      </c>
      <c r="H724" s="14"/>
      <c r="I724" s="4" t="s">
        <v>2318</v>
      </c>
      <c r="J724" s="169"/>
    </row>
    <row r="725" spans="1:19" hidden="1" x14ac:dyDescent="0.25">
      <c r="A725" s="13" t="s">
        <v>1149</v>
      </c>
      <c r="B725" s="14">
        <v>43509</v>
      </c>
      <c r="C725" s="13">
        <v>278</v>
      </c>
      <c r="D725" s="13" t="s">
        <v>1935</v>
      </c>
      <c r="E725" s="13" t="s">
        <v>808</v>
      </c>
      <c r="F725" s="37">
        <v>114000</v>
      </c>
      <c r="G725" s="69" t="s">
        <v>2321</v>
      </c>
      <c r="H725" s="14"/>
      <c r="I725" s="4" t="s">
        <v>2318</v>
      </c>
      <c r="J725" s="169"/>
    </row>
    <row r="726" spans="1:19" hidden="1" x14ac:dyDescent="0.25">
      <c r="A726" s="61" t="s">
        <v>659</v>
      </c>
      <c r="B726" s="14">
        <v>43509</v>
      </c>
      <c r="C726" s="13">
        <v>279</v>
      </c>
      <c r="D726" s="13" t="s">
        <v>1513</v>
      </c>
      <c r="E726" s="13" t="s">
        <v>808</v>
      </c>
      <c r="F726" s="37">
        <v>149700</v>
      </c>
      <c r="G726" s="210" t="s">
        <v>3011</v>
      </c>
      <c r="H726" s="211">
        <v>43475</v>
      </c>
      <c r="I726" s="4" t="s">
        <v>1237</v>
      </c>
      <c r="J726" s="128"/>
    </row>
    <row r="727" spans="1:19" hidden="1" x14ac:dyDescent="0.25">
      <c r="A727" s="61" t="s">
        <v>659</v>
      </c>
      <c r="B727" s="14">
        <v>43509</v>
      </c>
      <c r="C727" s="13">
        <v>279</v>
      </c>
      <c r="D727" s="13" t="s">
        <v>1513</v>
      </c>
      <c r="E727" s="13" t="s">
        <v>808</v>
      </c>
      <c r="F727" s="37">
        <v>149700</v>
      </c>
      <c r="G727" s="210" t="s">
        <v>3236</v>
      </c>
      <c r="H727" s="211">
        <v>43486</v>
      </c>
      <c r="I727" s="4" t="s">
        <v>1237</v>
      </c>
      <c r="J727" s="128"/>
    </row>
    <row r="728" spans="1:19" hidden="1" x14ac:dyDescent="0.25">
      <c r="A728" s="61" t="s">
        <v>659</v>
      </c>
      <c r="B728" s="14">
        <v>43509</v>
      </c>
      <c r="C728" s="13">
        <v>279</v>
      </c>
      <c r="D728" s="13" t="s">
        <v>1513</v>
      </c>
      <c r="E728" s="13" t="s">
        <v>808</v>
      </c>
      <c r="F728" s="37">
        <v>49900</v>
      </c>
      <c r="G728" s="210" t="s">
        <v>2961</v>
      </c>
      <c r="H728" s="211">
        <v>43488</v>
      </c>
      <c r="I728" s="4" t="s">
        <v>319</v>
      </c>
      <c r="J728" s="128"/>
    </row>
    <row r="729" spans="1:19" hidden="1" x14ac:dyDescent="0.25">
      <c r="A729" s="61" t="s">
        <v>659</v>
      </c>
      <c r="B729" s="14">
        <v>43509</v>
      </c>
      <c r="C729" s="13">
        <v>280</v>
      </c>
      <c r="D729" s="13" t="s">
        <v>381</v>
      </c>
      <c r="E729" s="13" t="s">
        <v>808</v>
      </c>
      <c r="F729" s="37">
        <v>16300</v>
      </c>
      <c r="G729" s="29" t="s">
        <v>2893</v>
      </c>
      <c r="H729" s="14">
        <v>43479</v>
      </c>
      <c r="I729" s="4" t="s">
        <v>441</v>
      </c>
      <c r="J729" s="128"/>
    </row>
    <row r="730" spans="1:19" hidden="1" x14ac:dyDescent="0.25">
      <c r="A730" s="13" t="s">
        <v>1148</v>
      </c>
      <c r="B730" s="14">
        <v>43509</v>
      </c>
      <c r="C730" s="13">
        <v>281</v>
      </c>
      <c r="D730" s="13" t="s">
        <v>447</v>
      </c>
      <c r="E730" s="13" t="s">
        <v>808</v>
      </c>
      <c r="F730" s="4">
        <v>245000</v>
      </c>
      <c r="G730" s="28" t="s">
        <v>2955</v>
      </c>
      <c r="H730" s="14">
        <v>43483</v>
      </c>
      <c r="I730" s="4" t="s">
        <v>1315</v>
      </c>
      <c r="J730" s="128"/>
    </row>
    <row r="731" spans="1:19" hidden="1" x14ac:dyDescent="0.25">
      <c r="A731" s="61" t="s">
        <v>8</v>
      </c>
      <c r="B731" s="14">
        <v>43509</v>
      </c>
      <c r="C731" s="13">
        <v>282</v>
      </c>
      <c r="D731" s="13" t="s">
        <v>944</v>
      </c>
      <c r="E731" s="13" t="s">
        <v>808</v>
      </c>
      <c r="F731" s="37">
        <v>18000</v>
      </c>
      <c r="G731" s="29" t="s">
        <v>2256</v>
      </c>
      <c r="H731" s="14">
        <v>43431</v>
      </c>
      <c r="I731" s="4" t="s">
        <v>402</v>
      </c>
    </row>
    <row r="732" spans="1:19" hidden="1" x14ac:dyDescent="0.25">
      <c r="A732" s="61" t="s">
        <v>1149</v>
      </c>
      <c r="B732" s="14">
        <v>43509</v>
      </c>
      <c r="C732" s="13">
        <v>282</v>
      </c>
      <c r="D732" s="13" t="s">
        <v>944</v>
      </c>
      <c r="E732" s="13" t="s">
        <v>808</v>
      </c>
      <c r="F732" s="37">
        <v>13500</v>
      </c>
      <c r="G732" s="29" t="s">
        <v>2367</v>
      </c>
      <c r="H732" s="14">
        <v>43440</v>
      </c>
      <c r="I732" s="4" t="s">
        <v>337</v>
      </c>
    </row>
    <row r="733" spans="1:19" hidden="1" x14ac:dyDescent="0.25">
      <c r="A733" s="61" t="s">
        <v>8</v>
      </c>
      <c r="B733" s="14">
        <v>43509</v>
      </c>
      <c r="C733" s="13">
        <v>282</v>
      </c>
      <c r="D733" s="13" t="s">
        <v>944</v>
      </c>
      <c r="E733" s="13" t="s">
        <v>808</v>
      </c>
      <c r="F733" s="37">
        <v>22000</v>
      </c>
      <c r="G733" s="29" t="s">
        <v>3116</v>
      </c>
      <c r="H733" s="14">
        <v>43461</v>
      </c>
      <c r="I733" s="4" t="s">
        <v>1375</v>
      </c>
    </row>
    <row r="734" spans="1:19" hidden="1" x14ac:dyDescent="0.25">
      <c r="A734" s="61" t="s">
        <v>2320</v>
      </c>
      <c r="B734" s="14">
        <v>43509</v>
      </c>
      <c r="C734" s="13">
        <v>283</v>
      </c>
      <c r="D734" s="13" t="s">
        <v>3720</v>
      </c>
      <c r="E734" s="13" t="s">
        <v>808</v>
      </c>
      <c r="F734" s="37">
        <v>369600</v>
      </c>
      <c r="G734" s="29" t="s">
        <v>2893</v>
      </c>
      <c r="H734" s="14">
        <v>43489</v>
      </c>
      <c r="I734" s="4" t="s">
        <v>263</v>
      </c>
      <c r="J734" s="22" t="s">
        <v>3721</v>
      </c>
    </row>
    <row r="735" spans="1:19" hidden="1" x14ac:dyDescent="0.25">
      <c r="A735" s="13" t="s">
        <v>1316</v>
      </c>
      <c r="B735" s="14">
        <v>43509</v>
      </c>
      <c r="C735" s="13">
        <v>284</v>
      </c>
      <c r="D735" s="13" t="s">
        <v>1395</v>
      </c>
      <c r="E735" s="13" t="s">
        <v>808</v>
      </c>
      <c r="F735" s="4">
        <v>30400</v>
      </c>
      <c r="G735" s="28" t="s">
        <v>3843</v>
      </c>
      <c r="H735" s="14">
        <v>43496</v>
      </c>
      <c r="I735" s="4" t="s">
        <v>3844</v>
      </c>
    </row>
    <row r="736" spans="1:19" hidden="1" x14ac:dyDescent="0.25">
      <c r="A736" s="32" t="s">
        <v>1149</v>
      </c>
      <c r="B736" s="14">
        <v>43509</v>
      </c>
      <c r="C736" s="13">
        <v>284</v>
      </c>
      <c r="D736" s="13" t="s">
        <v>1395</v>
      </c>
      <c r="E736" s="13" t="s">
        <v>808</v>
      </c>
      <c r="F736" s="4">
        <v>45600</v>
      </c>
      <c r="G736" s="28" t="s">
        <v>3845</v>
      </c>
      <c r="H736" s="14">
        <v>43500</v>
      </c>
      <c r="I736" s="4" t="s">
        <v>3846</v>
      </c>
    </row>
    <row r="737" spans="1:17" hidden="1" x14ac:dyDescent="0.25">
      <c r="A737" s="61" t="s">
        <v>659</v>
      </c>
      <c r="B737" s="14">
        <v>43509</v>
      </c>
      <c r="C737" s="13">
        <v>284</v>
      </c>
      <c r="D737" s="13" t="s">
        <v>1395</v>
      </c>
      <c r="E737" s="13" t="s">
        <v>808</v>
      </c>
      <c r="F737" s="4">
        <v>41800</v>
      </c>
      <c r="G737" s="28" t="s">
        <v>1564</v>
      </c>
      <c r="H737" s="14">
        <v>43500</v>
      </c>
      <c r="I737" s="4" t="s">
        <v>3847</v>
      </c>
    </row>
    <row r="738" spans="1:17" ht="27.6" hidden="1" x14ac:dyDescent="0.25">
      <c r="A738" s="61" t="s">
        <v>1806</v>
      </c>
      <c r="B738" s="14">
        <v>43509</v>
      </c>
      <c r="C738" s="13">
        <v>285</v>
      </c>
      <c r="D738" s="13" t="s">
        <v>80</v>
      </c>
      <c r="E738" s="13" t="s">
        <v>808</v>
      </c>
      <c r="F738" s="37">
        <f>302250-200000</f>
        <v>102250</v>
      </c>
      <c r="G738" s="29" t="s">
        <v>2808</v>
      </c>
      <c r="H738" s="14">
        <v>43463</v>
      </c>
      <c r="I738" s="4" t="s">
        <v>2157</v>
      </c>
    </row>
    <row r="739" spans="1:17" hidden="1" x14ac:dyDescent="0.25">
      <c r="A739" s="32" t="s">
        <v>1316</v>
      </c>
      <c r="B739" s="14">
        <v>43509</v>
      </c>
      <c r="C739" s="13">
        <v>286</v>
      </c>
      <c r="D739" s="13" t="s">
        <v>29</v>
      </c>
      <c r="E739" s="13" t="s">
        <v>808</v>
      </c>
      <c r="F739" s="4">
        <v>38400</v>
      </c>
      <c r="G739" s="28" t="s">
        <v>1191</v>
      </c>
      <c r="H739" s="14">
        <v>43474</v>
      </c>
      <c r="I739" s="4" t="s">
        <v>87</v>
      </c>
    </row>
    <row r="740" spans="1:17" hidden="1" x14ac:dyDescent="0.25">
      <c r="A740" s="32" t="s">
        <v>1149</v>
      </c>
      <c r="B740" s="14">
        <v>43509</v>
      </c>
      <c r="C740" s="13">
        <v>286</v>
      </c>
      <c r="D740" s="13" t="s">
        <v>29</v>
      </c>
      <c r="E740" s="13" t="s">
        <v>808</v>
      </c>
      <c r="F740" s="4">
        <v>13500</v>
      </c>
      <c r="G740" s="28" t="s">
        <v>199</v>
      </c>
      <c r="H740" s="14">
        <v>43479</v>
      </c>
      <c r="I740" s="4" t="s">
        <v>419</v>
      </c>
    </row>
    <row r="741" spans="1:17" hidden="1" x14ac:dyDescent="0.25">
      <c r="A741" s="14" t="s">
        <v>1147</v>
      </c>
      <c r="B741" s="14">
        <v>43509</v>
      </c>
      <c r="C741" s="13">
        <v>287</v>
      </c>
      <c r="D741" s="13" t="s">
        <v>692</v>
      </c>
      <c r="E741" s="13" t="s">
        <v>808</v>
      </c>
      <c r="F741" s="37">
        <v>119812.5</v>
      </c>
      <c r="G741" s="29" t="s">
        <v>1543</v>
      </c>
      <c r="H741" s="14">
        <v>43436</v>
      </c>
      <c r="I741" s="4" t="s">
        <v>2027</v>
      </c>
    </row>
    <row r="742" spans="1:17" hidden="1" x14ac:dyDescent="0.25">
      <c r="A742" s="13" t="s">
        <v>103</v>
      </c>
      <c r="B742" s="14">
        <v>43509</v>
      </c>
      <c r="C742" s="13">
        <v>264</v>
      </c>
      <c r="D742" s="13" t="s">
        <v>1156</v>
      </c>
      <c r="E742" s="13" t="s">
        <v>62</v>
      </c>
      <c r="F742" s="37">
        <v>397000</v>
      </c>
      <c r="G742" s="29" t="s">
        <v>3176</v>
      </c>
      <c r="H742" s="14">
        <v>43460</v>
      </c>
      <c r="I742" s="4" t="s">
        <v>3177</v>
      </c>
      <c r="J742" s="128"/>
    </row>
    <row r="743" spans="1:17" hidden="1" x14ac:dyDescent="0.25">
      <c r="A743" s="61" t="s">
        <v>103</v>
      </c>
      <c r="B743" s="14">
        <v>43509</v>
      </c>
      <c r="C743" s="13">
        <v>265</v>
      </c>
      <c r="D743" s="13" t="s">
        <v>307</v>
      </c>
      <c r="E743" s="13" t="s">
        <v>62</v>
      </c>
      <c r="F743" s="37">
        <v>327000</v>
      </c>
      <c r="G743" s="29" t="s">
        <v>729</v>
      </c>
      <c r="H743" s="14">
        <v>43479</v>
      </c>
      <c r="I743" s="4" t="s">
        <v>1781</v>
      </c>
      <c r="J743" s="128"/>
    </row>
    <row r="744" spans="1:17" s="2" customFormat="1" ht="27.6" hidden="1" x14ac:dyDescent="0.25">
      <c r="A744" s="13" t="s">
        <v>103</v>
      </c>
      <c r="B744" s="14">
        <v>43509</v>
      </c>
      <c r="C744" s="13">
        <v>266</v>
      </c>
      <c r="D744" s="13" t="s">
        <v>1943</v>
      </c>
      <c r="E744" s="13" t="s">
        <v>62</v>
      </c>
      <c r="F744" s="4">
        <v>9000</v>
      </c>
      <c r="G744" s="28" t="s">
        <v>3860</v>
      </c>
      <c r="H744" s="14">
        <v>43497</v>
      </c>
      <c r="I744" s="4" t="s">
        <v>3861</v>
      </c>
      <c r="J744" s="121"/>
      <c r="K744" s="5"/>
    </row>
    <row r="745" spans="1:17" hidden="1" x14ac:dyDescent="0.25">
      <c r="A745" s="61" t="s">
        <v>103</v>
      </c>
      <c r="B745" s="14">
        <v>43509</v>
      </c>
      <c r="C745" s="13">
        <v>267</v>
      </c>
      <c r="D745" s="13" t="s">
        <v>1353</v>
      </c>
      <c r="E745" s="13" t="s">
        <v>62</v>
      </c>
      <c r="F745" s="37">
        <v>925550</v>
      </c>
      <c r="G745" s="29" t="s">
        <v>502</v>
      </c>
      <c r="H745" s="14">
        <v>43507</v>
      </c>
      <c r="I745" s="4" t="s">
        <v>2067</v>
      </c>
      <c r="J745" s="128"/>
    </row>
    <row r="746" spans="1:17" hidden="1" x14ac:dyDescent="0.25">
      <c r="A746" s="61" t="s">
        <v>103</v>
      </c>
      <c r="B746" s="14">
        <v>43509</v>
      </c>
      <c r="C746" s="13">
        <v>268</v>
      </c>
      <c r="D746" s="13" t="s">
        <v>4025</v>
      </c>
      <c r="E746" s="13" t="s">
        <v>62</v>
      </c>
      <c r="F746" s="37">
        <v>27000</v>
      </c>
      <c r="G746" s="29" t="s">
        <v>3212</v>
      </c>
      <c r="H746" s="14">
        <v>43507</v>
      </c>
      <c r="I746" s="4" t="s">
        <v>4026</v>
      </c>
      <c r="J746" s="128"/>
    </row>
    <row r="747" spans="1:17" ht="13.8" hidden="1" customHeight="1" x14ac:dyDescent="0.25">
      <c r="A747" s="13" t="s">
        <v>1149</v>
      </c>
      <c r="B747" s="14">
        <v>43509</v>
      </c>
      <c r="C747" s="13">
        <v>269</v>
      </c>
      <c r="D747" s="13" t="s">
        <v>411</v>
      </c>
      <c r="E747" s="13" t="s">
        <v>62</v>
      </c>
      <c r="F747" s="37">
        <v>60000</v>
      </c>
      <c r="G747" s="29" t="s">
        <v>339</v>
      </c>
      <c r="H747" s="14">
        <v>43360</v>
      </c>
      <c r="I747" s="4" t="s">
        <v>819</v>
      </c>
      <c r="J747" s="71"/>
      <c r="K747" s="62"/>
      <c r="L747" s="62"/>
      <c r="M747" s="35"/>
      <c r="N747" s="35"/>
      <c r="O747" s="35"/>
      <c r="P747" s="35"/>
      <c r="Q747" s="35"/>
    </row>
    <row r="748" spans="1:17" hidden="1" x14ac:dyDescent="0.25">
      <c r="A748" s="13" t="s">
        <v>1148</v>
      </c>
      <c r="B748" s="14">
        <v>43509</v>
      </c>
      <c r="C748" s="13">
        <v>269</v>
      </c>
      <c r="D748" s="13" t="s">
        <v>411</v>
      </c>
      <c r="E748" s="13" t="s">
        <v>62</v>
      </c>
      <c r="F748" s="37">
        <v>54000</v>
      </c>
      <c r="G748" s="29" t="s">
        <v>11</v>
      </c>
      <c r="H748" s="14">
        <v>43360</v>
      </c>
      <c r="I748" s="4" t="s">
        <v>2790</v>
      </c>
      <c r="J748" s="71"/>
      <c r="K748" s="62"/>
      <c r="L748" s="62"/>
      <c r="M748" s="35"/>
      <c r="N748" s="35"/>
      <c r="O748" s="35"/>
      <c r="P748" s="35"/>
      <c r="Q748" s="35"/>
    </row>
    <row r="749" spans="1:17" ht="13.8" hidden="1" customHeight="1" x14ac:dyDescent="0.25">
      <c r="A749" s="13" t="s">
        <v>660</v>
      </c>
      <c r="B749" s="14">
        <v>43509</v>
      </c>
      <c r="C749" s="13">
        <v>269</v>
      </c>
      <c r="D749" s="13" t="s">
        <v>411</v>
      </c>
      <c r="E749" s="13" t="s">
        <v>62</v>
      </c>
      <c r="F749" s="37">
        <v>120000</v>
      </c>
      <c r="G749" s="29" t="s">
        <v>36</v>
      </c>
      <c r="H749" s="14">
        <v>43417</v>
      </c>
      <c r="I749" s="4" t="s">
        <v>819</v>
      </c>
      <c r="J749" s="71"/>
      <c r="K749" s="62"/>
      <c r="L749" s="62"/>
      <c r="M749" s="35"/>
      <c r="N749" s="35"/>
      <c r="O749" s="35"/>
      <c r="P749" s="35"/>
      <c r="Q749" s="35"/>
    </row>
    <row r="750" spans="1:17" ht="13.8" hidden="1" customHeight="1" x14ac:dyDescent="0.25">
      <c r="A750" s="13" t="s">
        <v>1148</v>
      </c>
      <c r="B750" s="14">
        <v>43509</v>
      </c>
      <c r="C750" s="13">
        <v>269</v>
      </c>
      <c r="D750" s="13" t="s">
        <v>411</v>
      </c>
      <c r="E750" s="13" t="s">
        <v>62</v>
      </c>
      <c r="F750" s="37">
        <v>180000</v>
      </c>
      <c r="G750" s="29" t="s">
        <v>67</v>
      </c>
      <c r="H750" s="14">
        <v>43418</v>
      </c>
      <c r="I750" s="4" t="s">
        <v>819</v>
      </c>
      <c r="J750" s="71"/>
      <c r="K750" s="62"/>
      <c r="L750" s="62"/>
      <c r="M750" s="35"/>
      <c r="N750" s="35"/>
      <c r="O750" s="35"/>
      <c r="P750" s="35"/>
      <c r="Q750" s="35"/>
    </row>
    <row r="751" spans="1:17" ht="13.8" hidden="1" customHeight="1" x14ac:dyDescent="0.25">
      <c r="A751" s="13" t="s">
        <v>660</v>
      </c>
      <c r="B751" s="14">
        <v>43509</v>
      </c>
      <c r="C751" s="13">
        <v>269</v>
      </c>
      <c r="D751" s="13" t="s">
        <v>411</v>
      </c>
      <c r="E751" s="13" t="s">
        <v>62</v>
      </c>
      <c r="F751" s="37">
        <v>120000</v>
      </c>
      <c r="G751" s="29" t="s">
        <v>170</v>
      </c>
      <c r="H751" s="14">
        <v>43438</v>
      </c>
      <c r="I751" s="4" t="s">
        <v>819</v>
      </c>
      <c r="J751" s="71"/>
      <c r="K751" s="62"/>
      <c r="L751" s="62"/>
      <c r="M751" s="35"/>
      <c r="N751" s="35"/>
      <c r="O751" s="35"/>
      <c r="P751" s="35"/>
      <c r="Q751" s="35"/>
    </row>
    <row r="752" spans="1:17" ht="13.8" hidden="1" customHeight="1" x14ac:dyDescent="0.25">
      <c r="A752" s="13" t="s">
        <v>660</v>
      </c>
      <c r="B752" s="14">
        <v>43509</v>
      </c>
      <c r="C752" s="13">
        <v>269</v>
      </c>
      <c r="D752" s="13" t="s">
        <v>411</v>
      </c>
      <c r="E752" s="13" t="s">
        <v>62</v>
      </c>
      <c r="F752" s="37">
        <v>22500</v>
      </c>
      <c r="G752" s="29" t="s">
        <v>1271</v>
      </c>
      <c r="H752" s="14">
        <v>43438</v>
      </c>
      <c r="I752" s="4" t="s">
        <v>2790</v>
      </c>
      <c r="J752" s="71"/>
      <c r="K752" s="62"/>
      <c r="L752" s="62"/>
      <c r="M752" s="35"/>
      <c r="N752" s="35"/>
      <c r="O752" s="35"/>
      <c r="P752" s="35"/>
      <c r="Q752" s="35"/>
    </row>
    <row r="753" spans="1:19" s="97" customFormat="1" hidden="1" x14ac:dyDescent="0.25">
      <c r="A753" s="13" t="s">
        <v>358</v>
      </c>
      <c r="B753" s="14">
        <v>43509</v>
      </c>
      <c r="C753" s="13">
        <v>270</v>
      </c>
      <c r="D753" s="13" t="s">
        <v>740</v>
      </c>
      <c r="E753" s="13" t="s">
        <v>62</v>
      </c>
      <c r="F753" s="37">
        <v>554500</v>
      </c>
      <c r="G753" s="29" t="s">
        <v>2128</v>
      </c>
      <c r="H753" s="14">
        <v>43382</v>
      </c>
      <c r="I753" s="4" t="s">
        <v>1332</v>
      </c>
      <c r="J753" s="133"/>
      <c r="K753" s="22"/>
      <c r="L753" s="134"/>
    </row>
    <row r="754" spans="1:19" s="97" customFormat="1" hidden="1" x14ac:dyDescent="0.25">
      <c r="A754" s="13" t="s">
        <v>442</v>
      </c>
      <c r="B754" s="14">
        <v>43509</v>
      </c>
      <c r="C754" s="13">
        <v>270</v>
      </c>
      <c r="D754" s="13" t="s">
        <v>740</v>
      </c>
      <c r="E754" s="13" t="s">
        <v>62</v>
      </c>
      <c r="F754" s="37">
        <v>228840</v>
      </c>
      <c r="G754" s="29" t="s">
        <v>2117</v>
      </c>
      <c r="H754" s="14">
        <v>43369</v>
      </c>
      <c r="I754" s="4" t="s">
        <v>1903</v>
      </c>
      <c r="J754" s="133"/>
      <c r="K754" s="22"/>
      <c r="L754" s="134"/>
    </row>
    <row r="755" spans="1:19" s="97" customFormat="1" hidden="1" x14ac:dyDescent="0.25">
      <c r="A755" s="61" t="s">
        <v>442</v>
      </c>
      <c r="B755" s="14">
        <v>43509</v>
      </c>
      <c r="C755" s="13">
        <v>270</v>
      </c>
      <c r="D755" s="13" t="s">
        <v>740</v>
      </c>
      <c r="E755" s="13" t="s">
        <v>62</v>
      </c>
      <c r="F755" s="37">
        <v>158200</v>
      </c>
      <c r="G755" s="210" t="s">
        <v>2126</v>
      </c>
      <c r="H755" s="211">
        <v>43381</v>
      </c>
      <c r="I755" s="4" t="s">
        <v>245</v>
      </c>
      <c r="J755" s="133"/>
      <c r="K755" s="22"/>
      <c r="L755" s="134"/>
    </row>
    <row r="756" spans="1:19" s="97" customFormat="1" hidden="1" x14ac:dyDescent="0.25">
      <c r="A756" s="61" t="s">
        <v>442</v>
      </c>
      <c r="B756" s="14">
        <v>43509</v>
      </c>
      <c r="C756" s="13">
        <v>270</v>
      </c>
      <c r="D756" s="13" t="s">
        <v>740</v>
      </c>
      <c r="E756" s="13" t="s">
        <v>62</v>
      </c>
      <c r="F756" s="37">
        <v>47200</v>
      </c>
      <c r="G756" s="210" t="s">
        <v>2131</v>
      </c>
      <c r="H756" s="211">
        <v>43398</v>
      </c>
      <c r="I756" s="4" t="s">
        <v>1106</v>
      </c>
      <c r="J756" s="133"/>
      <c r="K756" s="22"/>
      <c r="L756" s="134"/>
    </row>
    <row r="757" spans="1:19" s="62" customFormat="1" ht="15" hidden="1" customHeight="1" x14ac:dyDescent="0.25">
      <c r="A757" s="13" t="s">
        <v>358</v>
      </c>
      <c r="B757" s="14">
        <v>43509</v>
      </c>
      <c r="C757" s="28" t="s">
        <v>1452</v>
      </c>
      <c r="D757" s="13" t="s">
        <v>1555</v>
      </c>
      <c r="E757" s="32" t="s">
        <v>62</v>
      </c>
      <c r="F757" s="37">
        <v>14400</v>
      </c>
      <c r="G757" s="29" t="s">
        <v>3921</v>
      </c>
      <c r="H757" s="14">
        <v>43496</v>
      </c>
      <c r="I757" s="4" t="s">
        <v>118</v>
      </c>
      <c r="J757" s="71" t="s">
        <v>721</v>
      </c>
      <c r="O757" s="35"/>
      <c r="P757" s="35"/>
      <c r="Q757" s="35"/>
      <c r="R757" s="35"/>
      <c r="S757" s="35"/>
    </row>
    <row r="758" spans="1:19" s="97" customFormat="1" hidden="1" x14ac:dyDescent="0.25">
      <c r="A758" s="32" t="s">
        <v>442</v>
      </c>
      <c r="B758" s="14">
        <v>43509</v>
      </c>
      <c r="C758" s="13">
        <v>272</v>
      </c>
      <c r="D758" s="13" t="s">
        <v>100</v>
      </c>
      <c r="E758" s="13" t="s">
        <v>62</v>
      </c>
      <c r="F758" s="4">
        <f>360028.8-200000</f>
        <v>160028.79999999999</v>
      </c>
      <c r="G758" s="28" t="s">
        <v>1510</v>
      </c>
      <c r="H758" s="14">
        <v>43481</v>
      </c>
      <c r="I758" s="4" t="s">
        <v>572</v>
      </c>
      <c r="J758" s="133"/>
      <c r="K758" s="22"/>
      <c r="L758" s="134"/>
    </row>
    <row r="759" spans="1:19" s="97" customFormat="1" hidden="1" x14ac:dyDescent="0.25">
      <c r="A759" s="61" t="s">
        <v>91</v>
      </c>
      <c r="B759" s="14">
        <v>43509</v>
      </c>
      <c r="C759" s="13">
        <v>273</v>
      </c>
      <c r="D759" s="13" t="s">
        <v>734</v>
      </c>
      <c r="E759" s="13" t="s">
        <v>62</v>
      </c>
      <c r="F759" s="37">
        <v>4380</v>
      </c>
      <c r="G759" s="29" t="s">
        <v>3578</v>
      </c>
      <c r="H759" s="14">
        <v>43496</v>
      </c>
      <c r="I759" s="4" t="s">
        <v>985</v>
      </c>
      <c r="J759" s="133"/>
      <c r="K759" s="22"/>
      <c r="L759" s="134"/>
    </row>
    <row r="760" spans="1:19" s="97" customFormat="1" hidden="1" x14ac:dyDescent="0.25">
      <c r="A760" s="61" t="s">
        <v>92</v>
      </c>
      <c r="B760" s="14">
        <v>43509</v>
      </c>
      <c r="C760" s="13">
        <v>273</v>
      </c>
      <c r="D760" s="13" t="s">
        <v>734</v>
      </c>
      <c r="E760" s="13" t="s">
        <v>62</v>
      </c>
      <c r="F760" s="37">
        <v>6760</v>
      </c>
      <c r="G760" s="29" t="s">
        <v>3890</v>
      </c>
      <c r="H760" s="14">
        <v>43501</v>
      </c>
      <c r="I760" s="4" t="s">
        <v>985</v>
      </c>
      <c r="J760" s="133"/>
      <c r="K760" s="22"/>
      <c r="L760" s="134"/>
    </row>
    <row r="761" spans="1:19" hidden="1" x14ac:dyDescent="0.25">
      <c r="A761" s="61" t="s">
        <v>1566</v>
      </c>
      <c r="B761" s="14">
        <v>43509</v>
      </c>
      <c r="C761" s="13">
        <v>274</v>
      </c>
      <c r="D761" s="13" t="s">
        <v>515</v>
      </c>
      <c r="E761" s="13" t="s">
        <v>62</v>
      </c>
      <c r="F761" s="37">
        <f>549450-150000-100000-200000</f>
        <v>99450</v>
      </c>
      <c r="G761" s="29" t="s">
        <v>1146</v>
      </c>
      <c r="H761" s="14">
        <v>43449</v>
      </c>
      <c r="I761" s="4" t="s">
        <v>164</v>
      </c>
    </row>
    <row r="762" spans="1:19" hidden="1" x14ac:dyDescent="0.25">
      <c r="A762" s="32" t="s">
        <v>442</v>
      </c>
      <c r="B762" s="14">
        <v>43509</v>
      </c>
      <c r="C762" s="13">
        <v>275</v>
      </c>
      <c r="D762" s="13" t="s">
        <v>29</v>
      </c>
      <c r="E762" s="13" t="s">
        <v>62</v>
      </c>
      <c r="F762" s="4">
        <v>7200</v>
      </c>
      <c r="G762" s="28" t="s">
        <v>3153</v>
      </c>
      <c r="H762" s="14">
        <v>43451</v>
      </c>
      <c r="I762" s="4" t="s">
        <v>87</v>
      </c>
    </row>
    <row r="763" spans="1:19" hidden="1" x14ac:dyDescent="0.25">
      <c r="A763" s="13" t="s">
        <v>442</v>
      </c>
      <c r="B763" s="14">
        <v>43509</v>
      </c>
      <c r="C763" s="13">
        <v>275</v>
      </c>
      <c r="D763" s="13" t="s">
        <v>29</v>
      </c>
      <c r="E763" s="13" t="s">
        <v>62</v>
      </c>
      <c r="F763" s="4">
        <v>34800</v>
      </c>
      <c r="G763" s="28" t="s">
        <v>3158</v>
      </c>
      <c r="H763" s="14">
        <v>43459</v>
      </c>
      <c r="I763" s="4" t="s">
        <v>87</v>
      </c>
    </row>
    <row r="764" spans="1:19" hidden="1" x14ac:dyDescent="0.25">
      <c r="A764" s="61" t="s">
        <v>1566</v>
      </c>
      <c r="B764" s="14">
        <v>43509</v>
      </c>
      <c r="C764" s="13">
        <v>275</v>
      </c>
      <c r="D764" s="13" t="s">
        <v>29</v>
      </c>
      <c r="E764" s="13" t="s">
        <v>62</v>
      </c>
      <c r="F764" s="37">
        <v>178500</v>
      </c>
      <c r="G764" s="29" t="s">
        <v>3115</v>
      </c>
      <c r="H764" s="14">
        <v>43462</v>
      </c>
      <c r="I764" s="4" t="s">
        <v>95</v>
      </c>
    </row>
    <row r="765" spans="1:19" hidden="1" x14ac:dyDescent="0.25">
      <c r="A765" s="32" t="s">
        <v>92</v>
      </c>
      <c r="B765" s="14">
        <v>43509</v>
      </c>
      <c r="C765" s="13">
        <v>275</v>
      </c>
      <c r="D765" s="13" t="s">
        <v>29</v>
      </c>
      <c r="E765" s="13" t="s">
        <v>62</v>
      </c>
      <c r="F765" s="4">
        <v>206250</v>
      </c>
      <c r="G765" s="28" t="s">
        <v>3160</v>
      </c>
      <c r="H765" s="14">
        <v>43462</v>
      </c>
      <c r="I765" s="4" t="s">
        <v>511</v>
      </c>
    </row>
    <row r="766" spans="1:19" hidden="1" x14ac:dyDescent="0.25">
      <c r="A766" s="32" t="s">
        <v>442</v>
      </c>
      <c r="B766" s="14">
        <v>43509</v>
      </c>
      <c r="C766" s="13">
        <v>276</v>
      </c>
      <c r="D766" s="13" t="s">
        <v>692</v>
      </c>
      <c r="E766" s="13" t="s">
        <v>62</v>
      </c>
      <c r="F766" s="4">
        <v>143000</v>
      </c>
      <c r="G766" s="28" t="s">
        <v>1668</v>
      </c>
      <c r="H766" s="14">
        <v>43449</v>
      </c>
      <c r="I766" s="4" t="s">
        <v>419</v>
      </c>
    </row>
    <row r="767" spans="1:19" hidden="1" x14ac:dyDescent="0.25">
      <c r="A767" s="32" t="s">
        <v>442</v>
      </c>
      <c r="B767" s="14">
        <v>43509</v>
      </c>
      <c r="C767" s="13">
        <v>276</v>
      </c>
      <c r="D767" s="13" t="s">
        <v>692</v>
      </c>
      <c r="E767" s="13" t="s">
        <v>62</v>
      </c>
      <c r="F767" s="4">
        <v>66000</v>
      </c>
      <c r="G767" s="28" t="s">
        <v>2677</v>
      </c>
      <c r="H767" s="14">
        <v>43459</v>
      </c>
      <c r="I767" s="4" t="s">
        <v>419</v>
      </c>
    </row>
    <row r="768" spans="1:19" hidden="1" x14ac:dyDescent="0.25">
      <c r="A768" s="61" t="s">
        <v>442</v>
      </c>
      <c r="B768" s="14">
        <v>43509</v>
      </c>
      <c r="C768" s="13">
        <v>276</v>
      </c>
      <c r="D768" s="13" t="s">
        <v>692</v>
      </c>
      <c r="E768" s="13" t="s">
        <v>62</v>
      </c>
      <c r="F768" s="37">
        <v>66000</v>
      </c>
      <c r="G768" s="29" t="s">
        <v>3389</v>
      </c>
      <c r="H768" s="14">
        <v>43465</v>
      </c>
      <c r="I768" s="4" t="s">
        <v>419</v>
      </c>
    </row>
    <row r="769" spans="1:19" hidden="1" x14ac:dyDescent="0.25">
      <c r="A769" s="61" t="s">
        <v>358</v>
      </c>
      <c r="B769" s="14">
        <v>43509</v>
      </c>
      <c r="C769" s="13">
        <v>277</v>
      </c>
      <c r="D769" s="13" t="s">
        <v>2115</v>
      </c>
      <c r="E769" s="13" t="s">
        <v>62</v>
      </c>
      <c r="F769" s="37">
        <v>122550</v>
      </c>
      <c r="G769" s="29" t="s">
        <v>36</v>
      </c>
      <c r="H769" s="14">
        <v>43465</v>
      </c>
      <c r="I769" s="4" t="s">
        <v>1602</v>
      </c>
    </row>
    <row r="770" spans="1:19" s="62" customFormat="1" ht="13.8" hidden="1" customHeight="1" x14ac:dyDescent="0.25">
      <c r="A770" s="61" t="s">
        <v>151</v>
      </c>
      <c r="B770" s="14">
        <v>43509</v>
      </c>
      <c r="C770" s="13">
        <v>168</v>
      </c>
      <c r="D770" s="13" t="s">
        <v>592</v>
      </c>
      <c r="E770" s="13" t="s">
        <v>1121</v>
      </c>
      <c r="F770" s="37">
        <v>4366</v>
      </c>
      <c r="G770" s="29"/>
      <c r="H770" s="14"/>
      <c r="I770" s="4" t="s">
        <v>565</v>
      </c>
      <c r="J770" s="71" t="s">
        <v>721</v>
      </c>
      <c r="O770" s="35"/>
      <c r="P770" s="35"/>
      <c r="Q770" s="35"/>
      <c r="R770" s="35"/>
      <c r="S770" s="35"/>
    </row>
    <row r="771" spans="1:19" s="62" customFormat="1" ht="13.8" hidden="1" customHeight="1" x14ac:dyDescent="0.25">
      <c r="A771" s="13" t="s">
        <v>151</v>
      </c>
      <c r="B771" s="14">
        <v>43509</v>
      </c>
      <c r="C771" s="13">
        <v>169</v>
      </c>
      <c r="D771" s="13" t="s">
        <v>593</v>
      </c>
      <c r="E771" s="13" t="s">
        <v>1121</v>
      </c>
      <c r="F771" s="37">
        <v>1700</v>
      </c>
      <c r="G771" s="29"/>
      <c r="H771" s="14"/>
      <c r="I771" s="4" t="s">
        <v>594</v>
      </c>
      <c r="J771" s="22" t="s">
        <v>721</v>
      </c>
      <c r="O771" s="35"/>
      <c r="P771" s="35"/>
      <c r="Q771" s="35"/>
      <c r="R771" s="35"/>
      <c r="S771" s="35"/>
    </row>
    <row r="772" spans="1:19" s="62" customFormat="1" ht="15" hidden="1" customHeight="1" x14ac:dyDescent="0.25">
      <c r="A772" s="13" t="s">
        <v>794</v>
      </c>
      <c r="B772" s="126">
        <v>43509</v>
      </c>
      <c r="C772" s="13">
        <v>42</v>
      </c>
      <c r="D772" s="13" t="s">
        <v>760</v>
      </c>
      <c r="E772" s="13" t="s">
        <v>195</v>
      </c>
      <c r="F772" s="37">
        <v>8750</v>
      </c>
      <c r="G772" s="29" t="s">
        <v>4037</v>
      </c>
      <c r="H772" s="14">
        <v>43465</v>
      </c>
      <c r="I772" s="4" t="s">
        <v>780</v>
      </c>
      <c r="J772" s="71" t="s">
        <v>327</v>
      </c>
      <c r="O772" s="35"/>
      <c r="P772" s="35"/>
      <c r="Q772" s="35"/>
      <c r="R772" s="35"/>
      <c r="S772" s="35"/>
    </row>
    <row r="773" spans="1:19" ht="15" hidden="1" customHeight="1" x14ac:dyDescent="0.25">
      <c r="A773" s="13" t="s">
        <v>794</v>
      </c>
      <c r="B773" s="126">
        <v>43509</v>
      </c>
      <c r="C773" s="13">
        <v>43</v>
      </c>
      <c r="D773" s="14" t="s">
        <v>1095</v>
      </c>
      <c r="E773" s="13" t="s">
        <v>195</v>
      </c>
      <c r="F773" s="37">
        <v>5500</v>
      </c>
      <c r="G773" s="29" t="s">
        <v>4035</v>
      </c>
      <c r="H773" s="14">
        <v>43465</v>
      </c>
      <c r="I773" s="4" t="s">
        <v>796</v>
      </c>
      <c r="J773" s="71" t="s">
        <v>327</v>
      </c>
      <c r="K773" s="35"/>
      <c r="L773" s="35"/>
    </row>
    <row r="774" spans="1:19" ht="15" hidden="1" customHeight="1" x14ac:dyDescent="0.25">
      <c r="A774" s="13" t="s">
        <v>794</v>
      </c>
      <c r="B774" s="126">
        <v>43509</v>
      </c>
      <c r="C774" s="13">
        <v>44</v>
      </c>
      <c r="D774" s="14" t="s">
        <v>1095</v>
      </c>
      <c r="E774" s="13" t="s">
        <v>195</v>
      </c>
      <c r="F774" s="37">
        <v>2580</v>
      </c>
      <c r="G774" s="29" t="s">
        <v>4036</v>
      </c>
      <c r="H774" s="14">
        <v>43465</v>
      </c>
      <c r="I774" s="4" t="s">
        <v>797</v>
      </c>
      <c r="J774" s="71" t="s">
        <v>327</v>
      </c>
      <c r="K774" s="35"/>
      <c r="L774" s="35"/>
    </row>
    <row r="775" spans="1:19" s="62" customFormat="1" ht="15" hidden="1" customHeight="1" x14ac:dyDescent="0.25">
      <c r="A775" s="13" t="s">
        <v>794</v>
      </c>
      <c r="B775" s="126">
        <v>43509</v>
      </c>
      <c r="C775" s="13">
        <v>45</v>
      </c>
      <c r="D775" s="32" t="s">
        <v>281</v>
      </c>
      <c r="E775" s="13" t="s">
        <v>195</v>
      </c>
      <c r="F775" s="37">
        <v>3960.64</v>
      </c>
      <c r="G775" s="29" t="s">
        <v>58</v>
      </c>
      <c r="H775" s="14">
        <v>43508</v>
      </c>
      <c r="I775" s="4" t="s">
        <v>759</v>
      </c>
      <c r="J775" s="71" t="s">
        <v>239</v>
      </c>
      <c r="K775" s="247"/>
      <c r="L775" s="35"/>
      <c r="M775" s="35"/>
    </row>
    <row r="776" spans="1:19" ht="13.95" hidden="1" customHeight="1" x14ac:dyDescent="0.25">
      <c r="A776" s="68" t="s">
        <v>151</v>
      </c>
      <c r="B776" s="14">
        <v>43509</v>
      </c>
      <c r="C776" s="67">
        <v>327</v>
      </c>
      <c r="D776" s="32" t="s">
        <v>4047</v>
      </c>
      <c r="E776" s="32" t="s">
        <v>130</v>
      </c>
      <c r="F776" s="4">
        <v>84000</v>
      </c>
      <c r="G776" s="70"/>
      <c r="H776" s="211"/>
      <c r="I776" s="41" t="s">
        <v>4048</v>
      </c>
      <c r="J776" s="166"/>
      <c r="K776" s="167"/>
      <c r="L776" s="35"/>
    </row>
    <row r="777" spans="1:19" ht="13.95" hidden="1" customHeight="1" x14ac:dyDescent="0.25">
      <c r="A777" s="68" t="s">
        <v>151</v>
      </c>
      <c r="B777" s="14">
        <v>43509</v>
      </c>
      <c r="C777" s="67">
        <v>288</v>
      </c>
      <c r="D777" s="32" t="s">
        <v>4047</v>
      </c>
      <c r="E777" s="32" t="s">
        <v>808</v>
      </c>
      <c r="F777" s="4">
        <v>48000</v>
      </c>
      <c r="G777" s="70"/>
      <c r="H777" s="211"/>
      <c r="I777" s="41" t="s">
        <v>4048</v>
      </c>
      <c r="J777" s="166"/>
      <c r="K777" s="167"/>
      <c r="L777" s="35"/>
    </row>
    <row r="778" spans="1:19" ht="13.95" hidden="1" customHeight="1" x14ac:dyDescent="0.25">
      <c r="A778" s="68" t="s">
        <v>151</v>
      </c>
      <c r="B778" s="14">
        <v>43509</v>
      </c>
      <c r="C778" s="67">
        <v>14</v>
      </c>
      <c r="D778" s="32" t="s">
        <v>4047</v>
      </c>
      <c r="E778" s="32" t="s">
        <v>2941</v>
      </c>
      <c r="F778" s="4">
        <v>48000</v>
      </c>
      <c r="G778" s="70"/>
      <c r="H778" s="211"/>
      <c r="I778" s="41" t="s">
        <v>4048</v>
      </c>
      <c r="J778" s="166"/>
      <c r="K778" s="167"/>
      <c r="L778" s="35"/>
    </row>
    <row r="779" spans="1:19" ht="13.95" hidden="1" customHeight="1" x14ac:dyDescent="0.25">
      <c r="A779" s="68" t="s">
        <v>151</v>
      </c>
      <c r="B779" s="14">
        <v>43509</v>
      </c>
      <c r="C779" s="67">
        <v>217</v>
      </c>
      <c r="D779" s="32" t="s">
        <v>4047</v>
      </c>
      <c r="E779" s="32" t="s">
        <v>60</v>
      </c>
      <c r="F779" s="4">
        <v>84000</v>
      </c>
      <c r="G779" s="70"/>
      <c r="H779" s="211"/>
      <c r="I779" s="41" t="s">
        <v>4048</v>
      </c>
      <c r="J779" s="166"/>
      <c r="K779" s="167"/>
      <c r="L779" s="35"/>
    </row>
    <row r="780" spans="1:19" ht="27.6" hidden="1" x14ac:dyDescent="0.25">
      <c r="A780" s="61" t="s">
        <v>460</v>
      </c>
      <c r="B780" s="14">
        <v>43510</v>
      </c>
      <c r="C780" s="13">
        <v>248</v>
      </c>
      <c r="D780" s="14" t="s">
        <v>2498</v>
      </c>
      <c r="E780" s="32" t="s">
        <v>2058</v>
      </c>
      <c r="F780" s="4">
        <v>99255</v>
      </c>
      <c r="G780" s="86" t="s">
        <v>2499</v>
      </c>
      <c r="H780" s="211"/>
      <c r="I780" s="326"/>
      <c r="K780" s="62"/>
    </row>
    <row r="781" spans="1:19" s="97" customFormat="1" hidden="1" x14ac:dyDescent="0.25">
      <c r="A781" s="13" t="s">
        <v>1255</v>
      </c>
      <c r="B781" s="14">
        <v>43510</v>
      </c>
      <c r="C781" s="13">
        <v>140</v>
      </c>
      <c r="D781" s="13" t="s">
        <v>590</v>
      </c>
      <c r="E781" s="13" t="s">
        <v>691</v>
      </c>
      <c r="F781" s="4">
        <v>1500000</v>
      </c>
      <c r="G781" s="29" t="s">
        <v>1323</v>
      </c>
      <c r="H781" s="14">
        <v>42746</v>
      </c>
      <c r="I781" s="4" t="s">
        <v>159</v>
      </c>
      <c r="J781" s="133"/>
      <c r="K781" s="22"/>
      <c r="L781" s="134"/>
    </row>
    <row r="782" spans="1:19" s="97" customFormat="1" hidden="1" x14ac:dyDescent="0.25">
      <c r="A782" s="13" t="s">
        <v>1350</v>
      </c>
      <c r="B782" s="14">
        <v>43510</v>
      </c>
      <c r="C782" s="13">
        <v>141</v>
      </c>
      <c r="D782" s="13" t="s">
        <v>276</v>
      </c>
      <c r="E782" s="13" t="s">
        <v>691</v>
      </c>
      <c r="F782" s="37">
        <v>529740</v>
      </c>
      <c r="G782" s="29" t="s">
        <v>3011</v>
      </c>
      <c r="H782" s="14">
        <v>43479</v>
      </c>
      <c r="I782" s="4" t="s">
        <v>245</v>
      </c>
      <c r="J782" s="133"/>
      <c r="K782" s="22"/>
      <c r="L782" s="134"/>
    </row>
    <row r="783" spans="1:19" s="97" customFormat="1" hidden="1" x14ac:dyDescent="0.25">
      <c r="A783" s="13" t="s">
        <v>1350</v>
      </c>
      <c r="B783" s="14">
        <v>43510</v>
      </c>
      <c r="C783" s="13">
        <v>141</v>
      </c>
      <c r="D783" s="13" t="s">
        <v>276</v>
      </c>
      <c r="E783" s="13" t="s">
        <v>691</v>
      </c>
      <c r="F783" s="37">
        <v>87750</v>
      </c>
      <c r="G783" s="29" t="s">
        <v>2893</v>
      </c>
      <c r="H783" s="14">
        <v>43479</v>
      </c>
      <c r="I783" s="4" t="s">
        <v>1876</v>
      </c>
      <c r="J783" s="133"/>
      <c r="K783" s="22"/>
      <c r="L783" s="134"/>
    </row>
    <row r="784" spans="1:19" s="97" customFormat="1" hidden="1" x14ac:dyDescent="0.25">
      <c r="A784" s="32" t="s">
        <v>1350</v>
      </c>
      <c r="B784" s="14">
        <v>43510</v>
      </c>
      <c r="C784" s="13">
        <v>141</v>
      </c>
      <c r="D784" s="13" t="s">
        <v>276</v>
      </c>
      <c r="E784" s="13" t="s">
        <v>691</v>
      </c>
      <c r="F784" s="4">
        <v>291170</v>
      </c>
      <c r="G784" s="28" t="s">
        <v>3424</v>
      </c>
      <c r="H784" s="14">
        <v>43481</v>
      </c>
      <c r="I784" s="4" t="s">
        <v>1876</v>
      </c>
      <c r="J784" s="133"/>
      <c r="K784" s="22"/>
      <c r="L784" s="134"/>
    </row>
    <row r="785" spans="1:19" s="97" customFormat="1" hidden="1" x14ac:dyDescent="0.25">
      <c r="A785" s="32" t="s">
        <v>1350</v>
      </c>
      <c r="B785" s="14">
        <v>43510</v>
      </c>
      <c r="C785" s="13">
        <v>141</v>
      </c>
      <c r="D785" s="13" t="s">
        <v>276</v>
      </c>
      <c r="E785" s="13" t="s">
        <v>691</v>
      </c>
      <c r="F785" s="4">
        <v>35100</v>
      </c>
      <c r="G785" s="28" t="s">
        <v>3212</v>
      </c>
      <c r="H785" s="14">
        <v>43481</v>
      </c>
      <c r="I785" s="4" t="s">
        <v>1876</v>
      </c>
      <c r="J785" s="133"/>
      <c r="K785" s="22"/>
      <c r="L785" s="134"/>
    </row>
    <row r="786" spans="1:19" s="97" customFormat="1" hidden="1" x14ac:dyDescent="0.25">
      <c r="A786" s="61" t="s">
        <v>1350</v>
      </c>
      <c r="B786" s="14">
        <v>43510</v>
      </c>
      <c r="C786" s="13">
        <v>142</v>
      </c>
      <c r="D786" s="13" t="s">
        <v>280</v>
      </c>
      <c r="E786" s="13" t="s">
        <v>691</v>
      </c>
      <c r="F786" s="37">
        <v>29975</v>
      </c>
      <c r="G786" s="29" t="s">
        <v>3424</v>
      </c>
      <c r="H786" s="14">
        <v>43480</v>
      </c>
      <c r="I786" s="4" t="s">
        <v>718</v>
      </c>
      <c r="J786" s="133"/>
      <c r="K786" s="22"/>
      <c r="L786" s="134"/>
    </row>
    <row r="787" spans="1:19" hidden="1" x14ac:dyDescent="0.25">
      <c r="A787" s="61" t="s">
        <v>659</v>
      </c>
      <c r="B787" s="14">
        <v>43510</v>
      </c>
      <c r="C787" s="13">
        <v>143</v>
      </c>
      <c r="D787" s="13" t="s">
        <v>340</v>
      </c>
      <c r="E787" s="13" t="s">
        <v>691</v>
      </c>
      <c r="F787" s="37">
        <v>3100</v>
      </c>
      <c r="G787" s="29" t="s">
        <v>458</v>
      </c>
      <c r="H787" s="14">
        <v>43475</v>
      </c>
      <c r="I787" s="4" t="s">
        <v>767</v>
      </c>
      <c r="J787" s="128"/>
    </row>
    <row r="788" spans="1:19" hidden="1" x14ac:dyDescent="0.25">
      <c r="A788" s="32" t="s">
        <v>637</v>
      </c>
      <c r="B788" s="14">
        <v>43510</v>
      </c>
      <c r="C788" s="13">
        <v>143</v>
      </c>
      <c r="D788" s="13" t="s">
        <v>340</v>
      </c>
      <c r="E788" s="13" t="s">
        <v>691</v>
      </c>
      <c r="F788" s="4">
        <v>5300</v>
      </c>
      <c r="G788" s="28" t="s">
        <v>459</v>
      </c>
      <c r="H788" s="14">
        <v>43475</v>
      </c>
      <c r="I788" s="4" t="s">
        <v>767</v>
      </c>
      <c r="J788" s="128"/>
    </row>
    <row r="789" spans="1:19" hidden="1" x14ac:dyDescent="0.25">
      <c r="A789" s="61" t="s">
        <v>637</v>
      </c>
      <c r="B789" s="14">
        <v>43510</v>
      </c>
      <c r="C789" s="13">
        <v>143</v>
      </c>
      <c r="D789" s="13" t="s">
        <v>340</v>
      </c>
      <c r="E789" s="13" t="s">
        <v>691</v>
      </c>
      <c r="F789" s="37">
        <v>2700</v>
      </c>
      <c r="G789" s="29" t="s">
        <v>301</v>
      </c>
      <c r="H789" s="14">
        <v>43487</v>
      </c>
      <c r="I789" s="4" t="s">
        <v>3414</v>
      </c>
      <c r="J789" s="128"/>
    </row>
    <row r="790" spans="1:19" hidden="1" x14ac:dyDescent="0.25">
      <c r="A790" s="61" t="s">
        <v>1350</v>
      </c>
      <c r="B790" s="14">
        <v>43510</v>
      </c>
      <c r="C790" s="13">
        <v>144</v>
      </c>
      <c r="D790" s="13" t="s">
        <v>944</v>
      </c>
      <c r="E790" s="13" t="s">
        <v>691</v>
      </c>
      <c r="F790" s="37">
        <v>60750</v>
      </c>
      <c r="G790" s="29" t="s">
        <v>1159</v>
      </c>
      <c r="H790" s="14">
        <v>43433</v>
      </c>
      <c r="I790" s="4" t="s">
        <v>2257</v>
      </c>
    </row>
    <row r="791" spans="1:19" hidden="1" x14ac:dyDescent="0.25">
      <c r="A791" s="61" t="s">
        <v>1350</v>
      </c>
      <c r="B791" s="14">
        <v>43510</v>
      </c>
      <c r="C791" s="13">
        <v>145</v>
      </c>
      <c r="D791" s="13" t="s">
        <v>250</v>
      </c>
      <c r="E791" s="13" t="s">
        <v>691</v>
      </c>
      <c r="F791" s="37">
        <v>200687.5</v>
      </c>
      <c r="G791" s="29" t="s">
        <v>2812</v>
      </c>
      <c r="H791" s="14">
        <v>43449</v>
      </c>
      <c r="I791" s="4" t="s">
        <v>1601</v>
      </c>
    </row>
    <row r="792" spans="1:19" hidden="1" x14ac:dyDescent="0.25">
      <c r="A792" s="61" t="s">
        <v>659</v>
      </c>
      <c r="B792" s="14">
        <v>43510</v>
      </c>
      <c r="C792" s="13">
        <v>146</v>
      </c>
      <c r="D792" s="13" t="s">
        <v>2047</v>
      </c>
      <c r="E792" s="13" t="s">
        <v>691</v>
      </c>
      <c r="F792" s="37">
        <v>17000</v>
      </c>
      <c r="G792" s="29" t="s">
        <v>1191</v>
      </c>
      <c r="H792" s="14">
        <v>43488</v>
      </c>
      <c r="I792" s="4" t="s">
        <v>95</v>
      </c>
    </row>
    <row r="793" spans="1:19" hidden="1" x14ac:dyDescent="0.25">
      <c r="A793" s="61" t="s">
        <v>659</v>
      </c>
      <c r="B793" s="14">
        <v>43510</v>
      </c>
      <c r="C793" s="13">
        <v>147</v>
      </c>
      <c r="D793" s="13" t="s">
        <v>2115</v>
      </c>
      <c r="E793" s="13" t="s">
        <v>691</v>
      </c>
      <c r="F793" s="37">
        <v>156000</v>
      </c>
      <c r="G793" s="29" t="s">
        <v>13</v>
      </c>
      <c r="H793" s="14">
        <v>43434</v>
      </c>
      <c r="I793" s="4" t="s">
        <v>164</v>
      </c>
    </row>
    <row r="794" spans="1:19" hidden="1" x14ac:dyDescent="0.25">
      <c r="A794" s="32" t="s">
        <v>659</v>
      </c>
      <c r="B794" s="14">
        <v>43510</v>
      </c>
      <c r="C794" s="13">
        <v>147</v>
      </c>
      <c r="D794" s="13" t="s">
        <v>2115</v>
      </c>
      <c r="E794" s="13" t="s">
        <v>691</v>
      </c>
      <c r="F794" s="4">
        <v>383000</v>
      </c>
      <c r="G794" s="28" t="s">
        <v>3391</v>
      </c>
      <c r="H794" s="14">
        <v>43465</v>
      </c>
      <c r="I794" s="4" t="s">
        <v>2385</v>
      </c>
    </row>
    <row r="795" spans="1:19" hidden="1" x14ac:dyDescent="0.25">
      <c r="A795" s="61" t="s">
        <v>637</v>
      </c>
      <c r="B795" s="14">
        <v>43510</v>
      </c>
      <c r="C795" s="13">
        <v>147</v>
      </c>
      <c r="D795" s="13" t="s">
        <v>2115</v>
      </c>
      <c r="E795" s="13" t="s">
        <v>691</v>
      </c>
      <c r="F795" s="37">
        <v>248675</v>
      </c>
      <c r="G795" s="29" t="s">
        <v>117</v>
      </c>
      <c r="H795" s="14">
        <v>43465</v>
      </c>
      <c r="I795" s="4" t="s">
        <v>1602</v>
      </c>
    </row>
    <row r="796" spans="1:19" s="62" customFormat="1" ht="13.8" hidden="1" customHeight="1" x14ac:dyDescent="0.25">
      <c r="A796" s="13" t="s">
        <v>151</v>
      </c>
      <c r="B796" s="14">
        <v>43510</v>
      </c>
      <c r="C796" s="13" t="s">
        <v>4041</v>
      </c>
      <c r="D796" s="13" t="s">
        <v>3637</v>
      </c>
      <c r="E796" s="13" t="s">
        <v>4041</v>
      </c>
      <c r="F796" s="37">
        <f>1715*36</f>
        <v>61740</v>
      </c>
      <c r="G796" s="29" t="s">
        <v>296</v>
      </c>
      <c r="H796" s="14"/>
      <c r="I796" s="4" t="s">
        <v>4042</v>
      </c>
      <c r="J796" s="22"/>
      <c r="O796" s="35"/>
      <c r="P796" s="35"/>
      <c r="Q796" s="35"/>
      <c r="R796" s="35"/>
      <c r="S796" s="35"/>
    </row>
    <row r="797" spans="1:19" ht="27.6" hidden="1" x14ac:dyDescent="0.25">
      <c r="A797" s="32" t="s">
        <v>91</v>
      </c>
      <c r="B797" s="14">
        <v>43510</v>
      </c>
      <c r="C797" s="67">
        <v>117</v>
      </c>
      <c r="D797" s="32" t="s">
        <v>1392</v>
      </c>
      <c r="E797" s="13" t="s">
        <v>2021</v>
      </c>
      <c r="F797" s="4">
        <f>96101.68-47250</f>
        <v>48851.679999999993</v>
      </c>
      <c r="G797" s="67" t="s">
        <v>4145</v>
      </c>
      <c r="H797" s="14">
        <v>43160</v>
      </c>
      <c r="I797" s="4" t="s">
        <v>4146</v>
      </c>
      <c r="J797" s="21"/>
      <c r="K797" s="228"/>
    </row>
    <row r="798" spans="1:19" ht="13.95" hidden="1" customHeight="1" x14ac:dyDescent="0.25">
      <c r="A798" s="68" t="s">
        <v>151</v>
      </c>
      <c r="B798" s="14">
        <v>43510</v>
      </c>
      <c r="C798" s="67">
        <v>148</v>
      </c>
      <c r="D798" s="32" t="s">
        <v>4047</v>
      </c>
      <c r="E798" s="32" t="s">
        <v>691</v>
      </c>
      <c r="F798" s="4">
        <v>30000</v>
      </c>
      <c r="G798" s="70" t="s">
        <v>3234</v>
      </c>
      <c r="H798" s="211">
        <v>43479</v>
      </c>
      <c r="I798" s="41" t="s">
        <v>5557</v>
      </c>
      <c r="J798" s="166"/>
      <c r="K798" s="167"/>
      <c r="L798" s="35"/>
    </row>
    <row r="799" spans="1:19" ht="13.95" hidden="1" customHeight="1" x14ac:dyDescent="0.25">
      <c r="A799" s="68" t="s">
        <v>151</v>
      </c>
      <c r="B799" s="14">
        <v>43510</v>
      </c>
      <c r="C799" s="67">
        <v>39</v>
      </c>
      <c r="D799" s="32" t="s">
        <v>4179</v>
      </c>
      <c r="E799" s="32" t="s">
        <v>22</v>
      </c>
      <c r="F799" s="4">
        <v>39380</v>
      </c>
      <c r="G799" s="70" t="s">
        <v>3362</v>
      </c>
      <c r="H799" s="211">
        <v>43509</v>
      </c>
      <c r="I799" s="41" t="s">
        <v>4180</v>
      </c>
      <c r="J799" s="166"/>
      <c r="K799" s="167"/>
      <c r="L799" s="35"/>
    </row>
    <row r="800" spans="1:19" ht="13.95" hidden="1" customHeight="1" x14ac:dyDescent="0.25">
      <c r="A800" s="68" t="s">
        <v>358</v>
      </c>
      <c r="B800" s="14">
        <v>43510</v>
      </c>
      <c r="C800" s="13">
        <v>371</v>
      </c>
      <c r="D800" s="32" t="s">
        <v>1077</v>
      </c>
      <c r="E800" s="32" t="s">
        <v>38</v>
      </c>
      <c r="F800" s="4">
        <v>2400000</v>
      </c>
      <c r="G800" s="86" t="s">
        <v>410</v>
      </c>
      <c r="H800" s="211"/>
      <c r="I800" s="208" t="s">
        <v>581</v>
      </c>
      <c r="J800" s="21"/>
      <c r="K800" s="228"/>
    </row>
    <row r="801" spans="1:19" s="97" customFormat="1" hidden="1" x14ac:dyDescent="0.25">
      <c r="A801" s="13" t="s">
        <v>92</v>
      </c>
      <c r="B801" s="14">
        <v>43510</v>
      </c>
      <c r="C801" s="67">
        <v>528</v>
      </c>
      <c r="D801" s="13" t="s">
        <v>4073</v>
      </c>
      <c r="E801" s="13" t="s">
        <v>140</v>
      </c>
      <c r="F801" s="4">
        <v>1036368.58</v>
      </c>
      <c r="G801" s="29" t="s">
        <v>4074</v>
      </c>
      <c r="H801" s="14">
        <v>43003</v>
      </c>
      <c r="I801" s="4" t="s">
        <v>4075</v>
      </c>
      <c r="J801" s="22"/>
      <c r="K801" s="22"/>
      <c r="L801" s="134"/>
    </row>
    <row r="802" spans="1:19" s="97" customFormat="1" ht="27.6" hidden="1" x14ac:dyDescent="0.25">
      <c r="A802" s="13" t="s">
        <v>91</v>
      </c>
      <c r="B802" s="14">
        <v>43510</v>
      </c>
      <c r="C802" s="67">
        <v>111</v>
      </c>
      <c r="D802" s="13" t="s">
        <v>4073</v>
      </c>
      <c r="E802" s="13" t="s">
        <v>2021</v>
      </c>
      <c r="F802" s="4">
        <v>533886.84</v>
      </c>
      <c r="G802" s="29" t="s">
        <v>4074</v>
      </c>
      <c r="H802" s="14">
        <v>43003</v>
      </c>
      <c r="I802" s="4" t="s">
        <v>4075</v>
      </c>
      <c r="J802" s="22"/>
      <c r="K802" s="22"/>
      <c r="L802" s="134"/>
    </row>
    <row r="803" spans="1:19" hidden="1" x14ac:dyDescent="0.25">
      <c r="A803" s="13" t="s">
        <v>151</v>
      </c>
      <c r="B803" s="14">
        <v>43510</v>
      </c>
      <c r="C803" s="13">
        <v>118</v>
      </c>
      <c r="D803" s="32" t="s">
        <v>3533</v>
      </c>
      <c r="E803" s="32" t="s">
        <v>144</v>
      </c>
      <c r="F803" s="4">
        <v>400000</v>
      </c>
      <c r="G803" s="210" t="s">
        <v>3534</v>
      </c>
      <c r="H803" s="211">
        <v>42853</v>
      </c>
      <c r="I803" s="4" t="s">
        <v>4807</v>
      </c>
      <c r="J803" s="166"/>
      <c r="K803" s="228"/>
    </row>
    <row r="804" spans="1:19" s="62" customFormat="1" ht="13.8" hidden="1" customHeight="1" x14ac:dyDescent="0.25">
      <c r="A804" s="13" t="s">
        <v>151</v>
      </c>
      <c r="B804" s="14">
        <v>43511</v>
      </c>
      <c r="C804" s="13" t="s">
        <v>4041</v>
      </c>
      <c r="D804" s="13" t="s">
        <v>3637</v>
      </c>
      <c r="E804" s="13" t="s">
        <v>4041</v>
      </c>
      <c r="F804" s="37">
        <f>1715*4</f>
        <v>6860</v>
      </c>
      <c r="G804" s="29" t="s">
        <v>296</v>
      </c>
      <c r="H804" s="14"/>
      <c r="I804" s="4" t="s">
        <v>4042</v>
      </c>
      <c r="J804" s="22"/>
      <c r="O804" s="35"/>
      <c r="P804" s="35"/>
      <c r="Q804" s="35"/>
      <c r="R804" s="35"/>
      <c r="S804" s="35"/>
    </row>
    <row r="805" spans="1:19" ht="16.5" hidden="1" customHeight="1" x14ac:dyDescent="0.25">
      <c r="A805" s="13" t="s">
        <v>184</v>
      </c>
      <c r="B805" s="14">
        <v>43511</v>
      </c>
      <c r="C805" s="67">
        <v>180</v>
      </c>
      <c r="D805" s="32" t="s">
        <v>1606</v>
      </c>
      <c r="E805" s="32" t="s">
        <v>1121</v>
      </c>
      <c r="F805" s="208">
        <v>96000</v>
      </c>
      <c r="G805" s="25" t="s">
        <v>4059</v>
      </c>
      <c r="H805" s="212">
        <v>43508</v>
      </c>
      <c r="I805" s="208" t="s">
        <v>4060</v>
      </c>
      <c r="J805" s="76" t="s">
        <v>721</v>
      </c>
      <c r="K805" s="260"/>
      <c r="L805" s="62"/>
    </row>
    <row r="806" spans="1:19" hidden="1" x14ac:dyDescent="0.25">
      <c r="A806" s="13" t="s">
        <v>184</v>
      </c>
      <c r="B806" s="14">
        <v>43511</v>
      </c>
      <c r="C806" s="13">
        <v>181</v>
      </c>
      <c r="D806" s="13" t="s">
        <v>662</v>
      </c>
      <c r="E806" s="32" t="s">
        <v>1121</v>
      </c>
      <c r="F806" s="4">
        <v>35760</v>
      </c>
      <c r="G806" s="29" t="s">
        <v>3424</v>
      </c>
      <c r="H806" s="14">
        <v>43480</v>
      </c>
      <c r="I806" s="4" t="s">
        <v>3758</v>
      </c>
      <c r="J806" s="125" t="s">
        <v>358</v>
      </c>
    </row>
    <row r="807" spans="1:19" hidden="1" x14ac:dyDescent="0.25">
      <c r="A807" s="13" t="s">
        <v>184</v>
      </c>
      <c r="B807" s="14">
        <v>43511</v>
      </c>
      <c r="C807" s="13">
        <v>182</v>
      </c>
      <c r="D807" s="13" t="s">
        <v>812</v>
      </c>
      <c r="E807" s="32" t="s">
        <v>1121</v>
      </c>
      <c r="F807" s="4">
        <v>270000</v>
      </c>
      <c r="G807" s="28" t="s">
        <v>1159</v>
      </c>
      <c r="H807" s="14">
        <v>43466</v>
      </c>
      <c r="I807" s="4" t="s">
        <v>1483</v>
      </c>
      <c r="J807" s="125" t="s">
        <v>239</v>
      </c>
    </row>
    <row r="808" spans="1:19" ht="15" hidden="1" customHeight="1" x14ac:dyDescent="0.25">
      <c r="A808" s="13" t="s">
        <v>184</v>
      </c>
      <c r="B808" s="14">
        <v>43511</v>
      </c>
      <c r="C808" s="13">
        <v>183</v>
      </c>
      <c r="D808" s="13" t="s">
        <v>1215</v>
      </c>
      <c r="E808" s="32" t="s">
        <v>1121</v>
      </c>
      <c r="F808" s="4">
        <v>367686</v>
      </c>
      <c r="G808" s="28" t="s">
        <v>77</v>
      </c>
      <c r="H808" s="14">
        <v>43493</v>
      </c>
      <c r="I808" s="4" t="s">
        <v>293</v>
      </c>
      <c r="J808" s="76" t="s">
        <v>721</v>
      </c>
    </row>
    <row r="809" spans="1:19" ht="15" hidden="1" customHeight="1" x14ac:dyDescent="0.25">
      <c r="A809" s="13" t="s">
        <v>184</v>
      </c>
      <c r="B809" s="14">
        <v>43511</v>
      </c>
      <c r="C809" s="13">
        <v>183</v>
      </c>
      <c r="D809" s="13" t="s">
        <v>1215</v>
      </c>
      <c r="E809" s="32" t="s">
        <v>1121</v>
      </c>
      <c r="F809" s="4">
        <v>45900</v>
      </c>
      <c r="G809" s="28" t="s">
        <v>306</v>
      </c>
      <c r="H809" s="14">
        <v>43493</v>
      </c>
      <c r="I809" s="4" t="s">
        <v>3482</v>
      </c>
      <c r="J809" s="76" t="s">
        <v>721</v>
      </c>
    </row>
    <row r="810" spans="1:19" ht="15" hidden="1" customHeight="1" x14ac:dyDescent="0.25">
      <c r="A810" s="13" t="s">
        <v>184</v>
      </c>
      <c r="B810" s="14">
        <v>43511</v>
      </c>
      <c r="C810" s="13">
        <v>184</v>
      </c>
      <c r="D810" s="13" t="s">
        <v>47</v>
      </c>
      <c r="E810" s="32" t="s">
        <v>1121</v>
      </c>
      <c r="F810" s="4">
        <v>1790</v>
      </c>
      <c r="G810" s="28" t="s">
        <v>4142</v>
      </c>
      <c r="H810" s="14">
        <v>43503</v>
      </c>
      <c r="I810" s="4" t="s">
        <v>746</v>
      </c>
    </row>
    <row r="811" spans="1:19" ht="15" hidden="1" customHeight="1" x14ac:dyDescent="0.25">
      <c r="A811" s="13" t="s">
        <v>184</v>
      </c>
      <c r="B811" s="14">
        <v>43511</v>
      </c>
      <c r="C811" s="13">
        <v>184</v>
      </c>
      <c r="D811" s="13" t="s">
        <v>47</v>
      </c>
      <c r="E811" s="32" t="s">
        <v>1121</v>
      </c>
      <c r="F811" s="4">
        <v>1390</v>
      </c>
      <c r="G811" s="28" t="s">
        <v>4143</v>
      </c>
      <c r="H811" s="14">
        <v>43507</v>
      </c>
      <c r="I811" s="4" t="s">
        <v>746</v>
      </c>
    </row>
    <row r="812" spans="1:19" hidden="1" x14ac:dyDescent="0.25">
      <c r="A812" s="13" t="s">
        <v>184</v>
      </c>
      <c r="B812" s="14">
        <v>43511</v>
      </c>
      <c r="C812" s="13">
        <v>185</v>
      </c>
      <c r="D812" s="13" t="s">
        <v>897</v>
      </c>
      <c r="E812" s="32" t="s">
        <v>1121</v>
      </c>
      <c r="F812" s="4">
        <v>22060</v>
      </c>
      <c r="G812" s="28" t="s">
        <v>42</v>
      </c>
      <c r="H812" s="14">
        <v>43507</v>
      </c>
      <c r="I812" s="4" t="s">
        <v>179</v>
      </c>
      <c r="J812" s="76"/>
    </row>
    <row r="813" spans="1:19" ht="15" hidden="1" customHeight="1" x14ac:dyDescent="0.25">
      <c r="A813" s="13" t="s">
        <v>184</v>
      </c>
      <c r="B813" s="14">
        <v>43511</v>
      </c>
      <c r="C813" s="13">
        <v>186</v>
      </c>
      <c r="D813" s="13" t="s">
        <v>348</v>
      </c>
      <c r="E813" s="32" t="s">
        <v>1121</v>
      </c>
      <c r="F813" s="4">
        <f>1393553.18</f>
        <v>1393553.18</v>
      </c>
      <c r="G813" s="28" t="s">
        <v>3403</v>
      </c>
      <c r="H813" s="14">
        <v>43497</v>
      </c>
      <c r="I813" s="4" t="s">
        <v>1124</v>
      </c>
      <c r="J813" s="76" t="s">
        <v>721</v>
      </c>
    </row>
    <row r="814" spans="1:19" hidden="1" x14ac:dyDescent="0.25">
      <c r="A814" s="13" t="s">
        <v>184</v>
      </c>
      <c r="B814" s="14">
        <v>43511</v>
      </c>
      <c r="C814" s="13">
        <v>187</v>
      </c>
      <c r="D814" s="13" t="s">
        <v>761</v>
      </c>
      <c r="E814" s="32" t="s">
        <v>1121</v>
      </c>
      <c r="F814" s="4">
        <v>88128</v>
      </c>
      <c r="G814" s="28" t="s">
        <v>4147</v>
      </c>
      <c r="H814" s="14">
        <v>43500</v>
      </c>
      <c r="I814" s="4" t="s">
        <v>860</v>
      </c>
      <c r="J814" s="76" t="s">
        <v>721</v>
      </c>
    </row>
    <row r="815" spans="1:19" hidden="1" x14ac:dyDescent="0.25">
      <c r="A815" s="13" t="s">
        <v>184</v>
      </c>
      <c r="B815" s="14">
        <v>43511</v>
      </c>
      <c r="C815" s="13">
        <v>187</v>
      </c>
      <c r="D815" s="13" t="s">
        <v>761</v>
      </c>
      <c r="E815" s="32" t="s">
        <v>1121</v>
      </c>
      <c r="F815" s="4">
        <v>34560</v>
      </c>
      <c r="G815" s="28" t="s">
        <v>4144</v>
      </c>
      <c r="H815" s="14">
        <v>43500</v>
      </c>
      <c r="I815" s="4" t="s">
        <v>809</v>
      </c>
      <c r="J815" s="76" t="s">
        <v>721</v>
      </c>
    </row>
    <row r="816" spans="1:19" hidden="1" x14ac:dyDescent="0.25">
      <c r="A816" s="13" t="s">
        <v>184</v>
      </c>
      <c r="B816" s="14">
        <v>43511</v>
      </c>
      <c r="C816" s="13">
        <v>188</v>
      </c>
      <c r="D816" s="13" t="s">
        <v>197</v>
      </c>
      <c r="E816" s="32" t="s">
        <v>1121</v>
      </c>
      <c r="F816" s="4">
        <v>146472</v>
      </c>
      <c r="G816" s="28" t="s">
        <v>4138</v>
      </c>
      <c r="H816" s="14">
        <v>43474</v>
      </c>
      <c r="I816" s="4" t="s">
        <v>1181</v>
      </c>
      <c r="J816" s="76" t="s">
        <v>239</v>
      </c>
    </row>
    <row r="817" spans="1:19" s="192" customFormat="1" hidden="1" x14ac:dyDescent="0.25">
      <c r="A817" s="147" t="s">
        <v>242</v>
      </c>
      <c r="B817" s="14">
        <v>43511</v>
      </c>
      <c r="C817" s="195">
        <v>189</v>
      </c>
      <c r="D817" s="149" t="s">
        <v>784</v>
      </c>
      <c r="E817" s="147" t="s">
        <v>1121</v>
      </c>
      <c r="F817" s="158">
        <v>218092.4</v>
      </c>
      <c r="G817" s="150" t="s">
        <v>111</v>
      </c>
      <c r="H817" s="148">
        <v>43507</v>
      </c>
      <c r="I817" s="149" t="s">
        <v>143</v>
      </c>
      <c r="J817" s="193"/>
      <c r="K817" s="194"/>
      <c r="L817" s="190"/>
    </row>
    <row r="818" spans="1:19" s="192" customFormat="1" hidden="1" x14ac:dyDescent="0.25">
      <c r="A818" s="147" t="s">
        <v>242</v>
      </c>
      <c r="B818" s="14">
        <v>43511</v>
      </c>
      <c r="C818" s="195">
        <v>189</v>
      </c>
      <c r="D818" s="149" t="s">
        <v>784</v>
      </c>
      <c r="E818" s="147" t="s">
        <v>1121</v>
      </c>
      <c r="F818" s="158">
        <v>154687.12</v>
      </c>
      <c r="G818" s="150" t="s">
        <v>2819</v>
      </c>
      <c r="H818" s="148">
        <v>43507</v>
      </c>
      <c r="I818" s="149" t="s">
        <v>143</v>
      </c>
      <c r="J818" s="193"/>
      <c r="K818" s="194"/>
      <c r="L818" s="190"/>
    </row>
    <row r="819" spans="1:19" s="192" customFormat="1" hidden="1" x14ac:dyDescent="0.25">
      <c r="A819" s="147" t="s">
        <v>242</v>
      </c>
      <c r="B819" s="14">
        <v>43511</v>
      </c>
      <c r="C819" s="187">
        <v>190</v>
      </c>
      <c r="D819" s="149" t="s">
        <v>388</v>
      </c>
      <c r="E819" s="147" t="s">
        <v>1121</v>
      </c>
      <c r="F819" s="158">
        <v>89250</v>
      </c>
      <c r="G819" s="150" t="s">
        <v>3375</v>
      </c>
      <c r="H819" s="148">
        <v>43507</v>
      </c>
      <c r="I819" s="149" t="s">
        <v>143</v>
      </c>
      <c r="J819" s="193"/>
      <c r="K819" s="194"/>
      <c r="L819" s="190"/>
    </row>
    <row r="820" spans="1:19" s="192" customFormat="1" hidden="1" x14ac:dyDescent="0.25">
      <c r="A820" s="147" t="s">
        <v>242</v>
      </c>
      <c r="B820" s="14">
        <v>43511</v>
      </c>
      <c r="C820" s="187">
        <v>190</v>
      </c>
      <c r="D820" s="149" t="s">
        <v>388</v>
      </c>
      <c r="E820" s="147" t="s">
        <v>1121</v>
      </c>
      <c r="F820" s="158">
        <v>187939.4</v>
      </c>
      <c r="G820" s="150" t="s">
        <v>3390</v>
      </c>
      <c r="H820" s="148">
        <v>43507</v>
      </c>
      <c r="I820" s="149" t="s">
        <v>143</v>
      </c>
      <c r="J820" s="193"/>
      <c r="K820" s="194"/>
      <c r="L820" s="190"/>
    </row>
    <row r="821" spans="1:19" s="192" customFormat="1" hidden="1" x14ac:dyDescent="0.25">
      <c r="A821" s="147" t="s">
        <v>242</v>
      </c>
      <c r="B821" s="14">
        <v>43511</v>
      </c>
      <c r="C821" s="187">
        <v>191</v>
      </c>
      <c r="D821" s="149" t="s">
        <v>388</v>
      </c>
      <c r="E821" s="147" t="s">
        <v>1121</v>
      </c>
      <c r="F821" s="158">
        <v>78489.2</v>
      </c>
      <c r="G821" s="150" t="s">
        <v>86</v>
      </c>
      <c r="H821" s="148">
        <v>43507</v>
      </c>
      <c r="I821" s="149" t="s">
        <v>143</v>
      </c>
      <c r="J821" s="193"/>
      <c r="K821" s="194"/>
      <c r="L821" s="190"/>
    </row>
    <row r="822" spans="1:19" s="192" customFormat="1" hidden="1" x14ac:dyDescent="0.25">
      <c r="A822" s="147" t="s">
        <v>242</v>
      </c>
      <c r="B822" s="14">
        <v>43511</v>
      </c>
      <c r="C822" s="187">
        <v>191</v>
      </c>
      <c r="D822" s="149" t="s">
        <v>388</v>
      </c>
      <c r="E822" s="147" t="s">
        <v>1121</v>
      </c>
      <c r="F822" s="158">
        <v>74598.64</v>
      </c>
      <c r="G822" s="150" t="s">
        <v>3104</v>
      </c>
      <c r="H822" s="148">
        <v>43507</v>
      </c>
      <c r="I822" s="149" t="s">
        <v>143</v>
      </c>
      <c r="J822" s="193"/>
      <c r="K822" s="194"/>
      <c r="L822" s="190"/>
    </row>
    <row r="823" spans="1:19" s="129" customFormat="1" ht="27.6" hidden="1" x14ac:dyDescent="0.25">
      <c r="A823" s="13" t="s">
        <v>151</v>
      </c>
      <c r="B823" s="14">
        <v>43511</v>
      </c>
      <c r="C823" s="28" t="s">
        <v>3279</v>
      </c>
      <c r="D823" s="13" t="s">
        <v>711</v>
      </c>
      <c r="E823" s="32" t="s">
        <v>1121</v>
      </c>
      <c r="F823" s="37">
        <f>4180+7310+1230+8410+3140+2000+2150</f>
        <v>28420</v>
      </c>
      <c r="G823" s="28" t="s">
        <v>4040</v>
      </c>
      <c r="H823" s="28" t="s">
        <v>4039</v>
      </c>
      <c r="I823" s="4" t="s">
        <v>712</v>
      </c>
      <c r="J823" s="170"/>
      <c r="K823" s="136"/>
    </row>
    <row r="824" spans="1:19" ht="27.6" hidden="1" x14ac:dyDescent="0.25">
      <c r="A824" s="13" t="s">
        <v>151</v>
      </c>
      <c r="B824" s="14">
        <v>43511</v>
      </c>
      <c r="C824" s="13">
        <v>193</v>
      </c>
      <c r="D824" s="13" t="s">
        <v>1075</v>
      </c>
      <c r="E824" s="13" t="s">
        <v>1121</v>
      </c>
      <c r="F824" s="37">
        <v>10900</v>
      </c>
      <c r="G824" s="29" t="s">
        <v>886</v>
      </c>
      <c r="H824" s="14">
        <v>43059</v>
      </c>
      <c r="I824" s="4" t="s">
        <v>1076</v>
      </c>
      <c r="J824" s="22" t="s">
        <v>366</v>
      </c>
      <c r="K824" s="62"/>
    </row>
    <row r="825" spans="1:19" ht="16.5" hidden="1" customHeight="1" x14ac:dyDescent="0.25">
      <c r="A825" s="13" t="s">
        <v>184</v>
      </c>
      <c r="B825" s="14">
        <v>43511</v>
      </c>
      <c r="C825" s="67">
        <v>123</v>
      </c>
      <c r="D825" s="32" t="s">
        <v>2147</v>
      </c>
      <c r="E825" s="32" t="s">
        <v>144</v>
      </c>
      <c r="F825" s="4">
        <v>89250</v>
      </c>
      <c r="G825" s="28" t="s">
        <v>300</v>
      </c>
      <c r="H825" s="14">
        <v>43502</v>
      </c>
      <c r="I825" s="4" t="s">
        <v>2148</v>
      </c>
      <c r="J825" s="263"/>
      <c r="K825" s="63"/>
      <c r="L825" s="62"/>
    </row>
    <row r="826" spans="1:19" s="192" customFormat="1" hidden="1" x14ac:dyDescent="0.25">
      <c r="A826" s="147" t="s">
        <v>242</v>
      </c>
      <c r="B826" s="164">
        <v>43511</v>
      </c>
      <c r="C826" s="195">
        <v>124</v>
      </c>
      <c r="D826" s="149" t="s">
        <v>490</v>
      </c>
      <c r="E826" s="147" t="s">
        <v>144</v>
      </c>
      <c r="F826" s="158">
        <v>917631.3</v>
      </c>
      <c r="G826" s="150" t="s">
        <v>3994</v>
      </c>
      <c r="H826" s="148">
        <v>43487</v>
      </c>
      <c r="I826" s="149" t="s">
        <v>143</v>
      </c>
      <c r="J826" s="193"/>
      <c r="K826" s="194"/>
      <c r="L826" s="190"/>
    </row>
    <row r="827" spans="1:19" s="129" customFormat="1" ht="13.95" hidden="1" customHeight="1" x14ac:dyDescent="0.25">
      <c r="A827" s="13" t="s">
        <v>151</v>
      </c>
      <c r="B827" s="14">
        <v>43511</v>
      </c>
      <c r="C827" s="28" t="s">
        <v>26</v>
      </c>
      <c r="D827" s="13" t="s">
        <v>1078</v>
      </c>
      <c r="E827" s="13" t="s">
        <v>22</v>
      </c>
      <c r="F827" s="4">
        <v>19977.810000000001</v>
      </c>
      <c r="G827" s="28" t="s">
        <v>205</v>
      </c>
      <c r="H827" s="14">
        <v>43496</v>
      </c>
      <c r="I827" s="4" t="s">
        <v>4069</v>
      </c>
      <c r="J827" s="22"/>
      <c r="K827" s="136"/>
    </row>
    <row r="828" spans="1:19" s="129" customFormat="1" ht="27.6" hidden="1" x14ac:dyDescent="0.25">
      <c r="A828" s="13" t="s">
        <v>151</v>
      </c>
      <c r="B828" s="14">
        <v>43511</v>
      </c>
      <c r="C828" s="28" t="s">
        <v>306</v>
      </c>
      <c r="D828" s="13" t="s">
        <v>1846</v>
      </c>
      <c r="E828" s="13" t="s">
        <v>22</v>
      </c>
      <c r="F828" s="4">
        <v>36963</v>
      </c>
      <c r="G828" s="28" t="s">
        <v>4135</v>
      </c>
      <c r="H828" s="14">
        <v>43500</v>
      </c>
      <c r="I828" s="4" t="s">
        <v>4136</v>
      </c>
      <c r="J828" s="22"/>
      <c r="K828" s="136"/>
    </row>
    <row r="829" spans="1:19" hidden="1" x14ac:dyDescent="0.25">
      <c r="A829" s="13" t="s">
        <v>151</v>
      </c>
      <c r="B829" s="14">
        <v>43511</v>
      </c>
      <c r="C829" s="28" t="s">
        <v>478</v>
      </c>
      <c r="D829" s="13" t="s">
        <v>596</v>
      </c>
      <c r="E829" s="13" t="s">
        <v>22</v>
      </c>
      <c r="F829" s="4">
        <f>880+6380</f>
        <v>7260</v>
      </c>
      <c r="G829" s="29" t="s">
        <v>4159</v>
      </c>
      <c r="H829" s="14" t="s">
        <v>4160</v>
      </c>
      <c r="I829" s="4" t="s">
        <v>1</v>
      </c>
      <c r="K829" s="260"/>
    </row>
    <row r="830" spans="1:19" s="62" customFormat="1" ht="15" hidden="1" customHeight="1" x14ac:dyDescent="0.25">
      <c r="A830" s="13" t="s">
        <v>125</v>
      </c>
      <c r="B830" s="14">
        <v>43511</v>
      </c>
      <c r="C830" s="13">
        <v>166</v>
      </c>
      <c r="D830" s="13" t="s">
        <v>156</v>
      </c>
      <c r="E830" s="13" t="s">
        <v>547</v>
      </c>
      <c r="F830" s="37">
        <v>5333.82</v>
      </c>
      <c r="G830" s="29" t="s">
        <v>4063</v>
      </c>
      <c r="H830" s="14">
        <v>43501</v>
      </c>
      <c r="I830" s="4" t="s">
        <v>1561</v>
      </c>
      <c r="J830" s="357" t="s">
        <v>239</v>
      </c>
      <c r="O830" s="35"/>
      <c r="P830" s="35"/>
      <c r="Q830" s="35"/>
      <c r="R830" s="35"/>
      <c r="S830" s="35"/>
    </row>
    <row r="831" spans="1:19" ht="13.2" hidden="1" customHeight="1" x14ac:dyDescent="0.25">
      <c r="A831" s="32" t="s">
        <v>212</v>
      </c>
      <c r="B831" s="14">
        <v>43511</v>
      </c>
      <c r="C831" s="13">
        <v>56</v>
      </c>
      <c r="D831" s="32" t="s">
        <v>212</v>
      </c>
      <c r="E831" s="32" t="s">
        <v>314</v>
      </c>
      <c r="F831" s="4">
        <v>5000000</v>
      </c>
      <c r="G831" s="28" t="s">
        <v>4151</v>
      </c>
      <c r="H831" s="14">
        <v>42038</v>
      </c>
      <c r="I831" s="41" t="s">
        <v>277</v>
      </c>
      <c r="K831" s="389"/>
      <c r="L831" s="388"/>
    </row>
    <row r="832" spans="1:19" s="129" customFormat="1" hidden="1" x14ac:dyDescent="0.25">
      <c r="A832" s="13" t="s">
        <v>2953</v>
      </c>
      <c r="B832" s="14">
        <v>43511</v>
      </c>
      <c r="C832" s="28" t="s">
        <v>3424</v>
      </c>
      <c r="D832" s="13" t="s">
        <v>4061</v>
      </c>
      <c r="E832" s="32" t="s">
        <v>2954</v>
      </c>
      <c r="F832" s="37">
        <v>38800</v>
      </c>
      <c r="G832" s="28" t="s">
        <v>4</v>
      </c>
      <c r="H832" s="14">
        <v>43507</v>
      </c>
      <c r="I832" s="4" t="s">
        <v>4062</v>
      </c>
      <c r="J832" s="170"/>
      <c r="K832" s="136"/>
    </row>
    <row r="833" spans="1:19" s="115" customFormat="1" ht="15.6" hidden="1" x14ac:dyDescent="0.25">
      <c r="A833" s="61" t="s">
        <v>166</v>
      </c>
      <c r="B833" s="14">
        <v>43511</v>
      </c>
      <c r="C833" s="13">
        <v>14</v>
      </c>
      <c r="D833" s="13" t="s">
        <v>3530</v>
      </c>
      <c r="E833" s="13" t="s">
        <v>76</v>
      </c>
      <c r="F833" s="4">
        <v>500000</v>
      </c>
      <c r="G833" s="29" t="s">
        <v>3965</v>
      </c>
      <c r="H833" s="14">
        <v>41177</v>
      </c>
      <c r="I833" s="41" t="s">
        <v>818</v>
      </c>
      <c r="J833" s="258"/>
      <c r="K833" s="116"/>
      <c r="L833" s="116"/>
      <c r="M833" s="116"/>
      <c r="N833" s="116"/>
      <c r="O833" s="117"/>
      <c r="P833" s="117"/>
      <c r="Q833" s="117"/>
      <c r="R833" s="117"/>
      <c r="S833" s="117"/>
    </row>
    <row r="834" spans="1:19" s="129" customFormat="1" hidden="1" x14ac:dyDescent="0.25">
      <c r="A834" s="13" t="s">
        <v>55</v>
      </c>
      <c r="B834" s="14">
        <v>43511</v>
      </c>
      <c r="C834" s="28" t="s">
        <v>1188</v>
      </c>
      <c r="D834" s="13" t="s">
        <v>4049</v>
      </c>
      <c r="E834" s="32" t="s">
        <v>130</v>
      </c>
      <c r="F834" s="37">
        <v>50000</v>
      </c>
      <c r="G834" s="28" t="s">
        <v>3375</v>
      </c>
      <c r="H834" s="14">
        <v>43504</v>
      </c>
      <c r="I834" s="4" t="s">
        <v>4050</v>
      </c>
      <c r="J834" s="170"/>
      <c r="K834" s="136"/>
    </row>
    <row r="835" spans="1:19" hidden="1" x14ac:dyDescent="0.25">
      <c r="A835" s="13" t="s">
        <v>55</v>
      </c>
      <c r="B835" s="14">
        <v>43511</v>
      </c>
      <c r="C835" s="13">
        <v>345</v>
      </c>
      <c r="D835" s="32" t="s">
        <v>1980</v>
      </c>
      <c r="E835" s="32" t="s">
        <v>130</v>
      </c>
      <c r="F835" s="4">
        <v>63000</v>
      </c>
      <c r="G835" s="69" t="s">
        <v>1981</v>
      </c>
      <c r="H835" s="14"/>
      <c r="I835" s="41" t="s">
        <v>4158</v>
      </c>
      <c r="K835" s="62"/>
    </row>
    <row r="836" spans="1:19" s="129" customFormat="1" hidden="1" x14ac:dyDescent="0.25">
      <c r="A836" s="13" t="s">
        <v>151</v>
      </c>
      <c r="B836" s="14">
        <v>43511</v>
      </c>
      <c r="C836" s="28" t="s">
        <v>4206</v>
      </c>
      <c r="D836" s="13" t="s">
        <v>1846</v>
      </c>
      <c r="E836" s="13" t="s">
        <v>130</v>
      </c>
      <c r="F836" s="4">
        <v>194061</v>
      </c>
      <c r="G836" s="28" t="s">
        <v>4176</v>
      </c>
      <c r="H836" s="14">
        <v>43510</v>
      </c>
      <c r="I836" s="4" t="s">
        <v>4157</v>
      </c>
      <c r="J836" s="22"/>
      <c r="K836" s="136"/>
    </row>
    <row r="837" spans="1:19" s="97" customFormat="1" hidden="1" x14ac:dyDescent="0.25">
      <c r="A837" s="14" t="s">
        <v>151</v>
      </c>
      <c r="B837" s="14">
        <v>43511</v>
      </c>
      <c r="C837" s="13">
        <v>347</v>
      </c>
      <c r="D837" s="13" t="s">
        <v>1751</v>
      </c>
      <c r="E837" s="13" t="s">
        <v>130</v>
      </c>
      <c r="F837" s="37">
        <v>3939.88</v>
      </c>
      <c r="G837" s="29" t="s">
        <v>4100</v>
      </c>
      <c r="H837" s="14">
        <v>43502</v>
      </c>
      <c r="I837" s="4" t="s">
        <v>1383</v>
      </c>
      <c r="J837" s="22" t="s">
        <v>721</v>
      </c>
      <c r="K837" s="22"/>
      <c r="L837" s="134"/>
    </row>
    <row r="838" spans="1:19" ht="13.95" hidden="1" customHeight="1" x14ac:dyDescent="0.25">
      <c r="A838" s="68" t="s">
        <v>358</v>
      </c>
      <c r="B838" s="14">
        <v>43511</v>
      </c>
      <c r="C838" s="13">
        <v>372</v>
      </c>
      <c r="D838" s="32" t="s">
        <v>1077</v>
      </c>
      <c r="E838" s="32" t="s">
        <v>38</v>
      </c>
      <c r="F838" s="4">
        <v>2600000</v>
      </c>
      <c r="G838" s="86" t="s">
        <v>410</v>
      </c>
      <c r="H838" s="211"/>
      <c r="I838" s="208" t="s">
        <v>581</v>
      </c>
      <c r="J838" s="21"/>
      <c r="K838" s="228"/>
    </row>
    <row r="839" spans="1:19" ht="13.95" hidden="1" customHeight="1" x14ac:dyDescent="0.25">
      <c r="A839" s="32" t="s">
        <v>35</v>
      </c>
      <c r="B839" s="14">
        <v>43511</v>
      </c>
      <c r="C839" s="13">
        <v>244</v>
      </c>
      <c r="D839" s="32" t="s">
        <v>39</v>
      </c>
      <c r="E839" s="32" t="s">
        <v>963</v>
      </c>
      <c r="F839" s="4">
        <v>5000000</v>
      </c>
      <c r="G839" s="86" t="s">
        <v>1019</v>
      </c>
      <c r="H839" s="211"/>
      <c r="I839" s="41" t="s">
        <v>97</v>
      </c>
      <c r="J839" s="21"/>
      <c r="K839" s="228"/>
    </row>
    <row r="840" spans="1:19" hidden="1" x14ac:dyDescent="0.25">
      <c r="A840" s="61" t="s">
        <v>92</v>
      </c>
      <c r="B840" s="14">
        <v>43511</v>
      </c>
      <c r="C840" s="13">
        <v>283</v>
      </c>
      <c r="D840" s="13" t="s">
        <v>282</v>
      </c>
      <c r="E840" s="13" t="s">
        <v>62</v>
      </c>
      <c r="F840" s="4">
        <v>3575</v>
      </c>
      <c r="G840" s="28" t="s">
        <v>3824</v>
      </c>
      <c r="H840" s="14">
        <v>43496</v>
      </c>
      <c r="I840" s="4" t="s">
        <v>283</v>
      </c>
    </row>
    <row r="841" spans="1:19" hidden="1" x14ac:dyDescent="0.25">
      <c r="A841" s="13" t="s">
        <v>442</v>
      </c>
      <c r="B841" s="14">
        <v>43511</v>
      </c>
      <c r="C841" s="13">
        <v>283</v>
      </c>
      <c r="D841" s="13" t="s">
        <v>282</v>
      </c>
      <c r="E841" s="13" t="s">
        <v>62</v>
      </c>
      <c r="F841" s="4">
        <v>20735</v>
      </c>
      <c r="G841" s="28" t="s">
        <v>3825</v>
      </c>
      <c r="H841" s="14">
        <v>43496</v>
      </c>
      <c r="I841" s="4" t="s">
        <v>283</v>
      </c>
    </row>
    <row r="842" spans="1:19" hidden="1" x14ac:dyDescent="0.25">
      <c r="A842" s="61" t="s">
        <v>358</v>
      </c>
      <c r="B842" s="14">
        <v>43511</v>
      </c>
      <c r="C842" s="13">
        <v>283</v>
      </c>
      <c r="D842" s="13" t="s">
        <v>282</v>
      </c>
      <c r="E842" s="13" t="s">
        <v>62</v>
      </c>
      <c r="F842" s="4">
        <v>4290</v>
      </c>
      <c r="G842" s="28" t="s">
        <v>3826</v>
      </c>
      <c r="H842" s="14">
        <v>43496</v>
      </c>
      <c r="I842" s="4" t="s">
        <v>283</v>
      </c>
    </row>
    <row r="843" spans="1:19" hidden="1" x14ac:dyDescent="0.25">
      <c r="A843" s="61" t="s">
        <v>91</v>
      </c>
      <c r="B843" s="14">
        <v>43511</v>
      </c>
      <c r="C843" s="13">
        <v>283</v>
      </c>
      <c r="D843" s="13" t="s">
        <v>282</v>
      </c>
      <c r="E843" s="13" t="s">
        <v>62</v>
      </c>
      <c r="F843" s="4">
        <v>5720</v>
      </c>
      <c r="G843" s="28" t="s">
        <v>3827</v>
      </c>
      <c r="H843" s="14">
        <v>43496</v>
      </c>
      <c r="I843" s="4" t="s">
        <v>283</v>
      </c>
    </row>
    <row r="844" spans="1:19" hidden="1" x14ac:dyDescent="0.25">
      <c r="A844" s="61" t="s">
        <v>55</v>
      </c>
      <c r="B844" s="14">
        <v>43511</v>
      </c>
      <c r="C844" s="13">
        <v>283</v>
      </c>
      <c r="D844" s="13" t="s">
        <v>282</v>
      </c>
      <c r="E844" s="13" t="s">
        <v>62</v>
      </c>
      <c r="F844" s="4">
        <v>715</v>
      </c>
      <c r="G844" s="28" t="s">
        <v>3134</v>
      </c>
      <c r="H844" s="14">
        <v>43496</v>
      </c>
      <c r="I844" s="4" t="s">
        <v>283</v>
      </c>
    </row>
    <row r="845" spans="1:19" s="129" customFormat="1" hidden="1" x14ac:dyDescent="0.25">
      <c r="A845" s="13" t="s">
        <v>151</v>
      </c>
      <c r="B845" s="14">
        <v>43511</v>
      </c>
      <c r="C845" s="28" t="s">
        <v>4207</v>
      </c>
      <c r="D845" s="13" t="s">
        <v>5</v>
      </c>
      <c r="E845" s="32" t="s">
        <v>62</v>
      </c>
      <c r="F845" s="37">
        <f>1300*4</f>
        <v>5200</v>
      </c>
      <c r="G845" s="28"/>
      <c r="H845" s="14"/>
      <c r="I845" s="4" t="s">
        <v>4055</v>
      </c>
      <c r="J845" s="22"/>
      <c r="K845" s="136"/>
    </row>
    <row r="846" spans="1:19" s="97" customFormat="1" hidden="1" x14ac:dyDescent="0.25">
      <c r="A846" s="32" t="s">
        <v>1147</v>
      </c>
      <c r="B846" s="14">
        <v>43511</v>
      </c>
      <c r="C846" s="13">
        <v>298</v>
      </c>
      <c r="D846" s="13" t="s">
        <v>257</v>
      </c>
      <c r="E846" s="13" t="s">
        <v>808</v>
      </c>
      <c r="F846" s="4">
        <v>828000</v>
      </c>
      <c r="G846" s="28" t="s">
        <v>3420</v>
      </c>
      <c r="H846" s="14">
        <v>43482</v>
      </c>
      <c r="I846" s="4" t="s">
        <v>2722</v>
      </c>
      <c r="J846" s="133"/>
      <c r="K846" s="22"/>
      <c r="L846" s="134"/>
    </row>
    <row r="847" spans="1:19" s="97" customFormat="1" hidden="1" x14ac:dyDescent="0.25">
      <c r="A847" s="13" t="s">
        <v>1149</v>
      </c>
      <c r="B847" s="14">
        <v>43511</v>
      </c>
      <c r="C847" s="13">
        <v>299</v>
      </c>
      <c r="D847" s="13" t="s">
        <v>589</v>
      </c>
      <c r="E847" s="13" t="s">
        <v>808</v>
      </c>
      <c r="F847" s="37">
        <v>800776</v>
      </c>
      <c r="G847" s="29" t="s">
        <v>2893</v>
      </c>
      <c r="H847" s="14">
        <v>43474</v>
      </c>
      <c r="I847" s="4" t="s">
        <v>423</v>
      </c>
      <c r="J847" s="133"/>
      <c r="K847" s="22"/>
      <c r="L847" s="134"/>
    </row>
    <row r="848" spans="1:19" s="97" customFormat="1" hidden="1" x14ac:dyDescent="0.25">
      <c r="A848" s="61" t="s">
        <v>1149</v>
      </c>
      <c r="B848" s="14">
        <v>43511</v>
      </c>
      <c r="C848" s="13">
        <v>299</v>
      </c>
      <c r="D848" s="13" t="s">
        <v>589</v>
      </c>
      <c r="E848" s="13" t="s">
        <v>808</v>
      </c>
      <c r="F848" s="37">
        <v>751464</v>
      </c>
      <c r="G848" s="29" t="s">
        <v>1390</v>
      </c>
      <c r="H848" s="14">
        <v>43487</v>
      </c>
      <c r="I848" s="4" t="s">
        <v>423</v>
      </c>
      <c r="J848" s="133"/>
      <c r="K848" s="22"/>
      <c r="L848" s="134"/>
    </row>
    <row r="849" spans="1:12" s="97" customFormat="1" hidden="1" x14ac:dyDescent="0.25">
      <c r="A849" s="61" t="s">
        <v>1148</v>
      </c>
      <c r="B849" s="14">
        <v>43511</v>
      </c>
      <c r="C849" s="13">
        <v>300</v>
      </c>
      <c r="D849" s="13" t="s">
        <v>249</v>
      </c>
      <c r="E849" s="13" t="s">
        <v>808</v>
      </c>
      <c r="F849" s="37">
        <v>798223.5</v>
      </c>
      <c r="G849" s="29" t="s">
        <v>306</v>
      </c>
      <c r="H849" s="14">
        <v>43483</v>
      </c>
      <c r="I849" s="4" t="s">
        <v>1883</v>
      </c>
      <c r="J849" s="133"/>
      <c r="K849" s="22"/>
      <c r="L849" s="134"/>
    </row>
    <row r="850" spans="1:12" hidden="1" x14ac:dyDescent="0.25">
      <c r="A850" s="61" t="s">
        <v>1147</v>
      </c>
      <c r="B850" s="14">
        <v>43511</v>
      </c>
      <c r="C850" s="13">
        <v>301</v>
      </c>
      <c r="D850" s="13" t="s">
        <v>515</v>
      </c>
      <c r="E850" s="13" t="s">
        <v>808</v>
      </c>
      <c r="F850" s="37">
        <f>570000-100000-70000-150000*2</f>
        <v>100000</v>
      </c>
      <c r="G850" s="29" t="s">
        <v>173</v>
      </c>
      <c r="H850" s="14">
        <v>43456</v>
      </c>
      <c r="I850" s="4" t="s">
        <v>2661</v>
      </c>
    </row>
    <row r="851" spans="1:12" hidden="1" x14ac:dyDescent="0.25">
      <c r="A851" s="61" t="s">
        <v>1148</v>
      </c>
      <c r="B851" s="14">
        <v>43511</v>
      </c>
      <c r="C851" s="13">
        <v>302</v>
      </c>
      <c r="D851" s="13" t="s">
        <v>1395</v>
      </c>
      <c r="E851" s="13" t="s">
        <v>808</v>
      </c>
      <c r="F851" s="4">
        <v>41800</v>
      </c>
      <c r="G851" s="28" t="s">
        <v>3848</v>
      </c>
      <c r="H851" s="14">
        <v>43500</v>
      </c>
      <c r="I851" s="4" t="s">
        <v>3847</v>
      </c>
    </row>
    <row r="852" spans="1:12" hidden="1" x14ac:dyDescent="0.25">
      <c r="A852" s="61" t="s">
        <v>659</v>
      </c>
      <c r="B852" s="14">
        <v>43511</v>
      </c>
      <c r="C852" s="13">
        <v>302</v>
      </c>
      <c r="D852" s="13" t="s">
        <v>1395</v>
      </c>
      <c r="E852" s="13" t="s">
        <v>808</v>
      </c>
      <c r="F852" s="4">
        <v>45600</v>
      </c>
      <c r="G852" s="28" t="s">
        <v>2088</v>
      </c>
      <c r="H852" s="14">
        <v>43500</v>
      </c>
      <c r="I852" s="4" t="s">
        <v>3849</v>
      </c>
    </row>
    <row r="853" spans="1:12" ht="27.6" hidden="1" x14ac:dyDescent="0.25">
      <c r="A853" s="61" t="s">
        <v>1894</v>
      </c>
      <c r="B853" s="14">
        <v>43511</v>
      </c>
      <c r="C853" s="13">
        <v>303</v>
      </c>
      <c r="D853" s="13" t="s">
        <v>80</v>
      </c>
      <c r="E853" s="13" t="s">
        <v>808</v>
      </c>
      <c r="F853" s="37">
        <v>100000</v>
      </c>
      <c r="G853" s="29" t="s">
        <v>3591</v>
      </c>
      <c r="H853" s="14">
        <v>43483</v>
      </c>
      <c r="I853" s="4" t="s">
        <v>2157</v>
      </c>
    </row>
    <row r="854" spans="1:12" hidden="1" x14ac:dyDescent="0.25">
      <c r="A854" s="61" t="s">
        <v>1316</v>
      </c>
      <c r="B854" s="14">
        <v>43511</v>
      </c>
      <c r="C854" s="13">
        <v>304</v>
      </c>
      <c r="D854" s="13" t="s">
        <v>250</v>
      </c>
      <c r="E854" s="13" t="s">
        <v>808</v>
      </c>
      <c r="F854" s="37">
        <v>129200</v>
      </c>
      <c r="G854" s="29" t="s">
        <v>2839</v>
      </c>
      <c r="H854" s="14">
        <v>43461</v>
      </c>
      <c r="I854" s="4" t="s">
        <v>2840</v>
      </c>
    </row>
    <row r="855" spans="1:12" hidden="1" x14ac:dyDescent="0.25">
      <c r="A855" s="61" t="s">
        <v>1316</v>
      </c>
      <c r="B855" s="14">
        <v>43511</v>
      </c>
      <c r="C855" s="13">
        <v>305</v>
      </c>
      <c r="D855" s="13" t="s">
        <v>29</v>
      </c>
      <c r="E855" s="13" t="s">
        <v>808</v>
      </c>
      <c r="F855" s="37">
        <v>36000</v>
      </c>
      <c r="G855" s="29" t="s">
        <v>4089</v>
      </c>
      <c r="H855" s="14">
        <v>43479</v>
      </c>
      <c r="I855" s="4" t="s">
        <v>87</v>
      </c>
    </row>
    <row r="856" spans="1:12" hidden="1" x14ac:dyDescent="0.25">
      <c r="A856" s="61" t="s">
        <v>495</v>
      </c>
      <c r="B856" s="14">
        <v>43511</v>
      </c>
      <c r="C856" s="13">
        <v>305</v>
      </c>
      <c r="D856" s="13" t="s">
        <v>29</v>
      </c>
      <c r="E856" s="13" t="s">
        <v>808</v>
      </c>
      <c r="F856" s="37">
        <v>27000</v>
      </c>
      <c r="G856" s="29" t="s">
        <v>3143</v>
      </c>
      <c r="H856" s="14">
        <v>43482</v>
      </c>
      <c r="I856" s="4" t="s">
        <v>419</v>
      </c>
    </row>
    <row r="857" spans="1:12" hidden="1" x14ac:dyDescent="0.25">
      <c r="A857" s="13" t="s">
        <v>1147</v>
      </c>
      <c r="B857" s="14">
        <v>43511</v>
      </c>
      <c r="C857" s="13">
        <v>305</v>
      </c>
      <c r="D857" s="13" t="s">
        <v>29</v>
      </c>
      <c r="E857" s="13" t="s">
        <v>808</v>
      </c>
      <c r="F857" s="37">
        <v>27200</v>
      </c>
      <c r="G857" s="29" t="s">
        <v>3362</v>
      </c>
      <c r="H857" s="14">
        <v>43482</v>
      </c>
      <c r="I857" s="4" t="s">
        <v>87</v>
      </c>
    </row>
    <row r="858" spans="1:12" hidden="1" x14ac:dyDescent="0.25">
      <c r="A858" s="61" t="s">
        <v>1148</v>
      </c>
      <c r="B858" s="14">
        <v>43511</v>
      </c>
      <c r="C858" s="13">
        <v>305</v>
      </c>
      <c r="D858" s="13" t="s">
        <v>29</v>
      </c>
      <c r="E858" s="13" t="s">
        <v>808</v>
      </c>
      <c r="F858" s="37">
        <v>27200</v>
      </c>
      <c r="G858" s="29" t="s">
        <v>1155</v>
      </c>
      <c r="H858" s="14">
        <v>43486</v>
      </c>
      <c r="I858" s="4" t="s">
        <v>95</v>
      </c>
    </row>
    <row r="859" spans="1:12" hidden="1" x14ac:dyDescent="0.25">
      <c r="A859" s="68" t="s">
        <v>1316</v>
      </c>
      <c r="B859" s="14">
        <v>43511</v>
      </c>
      <c r="C859" s="13">
        <v>305</v>
      </c>
      <c r="D859" s="13" t="s">
        <v>29</v>
      </c>
      <c r="E859" s="13" t="s">
        <v>808</v>
      </c>
      <c r="F859" s="4">
        <v>8000</v>
      </c>
      <c r="G859" s="28" t="s">
        <v>3432</v>
      </c>
      <c r="H859" s="14">
        <v>43488</v>
      </c>
      <c r="I859" s="4" t="s">
        <v>87</v>
      </c>
    </row>
    <row r="860" spans="1:12" hidden="1" x14ac:dyDescent="0.25">
      <c r="A860" s="61" t="s">
        <v>1148</v>
      </c>
      <c r="B860" s="14">
        <v>43511</v>
      </c>
      <c r="C860" s="13">
        <v>305</v>
      </c>
      <c r="D860" s="13" t="s">
        <v>29</v>
      </c>
      <c r="E860" s="13" t="s">
        <v>808</v>
      </c>
      <c r="F860" s="37">
        <v>46200</v>
      </c>
      <c r="G860" s="29" t="s">
        <v>3592</v>
      </c>
      <c r="H860" s="14">
        <v>43489</v>
      </c>
      <c r="I860" s="4" t="s">
        <v>87</v>
      </c>
    </row>
    <row r="861" spans="1:12" hidden="1" x14ac:dyDescent="0.25">
      <c r="A861" s="68" t="s">
        <v>1149</v>
      </c>
      <c r="B861" s="14">
        <v>43511</v>
      </c>
      <c r="C861" s="13">
        <v>305</v>
      </c>
      <c r="D861" s="13" t="s">
        <v>29</v>
      </c>
      <c r="E861" s="13" t="s">
        <v>808</v>
      </c>
      <c r="F861" s="4">
        <v>12000</v>
      </c>
      <c r="G861" s="28" t="s">
        <v>54</v>
      </c>
      <c r="H861" s="14">
        <v>43489</v>
      </c>
      <c r="I861" s="4" t="s">
        <v>419</v>
      </c>
    </row>
    <row r="862" spans="1:12" hidden="1" x14ac:dyDescent="0.25">
      <c r="A862" s="61" t="s">
        <v>1148</v>
      </c>
      <c r="B862" s="14">
        <v>43511</v>
      </c>
      <c r="C862" s="13">
        <v>305</v>
      </c>
      <c r="D862" s="13" t="s">
        <v>29</v>
      </c>
      <c r="E862" s="13" t="s">
        <v>808</v>
      </c>
      <c r="F862" s="37">
        <v>12800</v>
      </c>
      <c r="G862" s="29" t="s">
        <v>477</v>
      </c>
      <c r="H862" s="14">
        <v>43493</v>
      </c>
      <c r="I862" s="4" t="s">
        <v>87</v>
      </c>
    </row>
    <row r="863" spans="1:12" hidden="1" x14ac:dyDescent="0.25">
      <c r="A863" s="61" t="s">
        <v>1316</v>
      </c>
      <c r="B863" s="14">
        <v>43511</v>
      </c>
      <c r="C863" s="13">
        <v>305</v>
      </c>
      <c r="D863" s="13" t="s">
        <v>29</v>
      </c>
      <c r="E863" s="13" t="s">
        <v>808</v>
      </c>
      <c r="F863" s="37">
        <v>13600</v>
      </c>
      <c r="G863" s="29" t="s">
        <v>1313</v>
      </c>
      <c r="H863" s="14">
        <v>43494</v>
      </c>
      <c r="I863" s="4" t="s">
        <v>95</v>
      </c>
    </row>
    <row r="864" spans="1:12" ht="27.6" hidden="1" x14ac:dyDescent="0.25">
      <c r="A864" s="61" t="s">
        <v>4093</v>
      </c>
      <c r="B864" s="14">
        <v>43511</v>
      </c>
      <c r="C864" s="13">
        <v>306</v>
      </c>
      <c r="D864" s="13" t="s">
        <v>1985</v>
      </c>
      <c r="E864" s="13" t="s">
        <v>808</v>
      </c>
      <c r="F864" s="37">
        <v>17600</v>
      </c>
      <c r="G864" s="29" t="s">
        <v>199</v>
      </c>
      <c r="H864" s="14">
        <v>43496</v>
      </c>
      <c r="I864" s="4" t="s">
        <v>122</v>
      </c>
    </row>
    <row r="865" spans="1:19" hidden="1" x14ac:dyDescent="0.25">
      <c r="A865" s="61" t="s">
        <v>188</v>
      </c>
      <c r="B865" s="14">
        <v>43511</v>
      </c>
      <c r="C865" s="13">
        <v>306</v>
      </c>
      <c r="D865" s="13" t="s">
        <v>1985</v>
      </c>
      <c r="E865" s="13" t="s">
        <v>808</v>
      </c>
      <c r="F865" s="37">
        <v>8800</v>
      </c>
      <c r="G865" s="29" t="s">
        <v>3143</v>
      </c>
      <c r="H865" s="14">
        <v>43496</v>
      </c>
      <c r="I865" s="4" t="s">
        <v>122</v>
      </c>
    </row>
    <row r="866" spans="1:19" hidden="1" x14ac:dyDescent="0.25">
      <c r="A866" s="32" t="s">
        <v>1148</v>
      </c>
      <c r="B866" s="14">
        <v>43511</v>
      </c>
      <c r="C866" s="13">
        <v>307</v>
      </c>
      <c r="D866" s="13" t="s">
        <v>692</v>
      </c>
      <c r="E866" s="13" t="s">
        <v>808</v>
      </c>
      <c r="F866" s="4">
        <v>11000</v>
      </c>
      <c r="G866" s="28" t="s">
        <v>1442</v>
      </c>
      <c r="H866" s="14">
        <v>43449</v>
      </c>
      <c r="I866" s="4" t="s">
        <v>419</v>
      </c>
    </row>
    <row r="867" spans="1:19" ht="27.6" hidden="1" x14ac:dyDescent="0.25">
      <c r="A867" s="32" t="s">
        <v>1894</v>
      </c>
      <c r="B867" s="14">
        <v>43511</v>
      </c>
      <c r="C867" s="13">
        <v>307</v>
      </c>
      <c r="D867" s="13" t="s">
        <v>692</v>
      </c>
      <c r="E867" s="13" t="s">
        <v>808</v>
      </c>
      <c r="F867" s="4">
        <v>212625</v>
      </c>
      <c r="G867" s="28" t="s">
        <v>1253</v>
      </c>
      <c r="H867" s="14">
        <v>43449</v>
      </c>
      <c r="I867" s="4" t="s">
        <v>2027</v>
      </c>
    </row>
    <row r="868" spans="1:19" hidden="1" x14ac:dyDescent="0.25">
      <c r="A868" s="13" t="s">
        <v>8</v>
      </c>
      <c r="B868" s="14">
        <v>43511</v>
      </c>
      <c r="C868" s="13">
        <v>307</v>
      </c>
      <c r="D868" s="13" t="s">
        <v>692</v>
      </c>
      <c r="E868" s="13" t="s">
        <v>808</v>
      </c>
      <c r="F868" s="37">
        <v>28800</v>
      </c>
      <c r="G868" s="29" t="s">
        <v>1565</v>
      </c>
      <c r="H868" s="14">
        <v>43449</v>
      </c>
      <c r="I868" s="4" t="s">
        <v>419</v>
      </c>
    </row>
    <row r="869" spans="1:19" hidden="1" x14ac:dyDescent="0.25">
      <c r="A869" s="61" t="s">
        <v>1148</v>
      </c>
      <c r="B869" s="14">
        <v>43511</v>
      </c>
      <c r="C869" s="13">
        <v>308</v>
      </c>
      <c r="D869" s="13" t="s">
        <v>2115</v>
      </c>
      <c r="E869" s="13" t="s">
        <v>808</v>
      </c>
      <c r="F869" s="37">
        <v>400000</v>
      </c>
      <c r="G869" s="29" t="s">
        <v>98</v>
      </c>
      <c r="H869" s="14">
        <v>43465</v>
      </c>
      <c r="I869" s="4" t="s">
        <v>164</v>
      </c>
    </row>
    <row r="870" spans="1:19" hidden="1" x14ac:dyDescent="0.25">
      <c r="A870" s="61" t="s">
        <v>1147</v>
      </c>
      <c r="B870" s="14">
        <v>43511</v>
      </c>
      <c r="C870" s="13">
        <v>309</v>
      </c>
      <c r="D870" s="13" t="s">
        <v>303</v>
      </c>
      <c r="E870" s="13" t="s">
        <v>808</v>
      </c>
      <c r="F870" s="37">
        <v>16530</v>
      </c>
      <c r="G870" s="29" t="s">
        <v>4095</v>
      </c>
      <c r="H870" s="14">
        <v>43488</v>
      </c>
      <c r="I870" s="4" t="s">
        <v>87</v>
      </c>
    </row>
    <row r="871" spans="1:19" hidden="1" x14ac:dyDescent="0.25">
      <c r="A871" s="32" t="s">
        <v>151</v>
      </c>
      <c r="B871" s="14">
        <v>43511</v>
      </c>
      <c r="C871" s="67">
        <v>310</v>
      </c>
      <c r="D871" s="32" t="s">
        <v>93</v>
      </c>
      <c r="E871" s="13" t="s">
        <v>808</v>
      </c>
      <c r="F871" s="4">
        <v>16000</v>
      </c>
      <c r="G871" s="67">
        <v>717</v>
      </c>
      <c r="H871" s="14">
        <v>43508</v>
      </c>
      <c r="I871" s="4" t="s">
        <v>4516</v>
      </c>
      <c r="J871" s="21"/>
      <c r="K871" s="228"/>
    </row>
    <row r="872" spans="1:19" hidden="1" x14ac:dyDescent="0.25">
      <c r="A872" s="68" t="s">
        <v>4208</v>
      </c>
      <c r="B872" s="14">
        <v>43511</v>
      </c>
      <c r="C872" s="13">
        <v>312</v>
      </c>
      <c r="D872" s="32" t="s">
        <v>3628</v>
      </c>
      <c r="E872" s="32" t="s">
        <v>808</v>
      </c>
      <c r="F872" s="4">
        <v>70000</v>
      </c>
      <c r="G872" s="210" t="s">
        <v>4209</v>
      </c>
      <c r="H872" s="211">
        <v>43508</v>
      </c>
      <c r="I872" s="208" t="s">
        <v>4210</v>
      </c>
      <c r="J872" s="21"/>
      <c r="K872" s="228"/>
    </row>
    <row r="873" spans="1:19" hidden="1" x14ac:dyDescent="0.25">
      <c r="A873" s="61" t="s">
        <v>460</v>
      </c>
      <c r="B873" s="14">
        <v>43511</v>
      </c>
      <c r="C873" s="13">
        <v>532</v>
      </c>
      <c r="D873" s="13" t="s">
        <v>4211</v>
      </c>
      <c r="E873" s="13" t="s">
        <v>140</v>
      </c>
      <c r="F873" s="256">
        <v>610000</v>
      </c>
      <c r="G873" s="69" t="s">
        <v>4212</v>
      </c>
      <c r="H873" s="14"/>
      <c r="I873" s="274"/>
      <c r="J873" s="169"/>
    </row>
    <row r="874" spans="1:19" hidden="1" x14ac:dyDescent="0.25">
      <c r="A874" s="32" t="s">
        <v>741</v>
      </c>
      <c r="B874" s="14">
        <v>43511</v>
      </c>
      <c r="C874" s="13">
        <v>157</v>
      </c>
      <c r="D874" s="13" t="s">
        <v>3183</v>
      </c>
      <c r="E874" s="13" t="s">
        <v>434</v>
      </c>
      <c r="F874" s="4">
        <v>39860</v>
      </c>
      <c r="G874" s="28" t="s">
        <v>1451</v>
      </c>
      <c r="H874" s="14">
        <v>43511</v>
      </c>
      <c r="I874" s="4" t="s">
        <v>4175</v>
      </c>
      <c r="J874" s="128"/>
    </row>
    <row r="875" spans="1:19" s="129" customFormat="1" ht="27.6" hidden="1" x14ac:dyDescent="0.25">
      <c r="A875" s="13" t="s">
        <v>151</v>
      </c>
      <c r="B875" s="14">
        <v>43514</v>
      </c>
      <c r="C875" s="28" t="s">
        <v>4265</v>
      </c>
      <c r="D875" s="13" t="s">
        <v>1945</v>
      </c>
      <c r="E875" s="32" t="s">
        <v>1427</v>
      </c>
      <c r="F875" s="37">
        <v>14196</v>
      </c>
      <c r="G875" s="28" t="s">
        <v>2186</v>
      </c>
      <c r="H875" s="14">
        <v>43370</v>
      </c>
      <c r="I875" s="4" t="s">
        <v>1835</v>
      </c>
      <c r="J875" s="22" t="s">
        <v>366</v>
      </c>
      <c r="K875" s="136"/>
    </row>
    <row r="876" spans="1:19" s="129" customFormat="1" ht="27.6" hidden="1" x14ac:dyDescent="0.25">
      <c r="A876" s="13" t="s">
        <v>151</v>
      </c>
      <c r="B876" s="14">
        <v>43514</v>
      </c>
      <c r="C876" s="28" t="s">
        <v>205</v>
      </c>
      <c r="D876" s="13" t="s">
        <v>1945</v>
      </c>
      <c r="E876" s="32" t="s">
        <v>2021</v>
      </c>
      <c r="F876" s="37">
        <v>15912</v>
      </c>
      <c r="G876" s="28" t="s">
        <v>2187</v>
      </c>
      <c r="H876" s="14">
        <v>43370</v>
      </c>
      <c r="I876" s="4" t="s">
        <v>1835</v>
      </c>
      <c r="J876" s="22" t="s">
        <v>366</v>
      </c>
      <c r="K876" s="136"/>
    </row>
    <row r="877" spans="1:19" s="62" customFormat="1" ht="15" hidden="1" customHeight="1" x14ac:dyDescent="0.25">
      <c r="A877" s="61" t="s">
        <v>188</v>
      </c>
      <c r="B877" s="14">
        <v>43514</v>
      </c>
      <c r="C877" s="13">
        <v>28</v>
      </c>
      <c r="D877" s="13" t="s">
        <v>210</v>
      </c>
      <c r="E877" s="13" t="s">
        <v>483</v>
      </c>
      <c r="F877" s="37">
        <v>17094</v>
      </c>
      <c r="G877" s="29" t="s">
        <v>4064</v>
      </c>
      <c r="H877" s="14">
        <v>43504</v>
      </c>
      <c r="I877" s="4" t="s">
        <v>1728</v>
      </c>
      <c r="J877" s="22" t="s">
        <v>239</v>
      </c>
      <c r="O877" s="35"/>
      <c r="P877" s="35"/>
      <c r="Q877" s="35"/>
      <c r="R877" s="35"/>
      <c r="S877" s="35"/>
    </row>
    <row r="878" spans="1:19" ht="15" hidden="1" customHeight="1" x14ac:dyDescent="0.25">
      <c r="A878" s="32" t="s">
        <v>188</v>
      </c>
      <c r="B878" s="14">
        <v>43514</v>
      </c>
      <c r="C878" s="67">
        <v>27</v>
      </c>
      <c r="D878" s="32" t="s">
        <v>156</v>
      </c>
      <c r="E878" s="32" t="s">
        <v>483</v>
      </c>
      <c r="F878" s="4">
        <v>969643.59</v>
      </c>
      <c r="G878" s="28" t="s">
        <v>4137</v>
      </c>
      <c r="H878" s="14">
        <v>43501</v>
      </c>
      <c r="I878" s="4" t="s">
        <v>362</v>
      </c>
      <c r="J878" s="166" t="s">
        <v>239</v>
      </c>
      <c r="K878" s="167"/>
      <c r="L878" s="35"/>
    </row>
    <row r="879" spans="1:19" hidden="1" x14ac:dyDescent="0.25">
      <c r="A879" s="13" t="s">
        <v>637</v>
      </c>
      <c r="B879" s="126">
        <v>43514</v>
      </c>
      <c r="C879" s="13">
        <v>156</v>
      </c>
      <c r="D879" s="13" t="s">
        <v>528</v>
      </c>
      <c r="E879" s="13" t="s">
        <v>691</v>
      </c>
      <c r="F879" s="37">
        <v>1915000</v>
      </c>
      <c r="G879" s="29" t="s">
        <v>1649</v>
      </c>
      <c r="H879" s="14"/>
      <c r="I879" s="4" t="s">
        <v>1650</v>
      </c>
      <c r="J879" s="62"/>
      <c r="K879" s="62"/>
      <c r="L879" s="35"/>
      <c r="M879" s="35"/>
      <c r="N879" s="35"/>
      <c r="O879" s="35"/>
      <c r="P879" s="35"/>
    </row>
    <row r="880" spans="1:19" hidden="1" x14ac:dyDescent="0.25">
      <c r="A880" s="13" t="s">
        <v>637</v>
      </c>
      <c r="B880" s="126">
        <v>43514</v>
      </c>
      <c r="C880" s="13">
        <v>149</v>
      </c>
      <c r="D880" s="13" t="s">
        <v>541</v>
      </c>
      <c r="E880" s="13" t="s">
        <v>691</v>
      </c>
      <c r="F880" s="37">
        <v>3850000</v>
      </c>
      <c r="G880" s="29" t="s">
        <v>4153</v>
      </c>
      <c r="H880" s="14"/>
      <c r="I880" s="208" t="s">
        <v>4152</v>
      </c>
      <c r="J880" s="62"/>
      <c r="K880" s="62"/>
      <c r="L880" s="35"/>
      <c r="M880" s="35"/>
      <c r="N880" s="35"/>
      <c r="O880" s="35"/>
      <c r="P880" s="35"/>
    </row>
    <row r="881" spans="1:19" hidden="1" x14ac:dyDescent="0.25">
      <c r="A881" s="13" t="s">
        <v>637</v>
      </c>
      <c r="B881" s="126">
        <v>43514</v>
      </c>
      <c r="C881" s="13">
        <v>150</v>
      </c>
      <c r="D881" s="13" t="s">
        <v>541</v>
      </c>
      <c r="E881" s="13" t="s">
        <v>691</v>
      </c>
      <c r="F881" s="37">
        <v>2650000</v>
      </c>
      <c r="G881" s="29" t="s">
        <v>4154</v>
      </c>
      <c r="H881" s="14"/>
      <c r="I881" s="208" t="s">
        <v>4155</v>
      </c>
      <c r="J881" s="62"/>
      <c r="K881" s="62"/>
      <c r="L881" s="35"/>
      <c r="M881" s="35"/>
      <c r="N881" s="35"/>
      <c r="O881" s="35"/>
      <c r="P881" s="35"/>
    </row>
    <row r="882" spans="1:19" hidden="1" x14ac:dyDescent="0.25">
      <c r="A882" s="32" t="s">
        <v>1350</v>
      </c>
      <c r="B882" s="126">
        <v>43514</v>
      </c>
      <c r="C882" s="13">
        <v>155</v>
      </c>
      <c r="D882" s="32" t="s">
        <v>825</v>
      </c>
      <c r="E882" s="13" t="s">
        <v>691</v>
      </c>
      <c r="F882" s="4">
        <v>285000</v>
      </c>
      <c r="G882" s="29" t="s">
        <v>1643</v>
      </c>
      <c r="H882" s="211"/>
      <c r="I882" s="4" t="s">
        <v>82</v>
      </c>
      <c r="J882" s="228"/>
      <c r="K882" s="228"/>
    </row>
    <row r="883" spans="1:19" hidden="1" x14ac:dyDescent="0.25">
      <c r="A883" s="13" t="s">
        <v>1350</v>
      </c>
      <c r="B883" s="126">
        <v>43514</v>
      </c>
      <c r="C883" s="13">
        <v>151</v>
      </c>
      <c r="D883" s="32" t="s">
        <v>3662</v>
      </c>
      <c r="E883" s="13" t="s">
        <v>691</v>
      </c>
      <c r="F883" s="4">
        <v>600652.80000000005</v>
      </c>
      <c r="G883" s="29" t="s">
        <v>4156</v>
      </c>
      <c r="H883" s="14">
        <v>43489</v>
      </c>
      <c r="I883" s="4" t="s">
        <v>3664</v>
      </c>
      <c r="J883" s="62"/>
      <c r="K883" s="62"/>
      <c r="L883" s="35"/>
      <c r="M883" s="35"/>
      <c r="N883" s="35"/>
      <c r="O883" s="35"/>
      <c r="P883" s="35"/>
    </row>
    <row r="884" spans="1:19" s="97" customFormat="1" hidden="1" x14ac:dyDescent="0.25">
      <c r="A884" s="13" t="s">
        <v>1350</v>
      </c>
      <c r="B884" s="126">
        <v>43514</v>
      </c>
      <c r="C884" s="13">
        <v>152</v>
      </c>
      <c r="D884" s="13" t="s">
        <v>1317</v>
      </c>
      <c r="E884" s="13" t="s">
        <v>691</v>
      </c>
      <c r="F884" s="4">
        <f>59112+57887.65+76566.9</f>
        <v>193566.55</v>
      </c>
      <c r="G884" s="70" t="s">
        <v>3811</v>
      </c>
      <c r="H884" s="211">
        <v>43510</v>
      </c>
      <c r="I884" s="4" t="s">
        <v>3812</v>
      </c>
      <c r="J884" s="133"/>
      <c r="K884" s="22"/>
      <c r="L884" s="134"/>
    </row>
    <row r="885" spans="1:19" s="97" customFormat="1" hidden="1" x14ac:dyDescent="0.25">
      <c r="A885" s="13" t="s">
        <v>1350</v>
      </c>
      <c r="B885" s="126">
        <v>43514</v>
      </c>
      <c r="C885" s="28" t="s">
        <v>858</v>
      </c>
      <c r="D885" s="13" t="s">
        <v>1317</v>
      </c>
      <c r="E885" s="13" t="s">
        <v>691</v>
      </c>
      <c r="F885" s="37">
        <v>5938.0199999999968</v>
      </c>
      <c r="G885" s="29" t="s">
        <v>3808</v>
      </c>
      <c r="H885" s="14">
        <v>43490</v>
      </c>
      <c r="I885" s="4" t="s">
        <v>1489</v>
      </c>
      <c r="J885" s="133"/>
      <c r="K885" s="22"/>
      <c r="L885" s="134"/>
    </row>
    <row r="886" spans="1:19" hidden="1" x14ac:dyDescent="0.25">
      <c r="A886" s="13" t="s">
        <v>637</v>
      </c>
      <c r="B886" s="126">
        <v>43514</v>
      </c>
      <c r="C886" s="28" t="s">
        <v>98</v>
      </c>
      <c r="D886" s="32" t="s">
        <v>432</v>
      </c>
      <c r="E886" s="32" t="s">
        <v>691</v>
      </c>
      <c r="F886" s="4">
        <v>185000</v>
      </c>
      <c r="G886" s="69" t="s">
        <v>3256</v>
      </c>
      <c r="H886" s="14"/>
      <c r="I886" s="4" t="s">
        <v>433</v>
      </c>
      <c r="J886" s="21"/>
      <c r="K886" s="228"/>
    </row>
    <row r="887" spans="1:19" s="97" customFormat="1" hidden="1" x14ac:dyDescent="0.25">
      <c r="A887" s="13" t="s">
        <v>1255</v>
      </c>
      <c r="B887" s="126">
        <v>43514</v>
      </c>
      <c r="C887" s="13">
        <v>158</v>
      </c>
      <c r="D887" s="13" t="s">
        <v>590</v>
      </c>
      <c r="E887" s="13" t="s">
        <v>691</v>
      </c>
      <c r="F887" s="4">
        <v>1600000</v>
      </c>
      <c r="G887" s="29" t="s">
        <v>1323</v>
      </c>
      <c r="H887" s="14">
        <v>42746</v>
      </c>
      <c r="I887" s="4" t="s">
        <v>159</v>
      </c>
      <c r="J887" s="133"/>
      <c r="K887" s="22"/>
      <c r="L887" s="134"/>
    </row>
    <row r="888" spans="1:19" s="97" customFormat="1" hidden="1" x14ac:dyDescent="0.25">
      <c r="A888" s="32" t="s">
        <v>1350</v>
      </c>
      <c r="B888" s="126">
        <v>43514</v>
      </c>
      <c r="C888" s="13">
        <v>157</v>
      </c>
      <c r="D888" s="13" t="s">
        <v>276</v>
      </c>
      <c r="E888" s="13" t="s">
        <v>691</v>
      </c>
      <c r="F888" s="4">
        <v>105300</v>
      </c>
      <c r="G888" s="28" t="s">
        <v>3236</v>
      </c>
      <c r="H888" s="14">
        <v>43487</v>
      </c>
      <c r="I888" s="4" t="s">
        <v>1876</v>
      </c>
      <c r="J888" s="133"/>
      <c r="K888" s="22"/>
      <c r="L888" s="134"/>
    </row>
    <row r="889" spans="1:19" s="97" customFormat="1" hidden="1" x14ac:dyDescent="0.25">
      <c r="A889" s="32" t="s">
        <v>1350</v>
      </c>
      <c r="B889" s="126">
        <v>43514</v>
      </c>
      <c r="C889" s="13">
        <v>157</v>
      </c>
      <c r="D889" s="13" t="s">
        <v>276</v>
      </c>
      <c r="E889" s="13" t="s">
        <v>691</v>
      </c>
      <c r="F889" s="4">
        <v>135500</v>
      </c>
      <c r="G889" s="70" t="s">
        <v>2963</v>
      </c>
      <c r="H889" s="211">
        <v>43493</v>
      </c>
      <c r="I889" s="4" t="s">
        <v>3604</v>
      </c>
      <c r="J889" s="133"/>
      <c r="K889" s="22"/>
      <c r="L889" s="134"/>
    </row>
    <row r="890" spans="1:19" hidden="1" x14ac:dyDescent="0.25">
      <c r="A890" s="61" t="s">
        <v>1350</v>
      </c>
      <c r="B890" s="126">
        <v>43514</v>
      </c>
      <c r="C890" s="13">
        <v>154</v>
      </c>
      <c r="D890" s="13" t="s">
        <v>944</v>
      </c>
      <c r="E890" s="13" t="s">
        <v>691</v>
      </c>
      <c r="F890" s="37">
        <f>150750-87000</f>
        <v>63750</v>
      </c>
      <c r="G890" s="29" t="s">
        <v>3114</v>
      </c>
      <c r="H890" s="14">
        <v>43459</v>
      </c>
      <c r="I890" s="4" t="s">
        <v>402</v>
      </c>
    </row>
    <row r="891" spans="1:19" hidden="1" x14ac:dyDescent="0.25">
      <c r="A891" s="13" t="s">
        <v>1350</v>
      </c>
      <c r="B891" s="126">
        <v>43514</v>
      </c>
      <c r="C891" s="13">
        <v>159</v>
      </c>
      <c r="D891" s="13" t="s">
        <v>1395</v>
      </c>
      <c r="E891" s="13" t="s">
        <v>691</v>
      </c>
      <c r="F891" s="4">
        <v>45600</v>
      </c>
      <c r="G891" s="28" t="s">
        <v>4083</v>
      </c>
      <c r="H891" s="14">
        <v>43502</v>
      </c>
      <c r="I891" s="4" t="s">
        <v>4082</v>
      </c>
    </row>
    <row r="892" spans="1:19" hidden="1" x14ac:dyDescent="0.25">
      <c r="A892" s="32" t="s">
        <v>1350</v>
      </c>
      <c r="B892" s="126">
        <v>43514</v>
      </c>
      <c r="C892" s="13">
        <v>159</v>
      </c>
      <c r="D892" s="13" t="s">
        <v>1395</v>
      </c>
      <c r="E892" s="13" t="s">
        <v>691</v>
      </c>
      <c r="F892" s="4">
        <v>30400</v>
      </c>
      <c r="G892" s="28" t="s">
        <v>4084</v>
      </c>
      <c r="H892" s="14">
        <v>43507</v>
      </c>
      <c r="I892" s="4" t="s">
        <v>4085</v>
      </c>
    </row>
    <row r="893" spans="1:19" hidden="1" x14ac:dyDescent="0.25">
      <c r="A893" s="61" t="s">
        <v>1350</v>
      </c>
      <c r="B893" s="126">
        <v>43514</v>
      </c>
      <c r="C893" s="13">
        <v>153</v>
      </c>
      <c r="D893" s="13" t="s">
        <v>862</v>
      </c>
      <c r="E893" s="13" t="s">
        <v>691</v>
      </c>
      <c r="F893" s="37">
        <v>10000</v>
      </c>
      <c r="G893" s="29" t="s">
        <v>4094</v>
      </c>
      <c r="H893" s="14">
        <v>43481</v>
      </c>
      <c r="I893" s="4" t="s">
        <v>354</v>
      </c>
    </row>
    <row r="894" spans="1:19" hidden="1" x14ac:dyDescent="0.25">
      <c r="A894" s="32" t="s">
        <v>151</v>
      </c>
      <c r="B894" s="14">
        <v>43514</v>
      </c>
      <c r="C894" s="28" t="s">
        <v>152</v>
      </c>
      <c r="D894" s="32" t="s">
        <v>2952</v>
      </c>
      <c r="E894" s="13" t="s">
        <v>481</v>
      </c>
      <c r="F894" s="4">
        <v>150000</v>
      </c>
      <c r="G894" s="67"/>
      <c r="H894" s="14"/>
      <c r="I894" s="4" t="s">
        <v>3027</v>
      </c>
      <c r="J894" s="21"/>
      <c r="K894" s="228"/>
    </row>
    <row r="895" spans="1:19" ht="13.95" hidden="1" customHeight="1" x14ac:dyDescent="0.25">
      <c r="A895" s="68" t="s">
        <v>209</v>
      </c>
      <c r="B895" s="14">
        <v>43514</v>
      </c>
      <c r="C895" s="67">
        <v>31</v>
      </c>
      <c r="D895" s="32" t="s">
        <v>595</v>
      </c>
      <c r="E895" s="32" t="s">
        <v>134</v>
      </c>
      <c r="F895" s="4">
        <v>1000000</v>
      </c>
      <c r="G895" s="28" t="s">
        <v>1600</v>
      </c>
      <c r="H895" s="14">
        <v>43465</v>
      </c>
      <c r="I895" s="41" t="s">
        <v>949</v>
      </c>
      <c r="J895" s="166" t="s">
        <v>327</v>
      </c>
      <c r="K895" s="167"/>
      <c r="L895" s="35"/>
    </row>
    <row r="896" spans="1:19" s="2" customFormat="1" hidden="1" x14ac:dyDescent="0.25">
      <c r="A896" s="13" t="s">
        <v>6</v>
      </c>
      <c r="B896" s="14">
        <v>43514</v>
      </c>
      <c r="C896" s="13">
        <v>67</v>
      </c>
      <c r="D896" s="13" t="s">
        <v>4170</v>
      </c>
      <c r="E896" s="13" t="s">
        <v>183</v>
      </c>
      <c r="F896" s="4">
        <v>130000</v>
      </c>
      <c r="G896" s="29" t="s">
        <v>2963</v>
      </c>
      <c r="H896" s="14">
        <v>43509</v>
      </c>
      <c r="I896" s="4" t="s">
        <v>4171</v>
      </c>
      <c r="J896" s="341"/>
      <c r="K896" s="31"/>
      <c r="L896" s="31"/>
      <c r="M896" s="31"/>
      <c r="N896" s="31"/>
      <c r="O896" s="34"/>
      <c r="P896" s="34"/>
      <c r="Q896" s="34"/>
      <c r="R896" s="34"/>
      <c r="S896" s="34"/>
    </row>
    <row r="897" spans="1:19" s="2" customFormat="1" ht="27.6" hidden="1" x14ac:dyDescent="0.25">
      <c r="A897" s="13" t="s">
        <v>6</v>
      </c>
      <c r="B897" s="14">
        <v>43514</v>
      </c>
      <c r="C897" s="13">
        <v>68</v>
      </c>
      <c r="D897" s="13" t="s">
        <v>1526</v>
      </c>
      <c r="E897" s="13" t="s">
        <v>183</v>
      </c>
      <c r="F897" s="4">
        <v>11850</v>
      </c>
      <c r="G897" s="29" t="s">
        <v>4172</v>
      </c>
      <c r="H897" s="14">
        <v>43465</v>
      </c>
      <c r="I897" s="4" t="s">
        <v>4173</v>
      </c>
      <c r="J897" s="341"/>
      <c r="K897" s="31"/>
      <c r="L897" s="31"/>
      <c r="M897" s="31"/>
      <c r="N897" s="31"/>
      <c r="O897" s="34"/>
      <c r="P897" s="34"/>
      <c r="Q897" s="34"/>
      <c r="R897" s="34"/>
      <c r="S897" s="34"/>
    </row>
    <row r="898" spans="1:19" s="2" customFormat="1" ht="15" hidden="1" customHeight="1" x14ac:dyDescent="0.25">
      <c r="A898" s="13" t="s">
        <v>6</v>
      </c>
      <c r="B898" s="14">
        <v>43514</v>
      </c>
      <c r="C898" s="13">
        <v>69</v>
      </c>
      <c r="D898" s="13" t="s">
        <v>464</v>
      </c>
      <c r="E898" s="13" t="s">
        <v>183</v>
      </c>
      <c r="F898" s="4">
        <v>6170</v>
      </c>
      <c r="G898" s="29" t="s">
        <v>300</v>
      </c>
      <c r="H898" s="14">
        <v>43496</v>
      </c>
      <c r="I898" s="4" t="s">
        <v>1954</v>
      </c>
      <c r="J898" s="341"/>
      <c r="K898" s="31"/>
      <c r="L898" s="31"/>
      <c r="M898" s="31"/>
      <c r="N898" s="31"/>
      <c r="O898" s="34"/>
      <c r="P898" s="34"/>
      <c r="Q898" s="34"/>
      <c r="R898" s="34"/>
      <c r="S898" s="34"/>
    </row>
    <row r="899" spans="1:19" s="2" customFormat="1" hidden="1" x14ac:dyDescent="0.25">
      <c r="A899" s="13" t="s">
        <v>6</v>
      </c>
      <c r="B899" s="14">
        <v>43514</v>
      </c>
      <c r="C899" s="13">
        <v>70</v>
      </c>
      <c r="D899" s="32" t="s">
        <v>94</v>
      </c>
      <c r="E899" s="13" t="s">
        <v>183</v>
      </c>
      <c r="F899" s="4">
        <v>26228.02</v>
      </c>
      <c r="G899" s="29" t="s">
        <v>4164</v>
      </c>
      <c r="H899" s="14">
        <v>43510</v>
      </c>
      <c r="I899" s="4" t="s">
        <v>4165</v>
      </c>
      <c r="J899" s="341"/>
      <c r="K899" s="31"/>
      <c r="L899" s="31"/>
      <c r="M899" s="31"/>
      <c r="N899" s="31"/>
      <c r="O899" s="34"/>
      <c r="P899" s="34"/>
      <c r="Q899" s="34"/>
      <c r="R899" s="34"/>
      <c r="S899" s="34"/>
    </row>
    <row r="900" spans="1:19" s="2" customFormat="1" ht="15" hidden="1" customHeight="1" x14ac:dyDescent="0.25">
      <c r="A900" s="13" t="s">
        <v>6</v>
      </c>
      <c r="B900" s="14">
        <v>43514</v>
      </c>
      <c r="C900" s="13">
        <v>71</v>
      </c>
      <c r="D900" s="13" t="s">
        <v>896</v>
      </c>
      <c r="E900" s="13" t="s">
        <v>183</v>
      </c>
      <c r="F900" s="4">
        <v>66875</v>
      </c>
      <c r="G900" s="29" t="s">
        <v>4213</v>
      </c>
      <c r="H900" s="14">
        <v>43479</v>
      </c>
      <c r="I900" s="4" t="s">
        <v>208</v>
      </c>
      <c r="J900" s="341"/>
      <c r="K900" s="31"/>
      <c r="L900" s="31"/>
      <c r="M900" s="31"/>
      <c r="N900" s="31"/>
      <c r="O900" s="34"/>
      <c r="P900" s="34"/>
      <c r="Q900" s="34"/>
      <c r="R900" s="34"/>
      <c r="S900" s="34"/>
    </row>
    <row r="901" spans="1:19" s="2" customFormat="1" ht="15" hidden="1" customHeight="1" x14ac:dyDescent="0.25">
      <c r="A901" s="13" t="s">
        <v>6</v>
      </c>
      <c r="B901" s="14">
        <v>43514</v>
      </c>
      <c r="C901" s="13">
        <v>71</v>
      </c>
      <c r="D901" s="13" t="s">
        <v>896</v>
      </c>
      <c r="E901" s="13" t="s">
        <v>183</v>
      </c>
      <c r="F901" s="4">
        <v>54500</v>
      </c>
      <c r="G901" s="29" t="s">
        <v>4214</v>
      </c>
      <c r="H901" s="14">
        <v>43493</v>
      </c>
      <c r="I901" s="4" t="s">
        <v>208</v>
      </c>
      <c r="J901" s="341"/>
      <c r="K901" s="31"/>
      <c r="L901" s="31"/>
      <c r="M901" s="31"/>
      <c r="N901" s="31"/>
      <c r="O901" s="34"/>
      <c r="P901" s="34"/>
      <c r="Q901" s="34"/>
      <c r="R901" s="34"/>
      <c r="S901" s="34"/>
    </row>
    <row r="902" spans="1:19" s="2" customFormat="1" ht="15" hidden="1" customHeight="1" x14ac:dyDescent="0.25">
      <c r="A902" s="13" t="s">
        <v>6</v>
      </c>
      <c r="B902" s="14">
        <v>43514</v>
      </c>
      <c r="C902" s="13">
        <v>71</v>
      </c>
      <c r="D902" s="13" t="s">
        <v>896</v>
      </c>
      <c r="E902" s="13" t="s">
        <v>183</v>
      </c>
      <c r="F902" s="4">
        <v>80000</v>
      </c>
      <c r="G902" s="29" t="s">
        <v>4215</v>
      </c>
      <c r="H902" s="14">
        <v>43498</v>
      </c>
      <c r="I902" s="4" t="s">
        <v>2761</v>
      </c>
      <c r="J902" s="341"/>
      <c r="K902" s="31"/>
      <c r="L902" s="31"/>
      <c r="M902" s="31"/>
      <c r="N902" s="31"/>
      <c r="O902" s="34"/>
      <c r="P902" s="34"/>
      <c r="Q902" s="34"/>
      <c r="R902" s="34"/>
      <c r="S902" s="34"/>
    </row>
    <row r="903" spans="1:19" s="2" customFormat="1" ht="15" hidden="1" customHeight="1" x14ac:dyDescent="0.25">
      <c r="A903" s="13" t="s">
        <v>6</v>
      </c>
      <c r="B903" s="14">
        <v>43514</v>
      </c>
      <c r="C903" s="13">
        <v>72</v>
      </c>
      <c r="D903" s="32" t="s">
        <v>841</v>
      </c>
      <c r="E903" s="13" t="s">
        <v>183</v>
      </c>
      <c r="F903" s="4">
        <v>86075</v>
      </c>
      <c r="G903" s="29" t="s">
        <v>4174</v>
      </c>
      <c r="H903" s="14">
        <v>43454</v>
      </c>
      <c r="I903" s="4" t="s">
        <v>263</v>
      </c>
      <c r="J903" s="341"/>
      <c r="K903" s="31"/>
      <c r="L903" s="31"/>
      <c r="M903" s="31"/>
      <c r="N903" s="31"/>
      <c r="O903" s="34"/>
      <c r="P903" s="34"/>
      <c r="Q903" s="34"/>
      <c r="R903" s="34"/>
      <c r="S903" s="34"/>
    </row>
    <row r="904" spans="1:19" s="2" customFormat="1" ht="15" hidden="1" customHeight="1" x14ac:dyDescent="0.25">
      <c r="A904" s="61" t="s">
        <v>6</v>
      </c>
      <c r="B904" s="14">
        <v>43514</v>
      </c>
      <c r="C904" s="13">
        <v>73</v>
      </c>
      <c r="D904" s="13" t="s">
        <v>887</v>
      </c>
      <c r="E904" s="13" t="s">
        <v>183</v>
      </c>
      <c r="F904" s="4">
        <v>3000</v>
      </c>
      <c r="G904" s="29" t="s">
        <v>1712</v>
      </c>
      <c r="H904" s="14">
        <v>43241</v>
      </c>
      <c r="I904" s="4" t="s">
        <v>4169</v>
      </c>
      <c r="J904" s="341"/>
      <c r="K904" s="31"/>
      <c r="L904" s="31"/>
      <c r="M904" s="31"/>
      <c r="N904" s="31"/>
      <c r="O904" s="34"/>
      <c r="P904" s="34"/>
      <c r="Q904" s="34"/>
      <c r="R904" s="34"/>
      <c r="S904" s="34"/>
    </row>
    <row r="905" spans="1:19" ht="13.8" hidden="1" customHeight="1" x14ac:dyDescent="0.25">
      <c r="A905" s="32" t="s">
        <v>198</v>
      </c>
      <c r="B905" s="14">
        <v>43514</v>
      </c>
      <c r="C905" s="13">
        <v>48</v>
      </c>
      <c r="D905" s="32" t="s">
        <v>369</v>
      </c>
      <c r="E905" s="32" t="s">
        <v>195</v>
      </c>
      <c r="F905" s="4">
        <v>7500</v>
      </c>
      <c r="G905" s="13">
        <v>7</v>
      </c>
      <c r="H905" s="14">
        <v>43496</v>
      </c>
      <c r="I905" s="4" t="s">
        <v>328</v>
      </c>
      <c r="J905" s="170" t="s">
        <v>239</v>
      </c>
      <c r="K905" s="246"/>
    </row>
    <row r="906" spans="1:19" s="98" customFormat="1" hidden="1" x14ac:dyDescent="0.25">
      <c r="A906" s="32" t="s">
        <v>198</v>
      </c>
      <c r="B906" s="14">
        <v>43514</v>
      </c>
      <c r="C906" s="13">
        <v>49</v>
      </c>
      <c r="D906" s="32" t="s">
        <v>1003</v>
      </c>
      <c r="E906" s="32" t="s">
        <v>195</v>
      </c>
      <c r="F906" s="4">
        <v>10000</v>
      </c>
      <c r="G906" s="28" t="s">
        <v>1662</v>
      </c>
      <c r="H906" s="14">
        <v>43497</v>
      </c>
      <c r="I906" s="4" t="s">
        <v>326</v>
      </c>
      <c r="J906" s="170" t="s">
        <v>721</v>
      </c>
      <c r="K906" s="248"/>
    </row>
    <row r="907" spans="1:19" s="93" customFormat="1" ht="13.8" hidden="1" customHeight="1" x14ac:dyDescent="0.25">
      <c r="A907" s="68" t="s">
        <v>198</v>
      </c>
      <c r="B907" s="14">
        <v>43514</v>
      </c>
      <c r="C907" s="13">
        <v>50</v>
      </c>
      <c r="D907" s="32" t="s">
        <v>73</v>
      </c>
      <c r="E907" s="32" t="s">
        <v>195</v>
      </c>
      <c r="F907" s="4">
        <v>4042.5</v>
      </c>
      <c r="G907" s="28" t="s">
        <v>2669</v>
      </c>
      <c r="H907" s="14">
        <v>43503</v>
      </c>
      <c r="I907" s="4" t="s">
        <v>332</v>
      </c>
      <c r="J907" s="170" t="s">
        <v>721</v>
      </c>
      <c r="K907" s="249"/>
    </row>
    <row r="908" spans="1:19" s="93" customFormat="1" ht="13.8" hidden="1" customHeight="1" x14ac:dyDescent="0.25">
      <c r="A908" s="68" t="s">
        <v>198</v>
      </c>
      <c r="B908" s="14">
        <v>43514</v>
      </c>
      <c r="C908" s="13">
        <v>51</v>
      </c>
      <c r="D908" s="32" t="s">
        <v>73</v>
      </c>
      <c r="E908" s="32" t="s">
        <v>195</v>
      </c>
      <c r="F908" s="4">
        <v>5197.5</v>
      </c>
      <c r="G908" s="28" t="s">
        <v>2804</v>
      </c>
      <c r="H908" s="14">
        <v>43503</v>
      </c>
      <c r="I908" s="4" t="s">
        <v>331</v>
      </c>
      <c r="J908" s="170" t="s">
        <v>721</v>
      </c>
      <c r="K908" s="249"/>
    </row>
    <row r="909" spans="1:19" ht="15" hidden="1" customHeight="1" x14ac:dyDescent="0.25">
      <c r="A909" s="68" t="s">
        <v>198</v>
      </c>
      <c r="B909" s="14">
        <v>43514</v>
      </c>
      <c r="C909" s="13">
        <v>52</v>
      </c>
      <c r="D909" s="32" t="s">
        <v>279</v>
      </c>
      <c r="E909" s="32" t="s">
        <v>195</v>
      </c>
      <c r="F909" s="4">
        <v>8343</v>
      </c>
      <c r="G909" s="28" t="s">
        <v>728</v>
      </c>
      <c r="H909" s="14">
        <v>43496</v>
      </c>
      <c r="I909" s="4" t="s">
        <v>335</v>
      </c>
      <c r="J909" s="170" t="s">
        <v>239</v>
      </c>
      <c r="K909" s="246"/>
    </row>
    <row r="910" spans="1:19" s="97" customFormat="1" ht="27.6" hidden="1" x14ac:dyDescent="0.25">
      <c r="A910" s="13" t="s">
        <v>92</v>
      </c>
      <c r="B910" s="14">
        <v>43514</v>
      </c>
      <c r="C910" s="13">
        <v>374</v>
      </c>
      <c r="D910" s="32" t="s">
        <v>4218</v>
      </c>
      <c r="E910" s="13" t="s">
        <v>38</v>
      </c>
      <c r="F910" s="4">
        <v>483000</v>
      </c>
      <c r="G910" s="69" t="s">
        <v>1583</v>
      </c>
      <c r="H910" s="14"/>
      <c r="I910" s="41" t="s">
        <v>4219</v>
      </c>
      <c r="J910" s="133"/>
      <c r="K910" s="22"/>
      <c r="L910" s="134"/>
    </row>
    <row r="911" spans="1:19" s="97" customFormat="1" ht="27.6" hidden="1" x14ac:dyDescent="0.25">
      <c r="A911" s="13" t="s">
        <v>92</v>
      </c>
      <c r="B911" s="14">
        <v>43514</v>
      </c>
      <c r="C911" s="13">
        <v>375</v>
      </c>
      <c r="D911" s="32" t="s">
        <v>4220</v>
      </c>
      <c r="E911" s="13" t="s">
        <v>38</v>
      </c>
      <c r="F911" s="4">
        <v>147150</v>
      </c>
      <c r="G911" s="69" t="s">
        <v>1583</v>
      </c>
      <c r="H911" s="14"/>
      <c r="I911" s="41" t="s">
        <v>4221</v>
      </c>
      <c r="J911" s="133"/>
      <c r="K911" s="22"/>
      <c r="L911" s="134"/>
    </row>
    <row r="912" spans="1:19" s="97" customFormat="1" ht="27.6" hidden="1" x14ac:dyDescent="0.25">
      <c r="A912" s="13" t="s">
        <v>92</v>
      </c>
      <c r="B912" s="14">
        <v>43514</v>
      </c>
      <c r="C912" s="13">
        <v>376</v>
      </c>
      <c r="D912" s="32" t="s">
        <v>4222</v>
      </c>
      <c r="E912" s="13" t="s">
        <v>38</v>
      </c>
      <c r="F912" s="4">
        <v>771278.77</v>
      </c>
      <c r="G912" s="69" t="s">
        <v>1583</v>
      </c>
      <c r="H912" s="14"/>
      <c r="I912" s="41" t="s">
        <v>4223</v>
      </c>
      <c r="J912" s="133"/>
      <c r="K912" s="22"/>
      <c r="L912" s="134"/>
    </row>
    <row r="913" spans="1:19" s="97" customFormat="1" ht="27.6" hidden="1" x14ac:dyDescent="0.25">
      <c r="A913" s="13" t="s">
        <v>92</v>
      </c>
      <c r="B913" s="14">
        <v>43514</v>
      </c>
      <c r="C913" s="13">
        <v>377</v>
      </c>
      <c r="D913" s="32" t="s">
        <v>4224</v>
      </c>
      <c r="E913" s="13" t="s">
        <v>38</v>
      </c>
      <c r="F913" s="4">
        <v>2000000</v>
      </c>
      <c r="G913" s="69" t="s">
        <v>1583</v>
      </c>
      <c r="H913" s="14"/>
      <c r="I913" s="41" t="s">
        <v>4225</v>
      </c>
      <c r="J913" s="133"/>
      <c r="K913" s="22"/>
      <c r="L913" s="134"/>
    </row>
    <row r="914" spans="1:19" s="97" customFormat="1" ht="27.6" hidden="1" x14ac:dyDescent="0.25">
      <c r="A914" s="13" t="s">
        <v>92</v>
      </c>
      <c r="B914" s="14">
        <v>43514</v>
      </c>
      <c r="C914" s="13">
        <v>378</v>
      </c>
      <c r="D914" s="32" t="s">
        <v>2189</v>
      </c>
      <c r="E914" s="13" t="s">
        <v>38</v>
      </c>
      <c r="F914" s="4">
        <v>307176</v>
      </c>
      <c r="G914" s="69" t="s">
        <v>1583</v>
      </c>
      <c r="H914" s="14"/>
      <c r="I914" s="41" t="s">
        <v>4226</v>
      </c>
      <c r="J914" s="133"/>
      <c r="K914" s="22"/>
      <c r="L914" s="134"/>
    </row>
    <row r="915" spans="1:19" s="97" customFormat="1" ht="27.6" hidden="1" x14ac:dyDescent="0.25">
      <c r="A915" s="13" t="s">
        <v>92</v>
      </c>
      <c r="B915" s="14">
        <v>43514</v>
      </c>
      <c r="C915" s="13">
        <v>379</v>
      </c>
      <c r="D915" s="32" t="s">
        <v>3794</v>
      </c>
      <c r="E915" s="13" t="s">
        <v>38</v>
      </c>
      <c r="F915" s="4">
        <v>290000</v>
      </c>
      <c r="G915" s="69" t="s">
        <v>1583</v>
      </c>
      <c r="H915" s="14"/>
      <c r="I915" s="41" t="s">
        <v>4227</v>
      </c>
      <c r="J915" s="133"/>
      <c r="K915" s="22"/>
      <c r="L915" s="134"/>
    </row>
    <row r="916" spans="1:19" s="115" customFormat="1" ht="15" hidden="1" customHeight="1" x14ac:dyDescent="0.25">
      <c r="A916" s="13" t="s">
        <v>92</v>
      </c>
      <c r="B916" s="14">
        <v>43514</v>
      </c>
      <c r="C916" s="13">
        <v>564</v>
      </c>
      <c r="D916" s="13" t="s">
        <v>873</v>
      </c>
      <c r="E916" s="13" t="s">
        <v>140</v>
      </c>
      <c r="F916" s="37">
        <v>386080.9</v>
      </c>
      <c r="G916" s="13" t="s">
        <v>874</v>
      </c>
      <c r="H916" s="126">
        <v>43489</v>
      </c>
      <c r="I916" s="29" t="s">
        <v>875</v>
      </c>
      <c r="K916" s="116"/>
      <c r="L916" s="116"/>
      <c r="M916" s="116"/>
      <c r="N916" s="116"/>
      <c r="O916" s="117"/>
      <c r="P916" s="117"/>
      <c r="Q916" s="117"/>
      <c r="R916" s="117"/>
      <c r="S916" s="117"/>
    </row>
    <row r="917" spans="1:19" s="192" customFormat="1" ht="14.85" hidden="1" customHeight="1" x14ac:dyDescent="0.25">
      <c r="A917" s="147" t="s">
        <v>242</v>
      </c>
      <c r="B917" s="14">
        <v>43514</v>
      </c>
      <c r="C917" s="195">
        <v>565</v>
      </c>
      <c r="D917" s="149" t="s">
        <v>490</v>
      </c>
      <c r="E917" s="147" t="s">
        <v>140</v>
      </c>
      <c r="F917" s="158">
        <v>424579.65</v>
      </c>
      <c r="G917" s="150" t="s">
        <v>3985</v>
      </c>
      <c r="H917" s="148">
        <v>43502</v>
      </c>
      <c r="I917" s="149" t="s">
        <v>143</v>
      </c>
      <c r="J917" s="193"/>
      <c r="K917" s="194"/>
      <c r="L917" s="190"/>
    </row>
    <row r="918" spans="1:19" s="192" customFormat="1" ht="14.85" hidden="1" customHeight="1" x14ac:dyDescent="0.25">
      <c r="A918" s="147" t="s">
        <v>242</v>
      </c>
      <c r="B918" s="14">
        <v>43514</v>
      </c>
      <c r="C918" s="195">
        <v>566</v>
      </c>
      <c r="D918" s="149" t="s">
        <v>840</v>
      </c>
      <c r="E918" s="147" t="s">
        <v>140</v>
      </c>
      <c r="F918" s="158">
        <v>348583.24</v>
      </c>
      <c r="G918" s="150" t="s">
        <v>3984</v>
      </c>
      <c r="H918" s="148">
        <v>43494</v>
      </c>
      <c r="I918" s="149" t="s">
        <v>143</v>
      </c>
      <c r="J918" s="193"/>
      <c r="K918" s="194"/>
      <c r="L918" s="190"/>
    </row>
    <row r="919" spans="1:19" s="192" customFormat="1" hidden="1" x14ac:dyDescent="0.25">
      <c r="A919" s="147" t="s">
        <v>242</v>
      </c>
      <c r="B919" s="14">
        <v>43514</v>
      </c>
      <c r="C919" s="195">
        <v>567</v>
      </c>
      <c r="D919" s="233" t="s">
        <v>784</v>
      </c>
      <c r="E919" s="147" t="s">
        <v>140</v>
      </c>
      <c r="F919" s="158">
        <v>132770.6</v>
      </c>
      <c r="G919" s="150" t="s">
        <v>2893</v>
      </c>
      <c r="H919" s="148">
        <v>43507</v>
      </c>
      <c r="I919" s="233" t="s">
        <v>143</v>
      </c>
      <c r="J919" s="193"/>
      <c r="K919" s="194"/>
      <c r="L919" s="190"/>
    </row>
    <row r="920" spans="1:19" ht="15" hidden="1" customHeight="1" x14ac:dyDescent="0.25">
      <c r="A920" s="68" t="s">
        <v>455</v>
      </c>
      <c r="B920" s="14">
        <v>43514</v>
      </c>
      <c r="C920" s="13">
        <v>121</v>
      </c>
      <c r="D920" s="32" t="s">
        <v>281</v>
      </c>
      <c r="E920" s="32" t="s">
        <v>440</v>
      </c>
      <c r="F920" s="4">
        <v>525478.73</v>
      </c>
      <c r="G920" s="29" t="s">
        <v>4181</v>
      </c>
      <c r="H920" s="14">
        <v>43509</v>
      </c>
      <c r="I920" s="41" t="s">
        <v>362</v>
      </c>
      <c r="J920" s="35" t="s">
        <v>239</v>
      </c>
      <c r="K920" s="35"/>
      <c r="L920" s="35"/>
    </row>
    <row r="921" spans="1:19" ht="15" hidden="1" customHeight="1" x14ac:dyDescent="0.25">
      <c r="A921" s="68" t="s">
        <v>310</v>
      </c>
      <c r="B921" s="14">
        <v>43514</v>
      </c>
      <c r="C921" s="13">
        <v>58</v>
      </c>
      <c r="D921" s="32" t="s">
        <v>281</v>
      </c>
      <c r="E921" s="32" t="s">
        <v>314</v>
      </c>
      <c r="F921" s="4">
        <v>581179.79</v>
      </c>
      <c r="G921" s="29" t="s">
        <v>4191</v>
      </c>
      <c r="H921" s="14">
        <v>43508</v>
      </c>
      <c r="I921" s="41" t="s">
        <v>362</v>
      </c>
      <c r="J921" s="35" t="s">
        <v>239</v>
      </c>
      <c r="K921" s="35"/>
      <c r="L921" s="35"/>
    </row>
    <row r="922" spans="1:19" ht="15" hidden="1" customHeight="1" x14ac:dyDescent="0.25">
      <c r="A922" s="68" t="s">
        <v>311</v>
      </c>
      <c r="B922" s="14">
        <v>43514</v>
      </c>
      <c r="C922" s="13">
        <v>80</v>
      </c>
      <c r="D922" s="32" t="s">
        <v>281</v>
      </c>
      <c r="E922" s="32" t="s">
        <v>408</v>
      </c>
      <c r="F922" s="4">
        <v>951751.69</v>
      </c>
      <c r="G922" s="29" t="s">
        <v>4188</v>
      </c>
      <c r="H922" s="14">
        <v>43508</v>
      </c>
      <c r="I922" s="41" t="s">
        <v>362</v>
      </c>
      <c r="J922" s="35" t="s">
        <v>239</v>
      </c>
      <c r="K922" s="35"/>
      <c r="L922" s="35"/>
    </row>
    <row r="923" spans="1:19" ht="13.95" hidden="1" customHeight="1" x14ac:dyDescent="0.25">
      <c r="A923" s="32" t="s">
        <v>35</v>
      </c>
      <c r="B923" s="14">
        <v>43514</v>
      </c>
      <c r="C923" s="13">
        <v>250</v>
      </c>
      <c r="D923" s="32" t="s">
        <v>39</v>
      </c>
      <c r="E923" s="32" t="s">
        <v>963</v>
      </c>
      <c r="F923" s="4">
        <v>5000000</v>
      </c>
      <c r="G923" s="86" t="s">
        <v>1019</v>
      </c>
      <c r="H923" s="211"/>
      <c r="I923" s="41" t="s">
        <v>97</v>
      </c>
      <c r="J923" s="21"/>
      <c r="K923" s="228"/>
    </row>
    <row r="924" spans="1:19" ht="13.95" hidden="1" customHeight="1" x14ac:dyDescent="0.25">
      <c r="A924" s="68" t="s">
        <v>639</v>
      </c>
      <c r="B924" s="14">
        <v>43514</v>
      </c>
      <c r="C924" s="13">
        <v>251</v>
      </c>
      <c r="D924" s="32" t="s">
        <v>905</v>
      </c>
      <c r="E924" s="32" t="s">
        <v>60</v>
      </c>
      <c r="F924" s="4">
        <v>5000000</v>
      </c>
      <c r="G924" s="86" t="s">
        <v>1120</v>
      </c>
      <c r="H924" s="211"/>
      <c r="I924" s="208" t="s">
        <v>1119</v>
      </c>
      <c r="J924" s="21"/>
      <c r="K924" s="228"/>
    </row>
    <row r="925" spans="1:19" s="97" customFormat="1" hidden="1" x14ac:dyDescent="0.25">
      <c r="A925" s="14" t="s">
        <v>151</v>
      </c>
      <c r="B925" s="14">
        <v>43514</v>
      </c>
      <c r="C925" s="13">
        <v>252</v>
      </c>
      <c r="D925" s="13" t="s">
        <v>1751</v>
      </c>
      <c r="E925" s="13" t="s">
        <v>60</v>
      </c>
      <c r="F925" s="37">
        <v>95474.29</v>
      </c>
      <c r="G925" s="29" t="s">
        <v>4099</v>
      </c>
      <c r="H925" s="14">
        <v>43502</v>
      </c>
      <c r="I925" s="4" t="s">
        <v>1383</v>
      </c>
      <c r="J925" s="22" t="s">
        <v>721</v>
      </c>
      <c r="K925" s="22"/>
      <c r="L925" s="134"/>
    </row>
    <row r="926" spans="1:19" ht="13.95" hidden="1" customHeight="1" x14ac:dyDescent="0.25">
      <c r="A926" s="68" t="s">
        <v>1637</v>
      </c>
      <c r="B926" s="14">
        <v>43514</v>
      </c>
      <c r="C926" s="13">
        <v>286</v>
      </c>
      <c r="D926" s="32" t="s">
        <v>1644</v>
      </c>
      <c r="E926" s="32" t="s">
        <v>62</v>
      </c>
      <c r="F926" s="4">
        <v>18000000</v>
      </c>
      <c r="G926" s="86" t="s">
        <v>4252</v>
      </c>
      <c r="H926" s="211"/>
      <c r="I926" s="84" t="s">
        <v>23</v>
      </c>
      <c r="J926" s="21"/>
      <c r="K926" s="228"/>
    </row>
    <row r="927" spans="1:19" s="129" customFormat="1" hidden="1" x14ac:dyDescent="0.25">
      <c r="A927" s="13" t="s">
        <v>151</v>
      </c>
      <c r="B927" s="14">
        <v>43514</v>
      </c>
      <c r="C927" s="28" t="s">
        <v>84</v>
      </c>
      <c r="D927" s="13" t="s">
        <v>1254</v>
      </c>
      <c r="E927" s="13" t="s">
        <v>691</v>
      </c>
      <c r="F927" s="37">
        <v>16000</v>
      </c>
      <c r="G927" s="28" t="s">
        <v>4053</v>
      </c>
      <c r="H927" s="14">
        <v>43509</v>
      </c>
      <c r="I927" s="4" t="s">
        <v>4054</v>
      </c>
      <c r="J927" s="133"/>
      <c r="K927" s="275"/>
    </row>
    <row r="928" spans="1:19" ht="15" hidden="1" customHeight="1" x14ac:dyDescent="0.25">
      <c r="A928" s="13" t="s">
        <v>184</v>
      </c>
      <c r="B928" s="14">
        <v>43515</v>
      </c>
      <c r="C928" s="13">
        <v>196</v>
      </c>
      <c r="D928" s="13" t="s">
        <v>171</v>
      </c>
      <c r="E928" s="32" t="s">
        <v>1121</v>
      </c>
      <c r="F928" s="4">
        <v>600000</v>
      </c>
      <c r="G928" s="28" t="s">
        <v>4140</v>
      </c>
      <c r="H928" s="14">
        <v>43497</v>
      </c>
      <c r="I928" s="4" t="s">
        <v>384</v>
      </c>
      <c r="J928" s="125" t="s">
        <v>4141</v>
      </c>
    </row>
    <row r="929" spans="1:12" ht="15" hidden="1" customHeight="1" x14ac:dyDescent="0.25">
      <c r="A929" s="13" t="s">
        <v>184</v>
      </c>
      <c r="B929" s="14">
        <v>43515</v>
      </c>
      <c r="C929" s="13">
        <v>197</v>
      </c>
      <c r="D929" s="13" t="s">
        <v>531</v>
      </c>
      <c r="E929" s="32" t="s">
        <v>1121</v>
      </c>
      <c r="F929" s="4">
        <v>36300</v>
      </c>
      <c r="G929" s="28" t="s">
        <v>4149</v>
      </c>
      <c r="H929" s="14">
        <v>43506</v>
      </c>
      <c r="I929" s="4" t="s">
        <v>532</v>
      </c>
      <c r="J929" s="125">
        <v>43509</v>
      </c>
    </row>
    <row r="930" spans="1:12" ht="15" hidden="1" customHeight="1" x14ac:dyDescent="0.25">
      <c r="A930" s="13" t="s">
        <v>184</v>
      </c>
      <c r="B930" s="14">
        <v>43515</v>
      </c>
      <c r="C930" s="13">
        <v>198</v>
      </c>
      <c r="D930" s="13" t="s">
        <v>348</v>
      </c>
      <c r="E930" s="32" t="s">
        <v>1121</v>
      </c>
      <c r="F930" s="4">
        <v>451440</v>
      </c>
      <c r="G930" s="28" t="s">
        <v>1154</v>
      </c>
      <c r="H930" s="14">
        <v>43497</v>
      </c>
      <c r="I930" s="4" t="s">
        <v>3771</v>
      </c>
      <c r="J930" s="76" t="s">
        <v>3772</v>
      </c>
    </row>
    <row r="931" spans="1:12" s="129" customFormat="1" ht="41.4" hidden="1" x14ac:dyDescent="0.25">
      <c r="A931" s="13" t="s">
        <v>151</v>
      </c>
      <c r="B931" s="14">
        <v>43515</v>
      </c>
      <c r="C931" s="28" t="s">
        <v>3317</v>
      </c>
      <c r="D931" s="13" t="s">
        <v>711</v>
      </c>
      <c r="E931" s="32" t="s">
        <v>1121</v>
      </c>
      <c r="F931" s="37">
        <f>520+680+7220+3820+1200+6550+1500+2750+1950+1600</f>
        <v>27790</v>
      </c>
      <c r="G931" s="28" t="s">
        <v>4201</v>
      </c>
      <c r="H931" s="28" t="s">
        <v>4200</v>
      </c>
      <c r="I931" s="4" t="s">
        <v>712</v>
      </c>
      <c r="J931" s="170"/>
      <c r="K931" s="136"/>
    </row>
    <row r="932" spans="1:12" s="129" customFormat="1" hidden="1" x14ac:dyDescent="0.25">
      <c r="A932" s="13" t="s">
        <v>151</v>
      </c>
      <c r="B932" s="14">
        <v>43515</v>
      </c>
      <c r="C932" s="28" t="s">
        <v>3234</v>
      </c>
      <c r="D932" s="13" t="s">
        <v>1846</v>
      </c>
      <c r="E932" s="13" t="s">
        <v>1121</v>
      </c>
      <c r="F932" s="4">
        <v>155073</v>
      </c>
      <c r="G932" s="28" t="s">
        <v>4198</v>
      </c>
      <c r="H932" s="14">
        <v>43509</v>
      </c>
      <c r="I932" s="4" t="s">
        <v>4199</v>
      </c>
      <c r="J932" s="22"/>
      <c r="K932" s="136"/>
    </row>
    <row r="933" spans="1:12" s="129" customFormat="1" hidden="1" x14ac:dyDescent="0.25">
      <c r="A933" s="13" t="s">
        <v>151</v>
      </c>
      <c r="B933" s="14">
        <v>43515</v>
      </c>
      <c r="C933" s="28" t="s">
        <v>3234</v>
      </c>
      <c r="D933" s="13" t="s">
        <v>1846</v>
      </c>
      <c r="E933" s="13" t="s">
        <v>1121</v>
      </c>
      <c r="F933" s="37">
        <f>95124-85320</f>
        <v>9804</v>
      </c>
      <c r="G933" s="28" t="s">
        <v>3080</v>
      </c>
      <c r="H933" s="14">
        <v>43481</v>
      </c>
      <c r="I933" s="4" t="s">
        <v>3081</v>
      </c>
      <c r="J933" s="133"/>
      <c r="K933" s="275"/>
    </row>
    <row r="934" spans="1:12" s="129" customFormat="1" hidden="1" x14ac:dyDescent="0.25">
      <c r="A934" s="13" t="s">
        <v>151</v>
      </c>
      <c r="B934" s="14">
        <v>43515</v>
      </c>
      <c r="C934" s="28" t="s">
        <v>3234</v>
      </c>
      <c r="D934" s="13" t="s">
        <v>1846</v>
      </c>
      <c r="E934" s="13" t="s">
        <v>1121</v>
      </c>
      <c r="F934" s="37">
        <v>43960</v>
      </c>
      <c r="G934" s="28" t="s">
        <v>4245</v>
      </c>
      <c r="H934" s="14">
        <v>43510</v>
      </c>
      <c r="I934" s="4" t="s">
        <v>4246</v>
      </c>
      <c r="J934" s="133"/>
      <c r="K934" s="275"/>
    </row>
    <row r="935" spans="1:12" s="129" customFormat="1" hidden="1" x14ac:dyDescent="0.25">
      <c r="A935" s="13" t="s">
        <v>151</v>
      </c>
      <c r="B935" s="14">
        <v>43515</v>
      </c>
      <c r="C935" s="28" t="s">
        <v>83</v>
      </c>
      <c r="D935" s="13" t="s">
        <v>1846</v>
      </c>
      <c r="E935" s="13" t="s">
        <v>1121</v>
      </c>
      <c r="F935" s="37">
        <v>27025</v>
      </c>
      <c r="G935" s="28" t="s">
        <v>4247</v>
      </c>
      <c r="H935" s="14">
        <v>43510</v>
      </c>
      <c r="I935" s="4" t="s">
        <v>4248</v>
      </c>
      <c r="J935" s="133"/>
      <c r="K935" s="275"/>
    </row>
    <row r="936" spans="1:12" ht="15" hidden="1" customHeight="1" x14ac:dyDescent="0.25">
      <c r="A936" s="13" t="s">
        <v>184</v>
      </c>
      <c r="B936" s="14">
        <v>43515</v>
      </c>
      <c r="C936" s="13">
        <v>128</v>
      </c>
      <c r="D936" s="32" t="s">
        <v>1359</v>
      </c>
      <c r="E936" s="32" t="s">
        <v>144</v>
      </c>
      <c r="F936" s="4">
        <v>187838</v>
      </c>
      <c r="G936" s="25" t="s">
        <v>3765</v>
      </c>
      <c r="H936" s="14">
        <v>43485</v>
      </c>
      <c r="I936" s="4" t="s">
        <v>294</v>
      </c>
      <c r="J936" s="76" t="s">
        <v>721</v>
      </c>
    </row>
    <row r="937" spans="1:12" s="192" customFormat="1" hidden="1" x14ac:dyDescent="0.25">
      <c r="A937" s="147" t="s">
        <v>242</v>
      </c>
      <c r="B937" s="14">
        <v>43515</v>
      </c>
      <c r="C937" s="195">
        <v>129</v>
      </c>
      <c r="D937" s="149" t="s">
        <v>490</v>
      </c>
      <c r="E937" s="147" t="s">
        <v>144</v>
      </c>
      <c r="F937" s="158">
        <v>87600</v>
      </c>
      <c r="G937" s="150" t="s">
        <v>3998</v>
      </c>
      <c r="H937" s="148">
        <v>43487</v>
      </c>
      <c r="I937" s="149" t="s">
        <v>143</v>
      </c>
      <c r="J937" s="193"/>
      <c r="K937" s="194"/>
      <c r="L937" s="190"/>
    </row>
    <row r="938" spans="1:12" s="192" customFormat="1" hidden="1" x14ac:dyDescent="0.25">
      <c r="A938" s="147" t="s">
        <v>242</v>
      </c>
      <c r="B938" s="14">
        <v>43515</v>
      </c>
      <c r="C938" s="195">
        <v>130</v>
      </c>
      <c r="D938" s="149" t="s">
        <v>490</v>
      </c>
      <c r="E938" s="147" t="s">
        <v>144</v>
      </c>
      <c r="F938" s="158">
        <v>823633.9</v>
      </c>
      <c r="G938" s="150" t="s">
        <v>3995</v>
      </c>
      <c r="H938" s="148">
        <v>43487</v>
      </c>
      <c r="I938" s="149" t="s">
        <v>143</v>
      </c>
      <c r="J938" s="193"/>
      <c r="K938" s="194"/>
      <c r="L938" s="190"/>
    </row>
    <row r="939" spans="1:12" s="192" customFormat="1" ht="14.25" hidden="1" customHeight="1" x14ac:dyDescent="0.25">
      <c r="A939" s="147" t="s">
        <v>242</v>
      </c>
      <c r="B939" s="14">
        <v>43515</v>
      </c>
      <c r="C939" s="195">
        <v>131</v>
      </c>
      <c r="D939" s="149" t="s">
        <v>784</v>
      </c>
      <c r="E939" s="147" t="s">
        <v>144</v>
      </c>
      <c r="F939" s="158">
        <v>371298</v>
      </c>
      <c r="G939" s="150" t="s">
        <v>1158</v>
      </c>
      <c r="H939" s="148">
        <v>43507</v>
      </c>
      <c r="I939" s="149" t="s">
        <v>143</v>
      </c>
    </row>
    <row r="940" spans="1:12" s="192" customFormat="1" hidden="1" x14ac:dyDescent="0.25">
      <c r="A940" s="147" t="s">
        <v>242</v>
      </c>
      <c r="B940" s="14">
        <v>43515</v>
      </c>
      <c r="C940" s="195">
        <v>132</v>
      </c>
      <c r="D940" s="149" t="s">
        <v>784</v>
      </c>
      <c r="E940" s="147" t="s">
        <v>144</v>
      </c>
      <c r="F940" s="158">
        <v>94837.5</v>
      </c>
      <c r="G940" s="150" t="s">
        <v>86</v>
      </c>
      <c r="H940" s="148">
        <v>43507</v>
      </c>
      <c r="I940" s="149" t="s">
        <v>143</v>
      </c>
      <c r="J940" s="193"/>
      <c r="K940" s="194"/>
      <c r="L940" s="190"/>
    </row>
    <row r="941" spans="1:12" s="192" customFormat="1" hidden="1" x14ac:dyDescent="0.25">
      <c r="A941" s="147" t="s">
        <v>242</v>
      </c>
      <c r="B941" s="14">
        <v>43515</v>
      </c>
      <c r="C941" s="195">
        <v>131</v>
      </c>
      <c r="D941" s="149" t="s">
        <v>784</v>
      </c>
      <c r="E941" s="147" t="s">
        <v>144</v>
      </c>
      <c r="F941" s="158">
        <v>82485</v>
      </c>
      <c r="G941" s="150" t="s">
        <v>3104</v>
      </c>
      <c r="H941" s="148">
        <v>43507</v>
      </c>
      <c r="I941" s="149" t="s">
        <v>143</v>
      </c>
      <c r="J941" s="193"/>
      <c r="K941" s="194"/>
      <c r="L941" s="190"/>
    </row>
    <row r="942" spans="1:12" s="192" customFormat="1" ht="14.25" hidden="1" customHeight="1" x14ac:dyDescent="0.25">
      <c r="A942" s="147" t="s">
        <v>242</v>
      </c>
      <c r="B942" s="14">
        <v>43515</v>
      </c>
      <c r="C942" s="195">
        <v>132</v>
      </c>
      <c r="D942" s="149" t="s">
        <v>784</v>
      </c>
      <c r="E942" s="147" t="s">
        <v>144</v>
      </c>
      <c r="F942" s="158">
        <v>77824</v>
      </c>
      <c r="G942" s="150" t="s">
        <v>3141</v>
      </c>
      <c r="H942" s="148">
        <v>43507</v>
      </c>
      <c r="I942" s="149" t="s">
        <v>143</v>
      </c>
    </row>
    <row r="943" spans="1:12" ht="15" hidden="1" customHeight="1" x14ac:dyDescent="0.25">
      <c r="A943" s="68" t="s">
        <v>166</v>
      </c>
      <c r="B943" s="14">
        <v>43515</v>
      </c>
      <c r="C943" s="67">
        <v>15</v>
      </c>
      <c r="D943" s="32" t="s">
        <v>1874</v>
      </c>
      <c r="E943" s="32" t="s">
        <v>76</v>
      </c>
      <c r="F943" s="4">
        <v>150000</v>
      </c>
      <c r="G943" s="28" t="s">
        <v>4177</v>
      </c>
      <c r="H943" s="14">
        <v>43511</v>
      </c>
      <c r="I943" s="4" t="s">
        <v>4178</v>
      </c>
      <c r="J943" s="166"/>
      <c r="K943" s="167"/>
      <c r="L943" s="35"/>
    </row>
    <row r="944" spans="1:12" ht="13.95" hidden="1" customHeight="1" x14ac:dyDescent="0.25">
      <c r="A944" s="68" t="s">
        <v>261</v>
      </c>
      <c r="B944" s="14">
        <v>43515</v>
      </c>
      <c r="C944" s="13">
        <v>313</v>
      </c>
      <c r="D944" s="32" t="s">
        <v>2429</v>
      </c>
      <c r="E944" s="32" t="s">
        <v>808</v>
      </c>
      <c r="F944" s="4">
        <v>4500000</v>
      </c>
      <c r="G944" s="210" t="s">
        <v>2430</v>
      </c>
      <c r="H944" s="211">
        <v>43446</v>
      </c>
      <c r="I944" s="4" t="s">
        <v>1953</v>
      </c>
      <c r="J944" s="21"/>
      <c r="K944" s="228"/>
    </row>
    <row r="945" spans="1:19" s="115" customFormat="1" ht="15" hidden="1" customHeight="1" x14ac:dyDescent="0.25">
      <c r="A945" s="13" t="s">
        <v>311</v>
      </c>
      <c r="B945" s="14">
        <v>43515</v>
      </c>
      <c r="C945" s="13">
        <v>93</v>
      </c>
      <c r="D945" s="13" t="s">
        <v>253</v>
      </c>
      <c r="E945" s="13" t="s">
        <v>408</v>
      </c>
      <c r="F945" s="37">
        <v>310</v>
      </c>
      <c r="G945" s="29" t="s">
        <v>4256</v>
      </c>
      <c r="H945" s="14">
        <v>43496</v>
      </c>
      <c r="I945" s="4" t="s">
        <v>1608</v>
      </c>
      <c r="J945" s="71" t="s">
        <v>239</v>
      </c>
      <c r="K945" s="116"/>
      <c r="L945" s="116"/>
      <c r="M945" s="116"/>
      <c r="N945" s="116"/>
      <c r="O945" s="117"/>
      <c r="P945" s="117"/>
      <c r="Q945" s="117"/>
      <c r="R945" s="117"/>
      <c r="S945" s="117"/>
    </row>
    <row r="946" spans="1:19" ht="13.95" hidden="1" customHeight="1" x14ac:dyDescent="0.25">
      <c r="A946" s="68" t="s">
        <v>311</v>
      </c>
      <c r="B946" s="14">
        <v>43515</v>
      </c>
      <c r="C946" s="67">
        <v>95</v>
      </c>
      <c r="D946" s="32" t="s">
        <v>595</v>
      </c>
      <c r="E946" s="32" t="s">
        <v>408</v>
      </c>
      <c r="F946" s="4">
        <v>1293933.98</v>
      </c>
      <c r="G946" s="28" t="s">
        <v>477</v>
      </c>
      <c r="H946" s="14">
        <v>43496</v>
      </c>
      <c r="I946" s="41" t="s">
        <v>949</v>
      </c>
      <c r="J946" s="166" t="s">
        <v>239</v>
      </c>
      <c r="K946" s="167"/>
      <c r="L946" s="35"/>
    </row>
    <row r="947" spans="1:19" ht="15" hidden="1" customHeight="1" x14ac:dyDescent="0.25">
      <c r="A947" s="32" t="s">
        <v>311</v>
      </c>
      <c r="B947" s="14">
        <v>43515</v>
      </c>
      <c r="C947" s="13">
        <v>94</v>
      </c>
      <c r="D947" s="32" t="s">
        <v>281</v>
      </c>
      <c r="E947" s="32" t="s">
        <v>408</v>
      </c>
      <c r="F947" s="4">
        <v>352218</v>
      </c>
      <c r="G947" s="29" t="s">
        <v>2980</v>
      </c>
      <c r="H947" s="14">
        <v>43477</v>
      </c>
      <c r="I947" s="41" t="s">
        <v>847</v>
      </c>
      <c r="J947" s="35" t="s">
        <v>721</v>
      </c>
      <c r="K947" s="35"/>
      <c r="L947" s="35"/>
    </row>
    <row r="948" spans="1:19" ht="13.95" hidden="1" customHeight="1" x14ac:dyDescent="0.25">
      <c r="A948" s="68" t="s">
        <v>1732</v>
      </c>
      <c r="B948" s="14">
        <v>43516</v>
      </c>
      <c r="C948" s="13">
        <v>287</v>
      </c>
      <c r="D948" s="32" t="s">
        <v>1664</v>
      </c>
      <c r="E948" s="32" t="s">
        <v>62</v>
      </c>
      <c r="F948" s="4">
        <v>12000000</v>
      </c>
      <c r="G948" s="86" t="s">
        <v>1733</v>
      </c>
      <c r="H948" s="211"/>
      <c r="I948" s="208" t="s">
        <v>16</v>
      </c>
      <c r="J948" s="21"/>
      <c r="K948" s="228"/>
    </row>
    <row r="949" spans="1:19" hidden="1" x14ac:dyDescent="0.25">
      <c r="A949" s="61" t="s">
        <v>460</v>
      </c>
      <c r="B949" s="14">
        <v>43516</v>
      </c>
      <c r="C949" s="13">
        <v>135</v>
      </c>
      <c r="D949" s="14" t="s">
        <v>2624</v>
      </c>
      <c r="E949" s="32" t="s">
        <v>144</v>
      </c>
      <c r="F949" s="4">
        <v>35496</v>
      </c>
      <c r="G949" s="86" t="s">
        <v>2625</v>
      </c>
      <c r="H949" s="211"/>
      <c r="I949" s="326"/>
      <c r="K949" s="62"/>
    </row>
    <row r="950" spans="1:19" hidden="1" x14ac:dyDescent="0.25">
      <c r="A950" s="32" t="s">
        <v>1147</v>
      </c>
      <c r="B950" s="14">
        <v>43516</v>
      </c>
      <c r="C950" s="13">
        <v>173</v>
      </c>
      <c r="D950" s="32" t="s">
        <v>4006</v>
      </c>
      <c r="E950" s="32" t="s">
        <v>136</v>
      </c>
      <c r="F950" s="4">
        <v>1000000</v>
      </c>
      <c r="G950" s="174" t="s">
        <v>4007</v>
      </c>
      <c r="H950" s="14">
        <v>43486</v>
      </c>
      <c r="I950" s="41" t="s">
        <v>490</v>
      </c>
      <c r="K950" s="63"/>
      <c r="L950" s="62"/>
    </row>
    <row r="951" spans="1:19" ht="27.6" hidden="1" x14ac:dyDescent="0.25">
      <c r="A951" s="13" t="s">
        <v>1147</v>
      </c>
      <c r="B951" s="14">
        <v>43516</v>
      </c>
      <c r="C951" s="13">
        <v>359</v>
      </c>
      <c r="D951" s="13" t="s">
        <v>2974</v>
      </c>
      <c r="E951" s="13" t="s">
        <v>130</v>
      </c>
      <c r="F951" s="37">
        <v>593</v>
      </c>
      <c r="G951" s="210"/>
      <c r="H951" s="14"/>
      <c r="I951" s="4" t="s">
        <v>4070</v>
      </c>
    </row>
    <row r="952" spans="1:19" ht="27.6" hidden="1" x14ac:dyDescent="0.25">
      <c r="A952" s="13" t="s">
        <v>660</v>
      </c>
      <c r="B952" s="14">
        <v>43516</v>
      </c>
      <c r="C952" s="13">
        <v>360</v>
      </c>
      <c r="D952" s="13" t="s">
        <v>2974</v>
      </c>
      <c r="E952" s="13" t="s">
        <v>130</v>
      </c>
      <c r="F952" s="37">
        <v>778</v>
      </c>
      <c r="G952" s="210"/>
      <c r="H952" s="14"/>
      <c r="I952" s="4" t="s">
        <v>4070</v>
      </c>
    </row>
    <row r="953" spans="1:19" ht="27.6" hidden="1" x14ac:dyDescent="0.25">
      <c r="A953" s="13" t="s">
        <v>659</v>
      </c>
      <c r="B953" s="14">
        <v>43516</v>
      </c>
      <c r="C953" s="13">
        <v>361</v>
      </c>
      <c r="D953" s="13" t="s">
        <v>2974</v>
      </c>
      <c r="E953" s="13" t="s">
        <v>130</v>
      </c>
      <c r="F953" s="37">
        <v>651</v>
      </c>
      <c r="G953" s="210"/>
      <c r="H953" s="14"/>
      <c r="I953" s="4" t="s">
        <v>4070</v>
      </c>
    </row>
    <row r="954" spans="1:19" ht="27.6" hidden="1" x14ac:dyDescent="0.25">
      <c r="A954" s="13" t="s">
        <v>455</v>
      </c>
      <c r="B954" s="14">
        <v>43516</v>
      </c>
      <c r="C954" s="13">
        <v>362</v>
      </c>
      <c r="D954" s="13" t="s">
        <v>2974</v>
      </c>
      <c r="E954" s="13" t="s">
        <v>130</v>
      </c>
      <c r="F954" s="37">
        <v>3229</v>
      </c>
      <c r="G954" s="210"/>
      <c r="H954" s="14"/>
      <c r="I954" s="4" t="s">
        <v>4070</v>
      </c>
    </row>
    <row r="955" spans="1:19" ht="27.6" hidden="1" x14ac:dyDescent="0.25">
      <c r="A955" s="13" t="s">
        <v>91</v>
      </c>
      <c r="B955" s="14">
        <v>43516</v>
      </c>
      <c r="C955" s="13">
        <v>363</v>
      </c>
      <c r="D955" s="13" t="s">
        <v>2974</v>
      </c>
      <c r="E955" s="13" t="s">
        <v>130</v>
      </c>
      <c r="F955" s="37">
        <v>642</v>
      </c>
      <c r="G955" s="29"/>
      <c r="H955" s="14"/>
      <c r="I955" s="4" t="s">
        <v>4070</v>
      </c>
    </row>
    <row r="956" spans="1:19" ht="16.2" hidden="1" customHeight="1" x14ac:dyDescent="0.25">
      <c r="A956" s="68" t="s">
        <v>1672</v>
      </c>
      <c r="B956" s="14">
        <v>43516</v>
      </c>
      <c r="C956" s="13" t="s">
        <v>4287</v>
      </c>
      <c r="D956" s="13" t="s">
        <v>456</v>
      </c>
      <c r="E956" s="32" t="s">
        <v>130</v>
      </c>
      <c r="F956" s="4">
        <v>7907600</v>
      </c>
      <c r="G956" s="86" t="s">
        <v>1763</v>
      </c>
      <c r="H956" s="14"/>
      <c r="I956" s="4" t="s">
        <v>1764</v>
      </c>
      <c r="J956" s="71"/>
      <c r="K956" s="62"/>
      <c r="L956" s="62"/>
    </row>
    <row r="957" spans="1:19" hidden="1" x14ac:dyDescent="0.25">
      <c r="A957" s="68" t="s">
        <v>188</v>
      </c>
      <c r="B957" s="14">
        <v>43516</v>
      </c>
      <c r="C957" s="13">
        <v>259</v>
      </c>
      <c r="D957" s="32" t="s">
        <v>438</v>
      </c>
      <c r="E957" s="32" t="s">
        <v>963</v>
      </c>
      <c r="F957" s="4">
        <v>826084.17</v>
      </c>
      <c r="G957" s="86" t="s">
        <v>993</v>
      </c>
      <c r="H957" s="211"/>
      <c r="I957" s="84" t="s">
        <v>202</v>
      </c>
      <c r="J957" s="21"/>
      <c r="K957" s="228"/>
    </row>
    <row r="958" spans="1:19" hidden="1" x14ac:dyDescent="0.25">
      <c r="A958" s="68" t="s">
        <v>188</v>
      </c>
      <c r="B958" s="14">
        <v>43516</v>
      </c>
      <c r="C958" s="13">
        <v>260</v>
      </c>
      <c r="D958" s="32" t="s">
        <v>438</v>
      </c>
      <c r="E958" s="32" t="s">
        <v>963</v>
      </c>
      <c r="F958" s="4">
        <v>1167551.290000001</v>
      </c>
      <c r="G958" s="86" t="s">
        <v>992</v>
      </c>
      <c r="H958" s="211"/>
      <c r="I958" s="84" t="s">
        <v>315</v>
      </c>
      <c r="J958" s="21"/>
      <c r="K958" s="228"/>
    </row>
    <row r="959" spans="1:19" ht="13.95" hidden="1" customHeight="1" x14ac:dyDescent="0.25">
      <c r="A959" s="68" t="s">
        <v>188</v>
      </c>
      <c r="B959" s="14">
        <v>43516</v>
      </c>
      <c r="C959" s="13">
        <v>317</v>
      </c>
      <c r="D959" s="32" t="s">
        <v>438</v>
      </c>
      <c r="E959" s="32" t="s">
        <v>808</v>
      </c>
      <c r="F959" s="4">
        <v>1278038.0700000003</v>
      </c>
      <c r="G959" s="86" t="s">
        <v>1041</v>
      </c>
      <c r="H959" s="211"/>
      <c r="I959" s="84" t="s">
        <v>315</v>
      </c>
      <c r="J959" s="21"/>
      <c r="K959" s="228"/>
    </row>
    <row r="960" spans="1:19" ht="13.95" hidden="1" customHeight="1" x14ac:dyDescent="0.25">
      <c r="A960" s="68" t="s">
        <v>659</v>
      </c>
      <c r="B960" s="14">
        <v>43516</v>
      </c>
      <c r="C960" s="13">
        <v>316</v>
      </c>
      <c r="D960" s="32" t="s">
        <v>4266</v>
      </c>
      <c r="E960" s="32" t="s">
        <v>808</v>
      </c>
      <c r="F960" s="4">
        <v>28100</v>
      </c>
      <c r="G960" s="210" t="s">
        <v>3510</v>
      </c>
      <c r="H960" s="211">
        <v>43515</v>
      </c>
      <c r="I960" s="84" t="s">
        <v>4267</v>
      </c>
      <c r="J960" s="427" t="s">
        <v>4268</v>
      </c>
      <c r="K960" s="228"/>
    </row>
    <row r="961" spans="1:12" ht="16.2" hidden="1" customHeight="1" x14ac:dyDescent="0.25">
      <c r="A961" s="68" t="s">
        <v>1286</v>
      </c>
      <c r="B961" s="14">
        <v>43516</v>
      </c>
      <c r="C961" s="13">
        <v>288</v>
      </c>
      <c r="D961" s="13" t="s">
        <v>456</v>
      </c>
      <c r="E961" s="32" t="s">
        <v>62</v>
      </c>
      <c r="F961" s="4">
        <v>3000000</v>
      </c>
      <c r="G961" s="86" t="s">
        <v>1735</v>
      </c>
      <c r="H961" s="14"/>
      <c r="I961" s="4" t="s">
        <v>237</v>
      </c>
      <c r="J961" s="71"/>
      <c r="K961" s="62"/>
      <c r="L961" s="62"/>
    </row>
    <row r="962" spans="1:12" ht="13.8" hidden="1" customHeight="1" x14ac:dyDescent="0.25">
      <c r="A962" s="13" t="s">
        <v>55</v>
      </c>
      <c r="B962" s="14">
        <v>43516</v>
      </c>
      <c r="C962" s="13">
        <v>289</v>
      </c>
      <c r="D962" s="32" t="s">
        <v>833</v>
      </c>
      <c r="E962" s="32" t="s">
        <v>62</v>
      </c>
      <c r="F962" s="4">
        <v>2651702.37</v>
      </c>
      <c r="G962" s="86" t="s">
        <v>835</v>
      </c>
      <c r="H962" s="14"/>
      <c r="I962" s="41" t="s">
        <v>229</v>
      </c>
      <c r="J962" s="21"/>
      <c r="K962" s="228"/>
    </row>
    <row r="963" spans="1:12" ht="13.95" hidden="1" customHeight="1" x14ac:dyDescent="0.25">
      <c r="A963" s="32" t="s">
        <v>442</v>
      </c>
      <c r="B963" s="14">
        <v>43516</v>
      </c>
      <c r="C963" s="13">
        <v>290</v>
      </c>
      <c r="D963" s="32" t="s">
        <v>1919</v>
      </c>
      <c r="E963" s="32" t="s">
        <v>62</v>
      </c>
      <c r="F963" s="4">
        <v>842720</v>
      </c>
      <c r="G963" s="69" t="s">
        <v>1920</v>
      </c>
      <c r="H963" s="14"/>
      <c r="I963" s="41" t="s">
        <v>1921</v>
      </c>
      <c r="J963" s="21"/>
      <c r="K963" s="228"/>
    </row>
    <row r="964" spans="1:12" s="97" customFormat="1" hidden="1" x14ac:dyDescent="0.25">
      <c r="A964" s="14" t="s">
        <v>91</v>
      </c>
      <c r="B964" s="14">
        <v>43516</v>
      </c>
      <c r="C964" s="13">
        <v>291</v>
      </c>
      <c r="D964" s="13" t="s">
        <v>4162</v>
      </c>
      <c r="E964" s="13" t="s">
        <v>62</v>
      </c>
      <c r="F964" s="37">
        <v>3360</v>
      </c>
      <c r="G964" s="29" t="s">
        <v>4163</v>
      </c>
      <c r="H964" s="14">
        <v>43510</v>
      </c>
      <c r="I964" s="4" t="s">
        <v>187</v>
      </c>
      <c r="J964" s="133"/>
      <c r="K964" s="22"/>
      <c r="L964" s="134"/>
    </row>
    <row r="965" spans="1:12" hidden="1" x14ac:dyDescent="0.25">
      <c r="A965" s="32" t="s">
        <v>151</v>
      </c>
      <c r="B965" s="14">
        <v>43516</v>
      </c>
      <c r="C965" s="67">
        <v>206</v>
      </c>
      <c r="D965" s="32" t="s">
        <v>3633</v>
      </c>
      <c r="E965" s="32" t="s">
        <v>1121</v>
      </c>
      <c r="F965" s="4">
        <v>50190</v>
      </c>
      <c r="G965" s="28" t="s">
        <v>3636</v>
      </c>
      <c r="H965" s="14">
        <v>43515</v>
      </c>
      <c r="I965" s="4" t="s">
        <v>3635</v>
      </c>
      <c r="J965" s="166"/>
      <c r="K965" s="167"/>
      <c r="L965" s="35"/>
    </row>
    <row r="966" spans="1:12" hidden="1" x14ac:dyDescent="0.25">
      <c r="A966" s="32" t="s">
        <v>151</v>
      </c>
      <c r="B966" s="14">
        <v>43516</v>
      </c>
      <c r="C966" s="67">
        <v>136</v>
      </c>
      <c r="D966" s="32" t="s">
        <v>3633</v>
      </c>
      <c r="E966" s="32" t="s">
        <v>144</v>
      </c>
      <c r="F966" s="4">
        <v>50190</v>
      </c>
      <c r="G966" s="28" t="s">
        <v>3634</v>
      </c>
      <c r="H966" s="14">
        <v>43515</v>
      </c>
      <c r="I966" s="4" t="s">
        <v>3635</v>
      </c>
      <c r="J966" s="166"/>
      <c r="K966" s="167"/>
      <c r="L966" s="35"/>
    </row>
    <row r="967" spans="1:12" s="129" customFormat="1" ht="27.6" hidden="1" x14ac:dyDescent="0.25">
      <c r="A967" s="13" t="s">
        <v>55</v>
      </c>
      <c r="B967" s="14">
        <v>43516</v>
      </c>
      <c r="C967" s="13">
        <v>364</v>
      </c>
      <c r="D967" s="13" t="s">
        <v>1392</v>
      </c>
      <c r="E967" s="13" t="s">
        <v>1427</v>
      </c>
      <c r="F967" s="37">
        <v>872984.71</v>
      </c>
      <c r="G967" s="29" t="s">
        <v>1547</v>
      </c>
      <c r="H967" s="14">
        <v>43434</v>
      </c>
      <c r="I967" s="4" t="s">
        <v>618</v>
      </c>
      <c r="J967" s="35" t="s">
        <v>323</v>
      </c>
      <c r="K967" s="136"/>
    </row>
    <row r="968" spans="1:12" s="129" customFormat="1" ht="27.6" hidden="1" x14ac:dyDescent="0.25">
      <c r="A968" s="13" t="s">
        <v>55</v>
      </c>
      <c r="B968" s="14">
        <v>43516</v>
      </c>
      <c r="C968" s="13">
        <v>364</v>
      </c>
      <c r="D968" s="13" t="s">
        <v>1392</v>
      </c>
      <c r="E968" s="13" t="s">
        <v>1427</v>
      </c>
      <c r="F968" s="37">
        <v>315500.44</v>
      </c>
      <c r="G968" s="29" t="s">
        <v>3501</v>
      </c>
      <c r="H968" s="14">
        <v>43465</v>
      </c>
      <c r="I968" s="4" t="s">
        <v>618</v>
      </c>
      <c r="J968" s="35" t="s">
        <v>327</v>
      </c>
      <c r="K968" s="136"/>
    </row>
    <row r="969" spans="1:12" ht="15" hidden="1" customHeight="1" x14ac:dyDescent="0.25">
      <c r="A969" s="32" t="s">
        <v>213</v>
      </c>
      <c r="B969" s="14">
        <v>43516</v>
      </c>
      <c r="C969" s="67">
        <v>174</v>
      </c>
      <c r="D969" s="32" t="s">
        <v>757</v>
      </c>
      <c r="E969" s="32" t="s">
        <v>136</v>
      </c>
      <c r="F969" s="4">
        <f>871307.89</f>
        <v>871307.89</v>
      </c>
      <c r="G969" s="28" t="s">
        <v>58</v>
      </c>
      <c r="H969" s="14">
        <v>43496</v>
      </c>
      <c r="I969" s="4" t="s">
        <v>362</v>
      </c>
      <c r="J969" s="166" t="s">
        <v>239</v>
      </c>
      <c r="K969" s="167"/>
      <c r="L969" s="35"/>
    </row>
    <row r="970" spans="1:12" ht="15" hidden="1" customHeight="1" x14ac:dyDescent="0.25">
      <c r="A970" s="32" t="s">
        <v>213</v>
      </c>
      <c r="B970" s="14">
        <v>43516</v>
      </c>
      <c r="C970" s="67">
        <v>175</v>
      </c>
      <c r="D970" s="32" t="s">
        <v>757</v>
      </c>
      <c r="E970" s="32" t="s">
        <v>136</v>
      </c>
      <c r="F970" s="4">
        <v>128692.11</v>
      </c>
      <c r="G970" s="28" t="s">
        <v>3710</v>
      </c>
      <c r="H970" s="14">
        <v>43489</v>
      </c>
      <c r="I970" s="4" t="s">
        <v>284</v>
      </c>
      <c r="J970" s="166" t="s">
        <v>721</v>
      </c>
      <c r="K970" s="167"/>
      <c r="L970" s="35"/>
    </row>
    <row r="971" spans="1:12" s="97" customFormat="1" hidden="1" x14ac:dyDescent="0.25">
      <c r="A971" s="14" t="s">
        <v>151</v>
      </c>
      <c r="B971" s="14">
        <v>43516</v>
      </c>
      <c r="C971" s="13">
        <v>15</v>
      </c>
      <c r="D971" s="13" t="s">
        <v>4197</v>
      </c>
      <c r="E971" s="13" t="s">
        <v>2093</v>
      </c>
      <c r="F971" s="37">
        <v>4620</v>
      </c>
      <c r="G971" s="29" t="s">
        <v>4270</v>
      </c>
      <c r="H971" s="14">
        <v>43516</v>
      </c>
      <c r="I971" s="4" t="s">
        <v>4271</v>
      </c>
      <c r="J971" s="133"/>
      <c r="K971" s="22"/>
      <c r="L971" s="134"/>
    </row>
    <row r="972" spans="1:12" hidden="1" x14ac:dyDescent="0.25">
      <c r="A972" s="13" t="s">
        <v>209</v>
      </c>
      <c r="B972" s="14">
        <v>43516</v>
      </c>
      <c r="C972" s="13">
        <v>32</v>
      </c>
      <c r="D972" s="13" t="s">
        <v>210</v>
      </c>
      <c r="E972" s="13" t="s">
        <v>134</v>
      </c>
      <c r="F972" s="37">
        <v>30397.24</v>
      </c>
      <c r="G972" s="67" t="s">
        <v>4273</v>
      </c>
      <c r="H972" s="14">
        <v>43515</v>
      </c>
      <c r="I972" s="4" t="s">
        <v>4274</v>
      </c>
      <c r="J972" s="407"/>
      <c r="K972" s="228"/>
    </row>
    <row r="973" spans="1:12" hidden="1" x14ac:dyDescent="0.25">
      <c r="A973" s="61" t="s">
        <v>460</v>
      </c>
      <c r="B973" s="14">
        <v>43516</v>
      </c>
      <c r="C973" s="13">
        <v>577</v>
      </c>
      <c r="D973" s="13" t="s">
        <v>2082</v>
      </c>
      <c r="E973" s="13" t="s">
        <v>140</v>
      </c>
      <c r="F973" s="256">
        <v>1103069.82</v>
      </c>
      <c r="G973" s="69" t="s">
        <v>2083</v>
      </c>
      <c r="H973" s="14">
        <v>43410</v>
      </c>
      <c r="I973" s="274" t="s">
        <v>4161</v>
      </c>
      <c r="J973" s="169"/>
    </row>
    <row r="974" spans="1:12" s="97" customFormat="1" hidden="1" x14ac:dyDescent="0.25">
      <c r="A974" s="13" t="s">
        <v>92</v>
      </c>
      <c r="B974" s="14">
        <v>43516</v>
      </c>
      <c r="C974" s="13">
        <v>578</v>
      </c>
      <c r="D974" s="13" t="s">
        <v>3056</v>
      </c>
      <c r="E974" s="13" t="s">
        <v>140</v>
      </c>
      <c r="F974" s="4">
        <v>526600</v>
      </c>
      <c r="G974" s="29" t="s">
        <v>1960</v>
      </c>
      <c r="H974" s="14">
        <v>43496</v>
      </c>
      <c r="I974" s="4" t="s">
        <v>3057</v>
      </c>
      <c r="J974" s="358"/>
      <c r="K974" s="76"/>
      <c r="L974" s="134"/>
    </row>
    <row r="975" spans="1:12" s="192" customFormat="1" hidden="1" x14ac:dyDescent="0.25">
      <c r="A975" s="147" t="s">
        <v>92</v>
      </c>
      <c r="B975" s="14">
        <v>43516</v>
      </c>
      <c r="C975" s="187">
        <v>579</v>
      </c>
      <c r="D975" s="233" t="s">
        <v>737</v>
      </c>
      <c r="E975" s="147" t="s">
        <v>140</v>
      </c>
      <c r="F975" s="158">
        <f>23524.54*2</f>
        <v>47049.08</v>
      </c>
      <c r="G975" s="264" t="s">
        <v>1163</v>
      </c>
      <c r="H975" s="151"/>
      <c r="I975" s="233" t="s">
        <v>1249</v>
      </c>
      <c r="J975" s="257" t="s">
        <v>4269</v>
      </c>
      <c r="K975" s="194"/>
      <c r="L975" s="190"/>
    </row>
    <row r="976" spans="1:12" s="192" customFormat="1" hidden="1" x14ac:dyDescent="0.25">
      <c r="A976" s="147" t="s">
        <v>92</v>
      </c>
      <c r="B976" s="14">
        <v>43516</v>
      </c>
      <c r="C976" s="187">
        <v>580</v>
      </c>
      <c r="D976" s="233" t="s">
        <v>737</v>
      </c>
      <c r="E976" s="147" t="s">
        <v>140</v>
      </c>
      <c r="F976" s="158">
        <f>38399.94*2</f>
        <v>76799.88</v>
      </c>
      <c r="G976" s="264" t="s">
        <v>1184</v>
      </c>
      <c r="H976" s="151">
        <v>43109</v>
      </c>
      <c r="I976" s="233" t="s">
        <v>1250</v>
      </c>
      <c r="J976" s="257" t="s">
        <v>4269</v>
      </c>
      <c r="K976" s="194"/>
      <c r="L976" s="190"/>
    </row>
    <row r="977" spans="1:19" s="115" customFormat="1" ht="15.6" hidden="1" x14ac:dyDescent="0.25">
      <c r="A977" s="61" t="s">
        <v>166</v>
      </c>
      <c r="B977" s="14">
        <v>43516</v>
      </c>
      <c r="C977" s="13">
        <v>16</v>
      </c>
      <c r="D977" s="13" t="s">
        <v>3530</v>
      </c>
      <c r="E977" s="13" t="s">
        <v>76</v>
      </c>
      <c r="F977" s="4">
        <v>500000</v>
      </c>
      <c r="G977" s="29" t="s">
        <v>3965</v>
      </c>
      <c r="H977" s="14">
        <v>41177</v>
      </c>
      <c r="I977" s="41" t="s">
        <v>818</v>
      </c>
      <c r="J977" s="258"/>
      <c r="K977" s="116"/>
      <c r="L977" s="116"/>
      <c r="M977" s="116"/>
      <c r="N977" s="116"/>
      <c r="O977" s="117"/>
      <c r="P977" s="117"/>
      <c r="Q977" s="117"/>
      <c r="R977" s="117"/>
      <c r="S977" s="117"/>
    </row>
    <row r="978" spans="1:19" hidden="1" x14ac:dyDescent="0.25">
      <c r="A978" s="13" t="s">
        <v>209</v>
      </c>
      <c r="B978" s="151">
        <v>43517</v>
      </c>
      <c r="C978" s="13">
        <v>34</v>
      </c>
      <c r="D978" s="13" t="s">
        <v>4279</v>
      </c>
      <c r="E978" s="32" t="s">
        <v>134</v>
      </c>
      <c r="F978" s="4">
        <v>15000</v>
      </c>
      <c r="G978" s="28" t="s">
        <v>4385</v>
      </c>
      <c r="H978" s="14">
        <v>43397</v>
      </c>
      <c r="I978" s="4" t="s">
        <v>4280</v>
      </c>
      <c r="J978" s="343"/>
    </row>
    <row r="979" spans="1:19" ht="15" hidden="1" customHeight="1" x14ac:dyDescent="0.25">
      <c r="A979" s="32" t="s">
        <v>41</v>
      </c>
      <c r="B979" s="14">
        <v>43517</v>
      </c>
      <c r="C979" s="67">
        <v>54</v>
      </c>
      <c r="D979" s="32" t="s">
        <v>200</v>
      </c>
      <c r="E979" s="32" t="s">
        <v>195</v>
      </c>
      <c r="F979" s="4">
        <f>1000000</f>
        <v>1000000</v>
      </c>
      <c r="G979" s="28"/>
      <c r="H979" s="14"/>
      <c r="I979" s="4" t="s">
        <v>362</v>
      </c>
      <c r="J979" s="166" t="s">
        <v>239</v>
      </c>
      <c r="K979" s="167"/>
      <c r="L979" s="35"/>
    </row>
    <row r="980" spans="1:19" s="115" customFormat="1" ht="15.6" hidden="1" x14ac:dyDescent="0.25">
      <c r="A980" s="61" t="s">
        <v>651</v>
      </c>
      <c r="B980" s="14">
        <v>43517</v>
      </c>
      <c r="C980" s="13">
        <v>181</v>
      </c>
      <c r="D980" s="13" t="s">
        <v>813</v>
      </c>
      <c r="E980" s="13" t="s">
        <v>547</v>
      </c>
      <c r="F980" s="37">
        <v>1000000</v>
      </c>
      <c r="G980" s="29" t="s">
        <v>810</v>
      </c>
      <c r="H980" s="14">
        <v>42340</v>
      </c>
      <c r="I980" s="41" t="s">
        <v>1560</v>
      </c>
      <c r="J980" s="258"/>
      <c r="K980" s="116"/>
      <c r="L980" s="116"/>
      <c r="M980" s="116"/>
      <c r="N980" s="116"/>
      <c r="O980" s="117"/>
      <c r="P980" s="117"/>
      <c r="Q980" s="117"/>
      <c r="R980" s="117"/>
      <c r="S980" s="117"/>
    </row>
    <row r="981" spans="1:19" s="115" customFormat="1" ht="15.6" hidden="1" x14ac:dyDescent="0.25">
      <c r="A981" s="61" t="s">
        <v>151</v>
      </c>
      <c r="B981" s="14">
        <v>43517</v>
      </c>
      <c r="C981" s="13">
        <v>586</v>
      </c>
      <c r="D981" s="13" t="s">
        <v>4394</v>
      </c>
      <c r="E981" s="13" t="s">
        <v>140</v>
      </c>
      <c r="F981" s="37">
        <v>5110</v>
      </c>
      <c r="G981" s="29"/>
      <c r="H981" s="14"/>
      <c r="I981" s="41" t="s">
        <v>1525</v>
      </c>
      <c r="J981" s="258"/>
      <c r="K981" s="116"/>
      <c r="L981" s="116"/>
      <c r="M981" s="116"/>
      <c r="N981" s="116"/>
      <c r="O981" s="117"/>
      <c r="P981" s="117"/>
      <c r="Q981" s="117"/>
      <c r="R981" s="117"/>
      <c r="S981" s="117"/>
    </row>
    <row r="982" spans="1:19" s="115" customFormat="1" ht="15.6" hidden="1" x14ac:dyDescent="0.25">
      <c r="A982" s="61" t="s">
        <v>151</v>
      </c>
      <c r="B982" s="14">
        <v>43517</v>
      </c>
      <c r="C982" s="13">
        <v>33</v>
      </c>
      <c r="D982" s="13" t="s">
        <v>4395</v>
      </c>
      <c r="E982" s="13" t="s">
        <v>134</v>
      </c>
      <c r="F982" s="37">
        <v>143000</v>
      </c>
      <c r="G982" s="29" t="s">
        <v>4396</v>
      </c>
      <c r="H982" s="14">
        <v>43399</v>
      </c>
      <c r="I982" s="41" t="s">
        <v>4397</v>
      </c>
      <c r="J982" s="258"/>
      <c r="K982" s="116"/>
      <c r="L982" s="116"/>
      <c r="M982" s="116"/>
      <c r="N982" s="116"/>
      <c r="O982" s="117"/>
      <c r="P982" s="117"/>
      <c r="Q982" s="117"/>
      <c r="R982" s="117"/>
      <c r="S982" s="117"/>
    </row>
    <row r="983" spans="1:19" hidden="1" x14ac:dyDescent="0.25">
      <c r="A983" s="68" t="s">
        <v>151</v>
      </c>
      <c r="B983" s="14">
        <v>43517</v>
      </c>
      <c r="C983" s="13">
        <v>4</v>
      </c>
      <c r="D983" s="32" t="s">
        <v>2899</v>
      </c>
      <c r="E983" s="32" t="s">
        <v>2954</v>
      </c>
      <c r="F983" s="4">
        <v>4500</v>
      </c>
      <c r="G983" s="210" t="s">
        <v>4398</v>
      </c>
      <c r="H983" s="211">
        <v>43517</v>
      </c>
      <c r="I983" s="208" t="s">
        <v>4399</v>
      </c>
      <c r="J983" s="21"/>
      <c r="K983" s="228"/>
    </row>
    <row r="984" spans="1:19" hidden="1" x14ac:dyDescent="0.25">
      <c r="A984" s="68" t="s">
        <v>4404</v>
      </c>
      <c r="B984" s="14">
        <v>43517</v>
      </c>
      <c r="C984" s="13">
        <v>3</v>
      </c>
      <c r="D984" s="32" t="s">
        <v>4400</v>
      </c>
      <c r="E984" s="32" t="s">
        <v>4401</v>
      </c>
      <c r="F984" s="4">
        <v>75000</v>
      </c>
      <c r="G984" s="210" t="s">
        <v>3212</v>
      </c>
      <c r="H984" s="211">
        <v>43486</v>
      </c>
      <c r="I984" s="208" t="s">
        <v>4402</v>
      </c>
      <c r="J984" s="21"/>
      <c r="K984" s="228"/>
    </row>
    <row r="985" spans="1:19" s="62" customFormat="1" ht="13.8" hidden="1" customHeight="1" x14ac:dyDescent="0.25">
      <c r="A985" s="13" t="s">
        <v>151</v>
      </c>
      <c r="B985" s="14">
        <v>43518</v>
      </c>
      <c r="C985" s="13" t="s">
        <v>4041</v>
      </c>
      <c r="D985" s="13" t="s">
        <v>3637</v>
      </c>
      <c r="E985" s="13" t="s">
        <v>4041</v>
      </c>
      <c r="F985" s="37">
        <f>1715*4</f>
        <v>6860</v>
      </c>
      <c r="G985" s="29" t="s">
        <v>296</v>
      </c>
      <c r="H985" s="14"/>
      <c r="I985" s="4" t="s">
        <v>4042</v>
      </c>
      <c r="J985" s="22"/>
      <c r="O985" s="35"/>
      <c r="P985" s="35"/>
      <c r="Q985" s="35"/>
      <c r="R985" s="35"/>
      <c r="S985" s="35"/>
    </row>
    <row r="986" spans="1:19" s="115" customFormat="1" ht="15.6" hidden="1" x14ac:dyDescent="0.25">
      <c r="A986" s="61" t="s">
        <v>651</v>
      </c>
      <c r="B986" s="14">
        <v>43518</v>
      </c>
      <c r="C986" s="13">
        <v>184</v>
      </c>
      <c r="D986" s="13" t="s">
        <v>813</v>
      </c>
      <c r="E986" s="13" t="s">
        <v>547</v>
      </c>
      <c r="F986" s="37">
        <v>3200000</v>
      </c>
      <c r="G986" s="29" t="s">
        <v>810</v>
      </c>
      <c r="H986" s="14">
        <v>42340</v>
      </c>
      <c r="I986" s="41" t="s">
        <v>1560</v>
      </c>
      <c r="J986" s="258"/>
      <c r="K986" s="116"/>
      <c r="L986" s="116"/>
      <c r="M986" s="116"/>
      <c r="N986" s="116"/>
      <c r="O986" s="117"/>
      <c r="P986" s="117"/>
      <c r="Q986" s="117"/>
      <c r="R986" s="117"/>
      <c r="S986" s="117"/>
    </row>
    <row r="987" spans="1:19" s="97" customFormat="1" hidden="1" x14ac:dyDescent="0.25">
      <c r="A987" s="14" t="s">
        <v>151</v>
      </c>
      <c r="B987" s="14">
        <v>43521</v>
      </c>
      <c r="C987" s="13">
        <v>16</v>
      </c>
      <c r="D987" s="13" t="s">
        <v>4197</v>
      </c>
      <c r="E987" s="13" t="s">
        <v>2093</v>
      </c>
      <c r="F987" s="37">
        <v>250</v>
      </c>
      <c r="G987" s="29" t="s">
        <v>4489</v>
      </c>
      <c r="H987" s="14">
        <v>43521</v>
      </c>
      <c r="I987" s="4" t="s">
        <v>4490</v>
      </c>
      <c r="J987" s="133"/>
      <c r="K987" s="22"/>
      <c r="L987" s="134"/>
    </row>
    <row r="988" spans="1:19" hidden="1" x14ac:dyDescent="0.25">
      <c r="A988" s="61" t="s">
        <v>460</v>
      </c>
      <c r="B988" s="14">
        <v>43521</v>
      </c>
      <c r="C988" s="13">
        <v>138</v>
      </c>
      <c r="D988" s="14" t="s">
        <v>2657</v>
      </c>
      <c r="E988" s="32" t="s">
        <v>144</v>
      </c>
      <c r="F988" s="4">
        <v>43890</v>
      </c>
      <c r="G988" s="86" t="s">
        <v>2658</v>
      </c>
      <c r="H988" s="211"/>
      <c r="I988" s="326"/>
      <c r="K988" s="62"/>
    </row>
    <row r="989" spans="1:19" hidden="1" x14ac:dyDescent="0.25">
      <c r="A989" s="61" t="s">
        <v>460</v>
      </c>
      <c r="B989" s="14">
        <v>43521</v>
      </c>
      <c r="C989" s="13">
        <v>139</v>
      </c>
      <c r="D989" s="14" t="s">
        <v>2764</v>
      </c>
      <c r="E989" s="32" t="s">
        <v>144</v>
      </c>
      <c r="F989" s="4">
        <v>38475</v>
      </c>
      <c r="G989" s="86" t="s">
        <v>2765</v>
      </c>
      <c r="H989" s="211"/>
      <c r="I989" s="326"/>
      <c r="K989" s="62"/>
    </row>
    <row r="990" spans="1:19" hidden="1" x14ac:dyDescent="0.25">
      <c r="A990" s="61" t="s">
        <v>460</v>
      </c>
      <c r="B990" s="14">
        <v>43521</v>
      </c>
      <c r="C990" s="13">
        <v>140</v>
      </c>
      <c r="D990" s="14" t="s">
        <v>2773</v>
      </c>
      <c r="E990" s="32" t="s">
        <v>144</v>
      </c>
      <c r="F990" s="4">
        <v>61541</v>
      </c>
      <c r="G990" s="86" t="s">
        <v>2774</v>
      </c>
      <c r="H990" s="211"/>
      <c r="I990" s="326"/>
      <c r="K990" s="62"/>
    </row>
    <row r="991" spans="1:19" hidden="1" x14ac:dyDescent="0.25">
      <c r="A991" s="61" t="s">
        <v>460</v>
      </c>
      <c r="B991" s="14">
        <v>43521</v>
      </c>
      <c r="C991" s="13">
        <v>141</v>
      </c>
      <c r="D991" s="14" t="s">
        <v>2773</v>
      </c>
      <c r="E991" s="32" t="s">
        <v>144</v>
      </c>
      <c r="F991" s="4">
        <v>41696</v>
      </c>
      <c r="G991" s="86" t="s">
        <v>2775</v>
      </c>
      <c r="H991" s="211"/>
      <c r="I991" s="326"/>
      <c r="K991" s="62"/>
    </row>
    <row r="992" spans="1:19" hidden="1" x14ac:dyDescent="0.25">
      <c r="A992" s="61" t="s">
        <v>460</v>
      </c>
      <c r="B992" s="14">
        <v>43521</v>
      </c>
      <c r="C992" s="13">
        <v>142</v>
      </c>
      <c r="D992" s="14" t="s">
        <v>2786</v>
      </c>
      <c r="E992" s="32" t="s">
        <v>144</v>
      </c>
      <c r="F992" s="4">
        <v>41696</v>
      </c>
      <c r="G992" s="86" t="s">
        <v>2787</v>
      </c>
      <c r="H992" s="211"/>
      <c r="I992" s="326"/>
      <c r="K992" s="62"/>
    </row>
    <row r="993" spans="1:19" hidden="1" x14ac:dyDescent="0.25">
      <c r="A993" s="61" t="s">
        <v>460</v>
      </c>
      <c r="B993" s="14">
        <v>43521</v>
      </c>
      <c r="C993" s="13">
        <v>143</v>
      </c>
      <c r="D993" s="14" t="s">
        <v>2784</v>
      </c>
      <c r="E993" s="32" t="s">
        <v>144</v>
      </c>
      <c r="F993" s="4">
        <v>45360</v>
      </c>
      <c r="G993" s="86" t="s">
        <v>2785</v>
      </c>
      <c r="H993" s="211"/>
      <c r="I993" s="326"/>
      <c r="K993" s="62"/>
    </row>
    <row r="994" spans="1:19" hidden="1" x14ac:dyDescent="0.25">
      <c r="A994" s="61" t="s">
        <v>460</v>
      </c>
      <c r="B994" s="14">
        <v>43521</v>
      </c>
      <c r="C994" s="13">
        <v>144</v>
      </c>
      <c r="D994" s="14" t="s">
        <v>3038</v>
      </c>
      <c r="E994" s="32" t="s">
        <v>144</v>
      </c>
      <c r="F994" s="4">
        <v>46021</v>
      </c>
      <c r="G994" s="86" t="s">
        <v>3039</v>
      </c>
      <c r="H994" s="211"/>
      <c r="I994" s="326"/>
      <c r="K994" s="62"/>
    </row>
    <row r="995" spans="1:19" hidden="1" x14ac:dyDescent="0.25">
      <c r="A995" s="61" t="s">
        <v>460</v>
      </c>
      <c r="B995" s="14">
        <v>43521</v>
      </c>
      <c r="C995" s="13">
        <v>145</v>
      </c>
      <c r="D995" s="14" t="s">
        <v>3045</v>
      </c>
      <c r="E995" s="32" t="s">
        <v>144</v>
      </c>
      <c r="F995" s="4">
        <v>52976</v>
      </c>
      <c r="G995" s="86" t="s">
        <v>3046</v>
      </c>
      <c r="H995" s="211"/>
      <c r="I995" s="326"/>
      <c r="K995" s="62"/>
    </row>
    <row r="996" spans="1:19" hidden="1" x14ac:dyDescent="0.25">
      <c r="A996" s="61" t="s">
        <v>460</v>
      </c>
      <c r="B996" s="14">
        <v>43521</v>
      </c>
      <c r="C996" s="13">
        <v>146</v>
      </c>
      <c r="D996" s="14" t="s">
        <v>3047</v>
      </c>
      <c r="E996" s="32" t="s">
        <v>144</v>
      </c>
      <c r="F996" s="4">
        <v>39026</v>
      </c>
      <c r="G996" s="86" t="s">
        <v>3048</v>
      </c>
      <c r="H996" s="211"/>
      <c r="I996" s="326"/>
      <c r="K996" s="62"/>
    </row>
    <row r="997" spans="1:19" hidden="1" x14ac:dyDescent="0.25">
      <c r="A997" s="61" t="s">
        <v>460</v>
      </c>
      <c r="B997" s="14">
        <v>43521</v>
      </c>
      <c r="C997" s="13">
        <v>147</v>
      </c>
      <c r="D997" s="14" t="s">
        <v>3049</v>
      </c>
      <c r="E997" s="32" t="s">
        <v>144</v>
      </c>
      <c r="F997" s="4">
        <v>39627</v>
      </c>
      <c r="G997" s="86" t="s">
        <v>3050</v>
      </c>
      <c r="H997" s="211"/>
      <c r="I997" s="326"/>
      <c r="K997" s="62"/>
    </row>
    <row r="998" spans="1:19" hidden="1" x14ac:dyDescent="0.25">
      <c r="A998" s="61" t="s">
        <v>460</v>
      </c>
      <c r="B998" s="14">
        <v>43521</v>
      </c>
      <c r="C998" s="13">
        <v>148</v>
      </c>
      <c r="D998" s="14" t="s">
        <v>3051</v>
      </c>
      <c r="E998" s="32" t="s">
        <v>144</v>
      </c>
      <c r="F998" s="4">
        <v>41014</v>
      </c>
      <c r="G998" s="86" t="s">
        <v>3052</v>
      </c>
      <c r="H998" s="211"/>
      <c r="I998" s="326"/>
      <c r="K998" s="62"/>
    </row>
    <row r="999" spans="1:19" s="192" customFormat="1" hidden="1" x14ac:dyDescent="0.25">
      <c r="A999" s="147" t="s">
        <v>242</v>
      </c>
      <c r="B999" s="14">
        <v>43521</v>
      </c>
      <c r="C999" s="195">
        <v>149</v>
      </c>
      <c r="D999" s="149" t="s">
        <v>490</v>
      </c>
      <c r="E999" s="147" t="s">
        <v>144</v>
      </c>
      <c r="F999" s="158">
        <v>516407.7</v>
      </c>
      <c r="G999" s="150" t="s">
        <v>3993</v>
      </c>
      <c r="H999" s="148">
        <v>43502</v>
      </c>
      <c r="I999" s="149" t="s">
        <v>143</v>
      </c>
      <c r="J999" s="193"/>
      <c r="K999" s="194"/>
      <c r="L999" s="190"/>
    </row>
    <row r="1000" spans="1:19" s="192" customFormat="1" hidden="1" x14ac:dyDescent="0.25">
      <c r="A1000" s="147" t="s">
        <v>242</v>
      </c>
      <c r="B1000" s="14">
        <v>43521</v>
      </c>
      <c r="C1000" s="195">
        <v>150</v>
      </c>
      <c r="D1000" s="149" t="s">
        <v>490</v>
      </c>
      <c r="E1000" s="147" t="s">
        <v>144</v>
      </c>
      <c r="F1000" s="158">
        <v>154108</v>
      </c>
      <c r="G1000" s="150" t="s">
        <v>3996</v>
      </c>
      <c r="H1000" s="148">
        <v>43502</v>
      </c>
      <c r="I1000" s="149" t="s">
        <v>143</v>
      </c>
      <c r="J1000" s="193"/>
      <c r="K1000" s="194"/>
      <c r="L1000" s="190"/>
    </row>
    <row r="1001" spans="1:19" ht="15" hidden="1" customHeight="1" x14ac:dyDescent="0.25">
      <c r="A1001" s="13" t="s">
        <v>184</v>
      </c>
      <c r="B1001" s="14">
        <v>43521</v>
      </c>
      <c r="C1001" s="13">
        <v>211</v>
      </c>
      <c r="D1001" s="13" t="s">
        <v>348</v>
      </c>
      <c r="E1001" s="32" t="s">
        <v>1121</v>
      </c>
      <c r="F1001" s="4">
        <f>2825971.78+32985.28</f>
        <v>2858957.0599999996</v>
      </c>
      <c r="G1001" s="28" t="s">
        <v>205</v>
      </c>
      <c r="H1001" s="14">
        <v>43497</v>
      </c>
      <c r="I1001" s="4" t="s">
        <v>309</v>
      </c>
      <c r="J1001" s="76" t="s">
        <v>721</v>
      </c>
    </row>
    <row r="1002" spans="1:19" ht="15" hidden="1" customHeight="1" x14ac:dyDescent="0.25">
      <c r="A1002" s="13" t="s">
        <v>964</v>
      </c>
      <c r="B1002" s="14">
        <v>43521</v>
      </c>
      <c r="C1002" s="13">
        <v>212</v>
      </c>
      <c r="D1002" s="13" t="s">
        <v>321</v>
      </c>
      <c r="E1002" s="32" t="s">
        <v>1121</v>
      </c>
      <c r="F1002" s="4">
        <v>90000</v>
      </c>
      <c r="G1002" s="28" t="s">
        <v>33</v>
      </c>
      <c r="H1002" s="14">
        <v>43494</v>
      </c>
      <c r="I1002" s="4" t="s">
        <v>3671</v>
      </c>
      <c r="J1002" s="76" t="s">
        <v>721</v>
      </c>
      <c r="L1002" s="76"/>
    </row>
    <row r="1003" spans="1:19" s="62" customFormat="1" ht="13.8" hidden="1" customHeight="1" x14ac:dyDescent="0.25">
      <c r="A1003" s="61" t="s">
        <v>151</v>
      </c>
      <c r="B1003" s="14">
        <v>43521</v>
      </c>
      <c r="C1003" s="13">
        <v>213</v>
      </c>
      <c r="D1003" s="13" t="s">
        <v>592</v>
      </c>
      <c r="E1003" s="13" t="s">
        <v>1121</v>
      </c>
      <c r="F1003" s="37">
        <v>4366</v>
      </c>
      <c r="G1003" s="29" t="s">
        <v>4249</v>
      </c>
      <c r="H1003" s="14">
        <v>42005</v>
      </c>
      <c r="I1003" s="4" t="s">
        <v>565</v>
      </c>
      <c r="J1003" s="71" t="s">
        <v>366</v>
      </c>
      <c r="O1003" s="35"/>
      <c r="P1003" s="35"/>
      <c r="Q1003" s="35"/>
      <c r="R1003" s="35"/>
      <c r="S1003" s="35"/>
    </row>
    <row r="1004" spans="1:19" s="62" customFormat="1" ht="13.8" hidden="1" customHeight="1" x14ac:dyDescent="0.25">
      <c r="A1004" s="13" t="s">
        <v>151</v>
      </c>
      <c r="B1004" s="14">
        <v>43521</v>
      </c>
      <c r="C1004" s="13">
        <v>214</v>
      </c>
      <c r="D1004" s="13" t="s">
        <v>593</v>
      </c>
      <c r="E1004" s="13" t="s">
        <v>1121</v>
      </c>
      <c r="F1004" s="37">
        <v>1700</v>
      </c>
      <c r="G1004" s="29" t="s">
        <v>4250</v>
      </c>
      <c r="H1004" s="14">
        <v>42024</v>
      </c>
      <c r="I1004" s="4" t="s">
        <v>594</v>
      </c>
      <c r="J1004" s="22" t="s">
        <v>366</v>
      </c>
      <c r="O1004" s="35"/>
      <c r="P1004" s="35"/>
      <c r="Q1004" s="35"/>
      <c r="R1004" s="35"/>
      <c r="S1004" s="35"/>
    </row>
    <row r="1005" spans="1:19" s="62" customFormat="1" ht="15" hidden="1" customHeight="1" x14ac:dyDescent="0.25">
      <c r="A1005" s="13" t="s">
        <v>151</v>
      </c>
      <c r="B1005" s="14">
        <v>43521</v>
      </c>
      <c r="C1005" s="13">
        <v>215</v>
      </c>
      <c r="D1005" s="13" t="s">
        <v>1277</v>
      </c>
      <c r="E1005" s="13" t="s">
        <v>1121</v>
      </c>
      <c r="F1005" s="37">
        <v>49200</v>
      </c>
      <c r="G1005" s="29" t="s">
        <v>4056</v>
      </c>
      <c r="H1005" s="14">
        <v>43496</v>
      </c>
      <c r="I1005" s="4" t="s">
        <v>3278</v>
      </c>
      <c r="J1005" s="71" t="s">
        <v>239</v>
      </c>
      <c r="O1005" s="35"/>
      <c r="P1005" s="35"/>
      <c r="Q1005" s="35"/>
      <c r="R1005" s="35"/>
      <c r="S1005" s="35"/>
    </row>
    <row r="1006" spans="1:19" s="115" customFormat="1" ht="15.6" hidden="1" x14ac:dyDescent="0.25">
      <c r="A1006" s="13" t="s">
        <v>638</v>
      </c>
      <c r="B1006" s="14">
        <v>43521</v>
      </c>
      <c r="C1006" s="13" t="s">
        <v>4600</v>
      </c>
      <c r="D1006" s="13" t="s">
        <v>873</v>
      </c>
      <c r="E1006" s="13" t="s">
        <v>547</v>
      </c>
      <c r="F1006" s="37">
        <v>2722528.28</v>
      </c>
      <c r="G1006" s="13" t="s">
        <v>874</v>
      </c>
      <c r="H1006" s="126">
        <v>43445</v>
      </c>
      <c r="I1006" s="29" t="s">
        <v>875</v>
      </c>
      <c r="K1006" s="116"/>
      <c r="L1006" s="116"/>
      <c r="M1006" s="116"/>
      <c r="N1006" s="116"/>
      <c r="O1006" s="117"/>
      <c r="P1006" s="117"/>
      <c r="Q1006" s="117"/>
      <c r="R1006" s="117"/>
      <c r="S1006" s="117"/>
    </row>
    <row r="1007" spans="1:19" s="97" customFormat="1" hidden="1" x14ac:dyDescent="0.25">
      <c r="A1007" s="13" t="s">
        <v>310</v>
      </c>
      <c r="B1007" s="14">
        <v>43521</v>
      </c>
      <c r="C1007" s="13">
        <v>65</v>
      </c>
      <c r="D1007" s="13" t="s">
        <v>3056</v>
      </c>
      <c r="E1007" s="13" t="s">
        <v>314</v>
      </c>
      <c r="F1007" s="37">
        <v>48500</v>
      </c>
      <c r="G1007" s="29" t="s">
        <v>162</v>
      </c>
      <c r="H1007" s="14">
        <v>43496</v>
      </c>
      <c r="I1007" s="4" t="s">
        <v>3057</v>
      </c>
      <c r="J1007" s="22"/>
      <c r="K1007" s="76"/>
      <c r="L1007" s="134"/>
    </row>
    <row r="1008" spans="1:19" ht="15" hidden="1" customHeight="1" x14ac:dyDescent="0.25">
      <c r="A1008" s="32" t="s">
        <v>310</v>
      </c>
      <c r="B1008" s="14">
        <v>43521</v>
      </c>
      <c r="C1008" s="13">
        <v>66</v>
      </c>
      <c r="D1008" s="32" t="s">
        <v>281</v>
      </c>
      <c r="E1008" s="32" t="s">
        <v>314</v>
      </c>
      <c r="F1008" s="4">
        <v>267893</v>
      </c>
      <c r="G1008" s="29" t="s">
        <v>2983</v>
      </c>
      <c r="H1008" s="14">
        <v>43479</v>
      </c>
      <c r="I1008" s="41" t="s">
        <v>847</v>
      </c>
      <c r="J1008" s="35" t="s">
        <v>721</v>
      </c>
      <c r="K1008" s="35"/>
      <c r="L1008" s="35"/>
    </row>
    <row r="1009" spans="1:19" s="97" customFormat="1" hidden="1" x14ac:dyDescent="0.25">
      <c r="A1009" s="32" t="s">
        <v>442</v>
      </c>
      <c r="B1009" s="14">
        <v>43521</v>
      </c>
      <c r="C1009" s="13">
        <v>273</v>
      </c>
      <c r="D1009" s="13" t="s">
        <v>3056</v>
      </c>
      <c r="E1009" s="13" t="s">
        <v>494</v>
      </c>
      <c r="F1009" s="37">
        <v>191400</v>
      </c>
      <c r="G1009" s="29" t="s">
        <v>4272</v>
      </c>
      <c r="H1009" s="14">
        <v>43496</v>
      </c>
      <c r="I1009" s="4" t="s">
        <v>3057</v>
      </c>
      <c r="J1009" s="22"/>
      <c r="K1009" s="76"/>
      <c r="L1009" s="134"/>
    </row>
    <row r="1010" spans="1:19" s="115" customFormat="1" ht="15.6" hidden="1" x14ac:dyDescent="0.25">
      <c r="A1010" s="13" t="s">
        <v>442</v>
      </c>
      <c r="B1010" s="14">
        <v>43521</v>
      </c>
      <c r="C1010" s="13">
        <v>274</v>
      </c>
      <c r="D1010" s="13" t="s">
        <v>873</v>
      </c>
      <c r="E1010" s="13" t="s">
        <v>494</v>
      </c>
      <c r="F1010" s="37">
        <v>474186.49</v>
      </c>
      <c r="G1010" s="13" t="s">
        <v>874</v>
      </c>
      <c r="H1010" s="126">
        <v>43489</v>
      </c>
      <c r="I1010" s="29" t="s">
        <v>875</v>
      </c>
      <c r="K1010" s="116"/>
      <c r="L1010" s="116"/>
      <c r="M1010" s="116"/>
      <c r="N1010" s="116"/>
      <c r="O1010" s="117"/>
      <c r="P1010" s="117"/>
      <c r="Q1010" s="117"/>
      <c r="R1010" s="117"/>
      <c r="S1010" s="117"/>
    </row>
    <row r="1011" spans="1:19" ht="27.6" hidden="1" x14ac:dyDescent="0.25">
      <c r="A1011" s="13" t="s">
        <v>35</v>
      </c>
      <c r="B1011" s="14">
        <v>43521</v>
      </c>
      <c r="C1011" s="13">
        <v>384</v>
      </c>
      <c r="D1011" s="13" t="s">
        <v>210</v>
      </c>
      <c r="E1011" s="32" t="s">
        <v>1642</v>
      </c>
      <c r="F1011" s="37">
        <v>48175.97</v>
      </c>
      <c r="G1011" s="29" t="s">
        <v>4253</v>
      </c>
      <c r="H1011" s="14">
        <v>43504</v>
      </c>
      <c r="I1011" s="4" t="s">
        <v>1728</v>
      </c>
      <c r="J1011" s="22" t="s">
        <v>239</v>
      </c>
    </row>
    <row r="1012" spans="1:19" ht="27.6" hidden="1" x14ac:dyDescent="0.25">
      <c r="A1012" s="32" t="s">
        <v>35</v>
      </c>
      <c r="B1012" s="14">
        <v>43521</v>
      </c>
      <c r="C1012" s="67">
        <v>383</v>
      </c>
      <c r="D1012" s="32" t="s">
        <v>435</v>
      </c>
      <c r="E1012" s="32" t="s">
        <v>1642</v>
      </c>
      <c r="F1012" s="4">
        <f>40044.57+72035.2</f>
        <v>112079.76999999999</v>
      </c>
      <c r="G1012" s="28" t="s">
        <v>4043</v>
      </c>
      <c r="H1012" s="14">
        <v>43481</v>
      </c>
      <c r="I1012" s="4" t="s">
        <v>4044</v>
      </c>
      <c r="J1012" s="166" t="s">
        <v>2618</v>
      </c>
      <c r="K1012" s="167"/>
      <c r="L1012" s="35"/>
    </row>
    <row r="1013" spans="1:19" ht="15" hidden="1" customHeight="1" x14ac:dyDescent="0.25">
      <c r="A1013" s="68" t="s">
        <v>206</v>
      </c>
      <c r="B1013" s="14">
        <v>43521</v>
      </c>
      <c r="C1013" s="13">
        <v>36</v>
      </c>
      <c r="D1013" s="32" t="s">
        <v>281</v>
      </c>
      <c r="E1013" s="32" t="s">
        <v>178</v>
      </c>
      <c r="F1013" s="4">
        <v>27907.56</v>
      </c>
      <c r="G1013" s="29" t="s">
        <v>4184</v>
      </c>
      <c r="H1013" s="14">
        <v>43508</v>
      </c>
      <c r="I1013" s="41" t="s">
        <v>362</v>
      </c>
      <c r="J1013" s="35" t="s">
        <v>239</v>
      </c>
      <c r="K1013" s="35"/>
      <c r="L1013" s="35"/>
    </row>
    <row r="1014" spans="1:19" ht="15" hidden="1" customHeight="1" x14ac:dyDescent="0.25">
      <c r="A1014" s="68" t="s">
        <v>206</v>
      </c>
      <c r="B1014" s="14">
        <v>43521</v>
      </c>
      <c r="C1014" s="13">
        <v>37</v>
      </c>
      <c r="D1014" s="32" t="s">
        <v>281</v>
      </c>
      <c r="E1014" s="32" t="s">
        <v>178</v>
      </c>
      <c r="F1014" s="4">
        <v>19215</v>
      </c>
      <c r="G1014" s="29" t="s">
        <v>2994</v>
      </c>
      <c r="H1014" s="14">
        <v>43479</v>
      </c>
      <c r="I1014" s="41" t="s">
        <v>847</v>
      </c>
      <c r="J1014" s="35" t="s">
        <v>721</v>
      </c>
      <c r="K1014" s="35"/>
      <c r="L1014" s="35"/>
    </row>
    <row r="1015" spans="1:19" ht="27.6" hidden="1" x14ac:dyDescent="0.25">
      <c r="A1015" s="32" t="s">
        <v>212</v>
      </c>
      <c r="B1015" s="14">
        <v>43521</v>
      </c>
      <c r="C1015" s="13" t="s">
        <v>4599</v>
      </c>
      <c r="D1015" s="32" t="s">
        <v>212</v>
      </c>
      <c r="E1015" s="32" t="s">
        <v>136</v>
      </c>
      <c r="F1015" s="4">
        <v>6000000</v>
      </c>
      <c r="G1015" s="28" t="s">
        <v>4406</v>
      </c>
      <c r="H1015" s="14" t="s">
        <v>4407</v>
      </c>
      <c r="I1015" s="41" t="s">
        <v>277</v>
      </c>
      <c r="K1015" s="63"/>
      <c r="L1015" s="62"/>
    </row>
    <row r="1016" spans="1:19" hidden="1" x14ac:dyDescent="0.25">
      <c r="A1016" s="13" t="s">
        <v>213</v>
      </c>
      <c r="B1016" s="14">
        <v>43521</v>
      </c>
      <c r="C1016" s="13">
        <v>181</v>
      </c>
      <c r="D1016" s="13" t="s">
        <v>4279</v>
      </c>
      <c r="E1016" s="32" t="s">
        <v>136</v>
      </c>
      <c r="F1016" s="4">
        <v>40000</v>
      </c>
      <c r="G1016" s="28" t="s">
        <v>4281</v>
      </c>
      <c r="H1016" s="14">
        <v>43397</v>
      </c>
      <c r="I1016" s="4" t="s">
        <v>4280</v>
      </c>
      <c r="J1016" s="343"/>
    </row>
    <row r="1017" spans="1:19" ht="15" hidden="1" customHeight="1" x14ac:dyDescent="0.25">
      <c r="A1017" s="61" t="s">
        <v>1934</v>
      </c>
      <c r="B1017" s="14">
        <v>43521</v>
      </c>
      <c r="C1017" s="13">
        <v>182</v>
      </c>
      <c r="D1017" s="32" t="s">
        <v>281</v>
      </c>
      <c r="E1017" s="32" t="s">
        <v>136</v>
      </c>
      <c r="F1017" s="4">
        <v>1176408.22</v>
      </c>
      <c r="G1017" s="29" t="s">
        <v>4194</v>
      </c>
      <c r="H1017" s="14">
        <v>43508</v>
      </c>
      <c r="I1017" s="41" t="s">
        <v>362</v>
      </c>
      <c r="J1017" s="35" t="s">
        <v>239</v>
      </c>
      <c r="K1017" s="35"/>
      <c r="L1017" s="35"/>
    </row>
    <row r="1018" spans="1:19" ht="15" hidden="1" customHeight="1" x14ac:dyDescent="0.25">
      <c r="A1018" s="61" t="s">
        <v>1934</v>
      </c>
      <c r="B1018" s="14">
        <v>43521</v>
      </c>
      <c r="C1018" s="13">
        <v>183</v>
      </c>
      <c r="D1018" s="32" t="s">
        <v>281</v>
      </c>
      <c r="E1018" s="32" t="s">
        <v>136</v>
      </c>
      <c r="F1018" s="4">
        <v>508524</v>
      </c>
      <c r="G1018" s="29" t="s">
        <v>2991</v>
      </c>
      <c r="H1018" s="14">
        <v>43479</v>
      </c>
      <c r="I1018" s="41" t="s">
        <v>847</v>
      </c>
      <c r="J1018" s="35" t="s">
        <v>721</v>
      </c>
      <c r="K1018" s="35"/>
      <c r="L1018" s="35"/>
    </row>
    <row r="1019" spans="1:19" s="50" customFormat="1" hidden="1" x14ac:dyDescent="0.25">
      <c r="A1019" s="13" t="s">
        <v>455</v>
      </c>
      <c r="B1019" s="14">
        <v>43521</v>
      </c>
      <c r="C1019" s="13">
        <v>154</v>
      </c>
      <c r="D1019" s="218" t="s">
        <v>1356</v>
      </c>
      <c r="E1019" s="218" t="s">
        <v>440</v>
      </c>
      <c r="F1019" s="224">
        <v>17000000</v>
      </c>
      <c r="G1019" s="28" t="s">
        <v>4408</v>
      </c>
      <c r="H1019" s="14">
        <v>43347</v>
      </c>
      <c r="I1019" s="32" t="s">
        <v>1357</v>
      </c>
      <c r="J1019" s="325"/>
    </row>
    <row r="1020" spans="1:19" ht="15" hidden="1" customHeight="1" x14ac:dyDescent="0.25">
      <c r="A1020" s="32" t="s">
        <v>455</v>
      </c>
      <c r="B1020" s="14">
        <v>43521</v>
      </c>
      <c r="C1020" s="13">
        <v>155</v>
      </c>
      <c r="D1020" s="32" t="s">
        <v>281</v>
      </c>
      <c r="E1020" s="32" t="s">
        <v>440</v>
      </c>
      <c r="F1020" s="4">
        <v>427390</v>
      </c>
      <c r="G1020" s="29" t="s">
        <v>2988</v>
      </c>
      <c r="H1020" s="14">
        <v>43479</v>
      </c>
      <c r="I1020" s="41" t="s">
        <v>847</v>
      </c>
      <c r="J1020" s="35" t="s">
        <v>721</v>
      </c>
      <c r="K1020" s="35"/>
      <c r="L1020" s="35"/>
    </row>
    <row r="1021" spans="1:19" s="31" customFormat="1" ht="27.6" hidden="1" x14ac:dyDescent="0.25">
      <c r="A1021" s="61" t="s">
        <v>91</v>
      </c>
      <c r="B1021" s="14">
        <v>43521</v>
      </c>
      <c r="C1021" s="13">
        <v>151</v>
      </c>
      <c r="D1021" s="13" t="s">
        <v>745</v>
      </c>
      <c r="E1021" s="13" t="s">
        <v>2021</v>
      </c>
      <c r="F1021" s="37">
        <f>3054491.72-100000-1000000*2</f>
        <v>954491.7200000002</v>
      </c>
      <c r="G1021" s="29" t="s">
        <v>1425</v>
      </c>
      <c r="H1021" s="14">
        <v>43160</v>
      </c>
      <c r="I1021" s="4" t="s">
        <v>484</v>
      </c>
      <c r="J1021" s="34"/>
      <c r="O1021" s="34"/>
      <c r="P1021" s="34"/>
      <c r="Q1021" s="34"/>
      <c r="R1021" s="34"/>
      <c r="S1021" s="34"/>
    </row>
    <row r="1022" spans="1:19" s="31" customFormat="1" ht="27.6" hidden="1" x14ac:dyDescent="0.25">
      <c r="A1022" s="13" t="s">
        <v>91</v>
      </c>
      <c r="B1022" s="14">
        <v>43521</v>
      </c>
      <c r="C1022" s="13">
        <v>152</v>
      </c>
      <c r="D1022" s="13" t="s">
        <v>745</v>
      </c>
      <c r="E1022" s="13" t="s">
        <v>2021</v>
      </c>
      <c r="F1022" s="37">
        <v>200000</v>
      </c>
      <c r="G1022" s="29" t="s">
        <v>2018</v>
      </c>
      <c r="H1022" s="14">
        <v>43377</v>
      </c>
      <c r="I1022" s="4" t="s">
        <v>484</v>
      </c>
      <c r="J1022" s="34"/>
      <c r="O1022" s="34"/>
      <c r="P1022" s="34"/>
      <c r="Q1022" s="34"/>
      <c r="R1022" s="34"/>
      <c r="S1022" s="34"/>
    </row>
    <row r="1023" spans="1:19" ht="27.6" hidden="1" x14ac:dyDescent="0.25">
      <c r="A1023" s="13" t="s">
        <v>55</v>
      </c>
      <c r="B1023" s="14">
        <v>43521</v>
      </c>
      <c r="C1023" s="13">
        <v>377</v>
      </c>
      <c r="D1023" s="13" t="s">
        <v>2928</v>
      </c>
      <c r="E1023" s="13" t="s">
        <v>1427</v>
      </c>
      <c r="F1023" s="37">
        <v>75000</v>
      </c>
      <c r="G1023" s="29" t="s">
        <v>2933</v>
      </c>
      <c r="H1023" s="14">
        <v>43510</v>
      </c>
      <c r="I1023" s="4" t="s">
        <v>4168</v>
      </c>
    </row>
    <row r="1024" spans="1:19" ht="27.6" hidden="1" x14ac:dyDescent="0.25">
      <c r="A1024" s="13" t="s">
        <v>55</v>
      </c>
      <c r="B1024" s="14">
        <v>43521</v>
      </c>
      <c r="C1024" s="13">
        <v>379</v>
      </c>
      <c r="D1024" s="13" t="s">
        <v>4279</v>
      </c>
      <c r="E1024" s="13" t="s">
        <v>1427</v>
      </c>
      <c r="F1024" s="4">
        <v>120000</v>
      </c>
      <c r="G1024" s="28" t="s">
        <v>4282</v>
      </c>
      <c r="H1024" s="14">
        <v>43397</v>
      </c>
      <c r="I1024" s="4" t="s">
        <v>4280</v>
      </c>
      <c r="J1024" s="343"/>
    </row>
    <row r="1025" spans="1:19" ht="27.6" hidden="1" x14ac:dyDescent="0.25">
      <c r="A1025" s="61" t="s">
        <v>55</v>
      </c>
      <c r="B1025" s="14">
        <v>43521</v>
      </c>
      <c r="C1025" s="13">
        <v>380</v>
      </c>
      <c r="D1025" s="32" t="s">
        <v>667</v>
      </c>
      <c r="E1025" s="13" t="s">
        <v>1427</v>
      </c>
      <c r="F1025" s="4">
        <v>907960.2</v>
      </c>
      <c r="G1025" s="86" t="s">
        <v>977</v>
      </c>
      <c r="H1025" s="211"/>
      <c r="I1025" s="208" t="s">
        <v>978</v>
      </c>
      <c r="J1025" s="21"/>
      <c r="K1025" s="228"/>
    </row>
    <row r="1026" spans="1:19" ht="27.6" hidden="1" x14ac:dyDescent="0.25">
      <c r="A1026" s="13" t="s">
        <v>55</v>
      </c>
      <c r="B1026" s="14">
        <v>43521</v>
      </c>
      <c r="C1026" s="13">
        <v>378</v>
      </c>
      <c r="D1026" s="32" t="s">
        <v>285</v>
      </c>
      <c r="E1026" s="13" t="s">
        <v>1427</v>
      </c>
      <c r="F1026" s="4">
        <v>15000000</v>
      </c>
      <c r="G1026" s="69" t="s">
        <v>954</v>
      </c>
      <c r="H1026" s="14"/>
      <c r="I1026" s="41" t="s">
        <v>955</v>
      </c>
      <c r="K1026" s="62"/>
    </row>
    <row r="1027" spans="1:19" ht="27.6" hidden="1" x14ac:dyDescent="0.25">
      <c r="A1027" s="68" t="s">
        <v>55</v>
      </c>
      <c r="B1027" s="14">
        <v>43521</v>
      </c>
      <c r="C1027" s="13">
        <v>381</v>
      </c>
      <c r="D1027" s="32" t="s">
        <v>34</v>
      </c>
      <c r="E1027" s="13" t="s">
        <v>1427</v>
      </c>
      <c r="F1027" s="4">
        <v>500000</v>
      </c>
      <c r="G1027" s="69" t="s">
        <v>609</v>
      </c>
      <c r="H1027" s="14"/>
      <c r="I1027" s="41" t="s">
        <v>270</v>
      </c>
      <c r="K1027" s="62"/>
    </row>
    <row r="1028" spans="1:19" s="192" customFormat="1" hidden="1" x14ac:dyDescent="0.25">
      <c r="A1028" s="147" t="s">
        <v>92</v>
      </c>
      <c r="B1028" s="14">
        <v>43521</v>
      </c>
      <c r="C1028" s="187">
        <v>589</v>
      </c>
      <c r="D1028" s="233" t="s">
        <v>737</v>
      </c>
      <c r="E1028" s="147" t="s">
        <v>140</v>
      </c>
      <c r="F1028" s="158">
        <v>435622.32</v>
      </c>
      <c r="G1028" s="264" t="s">
        <v>4409</v>
      </c>
      <c r="H1028" s="151">
        <v>43497</v>
      </c>
      <c r="I1028" s="233" t="s">
        <v>4410</v>
      </c>
      <c r="J1028" s="257" t="s">
        <v>4411</v>
      </c>
      <c r="K1028" s="194"/>
      <c r="L1028" s="190"/>
    </row>
    <row r="1029" spans="1:19" s="97" customFormat="1" hidden="1" x14ac:dyDescent="0.25">
      <c r="A1029" s="13" t="s">
        <v>358</v>
      </c>
      <c r="B1029" s="14">
        <v>43521</v>
      </c>
      <c r="C1029" s="13">
        <v>18</v>
      </c>
      <c r="D1029" s="13" t="s">
        <v>4275</v>
      </c>
      <c r="E1029" s="13" t="s">
        <v>742</v>
      </c>
      <c r="F1029" s="4">
        <v>11160</v>
      </c>
      <c r="G1029" s="29" t="s">
        <v>4276</v>
      </c>
      <c r="H1029" s="14">
        <v>43514</v>
      </c>
      <c r="I1029" s="4" t="s">
        <v>4277</v>
      </c>
      <c r="J1029" s="358"/>
      <c r="K1029" s="76"/>
      <c r="L1029" s="134"/>
    </row>
    <row r="1030" spans="1:19" s="97" customFormat="1" hidden="1" x14ac:dyDescent="0.25">
      <c r="A1030" s="13" t="s">
        <v>2953</v>
      </c>
      <c r="B1030" s="14">
        <v>43521</v>
      </c>
      <c r="C1030" s="13">
        <v>5</v>
      </c>
      <c r="D1030" s="13" t="s">
        <v>4275</v>
      </c>
      <c r="E1030" s="32" t="s">
        <v>2954</v>
      </c>
      <c r="F1030" s="4">
        <v>11160</v>
      </c>
      <c r="G1030" s="29" t="s">
        <v>4278</v>
      </c>
      <c r="H1030" s="14">
        <v>43514</v>
      </c>
      <c r="I1030" s="4" t="s">
        <v>4277</v>
      </c>
      <c r="J1030" s="358"/>
      <c r="K1030" s="76"/>
      <c r="L1030" s="134"/>
    </row>
    <row r="1031" spans="1:19" ht="13.95" hidden="1" customHeight="1" x14ac:dyDescent="0.25">
      <c r="A1031" s="32" t="s">
        <v>407</v>
      </c>
      <c r="B1031" s="14">
        <v>43521</v>
      </c>
      <c r="C1031" s="13">
        <v>18</v>
      </c>
      <c r="D1031" s="32" t="s">
        <v>272</v>
      </c>
      <c r="E1031" s="32" t="s">
        <v>488</v>
      </c>
      <c r="F1031" s="4">
        <v>100587.2</v>
      </c>
      <c r="G1031" s="69" t="s">
        <v>422</v>
      </c>
      <c r="H1031" s="14"/>
      <c r="I1031" s="4" t="s">
        <v>663</v>
      </c>
      <c r="K1031" s="62"/>
    </row>
    <row r="1032" spans="1:19" ht="13.95" hidden="1" customHeight="1" x14ac:dyDescent="0.25">
      <c r="A1032" s="32" t="s">
        <v>407</v>
      </c>
      <c r="B1032" s="14">
        <v>43521</v>
      </c>
      <c r="C1032" s="13">
        <v>19</v>
      </c>
      <c r="D1032" s="32" t="s">
        <v>272</v>
      </c>
      <c r="E1032" s="32" t="s">
        <v>488</v>
      </c>
      <c r="F1032" s="4">
        <v>10507.5</v>
      </c>
      <c r="G1032" s="69" t="s">
        <v>2245</v>
      </c>
      <c r="H1032" s="14"/>
      <c r="I1032" s="4" t="s">
        <v>663</v>
      </c>
      <c r="K1032" s="62"/>
    </row>
    <row r="1033" spans="1:19" ht="13.95" hidden="1" customHeight="1" x14ac:dyDescent="0.25">
      <c r="A1033" s="32" t="s">
        <v>209</v>
      </c>
      <c r="B1033" s="14">
        <v>43521</v>
      </c>
      <c r="C1033" s="13">
        <v>35</v>
      </c>
      <c r="D1033" s="32" t="s">
        <v>272</v>
      </c>
      <c r="E1033" s="32" t="s">
        <v>134</v>
      </c>
      <c r="F1033" s="209">
        <v>79247.5</v>
      </c>
      <c r="G1033" s="69" t="s">
        <v>563</v>
      </c>
      <c r="H1033" s="14"/>
      <c r="I1033" s="4" t="s">
        <v>564</v>
      </c>
      <c r="K1033" s="62"/>
    </row>
    <row r="1034" spans="1:19" ht="13.95" hidden="1" customHeight="1" x14ac:dyDescent="0.25">
      <c r="A1034" s="13" t="s">
        <v>495</v>
      </c>
      <c r="B1034" s="151">
        <v>43521</v>
      </c>
      <c r="C1034" s="13">
        <v>401</v>
      </c>
      <c r="D1034" s="32" t="s">
        <v>390</v>
      </c>
      <c r="E1034" s="32" t="s">
        <v>130</v>
      </c>
      <c r="F1034" s="4">
        <v>150000</v>
      </c>
      <c r="G1034" s="210" t="s">
        <v>2062</v>
      </c>
      <c r="H1034" s="211">
        <v>43402</v>
      </c>
      <c r="I1034" s="84" t="s">
        <v>2063</v>
      </c>
      <c r="J1034" s="21"/>
      <c r="K1034" s="389"/>
      <c r="L1034" s="388"/>
    </row>
    <row r="1035" spans="1:19" hidden="1" x14ac:dyDescent="0.25">
      <c r="A1035" s="13" t="s">
        <v>1481</v>
      </c>
      <c r="B1035" s="151">
        <v>43521</v>
      </c>
      <c r="C1035" s="13">
        <v>386</v>
      </c>
      <c r="D1035" s="32" t="s">
        <v>1482</v>
      </c>
      <c r="E1035" s="13" t="s">
        <v>130</v>
      </c>
      <c r="F1035" s="4">
        <v>115000</v>
      </c>
      <c r="G1035" s="29" t="s">
        <v>4284</v>
      </c>
      <c r="H1035" s="14"/>
      <c r="I1035" s="208" t="s">
        <v>4283</v>
      </c>
      <c r="J1035" s="62"/>
      <c r="K1035" s="62"/>
      <c r="L1035" s="35"/>
      <c r="M1035" s="35"/>
      <c r="N1035" s="35"/>
      <c r="O1035" s="35"/>
      <c r="P1035" s="35"/>
    </row>
    <row r="1036" spans="1:19" hidden="1" x14ac:dyDescent="0.25">
      <c r="A1036" s="13" t="s">
        <v>637</v>
      </c>
      <c r="B1036" s="151">
        <v>43521</v>
      </c>
      <c r="C1036" s="13">
        <v>387</v>
      </c>
      <c r="D1036" s="13" t="s">
        <v>4166</v>
      </c>
      <c r="E1036" s="13" t="s">
        <v>130</v>
      </c>
      <c r="F1036" s="37">
        <v>45000</v>
      </c>
      <c r="G1036" s="29" t="s">
        <v>199</v>
      </c>
      <c r="H1036" s="14">
        <v>43503</v>
      </c>
      <c r="I1036" s="4" t="s">
        <v>4167</v>
      </c>
    </row>
    <row r="1037" spans="1:19" s="62" customFormat="1" ht="13.95" hidden="1" customHeight="1" x14ac:dyDescent="0.25">
      <c r="A1037" s="61" t="s">
        <v>261</v>
      </c>
      <c r="B1037" s="151">
        <v>43521</v>
      </c>
      <c r="C1037" s="13">
        <v>394</v>
      </c>
      <c r="D1037" s="13" t="s">
        <v>133</v>
      </c>
      <c r="E1037" s="13" t="s">
        <v>130</v>
      </c>
      <c r="F1037" s="37">
        <v>89680</v>
      </c>
      <c r="G1037" s="29" t="s">
        <v>4051</v>
      </c>
      <c r="H1037" s="14">
        <v>43237</v>
      </c>
      <c r="I1037" s="4" t="s">
        <v>1699</v>
      </c>
      <c r="J1037" s="71" t="s">
        <v>4052</v>
      </c>
      <c r="O1037" s="35"/>
      <c r="P1037" s="35"/>
      <c r="Q1037" s="35"/>
      <c r="R1037" s="35"/>
      <c r="S1037" s="35"/>
    </row>
    <row r="1038" spans="1:19" s="62" customFormat="1" ht="13.95" hidden="1" customHeight="1" x14ac:dyDescent="0.25">
      <c r="A1038" s="61" t="s">
        <v>638</v>
      </c>
      <c r="B1038" s="151">
        <v>43521</v>
      </c>
      <c r="C1038" s="13">
        <v>395</v>
      </c>
      <c r="D1038" s="13" t="s">
        <v>133</v>
      </c>
      <c r="E1038" s="13" t="s">
        <v>130</v>
      </c>
      <c r="F1038" s="37">
        <v>307980</v>
      </c>
      <c r="G1038" s="29" t="s">
        <v>4285</v>
      </c>
      <c r="H1038" s="14">
        <v>43237</v>
      </c>
      <c r="I1038" s="4" t="s">
        <v>1699</v>
      </c>
      <c r="J1038" s="71" t="s">
        <v>4286</v>
      </c>
      <c r="O1038" s="35"/>
      <c r="P1038" s="35"/>
      <c r="Q1038" s="35"/>
      <c r="R1038" s="35"/>
      <c r="S1038" s="35"/>
    </row>
    <row r="1039" spans="1:19" s="62" customFormat="1" ht="13.95" hidden="1" customHeight="1" x14ac:dyDescent="0.25">
      <c r="A1039" s="61" t="s">
        <v>4290</v>
      </c>
      <c r="B1039" s="151">
        <v>43521</v>
      </c>
      <c r="C1039" s="13">
        <v>396</v>
      </c>
      <c r="D1039" s="13" t="s">
        <v>133</v>
      </c>
      <c r="E1039" s="13" t="s">
        <v>130</v>
      </c>
      <c r="F1039" s="37">
        <f>516250</f>
        <v>516250</v>
      </c>
      <c r="G1039" s="29" t="s">
        <v>4291</v>
      </c>
      <c r="H1039" s="14">
        <v>43160</v>
      </c>
      <c r="I1039" s="4" t="s">
        <v>1134</v>
      </c>
      <c r="J1039" s="71" t="s">
        <v>4292</v>
      </c>
      <c r="O1039" s="35"/>
      <c r="P1039" s="35"/>
      <c r="Q1039" s="35"/>
      <c r="R1039" s="35"/>
      <c r="S1039" s="35"/>
    </row>
    <row r="1040" spans="1:19" ht="13.95" hidden="1" customHeight="1" x14ac:dyDescent="0.25">
      <c r="A1040" s="68" t="s">
        <v>55</v>
      </c>
      <c r="B1040" s="151">
        <v>43521</v>
      </c>
      <c r="C1040" s="13">
        <v>388</v>
      </c>
      <c r="D1040" s="32" t="s">
        <v>272</v>
      </c>
      <c r="E1040" s="32" t="s">
        <v>130</v>
      </c>
      <c r="F1040" s="4">
        <v>68100</v>
      </c>
      <c r="G1040" s="86" t="s">
        <v>2768</v>
      </c>
      <c r="H1040" s="211"/>
      <c r="I1040" s="84" t="s">
        <v>2769</v>
      </c>
      <c r="J1040" s="21"/>
      <c r="K1040" s="228"/>
    </row>
    <row r="1041" spans="1:17" ht="16.2" hidden="1" customHeight="1" x14ac:dyDescent="0.25">
      <c r="A1041" s="68" t="s">
        <v>1672</v>
      </c>
      <c r="B1041" s="151">
        <v>43521</v>
      </c>
      <c r="C1041" s="13">
        <v>389</v>
      </c>
      <c r="D1041" s="13" t="s">
        <v>456</v>
      </c>
      <c r="E1041" s="32" t="s">
        <v>130</v>
      </c>
      <c r="F1041" s="4">
        <v>554500</v>
      </c>
      <c r="G1041" s="86" t="s">
        <v>1673</v>
      </c>
      <c r="H1041" s="14"/>
      <c r="I1041" s="4" t="s">
        <v>1674</v>
      </c>
      <c r="J1041" s="71"/>
      <c r="K1041" s="62"/>
      <c r="L1041" s="62"/>
    </row>
    <row r="1042" spans="1:17" ht="13.95" hidden="1" customHeight="1" x14ac:dyDescent="0.25">
      <c r="A1042" s="68" t="s">
        <v>90</v>
      </c>
      <c r="B1042" s="151">
        <v>43521</v>
      </c>
      <c r="C1042" s="13">
        <v>399</v>
      </c>
      <c r="D1042" s="32" t="s">
        <v>667</v>
      </c>
      <c r="E1042" s="32" t="s">
        <v>130</v>
      </c>
      <c r="F1042" s="4">
        <v>371407.5</v>
      </c>
      <c r="G1042" s="86" t="s">
        <v>665</v>
      </c>
      <c r="H1042" s="211"/>
      <c r="I1042" s="41" t="s">
        <v>664</v>
      </c>
      <c r="J1042" s="21"/>
      <c r="K1042" s="228"/>
    </row>
    <row r="1043" spans="1:17" ht="13.95" hidden="1" customHeight="1" x14ac:dyDescent="0.25">
      <c r="A1043" s="13" t="s">
        <v>91</v>
      </c>
      <c r="B1043" s="151">
        <v>43521</v>
      </c>
      <c r="C1043" s="13">
        <v>400</v>
      </c>
      <c r="D1043" s="32" t="s">
        <v>1907</v>
      </c>
      <c r="E1043" s="32" t="s">
        <v>130</v>
      </c>
      <c r="F1043" s="4">
        <v>2000000</v>
      </c>
      <c r="G1043" s="86" t="s">
        <v>2797</v>
      </c>
      <c r="H1043" s="14"/>
      <c r="I1043" s="41" t="s">
        <v>1834</v>
      </c>
      <c r="J1043" s="21"/>
      <c r="K1043" s="228"/>
    </row>
    <row r="1044" spans="1:17" hidden="1" x14ac:dyDescent="0.25">
      <c r="A1044" s="61" t="s">
        <v>55</v>
      </c>
      <c r="B1044" s="151">
        <v>43521</v>
      </c>
      <c r="C1044" s="13">
        <v>390</v>
      </c>
      <c r="D1044" s="13" t="s">
        <v>679</v>
      </c>
      <c r="E1044" s="32" t="s">
        <v>130</v>
      </c>
      <c r="F1044" s="4">
        <v>485000</v>
      </c>
      <c r="G1044" s="86" t="s">
        <v>1797</v>
      </c>
      <c r="H1044" s="211"/>
      <c r="I1044" s="4" t="s">
        <v>1798</v>
      </c>
      <c r="J1044" s="21"/>
      <c r="K1044" s="228"/>
    </row>
    <row r="1045" spans="1:17" ht="13.95" hidden="1" customHeight="1" x14ac:dyDescent="0.25">
      <c r="A1045" s="61" t="s">
        <v>129</v>
      </c>
      <c r="B1045" s="151">
        <v>43521</v>
      </c>
      <c r="C1045" s="13">
        <v>391</v>
      </c>
      <c r="D1045" s="13" t="s">
        <v>679</v>
      </c>
      <c r="E1045" s="32" t="s">
        <v>130</v>
      </c>
      <c r="F1045" s="4">
        <v>440000</v>
      </c>
      <c r="G1045" s="86" t="s">
        <v>1370</v>
      </c>
      <c r="H1045" s="211"/>
      <c r="I1045" s="4" t="s">
        <v>270</v>
      </c>
      <c r="J1045" s="21"/>
      <c r="K1045" s="228"/>
    </row>
    <row r="1046" spans="1:17" hidden="1" x14ac:dyDescent="0.25">
      <c r="A1046" s="68" t="s">
        <v>55</v>
      </c>
      <c r="B1046" s="151">
        <v>43521</v>
      </c>
      <c r="C1046" s="13">
        <v>392</v>
      </c>
      <c r="D1046" s="32" t="s">
        <v>3628</v>
      </c>
      <c r="E1046" s="32" t="s">
        <v>130</v>
      </c>
      <c r="F1046" s="4">
        <v>70000</v>
      </c>
      <c r="G1046" s="210" t="s">
        <v>3629</v>
      </c>
      <c r="H1046" s="211"/>
      <c r="I1046" s="208" t="s">
        <v>3630</v>
      </c>
      <c r="J1046" s="21" t="s">
        <v>754</v>
      </c>
      <c r="K1046" s="228"/>
    </row>
    <row r="1047" spans="1:17" hidden="1" x14ac:dyDescent="0.25">
      <c r="A1047" s="13" t="s">
        <v>55</v>
      </c>
      <c r="B1047" s="151">
        <v>43521</v>
      </c>
      <c r="C1047" s="13">
        <v>397</v>
      </c>
      <c r="D1047" s="32" t="s">
        <v>1980</v>
      </c>
      <c r="E1047" s="32" t="s">
        <v>130</v>
      </c>
      <c r="F1047" s="4">
        <f>44278.51+661562.09</f>
        <v>705840.6</v>
      </c>
      <c r="G1047" s="69" t="s">
        <v>4251</v>
      </c>
      <c r="H1047" s="14"/>
      <c r="I1047" s="41" t="s">
        <v>270</v>
      </c>
      <c r="K1047" s="62"/>
    </row>
    <row r="1048" spans="1:17" ht="27.6" hidden="1" x14ac:dyDescent="0.25">
      <c r="A1048" s="13" t="s">
        <v>55</v>
      </c>
      <c r="B1048" s="151">
        <v>43521</v>
      </c>
      <c r="C1048" s="13">
        <v>393</v>
      </c>
      <c r="D1048" s="13" t="s">
        <v>4420</v>
      </c>
      <c r="E1048" s="32" t="s">
        <v>130</v>
      </c>
      <c r="F1048" s="37">
        <v>1000000</v>
      </c>
      <c r="G1048" s="69" t="s">
        <v>1136</v>
      </c>
      <c r="H1048" s="14"/>
      <c r="I1048" s="4" t="s">
        <v>270</v>
      </c>
      <c r="J1048" s="71"/>
      <c r="K1048" s="62"/>
      <c r="L1048" s="62"/>
      <c r="M1048" s="35"/>
      <c r="N1048" s="35"/>
      <c r="O1048" s="35"/>
      <c r="P1048" s="35"/>
      <c r="Q1048" s="35"/>
    </row>
    <row r="1049" spans="1:17" s="129" customFormat="1" hidden="1" x14ac:dyDescent="0.25">
      <c r="A1049" s="13" t="s">
        <v>55</v>
      </c>
      <c r="B1049" s="151">
        <v>43521</v>
      </c>
      <c r="C1049" s="28" t="s">
        <v>4598</v>
      </c>
      <c r="D1049" s="13" t="s">
        <v>3504</v>
      </c>
      <c r="E1049" s="13" t="s">
        <v>130</v>
      </c>
      <c r="F1049" s="37">
        <f>109154+6297</f>
        <v>115451</v>
      </c>
      <c r="G1049" s="28" t="s">
        <v>4384</v>
      </c>
      <c r="H1049" s="14">
        <v>43504</v>
      </c>
      <c r="I1049" s="4" t="s">
        <v>3505</v>
      </c>
      <c r="J1049" s="133"/>
      <c r="K1049" s="275"/>
    </row>
    <row r="1050" spans="1:17" s="97" customFormat="1" ht="27.6" hidden="1" x14ac:dyDescent="0.25">
      <c r="A1050" s="13" t="s">
        <v>92</v>
      </c>
      <c r="B1050" s="14">
        <v>43521</v>
      </c>
      <c r="C1050" s="13">
        <v>397</v>
      </c>
      <c r="D1050" s="32" t="s">
        <v>4218</v>
      </c>
      <c r="E1050" s="13" t="s">
        <v>38</v>
      </c>
      <c r="F1050" s="4">
        <f>966000-483000</f>
        <v>483000</v>
      </c>
      <c r="G1050" s="69" t="s">
        <v>1583</v>
      </c>
      <c r="H1050" s="14"/>
      <c r="I1050" s="41" t="s">
        <v>4219</v>
      </c>
      <c r="J1050" s="133"/>
      <c r="K1050" s="22"/>
      <c r="L1050" s="134"/>
    </row>
    <row r="1051" spans="1:17" s="97" customFormat="1" ht="27.6" hidden="1" x14ac:dyDescent="0.25">
      <c r="A1051" s="13" t="s">
        <v>92</v>
      </c>
      <c r="B1051" s="14">
        <v>43521</v>
      </c>
      <c r="C1051" s="13">
        <v>398</v>
      </c>
      <c r="D1051" s="32" t="s">
        <v>4222</v>
      </c>
      <c r="E1051" s="13" t="s">
        <v>38</v>
      </c>
      <c r="F1051" s="4">
        <f>2863272.16-771278.77</f>
        <v>2091993.3900000001</v>
      </c>
      <c r="G1051" s="69" t="s">
        <v>1583</v>
      </c>
      <c r="H1051" s="14"/>
      <c r="I1051" s="41" t="s">
        <v>4223</v>
      </c>
      <c r="J1051" s="133"/>
      <c r="K1051" s="22"/>
      <c r="L1051" s="134"/>
    </row>
    <row r="1052" spans="1:17" s="97" customFormat="1" ht="27.6" hidden="1" x14ac:dyDescent="0.25">
      <c r="A1052" s="13" t="s">
        <v>92</v>
      </c>
      <c r="B1052" s="14">
        <v>43521</v>
      </c>
      <c r="C1052" s="13">
        <v>399</v>
      </c>
      <c r="D1052" s="32" t="s">
        <v>4224</v>
      </c>
      <c r="E1052" s="13" t="s">
        <v>38</v>
      </c>
      <c r="F1052" s="4">
        <f>3247353.33-2000000</f>
        <v>1247353.33</v>
      </c>
      <c r="G1052" s="69" t="s">
        <v>1583</v>
      </c>
      <c r="H1052" s="14"/>
      <c r="I1052" s="41" t="s">
        <v>4225</v>
      </c>
      <c r="J1052" s="133"/>
      <c r="K1052" s="22"/>
      <c r="L1052" s="134"/>
    </row>
    <row r="1053" spans="1:17" s="97" customFormat="1" ht="27.6" hidden="1" x14ac:dyDescent="0.25">
      <c r="A1053" s="13" t="s">
        <v>92</v>
      </c>
      <c r="B1053" s="14">
        <v>43521</v>
      </c>
      <c r="C1053" s="13">
        <v>400</v>
      </c>
      <c r="D1053" s="32" t="s">
        <v>3794</v>
      </c>
      <c r="E1053" s="13" t="s">
        <v>38</v>
      </c>
      <c r="F1053" s="4">
        <f>891721.94-290000</f>
        <v>601721.93999999994</v>
      </c>
      <c r="G1053" s="69" t="s">
        <v>1583</v>
      </c>
      <c r="H1053" s="14"/>
      <c r="I1053" s="41" t="s">
        <v>4227</v>
      </c>
      <c r="J1053" s="133"/>
      <c r="K1053" s="22"/>
      <c r="L1053" s="134"/>
    </row>
    <row r="1054" spans="1:17" s="97" customFormat="1" ht="27.6" hidden="1" x14ac:dyDescent="0.25">
      <c r="A1054" s="13" t="s">
        <v>92</v>
      </c>
      <c r="B1054" s="14">
        <v>43521</v>
      </c>
      <c r="C1054" s="13">
        <v>401</v>
      </c>
      <c r="D1054" s="32" t="s">
        <v>4228</v>
      </c>
      <c r="E1054" s="13" t="s">
        <v>38</v>
      </c>
      <c r="F1054" s="4">
        <f>88386</f>
        <v>88386</v>
      </c>
      <c r="G1054" s="69" t="s">
        <v>1583</v>
      </c>
      <c r="H1054" s="14"/>
      <c r="I1054" s="41" t="s">
        <v>4229</v>
      </c>
      <c r="J1054" s="133"/>
      <c r="K1054" s="22"/>
      <c r="L1054" s="134"/>
    </row>
    <row r="1055" spans="1:17" s="2" customFormat="1" hidden="1" x14ac:dyDescent="0.25">
      <c r="A1055" s="61" t="s">
        <v>103</v>
      </c>
      <c r="B1055" s="14">
        <v>43521</v>
      </c>
      <c r="C1055" s="13">
        <v>297</v>
      </c>
      <c r="D1055" s="13" t="s">
        <v>1513</v>
      </c>
      <c r="E1055" s="13" t="s">
        <v>62</v>
      </c>
      <c r="F1055" s="37">
        <v>509000</v>
      </c>
      <c r="G1055" s="29" t="s">
        <v>3211</v>
      </c>
      <c r="H1055" s="14">
        <v>43501</v>
      </c>
      <c r="I1055" s="4" t="s">
        <v>2692</v>
      </c>
      <c r="J1055" s="121"/>
      <c r="K1055" s="5"/>
    </row>
    <row r="1056" spans="1:17" hidden="1" x14ac:dyDescent="0.25">
      <c r="A1056" s="61" t="s">
        <v>103</v>
      </c>
      <c r="B1056" s="14">
        <v>43521</v>
      </c>
      <c r="C1056" s="13">
        <v>298</v>
      </c>
      <c r="D1056" s="13" t="s">
        <v>307</v>
      </c>
      <c r="E1056" s="13" t="s">
        <v>62</v>
      </c>
      <c r="F1056" s="37">
        <v>123110</v>
      </c>
      <c r="G1056" s="29" t="s">
        <v>729</v>
      </c>
      <c r="H1056" s="14">
        <v>43479</v>
      </c>
      <c r="I1056" s="4" t="s">
        <v>1781</v>
      </c>
      <c r="J1056" s="128"/>
    </row>
    <row r="1057" spans="1:12" s="2" customFormat="1" hidden="1" x14ac:dyDescent="0.25">
      <c r="A1057" s="13" t="s">
        <v>103</v>
      </c>
      <c r="B1057" s="14">
        <v>43521</v>
      </c>
      <c r="C1057" s="13">
        <v>299</v>
      </c>
      <c r="D1057" s="13" t="s">
        <v>262</v>
      </c>
      <c r="E1057" s="13" t="s">
        <v>62</v>
      </c>
      <c r="F1057" s="37">
        <v>35000</v>
      </c>
      <c r="G1057" s="29" t="s">
        <v>33</v>
      </c>
      <c r="H1057" s="14">
        <v>43500</v>
      </c>
      <c r="I1057" s="4" t="s">
        <v>155</v>
      </c>
      <c r="J1057" s="121"/>
      <c r="K1057" s="5"/>
    </row>
    <row r="1058" spans="1:12" s="2" customFormat="1" hidden="1" x14ac:dyDescent="0.25">
      <c r="A1058" s="61" t="s">
        <v>103</v>
      </c>
      <c r="B1058" s="14">
        <v>43521</v>
      </c>
      <c r="C1058" s="13">
        <v>299</v>
      </c>
      <c r="D1058" s="13" t="s">
        <v>262</v>
      </c>
      <c r="E1058" s="13" t="s">
        <v>62</v>
      </c>
      <c r="F1058" s="37">
        <v>35000</v>
      </c>
      <c r="G1058" s="29" t="s">
        <v>3362</v>
      </c>
      <c r="H1058" s="14">
        <v>43508</v>
      </c>
      <c r="I1058" s="4" t="s">
        <v>155</v>
      </c>
      <c r="J1058" s="121"/>
      <c r="K1058" s="5"/>
    </row>
    <row r="1059" spans="1:12" s="2" customFormat="1" hidden="1" x14ac:dyDescent="0.25">
      <c r="A1059" s="32" t="s">
        <v>103</v>
      </c>
      <c r="B1059" s="14">
        <v>43521</v>
      </c>
      <c r="C1059" s="13">
        <v>299</v>
      </c>
      <c r="D1059" s="13" t="s">
        <v>262</v>
      </c>
      <c r="E1059" s="13" t="s">
        <v>62</v>
      </c>
      <c r="F1059" s="4">
        <v>40000</v>
      </c>
      <c r="G1059" s="28" t="s">
        <v>317</v>
      </c>
      <c r="H1059" s="14">
        <v>43509</v>
      </c>
      <c r="I1059" s="4" t="s">
        <v>155</v>
      </c>
      <c r="J1059" s="121"/>
      <c r="K1059" s="5"/>
    </row>
    <row r="1060" spans="1:12" s="2" customFormat="1" hidden="1" x14ac:dyDescent="0.25">
      <c r="A1060" s="61" t="s">
        <v>103</v>
      </c>
      <c r="B1060" s="14">
        <v>43521</v>
      </c>
      <c r="C1060" s="13">
        <v>299</v>
      </c>
      <c r="D1060" s="13" t="s">
        <v>262</v>
      </c>
      <c r="E1060" s="13" t="s">
        <v>62</v>
      </c>
      <c r="F1060" s="37">
        <v>35000</v>
      </c>
      <c r="G1060" s="29" t="s">
        <v>71</v>
      </c>
      <c r="H1060" s="14">
        <v>43512</v>
      </c>
      <c r="I1060" s="4" t="s">
        <v>155</v>
      </c>
      <c r="J1060" s="121"/>
      <c r="K1060" s="5"/>
    </row>
    <row r="1061" spans="1:12" s="2" customFormat="1" hidden="1" x14ac:dyDescent="0.25">
      <c r="A1061" s="61" t="s">
        <v>103</v>
      </c>
      <c r="B1061" s="14">
        <v>43521</v>
      </c>
      <c r="C1061" s="13">
        <v>300</v>
      </c>
      <c r="D1061" s="13" t="s">
        <v>414</v>
      </c>
      <c r="E1061" s="13" t="s">
        <v>62</v>
      </c>
      <c r="F1061" s="37">
        <v>21300</v>
      </c>
      <c r="G1061" s="210" t="s">
        <v>4323</v>
      </c>
      <c r="H1061" s="211">
        <v>43509</v>
      </c>
      <c r="I1061" s="4" t="s">
        <v>4324</v>
      </c>
      <c r="J1061" s="121"/>
      <c r="K1061" s="5"/>
    </row>
    <row r="1062" spans="1:12" ht="16.2" hidden="1" customHeight="1" x14ac:dyDescent="0.25">
      <c r="A1062" s="68" t="s">
        <v>129</v>
      </c>
      <c r="B1062" s="14">
        <v>43521</v>
      </c>
      <c r="C1062" s="13">
        <v>296</v>
      </c>
      <c r="D1062" s="13" t="s">
        <v>456</v>
      </c>
      <c r="E1062" s="32" t="s">
        <v>62</v>
      </c>
      <c r="F1062" s="4">
        <v>13945500</v>
      </c>
      <c r="G1062" s="86" t="s">
        <v>457</v>
      </c>
      <c r="H1062" s="14"/>
      <c r="I1062" s="4" t="s">
        <v>237</v>
      </c>
      <c r="J1062" s="71"/>
      <c r="K1062" s="62"/>
      <c r="L1062" s="62"/>
    </row>
    <row r="1063" spans="1:12" hidden="1" x14ac:dyDescent="0.25">
      <c r="A1063" s="32" t="s">
        <v>1285</v>
      </c>
      <c r="B1063" s="14">
        <v>43521</v>
      </c>
      <c r="C1063" s="13">
        <v>301</v>
      </c>
      <c r="D1063" s="32" t="s">
        <v>528</v>
      </c>
      <c r="E1063" s="32" t="s">
        <v>62</v>
      </c>
      <c r="F1063" s="4">
        <f>3607632.4-2190205.2</f>
        <v>1417427.1999999997</v>
      </c>
      <c r="G1063" s="69" t="s">
        <v>1287</v>
      </c>
      <c r="H1063" s="14"/>
      <c r="I1063" s="41" t="s">
        <v>273</v>
      </c>
      <c r="J1063" s="21"/>
      <c r="K1063" s="228"/>
    </row>
    <row r="1064" spans="1:12" ht="13.95" hidden="1" customHeight="1" x14ac:dyDescent="0.25">
      <c r="A1064" s="61" t="s">
        <v>55</v>
      </c>
      <c r="B1064" s="14">
        <v>43521</v>
      </c>
      <c r="C1064" s="13">
        <v>302</v>
      </c>
      <c r="D1064" s="32" t="s">
        <v>667</v>
      </c>
      <c r="E1064" s="32" t="s">
        <v>62</v>
      </c>
      <c r="F1064" s="4">
        <f>833800.3-372000</f>
        <v>461800.30000000005</v>
      </c>
      <c r="G1064" s="86" t="s">
        <v>917</v>
      </c>
      <c r="H1064" s="211">
        <v>42937</v>
      </c>
      <c r="I1064" s="208" t="s">
        <v>918</v>
      </c>
      <c r="J1064" s="21"/>
      <c r="K1064" s="228"/>
    </row>
    <row r="1065" spans="1:12" ht="13.95" hidden="1" customHeight="1" x14ac:dyDescent="0.25">
      <c r="A1065" s="61" t="s">
        <v>92</v>
      </c>
      <c r="B1065" s="14">
        <v>43521</v>
      </c>
      <c r="C1065" s="13">
        <v>303</v>
      </c>
      <c r="D1065" s="32" t="s">
        <v>667</v>
      </c>
      <c r="E1065" s="32" t="s">
        <v>62</v>
      </c>
      <c r="F1065" s="4">
        <v>866040</v>
      </c>
      <c r="G1065" s="86" t="s">
        <v>2202</v>
      </c>
      <c r="H1065" s="211"/>
      <c r="I1065" s="208" t="s">
        <v>3650</v>
      </c>
      <c r="J1065" s="21"/>
      <c r="K1065" s="228"/>
    </row>
    <row r="1066" spans="1:12" ht="13.95" hidden="1" customHeight="1" x14ac:dyDescent="0.25">
      <c r="A1066" s="32" t="s">
        <v>1285</v>
      </c>
      <c r="B1066" s="14">
        <v>43521</v>
      </c>
      <c r="C1066" s="13">
        <v>304</v>
      </c>
      <c r="D1066" s="32" t="s">
        <v>1800</v>
      </c>
      <c r="E1066" s="32" t="s">
        <v>62</v>
      </c>
      <c r="F1066" s="4">
        <v>5000000</v>
      </c>
      <c r="G1066" s="86" t="s">
        <v>816</v>
      </c>
      <c r="H1066" s="211"/>
      <c r="I1066" s="208" t="s">
        <v>361</v>
      </c>
      <c r="J1066" s="21"/>
      <c r="K1066" s="228"/>
    </row>
    <row r="1067" spans="1:12" ht="13.95" hidden="1" customHeight="1" x14ac:dyDescent="0.25">
      <c r="A1067" s="61" t="s">
        <v>442</v>
      </c>
      <c r="B1067" s="14">
        <v>43521</v>
      </c>
      <c r="C1067" s="13">
        <v>305</v>
      </c>
      <c r="D1067" s="13" t="s">
        <v>679</v>
      </c>
      <c r="E1067" s="32" t="s">
        <v>62</v>
      </c>
      <c r="F1067" s="4">
        <v>425000</v>
      </c>
      <c r="G1067" s="86" t="s">
        <v>1010</v>
      </c>
      <c r="H1067" s="211"/>
      <c r="I1067" s="4" t="s">
        <v>1011</v>
      </c>
      <c r="J1067" s="21"/>
      <c r="K1067" s="228"/>
    </row>
    <row r="1068" spans="1:12" ht="13.95" hidden="1" customHeight="1" x14ac:dyDescent="0.25">
      <c r="A1068" s="32" t="s">
        <v>442</v>
      </c>
      <c r="B1068" s="14">
        <v>43521</v>
      </c>
      <c r="C1068" s="13">
        <v>306</v>
      </c>
      <c r="D1068" s="32" t="s">
        <v>732</v>
      </c>
      <c r="E1068" s="32" t="s">
        <v>62</v>
      </c>
      <c r="F1068" s="4">
        <v>163695.5</v>
      </c>
      <c r="G1068" s="174" t="s">
        <v>733</v>
      </c>
      <c r="H1068" s="14"/>
      <c r="I1068" s="41" t="s">
        <v>24</v>
      </c>
      <c r="K1068" s="62"/>
    </row>
    <row r="1069" spans="1:12" hidden="1" x14ac:dyDescent="0.25">
      <c r="A1069" s="13" t="s">
        <v>55</v>
      </c>
      <c r="B1069" s="14">
        <v>43521</v>
      </c>
      <c r="C1069" s="13">
        <v>307</v>
      </c>
      <c r="D1069" s="13" t="s">
        <v>871</v>
      </c>
      <c r="E1069" s="32" t="s">
        <v>62</v>
      </c>
      <c r="F1069" s="4">
        <v>303182.59999999963</v>
      </c>
      <c r="G1069" s="69" t="s">
        <v>872</v>
      </c>
      <c r="H1069" s="14"/>
      <c r="I1069" s="4" t="s">
        <v>218</v>
      </c>
      <c r="J1069" s="21"/>
      <c r="K1069" s="228"/>
    </row>
    <row r="1070" spans="1:12" s="97" customFormat="1" hidden="1" x14ac:dyDescent="0.25">
      <c r="A1070" s="68" t="s">
        <v>160</v>
      </c>
      <c r="B1070" s="14">
        <v>43521</v>
      </c>
      <c r="C1070" s="13">
        <v>308</v>
      </c>
      <c r="D1070" s="13" t="s">
        <v>982</v>
      </c>
      <c r="E1070" s="13" t="s">
        <v>62</v>
      </c>
      <c r="F1070" s="37">
        <v>500000</v>
      </c>
      <c r="G1070" s="29" t="s">
        <v>1296</v>
      </c>
      <c r="H1070" s="14">
        <v>41319</v>
      </c>
      <c r="I1070" s="4" t="s">
        <v>1093</v>
      </c>
      <c r="J1070" s="133"/>
      <c r="K1070" s="22"/>
      <c r="L1070" s="134"/>
    </row>
    <row r="1071" spans="1:12" s="97" customFormat="1" hidden="1" x14ac:dyDescent="0.25">
      <c r="A1071" s="13" t="s">
        <v>160</v>
      </c>
      <c r="B1071" s="14">
        <v>43521</v>
      </c>
      <c r="C1071" s="13">
        <v>309</v>
      </c>
      <c r="D1071" s="13" t="s">
        <v>590</v>
      </c>
      <c r="E1071" s="13" t="s">
        <v>62</v>
      </c>
      <c r="F1071" s="4">
        <v>3000000</v>
      </c>
      <c r="G1071" s="29" t="s">
        <v>1197</v>
      </c>
      <c r="H1071" s="14">
        <v>41572</v>
      </c>
      <c r="I1071" s="4" t="s">
        <v>159</v>
      </c>
      <c r="J1071" s="133"/>
      <c r="K1071" s="22"/>
      <c r="L1071" s="134"/>
    </row>
    <row r="1072" spans="1:12" s="97" customFormat="1" hidden="1" x14ac:dyDescent="0.25">
      <c r="A1072" s="32" t="s">
        <v>91</v>
      </c>
      <c r="B1072" s="14">
        <v>43521</v>
      </c>
      <c r="C1072" s="13">
        <v>310</v>
      </c>
      <c r="D1072" s="13" t="s">
        <v>157</v>
      </c>
      <c r="E1072" s="13" t="s">
        <v>62</v>
      </c>
      <c r="F1072" s="4">
        <v>526599.96</v>
      </c>
      <c r="G1072" s="28" t="s">
        <v>3419</v>
      </c>
      <c r="H1072" s="14">
        <v>43462</v>
      </c>
      <c r="I1072" s="4" t="s">
        <v>305</v>
      </c>
      <c r="J1072" s="133"/>
      <c r="K1072" s="22"/>
      <c r="L1072" s="134"/>
    </row>
    <row r="1073" spans="1:12" s="97" customFormat="1" hidden="1" x14ac:dyDescent="0.25">
      <c r="A1073" s="61" t="s">
        <v>92</v>
      </c>
      <c r="B1073" s="14">
        <v>43521</v>
      </c>
      <c r="C1073" s="13">
        <v>311</v>
      </c>
      <c r="D1073" s="13" t="s">
        <v>740</v>
      </c>
      <c r="E1073" s="13" t="s">
        <v>62</v>
      </c>
      <c r="F1073" s="37">
        <v>12750</v>
      </c>
      <c r="G1073" s="210" t="s">
        <v>2123</v>
      </c>
      <c r="H1073" s="211">
        <v>43371</v>
      </c>
      <c r="I1073" s="4" t="s">
        <v>2122</v>
      </c>
      <c r="J1073" s="133"/>
      <c r="K1073" s="22"/>
      <c r="L1073" s="134"/>
    </row>
    <row r="1074" spans="1:12" s="97" customFormat="1" hidden="1" x14ac:dyDescent="0.25">
      <c r="A1074" s="61" t="s">
        <v>442</v>
      </c>
      <c r="B1074" s="14">
        <v>43521</v>
      </c>
      <c r="C1074" s="13">
        <v>311</v>
      </c>
      <c r="D1074" s="13" t="s">
        <v>740</v>
      </c>
      <c r="E1074" s="13" t="s">
        <v>62</v>
      </c>
      <c r="F1074" s="37">
        <v>115000</v>
      </c>
      <c r="G1074" s="210" t="s">
        <v>2127</v>
      </c>
      <c r="H1074" s="14">
        <v>43381</v>
      </c>
      <c r="I1074" s="4" t="s">
        <v>1587</v>
      </c>
      <c r="J1074" s="133"/>
      <c r="K1074" s="22"/>
      <c r="L1074" s="134"/>
    </row>
    <row r="1075" spans="1:12" s="97" customFormat="1" hidden="1" x14ac:dyDescent="0.25">
      <c r="A1075" s="61" t="s">
        <v>442</v>
      </c>
      <c r="B1075" s="14">
        <v>43521</v>
      </c>
      <c r="C1075" s="13">
        <v>311</v>
      </c>
      <c r="D1075" s="13" t="s">
        <v>740</v>
      </c>
      <c r="E1075" s="13" t="s">
        <v>62</v>
      </c>
      <c r="F1075" s="37">
        <v>79000</v>
      </c>
      <c r="G1075" s="210" t="s">
        <v>2536</v>
      </c>
      <c r="H1075" s="211">
        <v>43396</v>
      </c>
      <c r="I1075" s="4" t="s">
        <v>693</v>
      </c>
      <c r="J1075" s="133"/>
      <c r="K1075" s="22"/>
      <c r="L1075" s="134"/>
    </row>
    <row r="1076" spans="1:12" s="97" customFormat="1" hidden="1" x14ac:dyDescent="0.25">
      <c r="A1076" s="61" t="s">
        <v>442</v>
      </c>
      <c r="B1076" s="14">
        <v>43521</v>
      </c>
      <c r="C1076" s="13">
        <v>311</v>
      </c>
      <c r="D1076" s="13" t="s">
        <v>740</v>
      </c>
      <c r="E1076" s="13" t="s">
        <v>62</v>
      </c>
      <c r="F1076" s="37">
        <v>117500</v>
      </c>
      <c r="G1076" s="210" t="s">
        <v>2537</v>
      </c>
      <c r="H1076" s="211">
        <v>43399</v>
      </c>
      <c r="I1076" s="4" t="s">
        <v>693</v>
      </c>
      <c r="J1076" s="133"/>
      <c r="K1076" s="22"/>
      <c r="L1076" s="134"/>
    </row>
    <row r="1077" spans="1:12" s="97" customFormat="1" hidden="1" x14ac:dyDescent="0.25">
      <c r="A1077" s="61" t="s">
        <v>92</v>
      </c>
      <c r="B1077" s="14">
        <v>43521</v>
      </c>
      <c r="C1077" s="13">
        <v>311</v>
      </c>
      <c r="D1077" s="13" t="s">
        <v>740</v>
      </c>
      <c r="E1077" s="13" t="s">
        <v>62</v>
      </c>
      <c r="F1077" s="37">
        <v>80000</v>
      </c>
      <c r="G1077" s="210" t="s">
        <v>2538</v>
      </c>
      <c r="H1077" s="211">
        <v>43404</v>
      </c>
      <c r="I1077" s="4" t="s">
        <v>1104</v>
      </c>
      <c r="J1077" s="133"/>
      <c r="K1077" s="22"/>
      <c r="L1077" s="134"/>
    </row>
    <row r="1078" spans="1:12" s="97" customFormat="1" hidden="1" x14ac:dyDescent="0.25">
      <c r="A1078" s="61" t="s">
        <v>442</v>
      </c>
      <c r="B1078" s="14">
        <v>43521</v>
      </c>
      <c r="C1078" s="13">
        <v>312</v>
      </c>
      <c r="D1078" s="13" t="s">
        <v>589</v>
      </c>
      <c r="E1078" s="13" t="s">
        <v>62</v>
      </c>
      <c r="F1078" s="37">
        <v>846589.5</v>
      </c>
      <c r="G1078" s="210" t="s">
        <v>3807</v>
      </c>
      <c r="H1078" s="211">
        <v>43418</v>
      </c>
      <c r="I1078" s="4" t="s">
        <v>443</v>
      </c>
      <c r="J1078" s="133"/>
      <c r="K1078" s="22"/>
      <c r="L1078" s="134"/>
    </row>
    <row r="1079" spans="1:12" s="97" customFormat="1" hidden="1" x14ac:dyDescent="0.25">
      <c r="A1079" s="61" t="s">
        <v>442</v>
      </c>
      <c r="B1079" s="14">
        <v>43521</v>
      </c>
      <c r="C1079" s="13">
        <v>313</v>
      </c>
      <c r="D1079" s="13" t="s">
        <v>1082</v>
      </c>
      <c r="E1079" s="13" t="s">
        <v>62</v>
      </c>
      <c r="F1079" s="37">
        <v>810744.11</v>
      </c>
      <c r="G1079" s="29" t="s">
        <v>52</v>
      </c>
      <c r="H1079" s="14">
        <v>43459</v>
      </c>
      <c r="I1079" s="4" t="s">
        <v>421</v>
      </c>
      <c r="J1079" s="133"/>
      <c r="K1079" s="22"/>
      <c r="L1079" s="134"/>
    </row>
    <row r="1080" spans="1:12" s="97" customFormat="1" hidden="1" x14ac:dyDescent="0.25">
      <c r="A1080" s="61" t="s">
        <v>442</v>
      </c>
      <c r="B1080" s="14">
        <v>43521</v>
      </c>
      <c r="C1080" s="13">
        <v>313</v>
      </c>
      <c r="D1080" s="13" t="s">
        <v>1082</v>
      </c>
      <c r="E1080" s="13" t="s">
        <v>62</v>
      </c>
      <c r="F1080" s="37">
        <v>807488.11</v>
      </c>
      <c r="G1080" s="29" t="s">
        <v>1304</v>
      </c>
      <c r="H1080" s="14">
        <v>43461</v>
      </c>
      <c r="I1080" s="4" t="s">
        <v>421</v>
      </c>
      <c r="J1080" s="133"/>
      <c r="K1080" s="22"/>
      <c r="L1080" s="134"/>
    </row>
    <row r="1081" spans="1:12" s="97" customFormat="1" hidden="1" x14ac:dyDescent="0.25">
      <c r="A1081" s="61" t="s">
        <v>442</v>
      </c>
      <c r="B1081" s="14">
        <v>43521</v>
      </c>
      <c r="C1081" s="13">
        <v>313</v>
      </c>
      <c r="D1081" s="13" t="s">
        <v>1082</v>
      </c>
      <c r="E1081" s="13" t="s">
        <v>62</v>
      </c>
      <c r="F1081" s="37">
        <v>838000.08</v>
      </c>
      <c r="G1081" s="29" t="s">
        <v>3212</v>
      </c>
      <c r="H1081" s="14">
        <v>43482</v>
      </c>
      <c r="I1081" s="4" t="s">
        <v>443</v>
      </c>
      <c r="J1081" s="133"/>
      <c r="K1081" s="22"/>
      <c r="L1081" s="134"/>
    </row>
    <row r="1082" spans="1:12" s="97" customFormat="1" hidden="1" x14ac:dyDescent="0.25">
      <c r="A1082" s="61" t="s">
        <v>442</v>
      </c>
      <c r="B1082" s="14">
        <v>43521</v>
      </c>
      <c r="C1082" s="13">
        <v>314</v>
      </c>
      <c r="D1082" s="13" t="s">
        <v>1353</v>
      </c>
      <c r="E1082" s="13" t="s">
        <v>62</v>
      </c>
      <c r="F1082" s="37">
        <v>3162</v>
      </c>
      <c r="G1082" s="29" t="s">
        <v>4132</v>
      </c>
      <c r="H1082" s="14">
        <v>43501</v>
      </c>
      <c r="I1082" s="4" t="s">
        <v>108</v>
      </c>
      <c r="J1082" s="133"/>
      <c r="K1082" s="22"/>
      <c r="L1082" s="134"/>
    </row>
    <row r="1083" spans="1:12" s="97" customFormat="1" hidden="1" x14ac:dyDescent="0.25">
      <c r="A1083" s="61" t="s">
        <v>91</v>
      </c>
      <c r="B1083" s="14">
        <v>43521</v>
      </c>
      <c r="C1083" s="13">
        <v>315</v>
      </c>
      <c r="D1083" s="13" t="s">
        <v>448</v>
      </c>
      <c r="E1083" s="13" t="s">
        <v>62</v>
      </c>
      <c r="F1083" s="37">
        <v>10400</v>
      </c>
      <c r="G1083" s="29" t="s">
        <v>320</v>
      </c>
      <c r="H1083" s="14">
        <v>43479</v>
      </c>
      <c r="I1083" s="4" t="s">
        <v>63</v>
      </c>
      <c r="J1083" s="133"/>
      <c r="K1083" s="22"/>
      <c r="L1083" s="134"/>
    </row>
    <row r="1084" spans="1:12" s="97" customFormat="1" hidden="1" x14ac:dyDescent="0.25">
      <c r="A1084" s="61" t="s">
        <v>92</v>
      </c>
      <c r="B1084" s="14">
        <v>43521</v>
      </c>
      <c r="C1084" s="13">
        <v>315</v>
      </c>
      <c r="D1084" s="13" t="s">
        <v>448</v>
      </c>
      <c r="E1084" s="13" t="s">
        <v>62</v>
      </c>
      <c r="F1084" s="37">
        <v>10400</v>
      </c>
      <c r="G1084" s="29" t="s">
        <v>730</v>
      </c>
      <c r="H1084" s="14">
        <v>43480</v>
      </c>
      <c r="I1084" s="4" t="s">
        <v>63</v>
      </c>
      <c r="J1084" s="133"/>
      <c r="K1084" s="22"/>
      <c r="L1084" s="134"/>
    </row>
    <row r="1085" spans="1:12" s="97" customFormat="1" hidden="1" x14ac:dyDescent="0.25">
      <c r="A1085" s="13" t="s">
        <v>91</v>
      </c>
      <c r="B1085" s="14">
        <v>43521</v>
      </c>
      <c r="C1085" s="13">
        <v>316</v>
      </c>
      <c r="D1085" s="13" t="s">
        <v>869</v>
      </c>
      <c r="E1085" s="13" t="s">
        <v>62</v>
      </c>
      <c r="F1085" s="37">
        <v>15039.5</v>
      </c>
      <c r="G1085" s="29" t="s">
        <v>3245</v>
      </c>
      <c r="H1085" s="14">
        <v>43480</v>
      </c>
      <c r="I1085" s="4" t="s">
        <v>572</v>
      </c>
      <c r="J1085" s="133"/>
      <c r="K1085" s="22"/>
      <c r="L1085" s="134"/>
    </row>
    <row r="1086" spans="1:12" s="97" customFormat="1" hidden="1" x14ac:dyDescent="0.25">
      <c r="A1086" s="61" t="s">
        <v>103</v>
      </c>
      <c r="B1086" s="14">
        <v>43521</v>
      </c>
      <c r="C1086" s="13">
        <v>317</v>
      </c>
      <c r="D1086" s="13" t="s">
        <v>1032</v>
      </c>
      <c r="E1086" s="13" t="s">
        <v>62</v>
      </c>
      <c r="F1086" s="37">
        <v>123250</v>
      </c>
      <c r="G1086" s="29" t="s">
        <v>1033</v>
      </c>
      <c r="H1086" s="14">
        <v>43388</v>
      </c>
      <c r="I1086" s="4" t="s">
        <v>142</v>
      </c>
      <c r="J1086" s="133"/>
      <c r="K1086" s="22"/>
      <c r="L1086" s="134"/>
    </row>
    <row r="1087" spans="1:12" s="97" customFormat="1" hidden="1" x14ac:dyDescent="0.25">
      <c r="A1087" s="61" t="s">
        <v>103</v>
      </c>
      <c r="B1087" s="14">
        <v>43521</v>
      </c>
      <c r="C1087" s="13">
        <v>317</v>
      </c>
      <c r="D1087" s="13" t="s">
        <v>1032</v>
      </c>
      <c r="E1087" s="13" t="s">
        <v>62</v>
      </c>
      <c r="F1087" s="37">
        <v>90950</v>
      </c>
      <c r="G1087" s="210" t="s">
        <v>2141</v>
      </c>
      <c r="H1087" s="211">
        <v>43416</v>
      </c>
      <c r="I1087" s="4" t="s">
        <v>142</v>
      </c>
      <c r="J1087" s="133"/>
      <c r="K1087" s="22"/>
      <c r="L1087" s="134"/>
    </row>
    <row r="1088" spans="1:12" s="97" customFormat="1" hidden="1" x14ac:dyDescent="0.25">
      <c r="A1088" s="61" t="s">
        <v>442</v>
      </c>
      <c r="B1088" s="14">
        <v>43521</v>
      </c>
      <c r="C1088" s="13">
        <v>318</v>
      </c>
      <c r="D1088" s="13" t="s">
        <v>1032</v>
      </c>
      <c r="E1088" s="13" t="s">
        <v>62</v>
      </c>
      <c r="F1088" s="37">
        <v>78750</v>
      </c>
      <c r="G1088" s="29" t="s">
        <v>3894</v>
      </c>
      <c r="H1088" s="14">
        <v>43489</v>
      </c>
      <c r="I1088" s="4" t="s">
        <v>142</v>
      </c>
      <c r="J1088" s="133"/>
      <c r="K1088" s="22"/>
      <c r="L1088" s="134"/>
    </row>
    <row r="1089" spans="1:12" s="97" customFormat="1" hidden="1" x14ac:dyDescent="0.25">
      <c r="A1089" s="32" t="s">
        <v>442</v>
      </c>
      <c r="B1089" s="14">
        <v>43521</v>
      </c>
      <c r="C1089" s="13">
        <v>319</v>
      </c>
      <c r="D1089" s="13" t="s">
        <v>1065</v>
      </c>
      <c r="E1089" s="13" t="s">
        <v>62</v>
      </c>
      <c r="F1089" s="4">
        <v>34551.17</v>
      </c>
      <c r="G1089" s="28" t="s">
        <v>3141</v>
      </c>
      <c r="H1089" s="14">
        <v>43481</v>
      </c>
      <c r="I1089" s="4" t="s">
        <v>3242</v>
      </c>
      <c r="J1089" s="133"/>
      <c r="K1089" s="22"/>
      <c r="L1089" s="134"/>
    </row>
    <row r="1090" spans="1:12" s="97" customFormat="1" hidden="1" x14ac:dyDescent="0.25">
      <c r="A1090" s="61" t="s">
        <v>91</v>
      </c>
      <c r="B1090" s="14">
        <v>43521</v>
      </c>
      <c r="C1090" s="13">
        <v>319</v>
      </c>
      <c r="D1090" s="13" t="s">
        <v>1065</v>
      </c>
      <c r="E1090" s="13" t="s">
        <v>62</v>
      </c>
      <c r="F1090" s="37">
        <v>7336.7</v>
      </c>
      <c r="G1090" s="29" t="s">
        <v>299</v>
      </c>
      <c r="H1090" s="14">
        <v>43488</v>
      </c>
      <c r="I1090" s="4" t="s">
        <v>3447</v>
      </c>
      <c r="J1090" s="133"/>
      <c r="K1090" s="22"/>
      <c r="L1090" s="134"/>
    </row>
    <row r="1091" spans="1:12" s="97" customFormat="1" hidden="1" x14ac:dyDescent="0.25">
      <c r="A1091" s="61" t="s">
        <v>442</v>
      </c>
      <c r="B1091" s="14">
        <v>43521</v>
      </c>
      <c r="C1091" s="13">
        <v>320</v>
      </c>
      <c r="D1091" s="13" t="s">
        <v>868</v>
      </c>
      <c r="E1091" s="13" t="s">
        <v>62</v>
      </c>
      <c r="F1091" s="37">
        <v>37317.5</v>
      </c>
      <c r="G1091" s="29" t="s">
        <v>3446</v>
      </c>
      <c r="H1091" s="14">
        <v>43488</v>
      </c>
      <c r="I1091" s="4" t="s">
        <v>345</v>
      </c>
      <c r="J1091" s="133"/>
      <c r="K1091" s="22"/>
      <c r="L1091" s="134"/>
    </row>
    <row r="1092" spans="1:12" s="97" customFormat="1" hidden="1" x14ac:dyDescent="0.25">
      <c r="A1092" s="61" t="s">
        <v>91</v>
      </c>
      <c r="B1092" s="14">
        <v>43521</v>
      </c>
      <c r="C1092" s="13">
        <v>321</v>
      </c>
      <c r="D1092" s="13" t="s">
        <v>280</v>
      </c>
      <c r="E1092" s="13" t="s">
        <v>62</v>
      </c>
      <c r="F1092" s="37">
        <v>34174</v>
      </c>
      <c r="G1092" s="29" t="s">
        <v>3212</v>
      </c>
      <c r="H1092" s="14">
        <v>43481</v>
      </c>
      <c r="I1092" s="4" t="s">
        <v>3444</v>
      </c>
      <c r="J1092" s="133"/>
      <c r="K1092" s="22"/>
      <c r="L1092" s="134"/>
    </row>
    <row r="1093" spans="1:12" s="97" customFormat="1" hidden="1" x14ac:dyDescent="0.25">
      <c r="A1093" s="61" t="s">
        <v>442</v>
      </c>
      <c r="B1093" s="14">
        <v>43521</v>
      </c>
      <c r="C1093" s="13">
        <v>321</v>
      </c>
      <c r="D1093" s="13" t="s">
        <v>280</v>
      </c>
      <c r="E1093" s="13" t="s">
        <v>62</v>
      </c>
      <c r="F1093" s="37">
        <v>142547.56</v>
      </c>
      <c r="G1093" s="29" t="s">
        <v>2961</v>
      </c>
      <c r="H1093" s="14">
        <v>43481</v>
      </c>
      <c r="I1093" s="4" t="s">
        <v>268</v>
      </c>
      <c r="J1093" s="133"/>
      <c r="K1093" s="22"/>
      <c r="L1093" s="134"/>
    </row>
    <row r="1094" spans="1:12" s="97" customFormat="1" hidden="1" x14ac:dyDescent="0.25">
      <c r="A1094" s="61" t="s">
        <v>55</v>
      </c>
      <c r="B1094" s="14">
        <v>43521</v>
      </c>
      <c r="C1094" s="13">
        <v>321</v>
      </c>
      <c r="D1094" s="13" t="s">
        <v>280</v>
      </c>
      <c r="E1094" s="13" t="s">
        <v>62</v>
      </c>
      <c r="F1094" s="37">
        <v>25591</v>
      </c>
      <c r="G1094" s="29" t="s">
        <v>459</v>
      </c>
      <c r="H1094" s="14">
        <v>43486</v>
      </c>
      <c r="I1094" s="4" t="s">
        <v>3445</v>
      </c>
      <c r="J1094" s="133"/>
      <c r="K1094" s="22"/>
      <c r="L1094" s="134"/>
    </row>
    <row r="1095" spans="1:12" s="97" customFormat="1" hidden="1" x14ac:dyDescent="0.25">
      <c r="A1095" s="61" t="s">
        <v>442</v>
      </c>
      <c r="B1095" s="14">
        <v>43521</v>
      </c>
      <c r="C1095" s="13">
        <v>322</v>
      </c>
      <c r="D1095" s="13" t="s">
        <v>814</v>
      </c>
      <c r="E1095" s="13" t="s">
        <v>62</v>
      </c>
      <c r="F1095" s="37">
        <v>17348</v>
      </c>
      <c r="G1095" s="29" t="s">
        <v>3234</v>
      </c>
      <c r="H1095" s="14">
        <v>43481</v>
      </c>
      <c r="I1095" s="4" t="s">
        <v>45</v>
      </c>
      <c r="J1095" s="133"/>
      <c r="K1095" s="22"/>
      <c r="L1095" s="134"/>
    </row>
    <row r="1096" spans="1:12" s="97" customFormat="1" hidden="1" x14ac:dyDescent="0.25">
      <c r="A1096" s="61" t="s">
        <v>358</v>
      </c>
      <c r="B1096" s="14">
        <v>43521</v>
      </c>
      <c r="C1096" s="13">
        <v>322</v>
      </c>
      <c r="D1096" s="13" t="s">
        <v>814</v>
      </c>
      <c r="E1096" s="13" t="s">
        <v>62</v>
      </c>
      <c r="F1096" s="37">
        <v>8432</v>
      </c>
      <c r="G1096" s="29" t="s">
        <v>89</v>
      </c>
      <c r="H1096" s="14">
        <v>43487</v>
      </c>
      <c r="I1096" s="4" t="s">
        <v>719</v>
      </c>
      <c r="J1096" s="133"/>
      <c r="K1096" s="22"/>
      <c r="L1096" s="134"/>
    </row>
    <row r="1097" spans="1:12" s="97" customFormat="1" hidden="1" x14ac:dyDescent="0.25">
      <c r="A1097" s="32" t="s">
        <v>91</v>
      </c>
      <c r="B1097" s="14">
        <v>43521</v>
      </c>
      <c r="C1097" s="13">
        <v>323</v>
      </c>
      <c r="D1097" s="13" t="s">
        <v>304</v>
      </c>
      <c r="E1097" s="13" t="s">
        <v>62</v>
      </c>
      <c r="F1097" s="4">
        <v>34050</v>
      </c>
      <c r="G1097" s="28" t="s">
        <v>3442</v>
      </c>
      <c r="H1097" s="14">
        <v>43488</v>
      </c>
      <c r="I1097" s="4" t="s">
        <v>374</v>
      </c>
      <c r="J1097" s="133"/>
      <c r="K1097" s="22"/>
      <c r="L1097" s="134"/>
    </row>
    <row r="1098" spans="1:12" s="97" customFormat="1" hidden="1" x14ac:dyDescent="0.25">
      <c r="A1098" s="61" t="s">
        <v>442</v>
      </c>
      <c r="B1098" s="14">
        <v>43521</v>
      </c>
      <c r="C1098" s="13">
        <v>324</v>
      </c>
      <c r="D1098" s="13" t="s">
        <v>3438</v>
      </c>
      <c r="E1098" s="13" t="s">
        <v>62</v>
      </c>
      <c r="F1098" s="37">
        <v>68532.149999999994</v>
      </c>
      <c r="G1098" s="29" t="s">
        <v>2819</v>
      </c>
      <c r="H1098" s="14">
        <v>43482</v>
      </c>
      <c r="I1098" s="4" t="s">
        <v>3440</v>
      </c>
      <c r="J1098" s="133"/>
      <c r="K1098" s="22"/>
      <c r="L1098" s="134"/>
    </row>
    <row r="1099" spans="1:12" s="97" customFormat="1" hidden="1" x14ac:dyDescent="0.25">
      <c r="A1099" s="61" t="s">
        <v>442</v>
      </c>
      <c r="B1099" s="14">
        <v>43521</v>
      </c>
      <c r="C1099" s="13">
        <v>325</v>
      </c>
      <c r="D1099" s="13" t="s">
        <v>72</v>
      </c>
      <c r="E1099" s="13" t="s">
        <v>62</v>
      </c>
      <c r="F1099" s="37">
        <v>63585.5</v>
      </c>
      <c r="G1099" s="29" t="s">
        <v>3228</v>
      </c>
      <c r="H1099" s="14">
        <v>43481</v>
      </c>
      <c r="I1099" s="4" t="s">
        <v>3229</v>
      </c>
      <c r="J1099" s="133"/>
      <c r="K1099" s="22"/>
      <c r="L1099" s="134"/>
    </row>
    <row r="1100" spans="1:12" s="97" customFormat="1" hidden="1" x14ac:dyDescent="0.25">
      <c r="A1100" s="61" t="s">
        <v>213</v>
      </c>
      <c r="B1100" s="14">
        <v>43521</v>
      </c>
      <c r="C1100" s="13">
        <v>325</v>
      </c>
      <c r="D1100" s="13" t="s">
        <v>72</v>
      </c>
      <c r="E1100" s="13" t="s">
        <v>62</v>
      </c>
      <c r="F1100" s="37">
        <v>4215</v>
      </c>
      <c r="G1100" s="29" t="s">
        <v>4119</v>
      </c>
      <c r="H1100" s="14">
        <v>43503</v>
      </c>
      <c r="I1100" s="4" t="s">
        <v>395</v>
      </c>
      <c r="J1100" s="133"/>
      <c r="K1100" s="22"/>
      <c r="L1100" s="134"/>
    </row>
    <row r="1101" spans="1:12" s="97" customFormat="1" hidden="1" x14ac:dyDescent="0.25">
      <c r="A1101" s="61" t="s">
        <v>358</v>
      </c>
      <c r="B1101" s="14">
        <v>43521</v>
      </c>
      <c r="C1101" s="13">
        <v>326</v>
      </c>
      <c r="D1101" s="13" t="s">
        <v>157</v>
      </c>
      <c r="E1101" s="13" t="s">
        <v>62</v>
      </c>
      <c r="F1101" s="37">
        <v>33322.379999999997</v>
      </c>
      <c r="G1101" s="29" t="s">
        <v>3220</v>
      </c>
      <c r="H1101" s="14">
        <v>43482</v>
      </c>
      <c r="I1101" s="4" t="s">
        <v>3221</v>
      </c>
      <c r="J1101" s="133"/>
      <c r="K1101" s="22"/>
      <c r="L1101" s="134"/>
    </row>
    <row r="1102" spans="1:12" s="97" customFormat="1" hidden="1" x14ac:dyDescent="0.25">
      <c r="A1102" s="61" t="s">
        <v>442</v>
      </c>
      <c r="B1102" s="14">
        <v>43521</v>
      </c>
      <c r="C1102" s="13">
        <v>327</v>
      </c>
      <c r="D1102" s="13" t="s">
        <v>70</v>
      </c>
      <c r="E1102" s="13" t="s">
        <v>62</v>
      </c>
      <c r="F1102" s="37">
        <v>11688</v>
      </c>
      <c r="G1102" s="29" t="s">
        <v>3218</v>
      </c>
      <c r="H1102" s="14">
        <v>43481</v>
      </c>
      <c r="I1102" s="4" t="s">
        <v>3219</v>
      </c>
      <c r="J1102" s="133"/>
      <c r="K1102" s="22"/>
      <c r="L1102" s="134"/>
    </row>
    <row r="1103" spans="1:12" s="97" customFormat="1" hidden="1" x14ac:dyDescent="0.25">
      <c r="A1103" s="61" t="s">
        <v>91</v>
      </c>
      <c r="B1103" s="14">
        <v>43521</v>
      </c>
      <c r="C1103" s="13">
        <v>327</v>
      </c>
      <c r="D1103" s="13" t="s">
        <v>70</v>
      </c>
      <c r="E1103" s="13" t="s">
        <v>62</v>
      </c>
      <c r="F1103" s="37">
        <v>4770</v>
      </c>
      <c r="G1103" s="29" t="s">
        <v>3279</v>
      </c>
      <c r="H1103" s="14">
        <v>43488</v>
      </c>
      <c r="I1103" s="4" t="s">
        <v>940</v>
      </c>
      <c r="J1103" s="133"/>
      <c r="K1103" s="22"/>
      <c r="L1103" s="134"/>
    </row>
    <row r="1104" spans="1:12" s="97" customFormat="1" hidden="1" x14ac:dyDescent="0.25">
      <c r="A1104" s="61" t="s">
        <v>442</v>
      </c>
      <c r="B1104" s="14">
        <v>43521</v>
      </c>
      <c r="C1104" s="13">
        <v>328</v>
      </c>
      <c r="D1104" s="13" t="s">
        <v>666</v>
      </c>
      <c r="E1104" s="13" t="s">
        <v>62</v>
      </c>
      <c r="F1104" s="37">
        <v>9250</v>
      </c>
      <c r="G1104" s="29" t="s">
        <v>3273</v>
      </c>
      <c r="H1104" s="14">
        <v>43481</v>
      </c>
      <c r="I1104" s="4" t="s">
        <v>1303</v>
      </c>
      <c r="J1104" s="133"/>
      <c r="K1104" s="22"/>
      <c r="L1104" s="134"/>
    </row>
    <row r="1105" spans="1:12" s="97" customFormat="1" hidden="1" x14ac:dyDescent="0.25">
      <c r="A1105" s="61" t="s">
        <v>91</v>
      </c>
      <c r="B1105" s="14">
        <v>43521</v>
      </c>
      <c r="C1105" s="13">
        <v>329</v>
      </c>
      <c r="D1105" s="13" t="s">
        <v>516</v>
      </c>
      <c r="E1105" s="13" t="s">
        <v>62</v>
      </c>
      <c r="F1105" s="37">
        <v>25333.599999999999</v>
      </c>
      <c r="G1105" s="29" t="s">
        <v>1155</v>
      </c>
      <c r="H1105" s="14">
        <v>43476</v>
      </c>
      <c r="I1105" s="4" t="s">
        <v>3430</v>
      </c>
      <c r="J1105" s="133"/>
      <c r="K1105" s="22"/>
      <c r="L1105" s="134"/>
    </row>
    <row r="1106" spans="1:12" s="97" customFormat="1" hidden="1" x14ac:dyDescent="0.25">
      <c r="A1106" s="61" t="s">
        <v>91</v>
      </c>
      <c r="B1106" s="14">
        <v>43521</v>
      </c>
      <c r="C1106" s="13">
        <v>329</v>
      </c>
      <c r="D1106" s="13" t="s">
        <v>516</v>
      </c>
      <c r="E1106" s="13" t="s">
        <v>62</v>
      </c>
      <c r="F1106" s="4">
        <v>24100.6</v>
      </c>
      <c r="G1106" s="28" t="s">
        <v>3279</v>
      </c>
      <c r="H1106" s="14">
        <v>43488</v>
      </c>
      <c r="I1106" s="4" t="s">
        <v>3608</v>
      </c>
      <c r="J1106" s="133"/>
      <c r="K1106" s="22"/>
      <c r="L1106" s="134"/>
    </row>
    <row r="1107" spans="1:12" ht="13.8" hidden="1" customHeight="1" x14ac:dyDescent="0.25">
      <c r="A1107" s="32" t="s">
        <v>442</v>
      </c>
      <c r="B1107" s="14">
        <v>43521</v>
      </c>
      <c r="C1107" s="13">
        <v>330</v>
      </c>
      <c r="D1107" s="32" t="s">
        <v>181</v>
      </c>
      <c r="E1107" s="32" t="s">
        <v>62</v>
      </c>
      <c r="F1107" s="4">
        <v>72120</v>
      </c>
      <c r="G1107" s="29" t="s">
        <v>1528</v>
      </c>
      <c r="H1107" s="14">
        <v>43511</v>
      </c>
      <c r="I1107" s="4" t="s">
        <v>102</v>
      </c>
      <c r="J1107" s="21"/>
      <c r="K1107" s="228"/>
    </row>
    <row r="1108" spans="1:12" ht="27.6" hidden="1" x14ac:dyDescent="0.25">
      <c r="A1108" s="61" t="s">
        <v>3863</v>
      </c>
      <c r="B1108" s="14">
        <v>43521</v>
      </c>
      <c r="C1108" s="13">
        <v>331</v>
      </c>
      <c r="D1108" s="13" t="s">
        <v>545</v>
      </c>
      <c r="E1108" s="13" t="s">
        <v>62</v>
      </c>
      <c r="F1108" s="37">
        <v>62175</v>
      </c>
      <c r="G1108" s="210" t="s">
        <v>3864</v>
      </c>
      <c r="H1108" s="211">
        <v>43500</v>
      </c>
      <c r="I1108" s="4" t="s">
        <v>3865</v>
      </c>
      <c r="J1108" s="128"/>
    </row>
    <row r="1109" spans="1:12" hidden="1" x14ac:dyDescent="0.25">
      <c r="A1109" s="61" t="s">
        <v>92</v>
      </c>
      <c r="B1109" s="14">
        <v>43521</v>
      </c>
      <c r="C1109" s="13">
        <v>332</v>
      </c>
      <c r="D1109" s="13" t="s">
        <v>340</v>
      </c>
      <c r="E1109" s="13" t="s">
        <v>62</v>
      </c>
      <c r="F1109" s="37">
        <v>14500</v>
      </c>
      <c r="G1109" s="29" t="s">
        <v>3211</v>
      </c>
      <c r="H1109" s="14">
        <v>43475</v>
      </c>
      <c r="I1109" s="4" t="s">
        <v>1345</v>
      </c>
      <c r="J1109" s="128"/>
    </row>
    <row r="1110" spans="1:12" hidden="1" x14ac:dyDescent="0.25">
      <c r="A1110" s="61" t="s">
        <v>442</v>
      </c>
      <c r="B1110" s="14">
        <v>43521</v>
      </c>
      <c r="C1110" s="13">
        <v>333</v>
      </c>
      <c r="D1110" s="13" t="s">
        <v>1739</v>
      </c>
      <c r="E1110" s="13" t="s">
        <v>62</v>
      </c>
      <c r="F1110" s="37">
        <v>192000</v>
      </c>
      <c r="G1110" s="29" t="s">
        <v>2893</v>
      </c>
      <c r="H1110" s="14">
        <v>43474</v>
      </c>
      <c r="I1110" s="4" t="s">
        <v>3197</v>
      </c>
      <c r="J1110" s="128"/>
    </row>
    <row r="1111" spans="1:12" hidden="1" x14ac:dyDescent="0.25">
      <c r="A1111" s="61" t="s">
        <v>442</v>
      </c>
      <c r="B1111" s="14">
        <v>43521</v>
      </c>
      <c r="C1111" s="13">
        <v>333</v>
      </c>
      <c r="D1111" s="13" t="s">
        <v>1739</v>
      </c>
      <c r="E1111" s="13" t="s">
        <v>62</v>
      </c>
      <c r="F1111" s="37">
        <v>192000</v>
      </c>
      <c r="G1111" s="29" t="s">
        <v>299</v>
      </c>
      <c r="H1111" s="14">
        <v>43481</v>
      </c>
      <c r="I1111" s="4" t="s">
        <v>3197</v>
      </c>
      <c r="J1111" s="128"/>
    </row>
    <row r="1112" spans="1:12" hidden="1" x14ac:dyDescent="0.25">
      <c r="A1112" s="32" t="s">
        <v>442</v>
      </c>
      <c r="B1112" s="14">
        <v>43521</v>
      </c>
      <c r="C1112" s="13">
        <v>333</v>
      </c>
      <c r="D1112" s="13" t="s">
        <v>1739</v>
      </c>
      <c r="E1112" s="13" t="s">
        <v>62</v>
      </c>
      <c r="F1112" s="4">
        <v>216000</v>
      </c>
      <c r="G1112" s="28" t="s">
        <v>173</v>
      </c>
      <c r="H1112" s="14">
        <v>43493</v>
      </c>
      <c r="I1112" s="4" t="s">
        <v>4097</v>
      </c>
      <c r="J1112" s="128"/>
    </row>
    <row r="1113" spans="1:12" hidden="1" x14ac:dyDescent="0.25">
      <c r="A1113" s="32" t="s">
        <v>442</v>
      </c>
      <c r="B1113" s="14">
        <v>43521</v>
      </c>
      <c r="C1113" s="13">
        <v>334</v>
      </c>
      <c r="D1113" s="13" t="s">
        <v>381</v>
      </c>
      <c r="E1113" s="13" t="s">
        <v>62</v>
      </c>
      <c r="F1113" s="4">
        <v>9950</v>
      </c>
      <c r="G1113" s="28" t="s">
        <v>3424</v>
      </c>
      <c r="H1113" s="14">
        <v>43482</v>
      </c>
      <c r="I1113" s="4" t="s">
        <v>441</v>
      </c>
      <c r="J1113" s="128"/>
    </row>
    <row r="1114" spans="1:12" hidden="1" x14ac:dyDescent="0.25">
      <c r="A1114" s="61" t="s">
        <v>91</v>
      </c>
      <c r="B1114" s="14">
        <v>43521</v>
      </c>
      <c r="C1114" s="13">
        <v>335</v>
      </c>
      <c r="D1114" s="13" t="s">
        <v>1130</v>
      </c>
      <c r="E1114" s="13" t="s">
        <v>62</v>
      </c>
      <c r="F1114" s="37">
        <v>23600</v>
      </c>
      <c r="G1114" s="29" t="s">
        <v>3375</v>
      </c>
      <c r="H1114" s="14">
        <v>43494</v>
      </c>
      <c r="I1114" s="4" t="s">
        <v>1131</v>
      </c>
      <c r="J1114" s="128"/>
    </row>
    <row r="1115" spans="1:12" hidden="1" x14ac:dyDescent="0.25">
      <c r="A1115" s="61" t="s">
        <v>442</v>
      </c>
      <c r="B1115" s="14">
        <v>43521</v>
      </c>
      <c r="C1115" s="13">
        <v>336</v>
      </c>
      <c r="D1115" s="13" t="s">
        <v>447</v>
      </c>
      <c r="E1115" s="13" t="s">
        <v>62</v>
      </c>
      <c r="F1115" s="37">
        <v>229000</v>
      </c>
      <c r="G1115" s="210" t="s">
        <v>111</v>
      </c>
      <c r="H1115" s="211">
        <v>43496</v>
      </c>
      <c r="I1115" s="4" t="s">
        <v>1328</v>
      </c>
      <c r="J1115" s="128"/>
    </row>
    <row r="1116" spans="1:12" hidden="1" x14ac:dyDescent="0.25">
      <c r="A1116" s="61" t="s">
        <v>92</v>
      </c>
      <c r="B1116" s="14">
        <v>43521</v>
      </c>
      <c r="C1116" s="13">
        <v>337</v>
      </c>
      <c r="D1116" s="13" t="s">
        <v>282</v>
      </c>
      <c r="E1116" s="13" t="s">
        <v>62</v>
      </c>
      <c r="F1116" s="37">
        <v>5005</v>
      </c>
      <c r="G1116" s="29" t="s">
        <v>4077</v>
      </c>
      <c r="H1116" s="14">
        <v>43503</v>
      </c>
      <c r="I1116" s="4" t="s">
        <v>283</v>
      </c>
    </row>
    <row r="1117" spans="1:12" hidden="1" x14ac:dyDescent="0.25">
      <c r="A1117" s="61" t="s">
        <v>442</v>
      </c>
      <c r="B1117" s="14">
        <v>43521</v>
      </c>
      <c r="C1117" s="13">
        <v>337</v>
      </c>
      <c r="D1117" s="13" t="s">
        <v>282</v>
      </c>
      <c r="E1117" s="13" t="s">
        <v>62</v>
      </c>
      <c r="F1117" s="37">
        <v>19305</v>
      </c>
      <c r="G1117" s="29" t="s">
        <v>4078</v>
      </c>
      <c r="H1117" s="14">
        <v>43503</v>
      </c>
      <c r="I1117" s="4" t="s">
        <v>283</v>
      </c>
    </row>
    <row r="1118" spans="1:12" hidden="1" x14ac:dyDescent="0.25">
      <c r="A1118" s="61" t="s">
        <v>358</v>
      </c>
      <c r="B1118" s="14">
        <v>43521</v>
      </c>
      <c r="C1118" s="13">
        <v>337</v>
      </c>
      <c r="D1118" s="13" t="s">
        <v>282</v>
      </c>
      <c r="E1118" s="13" t="s">
        <v>62</v>
      </c>
      <c r="F1118" s="37">
        <v>4290</v>
      </c>
      <c r="G1118" s="29" t="s">
        <v>4079</v>
      </c>
      <c r="H1118" s="14">
        <v>43503</v>
      </c>
      <c r="I1118" s="4" t="s">
        <v>283</v>
      </c>
    </row>
    <row r="1119" spans="1:12" hidden="1" x14ac:dyDescent="0.25">
      <c r="A1119" s="61" t="s">
        <v>91</v>
      </c>
      <c r="B1119" s="14">
        <v>43521</v>
      </c>
      <c r="C1119" s="13">
        <v>337</v>
      </c>
      <c r="D1119" s="13" t="s">
        <v>282</v>
      </c>
      <c r="E1119" s="13" t="s">
        <v>62</v>
      </c>
      <c r="F1119" s="37">
        <v>12155</v>
      </c>
      <c r="G1119" s="29" t="s">
        <v>1252</v>
      </c>
      <c r="H1119" s="14">
        <v>43503</v>
      </c>
      <c r="I1119" s="4" t="s">
        <v>283</v>
      </c>
    </row>
    <row r="1120" spans="1:12" hidden="1" x14ac:dyDescent="0.25">
      <c r="A1120" s="61" t="s">
        <v>442</v>
      </c>
      <c r="B1120" s="14">
        <v>43521</v>
      </c>
      <c r="C1120" s="13">
        <v>338</v>
      </c>
      <c r="D1120" s="13" t="s">
        <v>1395</v>
      </c>
      <c r="E1120" s="13" t="s">
        <v>62</v>
      </c>
      <c r="F1120" s="4">
        <v>45600</v>
      </c>
      <c r="G1120" s="28" t="s">
        <v>1742</v>
      </c>
      <c r="H1120" s="14">
        <v>43502</v>
      </c>
      <c r="I1120" s="4" t="s">
        <v>4082</v>
      </c>
    </row>
    <row r="1121" spans="1:12" hidden="1" x14ac:dyDescent="0.25">
      <c r="A1121" s="61" t="s">
        <v>103</v>
      </c>
      <c r="B1121" s="14">
        <v>43521</v>
      </c>
      <c r="C1121" s="13">
        <v>339</v>
      </c>
      <c r="D1121" s="13" t="s">
        <v>250</v>
      </c>
      <c r="E1121" s="13" t="s">
        <v>62</v>
      </c>
      <c r="F1121" s="37">
        <v>22000</v>
      </c>
      <c r="G1121" s="29" t="s">
        <v>2841</v>
      </c>
      <c r="H1121" s="14">
        <v>43463</v>
      </c>
      <c r="I1121" s="4" t="s">
        <v>337</v>
      </c>
    </row>
    <row r="1122" spans="1:12" hidden="1" x14ac:dyDescent="0.25">
      <c r="A1122" s="61" t="s">
        <v>442</v>
      </c>
      <c r="B1122" s="14">
        <v>43521</v>
      </c>
      <c r="C1122" s="13">
        <v>340</v>
      </c>
      <c r="D1122" s="13" t="s">
        <v>29</v>
      </c>
      <c r="E1122" s="13" t="s">
        <v>62</v>
      </c>
      <c r="F1122" s="37">
        <v>35200</v>
      </c>
      <c r="G1122" s="210" t="s">
        <v>196</v>
      </c>
      <c r="H1122" s="211">
        <v>43479</v>
      </c>
      <c r="I1122" s="4" t="s">
        <v>87</v>
      </c>
    </row>
    <row r="1123" spans="1:12" hidden="1" x14ac:dyDescent="0.25">
      <c r="A1123" s="61" t="s">
        <v>91</v>
      </c>
      <c r="B1123" s="14">
        <v>43521</v>
      </c>
      <c r="C1123" s="13">
        <v>340</v>
      </c>
      <c r="D1123" s="13" t="s">
        <v>29</v>
      </c>
      <c r="E1123" s="13" t="s">
        <v>62</v>
      </c>
      <c r="F1123" s="4">
        <v>30600</v>
      </c>
      <c r="G1123" s="28" t="s">
        <v>141</v>
      </c>
      <c r="H1123" s="14">
        <v>43479</v>
      </c>
      <c r="I1123" s="4" t="s">
        <v>95</v>
      </c>
    </row>
    <row r="1124" spans="1:12" hidden="1" x14ac:dyDescent="0.25">
      <c r="A1124" s="32" t="s">
        <v>92</v>
      </c>
      <c r="B1124" s="14">
        <v>43521</v>
      </c>
      <c r="C1124" s="13">
        <v>340</v>
      </c>
      <c r="D1124" s="13" t="s">
        <v>29</v>
      </c>
      <c r="E1124" s="13" t="s">
        <v>62</v>
      </c>
      <c r="F1124" s="4">
        <v>117000</v>
      </c>
      <c r="G1124" s="28" t="s">
        <v>479</v>
      </c>
      <c r="H1124" s="14">
        <v>43481</v>
      </c>
      <c r="I1124" s="4" t="s">
        <v>511</v>
      </c>
    </row>
    <row r="1125" spans="1:12" hidden="1" x14ac:dyDescent="0.25">
      <c r="A1125" s="32" t="s">
        <v>442</v>
      </c>
      <c r="B1125" s="14">
        <v>43521</v>
      </c>
      <c r="C1125" s="13">
        <v>341</v>
      </c>
      <c r="D1125" s="13" t="s">
        <v>692</v>
      </c>
      <c r="E1125" s="13" t="s">
        <v>62</v>
      </c>
      <c r="F1125" s="4">
        <v>88000</v>
      </c>
      <c r="G1125" s="28" t="s">
        <v>728</v>
      </c>
      <c r="H1125" s="14">
        <v>43482</v>
      </c>
      <c r="I1125" s="4" t="s">
        <v>419</v>
      </c>
    </row>
    <row r="1126" spans="1:12" hidden="1" x14ac:dyDescent="0.25">
      <c r="A1126" s="61" t="s">
        <v>358</v>
      </c>
      <c r="B1126" s="14">
        <v>43521</v>
      </c>
      <c r="C1126" s="13">
        <v>342</v>
      </c>
      <c r="D1126" s="13" t="s">
        <v>2115</v>
      </c>
      <c r="E1126" s="13" t="s">
        <v>62</v>
      </c>
      <c r="F1126" s="37">
        <f>242550-122550</f>
        <v>120000</v>
      </c>
      <c r="G1126" s="29" t="s">
        <v>36</v>
      </c>
      <c r="H1126" s="14">
        <v>43465</v>
      </c>
      <c r="I1126" s="4" t="s">
        <v>1602</v>
      </c>
    </row>
    <row r="1127" spans="1:12" hidden="1" x14ac:dyDescent="0.25">
      <c r="A1127" s="13" t="s">
        <v>442</v>
      </c>
      <c r="B1127" s="14">
        <v>43521</v>
      </c>
      <c r="C1127" s="13">
        <v>343</v>
      </c>
      <c r="D1127" s="13" t="s">
        <v>303</v>
      </c>
      <c r="E1127" s="13" t="s">
        <v>62</v>
      </c>
      <c r="F1127" s="37">
        <v>8700</v>
      </c>
      <c r="G1127" s="29" t="s">
        <v>1227</v>
      </c>
      <c r="H1127" s="14">
        <v>43488</v>
      </c>
      <c r="I1127" s="4" t="s">
        <v>87</v>
      </c>
    </row>
    <row r="1128" spans="1:12" hidden="1" x14ac:dyDescent="0.25">
      <c r="A1128" s="61" t="s">
        <v>442</v>
      </c>
      <c r="B1128" s="14">
        <v>43521</v>
      </c>
      <c r="C1128" s="13">
        <v>344</v>
      </c>
      <c r="D1128" s="13" t="s">
        <v>149</v>
      </c>
      <c r="E1128" s="13" t="s">
        <v>62</v>
      </c>
      <c r="F1128" s="37">
        <v>14000</v>
      </c>
      <c r="G1128" s="29" t="s">
        <v>3403</v>
      </c>
      <c r="H1128" s="14">
        <v>43481</v>
      </c>
      <c r="I1128" s="4" t="s">
        <v>3402</v>
      </c>
    </row>
    <row r="1129" spans="1:12" hidden="1" x14ac:dyDescent="0.25">
      <c r="A1129" s="61" t="s">
        <v>358</v>
      </c>
      <c r="B1129" s="14">
        <v>43521</v>
      </c>
      <c r="C1129" s="13">
        <v>344</v>
      </c>
      <c r="D1129" s="13" t="s">
        <v>149</v>
      </c>
      <c r="E1129" s="13" t="s">
        <v>62</v>
      </c>
      <c r="F1129" s="37">
        <v>3500</v>
      </c>
      <c r="G1129" s="29" t="s">
        <v>248</v>
      </c>
      <c r="H1129" s="14">
        <v>43481</v>
      </c>
      <c r="I1129" s="4" t="s">
        <v>3402</v>
      </c>
    </row>
    <row r="1130" spans="1:12" hidden="1" x14ac:dyDescent="0.25">
      <c r="A1130" s="61" t="s">
        <v>442</v>
      </c>
      <c r="B1130" s="14">
        <v>43521</v>
      </c>
      <c r="C1130" s="13">
        <v>344</v>
      </c>
      <c r="D1130" s="13" t="s">
        <v>149</v>
      </c>
      <c r="E1130" s="13" t="s">
        <v>62</v>
      </c>
      <c r="F1130" s="37">
        <v>7500</v>
      </c>
      <c r="G1130" s="29" t="s">
        <v>106</v>
      </c>
      <c r="H1130" s="14">
        <v>43481</v>
      </c>
      <c r="I1130" s="4" t="s">
        <v>3404</v>
      </c>
    </row>
    <row r="1131" spans="1:12" ht="13.95" hidden="1" customHeight="1" x14ac:dyDescent="0.25">
      <c r="A1131" s="68" t="s">
        <v>8</v>
      </c>
      <c r="B1131" s="14">
        <v>43521</v>
      </c>
      <c r="C1131" s="13">
        <v>330</v>
      </c>
      <c r="D1131" s="32" t="s">
        <v>667</v>
      </c>
      <c r="E1131" s="32" t="s">
        <v>808</v>
      </c>
      <c r="F1131" s="4">
        <v>612325.1</v>
      </c>
      <c r="G1131" s="86" t="s">
        <v>1290</v>
      </c>
      <c r="H1131" s="211"/>
      <c r="I1131" s="41" t="s">
        <v>1289</v>
      </c>
      <c r="J1131" s="21"/>
      <c r="K1131" s="228"/>
    </row>
    <row r="1132" spans="1:12" ht="13.95" hidden="1" customHeight="1" x14ac:dyDescent="0.25">
      <c r="A1132" s="61" t="s">
        <v>1316</v>
      </c>
      <c r="B1132" s="14">
        <v>43521</v>
      </c>
      <c r="C1132" s="13">
        <v>352</v>
      </c>
      <c r="D1132" s="13" t="s">
        <v>432</v>
      </c>
      <c r="E1132" s="32" t="s">
        <v>808</v>
      </c>
      <c r="F1132" s="4">
        <v>336500</v>
      </c>
      <c r="G1132" s="86" t="s">
        <v>4008</v>
      </c>
      <c r="H1132" s="211"/>
      <c r="I1132" s="4" t="s">
        <v>24</v>
      </c>
      <c r="J1132" s="21"/>
      <c r="K1132" s="228"/>
    </row>
    <row r="1133" spans="1:12" s="97" customFormat="1" hidden="1" x14ac:dyDescent="0.25">
      <c r="A1133" s="61" t="s">
        <v>1148</v>
      </c>
      <c r="B1133" s="14">
        <v>43521</v>
      </c>
      <c r="C1133" s="13">
        <v>331</v>
      </c>
      <c r="D1133" s="13" t="s">
        <v>254</v>
      </c>
      <c r="E1133" s="13" t="s">
        <v>808</v>
      </c>
      <c r="F1133" s="37">
        <v>777840.05</v>
      </c>
      <c r="G1133" s="29" t="s">
        <v>3868</v>
      </c>
      <c r="H1133" s="14">
        <v>43496</v>
      </c>
      <c r="I1133" s="4" t="s">
        <v>1721</v>
      </c>
      <c r="J1133" s="133"/>
      <c r="K1133" s="22"/>
      <c r="L1133" s="134"/>
    </row>
    <row r="1134" spans="1:12" s="97" customFormat="1" hidden="1" x14ac:dyDescent="0.25">
      <c r="A1134" s="61" t="s">
        <v>1147</v>
      </c>
      <c r="B1134" s="14">
        <v>43521</v>
      </c>
      <c r="C1134" s="13">
        <v>332</v>
      </c>
      <c r="D1134" s="13" t="s">
        <v>1827</v>
      </c>
      <c r="E1134" s="13" t="s">
        <v>808</v>
      </c>
      <c r="F1134" s="37">
        <v>801600</v>
      </c>
      <c r="G1134" s="29" t="s">
        <v>3424</v>
      </c>
      <c r="H1134" s="14">
        <v>43481</v>
      </c>
      <c r="I1134" s="4" t="s">
        <v>1207</v>
      </c>
      <c r="J1134" s="133"/>
      <c r="K1134" s="22"/>
      <c r="L1134" s="134"/>
    </row>
    <row r="1135" spans="1:12" s="97" customFormat="1" hidden="1" x14ac:dyDescent="0.25">
      <c r="A1135" s="61" t="s">
        <v>1148</v>
      </c>
      <c r="B1135" s="14">
        <v>43521</v>
      </c>
      <c r="C1135" s="13">
        <v>333</v>
      </c>
      <c r="D1135" s="13" t="s">
        <v>589</v>
      </c>
      <c r="E1135" s="13" t="s">
        <v>808</v>
      </c>
      <c r="F1135" s="37">
        <v>740416</v>
      </c>
      <c r="G1135" s="29" t="s">
        <v>3130</v>
      </c>
      <c r="H1135" s="14">
        <v>43494</v>
      </c>
      <c r="I1135" s="4" t="s">
        <v>1349</v>
      </c>
      <c r="J1135" s="133"/>
      <c r="K1135" s="22"/>
      <c r="L1135" s="134"/>
    </row>
    <row r="1136" spans="1:12" s="97" customFormat="1" hidden="1" x14ac:dyDescent="0.25">
      <c r="A1136" s="61" t="s">
        <v>1316</v>
      </c>
      <c r="B1136" s="14">
        <v>43521</v>
      </c>
      <c r="C1136" s="13">
        <v>334</v>
      </c>
      <c r="D1136" s="13" t="s">
        <v>1353</v>
      </c>
      <c r="E1136" s="13" t="s">
        <v>808</v>
      </c>
      <c r="F1136" s="37">
        <v>6636</v>
      </c>
      <c r="G1136" s="29" t="s">
        <v>865</v>
      </c>
      <c r="H1136" s="14">
        <v>43503</v>
      </c>
      <c r="I1136" s="4" t="s">
        <v>108</v>
      </c>
      <c r="J1136" s="133"/>
      <c r="K1136" s="22"/>
      <c r="L1136" s="134"/>
    </row>
    <row r="1137" spans="1:12" s="97" customFormat="1" hidden="1" x14ac:dyDescent="0.25">
      <c r="A1137" s="61" t="s">
        <v>1147</v>
      </c>
      <c r="B1137" s="14">
        <v>43521</v>
      </c>
      <c r="C1137" s="13">
        <v>335</v>
      </c>
      <c r="D1137" s="13" t="s">
        <v>1065</v>
      </c>
      <c r="E1137" s="13" t="s">
        <v>808</v>
      </c>
      <c r="F1137" s="37">
        <v>26856.43</v>
      </c>
      <c r="G1137" s="29" t="s">
        <v>196</v>
      </c>
      <c r="H1137" s="14">
        <v>43488</v>
      </c>
      <c r="I1137" s="4" t="s">
        <v>3448</v>
      </c>
      <c r="J1137" s="133"/>
      <c r="K1137" s="22"/>
      <c r="L1137" s="134"/>
    </row>
    <row r="1138" spans="1:12" s="97" customFormat="1" hidden="1" x14ac:dyDescent="0.25">
      <c r="A1138" s="61" t="s">
        <v>1147</v>
      </c>
      <c r="B1138" s="14">
        <v>43521</v>
      </c>
      <c r="C1138" s="13">
        <v>354</v>
      </c>
      <c r="D1138" s="13" t="s">
        <v>734</v>
      </c>
      <c r="E1138" s="13" t="s">
        <v>808</v>
      </c>
      <c r="F1138" s="37">
        <v>10670</v>
      </c>
      <c r="G1138" s="29" t="s">
        <v>1893</v>
      </c>
      <c r="H1138" s="14">
        <v>43503</v>
      </c>
      <c r="I1138" s="4" t="s">
        <v>985</v>
      </c>
      <c r="J1138" s="133"/>
      <c r="K1138" s="22"/>
      <c r="L1138" s="134"/>
    </row>
    <row r="1139" spans="1:12" s="97" customFormat="1" hidden="1" x14ac:dyDescent="0.25">
      <c r="A1139" s="61" t="s">
        <v>1149</v>
      </c>
      <c r="B1139" s="14">
        <v>43521</v>
      </c>
      <c r="C1139" s="13">
        <v>354</v>
      </c>
      <c r="D1139" s="13" t="s">
        <v>734</v>
      </c>
      <c r="E1139" s="13" t="s">
        <v>808</v>
      </c>
      <c r="F1139" s="37">
        <v>3570</v>
      </c>
      <c r="G1139" s="29" t="s">
        <v>4126</v>
      </c>
      <c r="H1139" s="14">
        <v>43503</v>
      </c>
      <c r="I1139" s="4" t="s">
        <v>985</v>
      </c>
      <c r="J1139" s="133"/>
      <c r="K1139" s="22"/>
      <c r="L1139" s="134"/>
    </row>
    <row r="1140" spans="1:12" s="97" customFormat="1" hidden="1" x14ac:dyDescent="0.25">
      <c r="A1140" s="61" t="s">
        <v>1149</v>
      </c>
      <c r="B1140" s="14">
        <v>43521</v>
      </c>
      <c r="C1140" s="13">
        <v>336</v>
      </c>
      <c r="D1140" s="13" t="s">
        <v>814</v>
      </c>
      <c r="E1140" s="13" t="s">
        <v>808</v>
      </c>
      <c r="F1140" s="37">
        <v>20400</v>
      </c>
      <c r="G1140" s="29" t="s">
        <v>3443</v>
      </c>
      <c r="H1140" s="14">
        <v>43483</v>
      </c>
      <c r="I1140" s="4" t="s">
        <v>2070</v>
      </c>
      <c r="J1140" s="133"/>
      <c r="K1140" s="22"/>
      <c r="L1140" s="134"/>
    </row>
    <row r="1141" spans="1:12" s="97" customFormat="1" hidden="1" x14ac:dyDescent="0.25">
      <c r="A1141" s="61" t="s">
        <v>1316</v>
      </c>
      <c r="B1141" s="14">
        <v>43521</v>
      </c>
      <c r="C1141" s="13">
        <v>337</v>
      </c>
      <c r="D1141" s="13" t="s">
        <v>3438</v>
      </c>
      <c r="E1141" s="13" t="s">
        <v>808</v>
      </c>
      <c r="F1141" s="37">
        <v>23000</v>
      </c>
      <c r="G1141" s="29" t="s">
        <v>145</v>
      </c>
      <c r="H1141" s="14">
        <v>43488</v>
      </c>
      <c r="I1141" s="4" t="s">
        <v>3441</v>
      </c>
      <c r="J1141" s="133"/>
      <c r="K1141" s="22"/>
      <c r="L1141" s="134"/>
    </row>
    <row r="1142" spans="1:12" s="97" customFormat="1" hidden="1" x14ac:dyDescent="0.25">
      <c r="A1142" s="61" t="s">
        <v>659</v>
      </c>
      <c r="B1142" s="14">
        <v>43521</v>
      </c>
      <c r="C1142" s="13">
        <v>338</v>
      </c>
      <c r="D1142" s="13" t="s">
        <v>70</v>
      </c>
      <c r="E1142" s="13" t="s">
        <v>808</v>
      </c>
      <c r="F1142" s="4">
        <v>6050</v>
      </c>
      <c r="G1142" s="28" t="s">
        <v>1568</v>
      </c>
      <c r="H1142" s="14">
        <v>43487</v>
      </c>
      <c r="I1142" s="4" t="s">
        <v>3610</v>
      </c>
      <c r="J1142" s="133"/>
      <c r="K1142" s="22"/>
      <c r="L1142" s="134"/>
    </row>
    <row r="1143" spans="1:12" s="97" customFormat="1" hidden="1" x14ac:dyDescent="0.25">
      <c r="A1143" s="61" t="s">
        <v>1316</v>
      </c>
      <c r="B1143" s="14">
        <v>43521</v>
      </c>
      <c r="C1143" s="13">
        <v>353</v>
      </c>
      <c r="D1143" s="13" t="s">
        <v>516</v>
      </c>
      <c r="E1143" s="13" t="s">
        <v>808</v>
      </c>
      <c r="F1143" s="37">
        <v>24391.06</v>
      </c>
      <c r="G1143" s="29" t="s">
        <v>13</v>
      </c>
      <c r="H1143" s="14">
        <v>43480</v>
      </c>
      <c r="I1143" s="4" t="s">
        <v>3431</v>
      </c>
      <c r="J1143" s="133"/>
      <c r="K1143" s="22"/>
      <c r="L1143" s="134"/>
    </row>
    <row r="1144" spans="1:12" s="97" customFormat="1" hidden="1" x14ac:dyDescent="0.25">
      <c r="A1144" s="13" t="s">
        <v>261</v>
      </c>
      <c r="B1144" s="14">
        <v>43521</v>
      </c>
      <c r="C1144" s="13">
        <v>353</v>
      </c>
      <c r="D1144" s="13" t="s">
        <v>516</v>
      </c>
      <c r="E1144" s="13" t="s">
        <v>808</v>
      </c>
      <c r="F1144" s="4">
        <v>9810.75</v>
      </c>
      <c r="G1144" s="28" t="s">
        <v>2806</v>
      </c>
      <c r="H1144" s="14">
        <v>43488</v>
      </c>
      <c r="I1144" s="4" t="s">
        <v>3607</v>
      </c>
      <c r="J1144" s="133"/>
      <c r="K1144" s="22"/>
      <c r="L1144" s="134"/>
    </row>
    <row r="1145" spans="1:12" hidden="1" x14ac:dyDescent="0.25">
      <c r="A1145" s="61" t="s">
        <v>659</v>
      </c>
      <c r="B1145" s="14">
        <v>43521</v>
      </c>
      <c r="C1145" s="13">
        <v>339</v>
      </c>
      <c r="D1145" s="13" t="s">
        <v>1513</v>
      </c>
      <c r="E1145" s="13" t="s">
        <v>808</v>
      </c>
      <c r="F1145" s="37">
        <v>49900</v>
      </c>
      <c r="G1145" s="210" t="s">
        <v>2955</v>
      </c>
      <c r="H1145" s="211">
        <v>43490</v>
      </c>
      <c r="I1145" s="4" t="s">
        <v>319</v>
      </c>
      <c r="J1145" s="128"/>
    </row>
    <row r="1146" spans="1:12" hidden="1" x14ac:dyDescent="0.25">
      <c r="A1146" s="61" t="s">
        <v>1148</v>
      </c>
      <c r="B1146" s="14">
        <v>43521</v>
      </c>
      <c r="C1146" s="13">
        <v>340</v>
      </c>
      <c r="D1146" s="13" t="s">
        <v>1130</v>
      </c>
      <c r="E1146" s="13" t="s">
        <v>808</v>
      </c>
      <c r="F1146" s="37">
        <v>11800</v>
      </c>
      <c r="G1146" s="210" t="s">
        <v>728</v>
      </c>
      <c r="H1146" s="211">
        <v>43494</v>
      </c>
      <c r="I1146" s="4" t="s">
        <v>1131</v>
      </c>
      <c r="J1146" s="128"/>
    </row>
    <row r="1147" spans="1:12" hidden="1" x14ac:dyDescent="0.25">
      <c r="A1147" s="61" t="s">
        <v>1148</v>
      </c>
      <c r="B1147" s="14">
        <v>43521</v>
      </c>
      <c r="C1147" s="13">
        <v>347</v>
      </c>
      <c r="D1147" s="13" t="s">
        <v>447</v>
      </c>
      <c r="E1147" s="13" t="s">
        <v>808</v>
      </c>
      <c r="F1147" s="37">
        <v>255500</v>
      </c>
      <c r="G1147" s="210" t="s">
        <v>2819</v>
      </c>
      <c r="H1147" s="211">
        <v>43496</v>
      </c>
      <c r="I1147" s="4" t="s">
        <v>1328</v>
      </c>
      <c r="J1147" s="128"/>
    </row>
    <row r="1148" spans="1:12" hidden="1" x14ac:dyDescent="0.25">
      <c r="A1148" s="32" t="s">
        <v>1148</v>
      </c>
      <c r="B1148" s="14">
        <v>43521</v>
      </c>
      <c r="C1148" s="13">
        <v>347</v>
      </c>
      <c r="D1148" s="13" t="s">
        <v>447</v>
      </c>
      <c r="E1148" s="13" t="s">
        <v>808</v>
      </c>
      <c r="F1148" s="4">
        <v>245000</v>
      </c>
      <c r="G1148" s="28" t="s">
        <v>724</v>
      </c>
      <c r="H1148" s="14">
        <v>43501</v>
      </c>
      <c r="I1148" s="4" t="s">
        <v>1315</v>
      </c>
      <c r="J1148" s="128"/>
    </row>
    <row r="1149" spans="1:12" hidden="1" x14ac:dyDescent="0.25">
      <c r="A1149" s="61" t="s">
        <v>495</v>
      </c>
      <c r="B1149" s="14">
        <v>43521</v>
      </c>
      <c r="C1149" s="13">
        <v>347</v>
      </c>
      <c r="D1149" s="13" t="s">
        <v>447</v>
      </c>
      <c r="E1149" s="13" t="s">
        <v>808</v>
      </c>
      <c r="F1149" s="37">
        <v>15200</v>
      </c>
      <c r="G1149" s="29" t="s">
        <v>33</v>
      </c>
      <c r="H1149" s="14">
        <v>43501</v>
      </c>
      <c r="I1149" s="4" t="s">
        <v>1328</v>
      </c>
      <c r="J1149" s="128"/>
    </row>
    <row r="1150" spans="1:12" hidden="1" x14ac:dyDescent="0.25">
      <c r="A1150" s="61" t="s">
        <v>1147</v>
      </c>
      <c r="B1150" s="14">
        <v>43521</v>
      </c>
      <c r="C1150" s="13">
        <v>341</v>
      </c>
      <c r="D1150" s="13" t="s">
        <v>515</v>
      </c>
      <c r="E1150" s="13" t="s">
        <v>808</v>
      </c>
      <c r="F1150" s="37">
        <v>100000</v>
      </c>
      <c r="G1150" s="29" t="s">
        <v>177</v>
      </c>
      <c r="H1150" s="14">
        <v>43462</v>
      </c>
      <c r="I1150" s="4" t="s">
        <v>2661</v>
      </c>
    </row>
    <row r="1151" spans="1:12" hidden="1" x14ac:dyDescent="0.25">
      <c r="A1151" s="61" t="s">
        <v>2320</v>
      </c>
      <c r="B1151" s="14">
        <v>43521</v>
      </c>
      <c r="C1151" s="13">
        <v>342</v>
      </c>
      <c r="D1151" s="13" t="s">
        <v>3720</v>
      </c>
      <c r="E1151" s="13" t="s">
        <v>808</v>
      </c>
      <c r="F1151" s="37">
        <v>102800</v>
      </c>
      <c r="G1151" s="29" t="s">
        <v>3424</v>
      </c>
      <c r="H1151" s="14">
        <v>43496</v>
      </c>
      <c r="I1151" s="4" t="s">
        <v>263</v>
      </c>
      <c r="J1151" s="22" t="s">
        <v>3721</v>
      </c>
    </row>
    <row r="1152" spans="1:12" hidden="1" x14ac:dyDescent="0.25">
      <c r="A1152" s="61" t="s">
        <v>1316</v>
      </c>
      <c r="B1152" s="14">
        <v>43521</v>
      </c>
      <c r="C1152" s="13">
        <v>355</v>
      </c>
      <c r="D1152" s="13" t="s">
        <v>282</v>
      </c>
      <c r="E1152" s="13" t="s">
        <v>808</v>
      </c>
      <c r="F1152" s="37">
        <v>2860</v>
      </c>
      <c r="G1152" s="29" t="s">
        <v>3829</v>
      </c>
      <c r="H1152" s="14">
        <v>43496</v>
      </c>
      <c r="I1152" s="4" t="s">
        <v>283</v>
      </c>
    </row>
    <row r="1153" spans="1:9" hidden="1" x14ac:dyDescent="0.25">
      <c r="A1153" s="61" t="s">
        <v>1148</v>
      </c>
      <c r="B1153" s="14">
        <v>43521</v>
      </c>
      <c r="C1153" s="13">
        <v>355</v>
      </c>
      <c r="D1153" s="13" t="s">
        <v>282</v>
      </c>
      <c r="E1153" s="13" t="s">
        <v>808</v>
      </c>
      <c r="F1153" s="37">
        <v>3575</v>
      </c>
      <c r="G1153" s="29" t="s">
        <v>3830</v>
      </c>
      <c r="H1153" s="14">
        <v>43496</v>
      </c>
      <c r="I1153" s="4" t="s">
        <v>283</v>
      </c>
    </row>
    <row r="1154" spans="1:9" hidden="1" x14ac:dyDescent="0.25">
      <c r="A1154" s="61" t="s">
        <v>659</v>
      </c>
      <c r="B1154" s="14">
        <v>43521</v>
      </c>
      <c r="C1154" s="13">
        <v>355</v>
      </c>
      <c r="D1154" s="13" t="s">
        <v>282</v>
      </c>
      <c r="E1154" s="13" t="s">
        <v>808</v>
      </c>
      <c r="F1154" s="37">
        <v>1430</v>
      </c>
      <c r="G1154" s="29" t="s">
        <v>4076</v>
      </c>
      <c r="H1154" s="14">
        <v>43496</v>
      </c>
      <c r="I1154" s="4" t="s">
        <v>283</v>
      </c>
    </row>
    <row r="1155" spans="1:9" hidden="1" x14ac:dyDescent="0.25">
      <c r="A1155" s="13" t="s">
        <v>1148</v>
      </c>
      <c r="B1155" s="14">
        <v>43521</v>
      </c>
      <c r="C1155" s="13">
        <v>343</v>
      </c>
      <c r="D1155" s="13" t="s">
        <v>1395</v>
      </c>
      <c r="E1155" s="13" t="s">
        <v>808</v>
      </c>
      <c r="F1155" s="4">
        <v>38000</v>
      </c>
      <c r="G1155" s="28" t="s">
        <v>4300</v>
      </c>
      <c r="H1155" s="14">
        <v>43510</v>
      </c>
      <c r="I1155" s="4" t="s">
        <v>4301</v>
      </c>
    </row>
    <row r="1156" spans="1:9" ht="27.6" hidden="1" x14ac:dyDescent="0.25">
      <c r="A1156" s="61" t="s">
        <v>1894</v>
      </c>
      <c r="B1156" s="14">
        <v>43521</v>
      </c>
      <c r="C1156" s="13">
        <v>351</v>
      </c>
      <c r="D1156" s="13" t="s">
        <v>80</v>
      </c>
      <c r="E1156" s="13" t="s">
        <v>808</v>
      </c>
      <c r="F1156" s="37">
        <f>246222.5-100000</f>
        <v>146222.5</v>
      </c>
      <c r="G1156" s="29" t="s">
        <v>3591</v>
      </c>
      <c r="H1156" s="14">
        <v>43483</v>
      </c>
      <c r="I1156" s="4" t="s">
        <v>2157</v>
      </c>
    </row>
    <row r="1157" spans="1:9" hidden="1" x14ac:dyDescent="0.25">
      <c r="A1157" s="61" t="s">
        <v>1148</v>
      </c>
      <c r="B1157" s="14">
        <v>43521</v>
      </c>
      <c r="C1157" s="13">
        <v>344</v>
      </c>
      <c r="D1157" s="13" t="s">
        <v>29</v>
      </c>
      <c r="E1157" s="13" t="s">
        <v>808</v>
      </c>
      <c r="F1157" s="37">
        <v>219650</v>
      </c>
      <c r="G1157" s="29" t="s">
        <v>3184</v>
      </c>
      <c r="H1157" s="14">
        <v>43483</v>
      </c>
      <c r="I1157" s="4" t="s">
        <v>87</v>
      </c>
    </row>
    <row r="1158" spans="1:9" ht="27.6" hidden="1" x14ac:dyDescent="0.25">
      <c r="A1158" s="61" t="s">
        <v>3851</v>
      </c>
      <c r="B1158" s="14">
        <v>43521</v>
      </c>
      <c r="C1158" s="13">
        <v>356</v>
      </c>
      <c r="D1158" s="13" t="s">
        <v>2047</v>
      </c>
      <c r="E1158" s="13" t="s">
        <v>808</v>
      </c>
      <c r="F1158" s="37">
        <v>39100</v>
      </c>
      <c r="G1158" s="29" t="s">
        <v>77</v>
      </c>
      <c r="H1158" s="14">
        <v>43500</v>
      </c>
      <c r="I1158" s="4" t="s">
        <v>95</v>
      </c>
    </row>
    <row r="1159" spans="1:9" hidden="1" x14ac:dyDescent="0.25">
      <c r="A1159" s="61" t="s">
        <v>1148</v>
      </c>
      <c r="B1159" s="14">
        <v>43521</v>
      </c>
      <c r="C1159" s="13">
        <v>356</v>
      </c>
      <c r="D1159" s="13" t="s">
        <v>2047</v>
      </c>
      <c r="E1159" s="13" t="s">
        <v>808</v>
      </c>
      <c r="F1159" s="37">
        <v>37400</v>
      </c>
      <c r="G1159" s="29" t="s">
        <v>3339</v>
      </c>
      <c r="H1159" s="14">
        <v>43500</v>
      </c>
      <c r="I1159" s="4" t="s">
        <v>95</v>
      </c>
    </row>
    <row r="1160" spans="1:9" ht="27.6" hidden="1" x14ac:dyDescent="0.25">
      <c r="A1160" s="61" t="s">
        <v>3851</v>
      </c>
      <c r="B1160" s="14">
        <v>43521</v>
      </c>
      <c r="C1160" s="13">
        <v>356</v>
      </c>
      <c r="D1160" s="13" t="s">
        <v>2047</v>
      </c>
      <c r="E1160" s="13" t="s">
        <v>808</v>
      </c>
      <c r="F1160" s="37">
        <v>34000</v>
      </c>
      <c r="G1160" s="29" t="s">
        <v>3273</v>
      </c>
      <c r="H1160" s="14">
        <v>43500</v>
      </c>
      <c r="I1160" s="4" t="s">
        <v>95</v>
      </c>
    </row>
    <row r="1161" spans="1:9" hidden="1" x14ac:dyDescent="0.25">
      <c r="A1161" s="61" t="s">
        <v>659</v>
      </c>
      <c r="B1161" s="14">
        <v>43521</v>
      </c>
      <c r="C1161" s="13">
        <v>348</v>
      </c>
      <c r="D1161" s="13" t="s">
        <v>1985</v>
      </c>
      <c r="E1161" s="13" t="s">
        <v>808</v>
      </c>
      <c r="F1161" s="37">
        <v>84800</v>
      </c>
      <c r="G1161" s="29" t="s">
        <v>3142</v>
      </c>
      <c r="H1161" s="14">
        <v>43496</v>
      </c>
      <c r="I1161" s="4" t="s">
        <v>4092</v>
      </c>
    </row>
    <row r="1162" spans="1:9" ht="27.6" hidden="1" x14ac:dyDescent="0.25">
      <c r="A1162" s="61" t="s">
        <v>4318</v>
      </c>
      <c r="B1162" s="14">
        <v>43521</v>
      </c>
      <c r="C1162" s="13">
        <v>348</v>
      </c>
      <c r="D1162" s="13" t="s">
        <v>1985</v>
      </c>
      <c r="E1162" s="13" t="s">
        <v>808</v>
      </c>
      <c r="F1162" s="4">
        <v>51000</v>
      </c>
      <c r="G1162" s="28" t="s">
        <v>3362</v>
      </c>
      <c r="H1162" s="14">
        <v>43511</v>
      </c>
      <c r="I1162" s="4" t="s">
        <v>419</v>
      </c>
    </row>
    <row r="1163" spans="1:9" hidden="1" x14ac:dyDescent="0.25">
      <c r="A1163" s="61" t="s">
        <v>261</v>
      </c>
      <c r="B1163" s="14">
        <v>43521</v>
      </c>
      <c r="C1163" s="13">
        <v>357</v>
      </c>
      <c r="D1163" s="13" t="s">
        <v>692</v>
      </c>
      <c r="E1163" s="13" t="s">
        <v>808</v>
      </c>
      <c r="F1163" s="37">
        <v>37125</v>
      </c>
      <c r="G1163" s="29" t="s">
        <v>1705</v>
      </c>
      <c r="H1163" s="14">
        <v>43458</v>
      </c>
      <c r="I1163" s="4" t="s">
        <v>419</v>
      </c>
    </row>
    <row r="1164" spans="1:9" hidden="1" x14ac:dyDescent="0.25">
      <c r="A1164" s="32" t="s">
        <v>1149</v>
      </c>
      <c r="B1164" s="14">
        <v>43521</v>
      </c>
      <c r="C1164" s="13">
        <v>357</v>
      </c>
      <c r="D1164" s="13" t="s">
        <v>692</v>
      </c>
      <c r="E1164" s="13" t="s">
        <v>808</v>
      </c>
      <c r="F1164" s="4">
        <v>33000</v>
      </c>
      <c r="G1164" s="28" t="s">
        <v>1853</v>
      </c>
      <c r="H1164" s="14">
        <v>43459</v>
      </c>
      <c r="I1164" s="4" t="s">
        <v>419</v>
      </c>
    </row>
    <row r="1165" spans="1:9" hidden="1" x14ac:dyDescent="0.25">
      <c r="A1165" s="61" t="s">
        <v>1148</v>
      </c>
      <c r="B1165" s="14">
        <v>43521</v>
      </c>
      <c r="C1165" s="13">
        <v>350</v>
      </c>
      <c r="D1165" s="13" t="s">
        <v>2115</v>
      </c>
      <c r="E1165" s="13" t="s">
        <v>808</v>
      </c>
      <c r="F1165" s="37">
        <f>965675-400000</f>
        <v>565675</v>
      </c>
      <c r="G1165" s="29" t="s">
        <v>98</v>
      </c>
      <c r="H1165" s="14">
        <v>43465</v>
      </c>
      <c r="I1165" s="4" t="s">
        <v>164</v>
      </c>
    </row>
    <row r="1166" spans="1:9" hidden="1" x14ac:dyDescent="0.25">
      <c r="A1166" s="61" t="s">
        <v>1147</v>
      </c>
      <c r="B1166" s="14">
        <v>43521</v>
      </c>
      <c r="C1166" s="13">
        <v>345</v>
      </c>
      <c r="D1166" s="13" t="s">
        <v>2115</v>
      </c>
      <c r="E1166" s="13" t="s">
        <v>808</v>
      </c>
      <c r="F1166" s="37">
        <v>400000</v>
      </c>
      <c r="G1166" s="29" t="s">
        <v>0</v>
      </c>
      <c r="H1166" s="14">
        <v>43465</v>
      </c>
      <c r="I1166" s="4" t="s">
        <v>511</v>
      </c>
    </row>
    <row r="1167" spans="1:9" hidden="1" x14ac:dyDescent="0.25">
      <c r="A1167" s="61" t="s">
        <v>495</v>
      </c>
      <c r="B1167" s="14">
        <v>43521</v>
      </c>
      <c r="C1167" s="13">
        <v>349</v>
      </c>
      <c r="D1167" s="13" t="s">
        <v>862</v>
      </c>
      <c r="E1167" s="13" t="s">
        <v>808</v>
      </c>
      <c r="F1167" s="37">
        <v>18500</v>
      </c>
      <c r="G1167" s="29" t="s">
        <v>176</v>
      </c>
      <c r="H1167" s="14">
        <v>43486</v>
      </c>
      <c r="I1167" s="4" t="s">
        <v>354</v>
      </c>
    </row>
    <row r="1168" spans="1:9" hidden="1" x14ac:dyDescent="0.25">
      <c r="A1168" s="61" t="s">
        <v>659</v>
      </c>
      <c r="B1168" s="14">
        <v>43521</v>
      </c>
      <c r="C1168" s="13">
        <v>349</v>
      </c>
      <c r="D1168" s="13" t="s">
        <v>862</v>
      </c>
      <c r="E1168" s="13" t="s">
        <v>808</v>
      </c>
      <c r="F1168" s="37">
        <v>15625</v>
      </c>
      <c r="G1168" s="29" t="s">
        <v>1242</v>
      </c>
      <c r="H1168" s="14">
        <v>43489</v>
      </c>
      <c r="I1168" s="4" t="s">
        <v>354</v>
      </c>
    </row>
    <row r="1169" spans="1:12" hidden="1" x14ac:dyDescent="0.25">
      <c r="A1169" s="61" t="s">
        <v>1316</v>
      </c>
      <c r="B1169" s="14">
        <v>43521</v>
      </c>
      <c r="C1169" s="13">
        <v>346</v>
      </c>
      <c r="D1169" s="13" t="s">
        <v>303</v>
      </c>
      <c r="E1169" s="13" t="s">
        <v>808</v>
      </c>
      <c r="F1169" s="37">
        <v>26400</v>
      </c>
      <c r="G1169" s="29" t="s">
        <v>1402</v>
      </c>
      <c r="H1169" s="14">
        <v>43479</v>
      </c>
      <c r="I1169" s="4" t="s">
        <v>87</v>
      </c>
    </row>
    <row r="1170" spans="1:12" hidden="1" x14ac:dyDescent="0.25">
      <c r="A1170" s="68" t="s">
        <v>637</v>
      </c>
      <c r="B1170" s="242">
        <v>43521</v>
      </c>
      <c r="C1170" s="13" t="s">
        <v>4601</v>
      </c>
      <c r="D1170" s="32" t="s">
        <v>837</v>
      </c>
      <c r="E1170" s="32" t="s">
        <v>691</v>
      </c>
      <c r="F1170" s="4">
        <v>450000</v>
      </c>
      <c r="G1170" s="210" t="s">
        <v>207</v>
      </c>
      <c r="H1170" s="211"/>
      <c r="I1170" s="208" t="s">
        <v>838</v>
      </c>
      <c r="J1170" s="228"/>
      <c r="K1170" s="228"/>
    </row>
    <row r="1171" spans="1:12" s="2" customFormat="1" hidden="1" x14ac:dyDescent="0.25">
      <c r="A1171" s="61" t="s">
        <v>741</v>
      </c>
      <c r="B1171" s="14">
        <v>43521</v>
      </c>
      <c r="C1171" s="13">
        <v>184</v>
      </c>
      <c r="D1171" s="13" t="s">
        <v>1513</v>
      </c>
      <c r="E1171" s="13" t="s">
        <v>434</v>
      </c>
      <c r="F1171" s="37">
        <v>382760</v>
      </c>
      <c r="G1171" s="29" t="s">
        <v>459</v>
      </c>
      <c r="H1171" s="14">
        <v>43501</v>
      </c>
      <c r="I1171" s="4" t="s">
        <v>3857</v>
      </c>
      <c r="J1171" s="121"/>
      <c r="K1171" s="5"/>
    </row>
    <row r="1172" spans="1:12" hidden="1" x14ac:dyDescent="0.25">
      <c r="A1172" s="32" t="s">
        <v>741</v>
      </c>
      <c r="B1172" s="14">
        <v>43521</v>
      </c>
      <c r="C1172" s="13">
        <v>185</v>
      </c>
      <c r="D1172" s="13" t="s">
        <v>307</v>
      </c>
      <c r="E1172" s="13" t="s">
        <v>434</v>
      </c>
      <c r="F1172" s="4">
        <v>149505</v>
      </c>
      <c r="G1172" s="28" t="s">
        <v>3121</v>
      </c>
      <c r="H1172" s="14">
        <v>43479</v>
      </c>
      <c r="I1172" s="4" t="s">
        <v>1781</v>
      </c>
      <c r="J1172" s="128"/>
    </row>
    <row r="1173" spans="1:12" s="2" customFormat="1" hidden="1" x14ac:dyDescent="0.25">
      <c r="A1173" s="61" t="s">
        <v>741</v>
      </c>
      <c r="B1173" s="14">
        <v>43521</v>
      </c>
      <c r="C1173" s="13">
        <v>186</v>
      </c>
      <c r="D1173" s="13" t="s">
        <v>1690</v>
      </c>
      <c r="E1173" s="13" t="s">
        <v>434</v>
      </c>
      <c r="F1173" s="37">
        <v>3500</v>
      </c>
      <c r="G1173" s="29" t="s">
        <v>4320</v>
      </c>
      <c r="H1173" s="14">
        <v>43514</v>
      </c>
      <c r="I1173" s="4" t="s">
        <v>1301</v>
      </c>
      <c r="J1173" s="121"/>
      <c r="K1173" s="5"/>
    </row>
    <row r="1174" spans="1:12" s="2" customFormat="1" hidden="1" x14ac:dyDescent="0.25">
      <c r="A1174" s="13" t="s">
        <v>741</v>
      </c>
      <c r="B1174" s="14">
        <v>43521</v>
      </c>
      <c r="C1174" s="13">
        <v>187</v>
      </c>
      <c r="D1174" s="13" t="s">
        <v>262</v>
      </c>
      <c r="E1174" s="13" t="s">
        <v>434</v>
      </c>
      <c r="F1174" s="4">
        <v>20000</v>
      </c>
      <c r="G1174" s="28" t="s">
        <v>4</v>
      </c>
      <c r="H1174" s="14">
        <v>43503</v>
      </c>
      <c r="I1174" s="4" t="s">
        <v>155</v>
      </c>
      <c r="J1174" s="121"/>
      <c r="K1174" s="5"/>
    </row>
    <row r="1175" spans="1:12" s="2" customFormat="1" hidden="1" x14ac:dyDescent="0.25">
      <c r="A1175" s="61" t="s">
        <v>741</v>
      </c>
      <c r="B1175" s="14">
        <v>43521</v>
      </c>
      <c r="C1175" s="13">
        <v>188</v>
      </c>
      <c r="D1175" s="13" t="s">
        <v>2005</v>
      </c>
      <c r="E1175" s="13" t="s">
        <v>434</v>
      </c>
      <c r="F1175" s="37">
        <v>131136</v>
      </c>
      <c r="G1175" s="210" t="s">
        <v>4321</v>
      </c>
      <c r="H1175" s="211">
        <v>43497</v>
      </c>
      <c r="I1175" s="4" t="s">
        <v>517</v>
      </c>
      <c r="J1175" s="121"/>
      <c r="K1175" s="5"/>
    </row>
    <row r="1176" spans="1:12" s="2" customFormat="1" hidden="1" x14ac:dyDescent="0.25">
      <c r="A1176" s="61" t="s">
        <v>741</v>
      </c>
      <c r="B1176" s="14">
        <v>43521</v>
      </c>
      <c r="C1176" s="13">
        <v>189</v>
      </c>
      <c r="D1176" s="13" t="s">
        <v>2005</v>
      </c>
      <c r="E1176" s="13" t="s">
        <v>434</v>
      </c>
      <c r="F1176" s="37">
        <v>3220</v>
      </c>
      <c r="G1176" s="210" t="s">
        <v>4322</v>
      </c>
      <c r="H1176" s="211">
        <v>43507</v>
      </c>
      <c r="I1176" s="4" t="s">
        <v>344</v>
      </c>
      <c r="J1176" s="121"/>
      <c r="K1176" s="5"/>
    </row>
    <row r="1177" spans="1:12" s="2" customFormat="1" hidden="1" x14ac:dyDescent="0.25">
      <c r="A1177" s="61" t="s">
        <v>741</v>
      </c>
      <c r="B1177" s="14">
        <v>43521</v>
      </c>
      <c r="C1177" s="13">
        <v>190</v>
      </c>
      <c r="D1177" s="13" t="s">
        <v>4412</v>
      </c>
      <c r="E1177" s="13" t="s">
        <v>434</v>
      </c>
      <c r="F1177" s="37">
        <v>12000</v>
      </c>
      <c r="G1177" s="210" t="s">
        <v>86</v>
      </c>
      <c r="H1177" s="211">
        <v>43494</v>
      </c>
      <c r="I1177" s="4" t="s">
        <v>4413</v>
      </c>
      <c r="J1177" s="121"/>
      <c r="K1177" s="5"/>
    </row>
    <row r="1178" spans="1:12" ht="16.2" hidden="1" customHeight="1" x14ac:dyDescent="0.25">
      <c r="A1178" s="68" t="s">
        <v>1286</v>
      </c>
      <c r="B1178" s="14">
        <v>43521</v>
      </c>
      <c r="C1178" s="13">
        <v>346</v>
      </c>
      <c r="D1178" s="13" t="s">
        <v>456</v>
      </c>
      <c r="E1178" s="32" t="s">
        <v>62</v>
      </c>
      <c r="F1178" s="4">
        <v>3981330</v>
      </c>
      <c r="G1178" s="86" t="s">
        <v>1735</v>
      </c>
      <c r="H1178" s="14"/>
      <c r="I1178" s="4" t="s">
        <v>237</v>
      </c>
      <c r="J1178" s="71" t="s">
        <v>4185</v>
      </c>
      <c r="K1178" s="62"/>
      <c r="L1178" s="62"/>
    </row>
    <row r="1179" spans="1:12" hidden="1" x14ac:dyDescent="0.25">
      <c r="A1179" s="68" t="s">
        <v>151</v>
      </c>
      <c r="B1179" s="14">
        <v>43521</v>
      </c>
      <c r="C1179" s="13">
        <v>38</v>
      </c>
      <c r="D1179" s="32" t="s">
        <v>2899</v>
      </c>
      <c r="E1179" s="32" t="s">
        <v>178</v>
      </c>
      <c r="F1179" s="4">
        <v>4000</v>
      </c>
      <c r="G1179" s="210" t="s">
        <v>4602</v>
      </c>
      <c r="H1179" s="211">
        <v>43518</v>
      </c>
      <c r="I1179" s="208" t="s">
        <v>4399</v>
      </c>
      <c r="J1179" s="21"/>
      <c r="K1179" s="228"/>
    </row>
    <row r="1180" spans="1:12" hidden="1" x14ac:dyDescent="0.25">
      <c r="A1180" s="68" t="s">
        <v>151</v>
      </c>
      <c r="B1180" s="14">
        <v>43521</v>
      </c>
      <c r="C1180" s="13">
        <v>13</v>
      </c>
      <c r="D1180" s="32" t="s">
        <v>2899</v>
      </c>
      <c r="E1180" s="32" t="s">
        <v>4603</v>
      </c>
      <c r="F1180" s="4">
        <v>4000</v>
      </c>
      <c r="G1180" s="210" t="s">
        <v>4604</v>
      </c>
      <c r="H1180" s="211">
        <v>43518</v>
      </c>
      <c r="I1180" s="208" t="s">
        <v>4399</v>
      </c>
      <c r="J1180" s="21"/>
      <c r="K1180" s="228"/>
    </row>
    <row r="1181" spans="1:12" hidden="1" x14ac:dyDescent="0.25">
      <c r="A1181" s="68" t="s">
        <v>151</v>
      </c>
      <c r="B1181" s="14">
        <v>43521</v>
      </c>
      <c r="C1181" s="13">
        <v>275</v>
      </c>
      <c r="D1181" s="32" t="s">
        <v>2899</v>
      </c>
      <c r="E1181" s="32" t="s">
        <v>494</v>
      </c>
      <c r="F1181" s="4">
        <v>4000</v>
      </c>
      <c r="G1181" s="210" t="s">
        <v>4605</v>
      </c>
      <c r="H1181" s="211">
        <v>43518</v>
      </c>
      <c r="I1181" s="208" t="s">
        <v>4399</v>
      </c>
      <c r="J1181" s="21"/>
      <c r="K1181" s="228"/>
    </row>
    <row r="1182" spans="1:12" hidden="1" x14ac:dyDescent="0.25">
      <c r="A1182" s="68" t="s">
        <v>151</v>
      </c>
      <c r="B1182" s="14">
        <v>43521</v>
      </c>
      <c r="C1182" s="13">
        <v>191</v>
      </c>
      <c r="D1182" s="32" t="s">
        <v>2899</v>
      </c>
      <c r="E1182" s="32" t="s">
        <v>547</v>
      </c>
      <c r="F1182" s="4">
        <v>4000</v>
      </c>
      <c r="G1182" s="210" t="s">
        <v>4606</v>
      </c>
      <c r="H1182" s="211">
        <v>43518</v>
      </c>
      <c r="I1182" s="208" t="s">
        <v>4399</v>
      </c>
      <c r="J1182" s="21"/>
      <c r="K1182" s="228"/>
    </row>
    <row r="1183" spans="1:12" hidden="1" x14ac:dyDescent="0.25">
      <c r="A1183" s="68" t="s">
        <v>151</v>
      </c>
      <c r="B1183" s="14">
        <v>43521</v>
      </c>
      <c r="C1183" s="13">
        <v>209</v>
      </c>
      <c r="D1183" s="32" t="s">
        <v>2905</v>
      </c>
      <c r="E1183" s="32" t="s">
        <v>1121</v>
      </c>
      <c r="F1183" s="4">
        <v>129300</v>
      </c>
      <c r="G1183" s="210" t="s">
        <v>196</v>
      </c>
      <c r="H1183" s="211">
        <v>43518</v>
      </c>
      <c r="I1183" s="208" t="s">
        <v>1525</v>
      </c>
      <c r="J1183" s="21"/>
      <c r="K1183" s="228"/>
    </row>
    <row r="1184" spans="1:12" s="129" customFormat="1" hidden="1" x14ac:dyDescent="0.25">
      <c r="A1184" s="13" t="s">
        <v>151</v>
      </c>
      <c r="B1184" s="14">
        <v>43521</v>
      </c>
      <c r="C1184" s="28" t="s">
        <v>1155</v>
      </c>
      <c r="D1184" s="13" t="s">
        <v>1589</v>
      </c>
      <c r="E1184" s="13" t="s">
        <v>22</v>
      </c>
      <c r="F1184" s="4">
        <v>1600</v>
      </c>
      <c r="G1184" s="28" t="s">
        <v>113</v>
      </c>
      <c r="H1184" s="14">
        <v>43515</v>
      </c>
      <c r="I1184" s="4" t="s">
        <v>3062</v>
      </c>
      <c r="J1184" s="133"/>
      <c r="K1184" s="275"/>
    </row>
    <row r="1185" spans="1:16" ht="27.6" hidden="1" x14ac:dyDescent="0.25">
      <c r="A1185" s="61" t="s">
        <v>460</v>
      </c>
      <c r="B1185" s="14">
        <v>43522</v>
      </c>
      <c r="C1185" s="13">
        <v>262</v>
      </c>
      <c r="D1185" s="14" t="s">
        <v>4065</v>
      </c>
      <c r="E1185" s="32" t="s">
        <v>2058</v>
      </c>
      <c r="F1185" s="4">
        <v>89148</v>
      </c>
      <c r="G1185" s="86" t="s">
        <v>4066</v>
      </c>
      <c r="H1185" s="211"/>
      <c r="I1185" s="326"/>
      <c r="K1185" s="62"/>
    </row>
    <row r="1186" spans="1:16" ht="27.6" hidden="1" x14ac:dyDescent="0.25">
      <c r="A1186" s="61" t="s">
        <v>460</v>
      </c>
      <c r="B1186" s="14">
        <v>43522</v>
      </c>
      <c r="C1186" s="13">
        <v>268</v>
      </c>
      <c r="D1186" s="14" t="s">
        <v>2652</v>
      </c>
      <c r="E1186" s="32" t="s">
        <v>2058</v>
      </c>
      <c r="F1186" s="4">
        <v>106400</v>
      </c>
      <c r="G1186" s="86" t="s">
        <v>2653</v>
      </c>
      <c r="H1186" s="211"/>
      <c r="I1186" s="326"/>
      <c r="K1186" s="62"/>
    </row>
    <row r="1187" spans="1:16" ht="27.6" hidden="1" x14ac:dyDescent="0.25">
      <c r="A1187" s="61" t="s">
        <v>460</v>
      </c>
      <c r="B1187" s="14">
        <v>43522</v>
      </c>
      <c r="C1187" s="13">
        <v>269</v>
      </c>
      <c r="D1187" s="14" t="s">
        <v>2655</v>
      </c>
      <c r="E1187" s="32" t="s">
        <v>2058</v>
      </c>
      <c r="F1187" s="4">
        <v>98748</v>
      </c>
      <c r="G1187" s="86" t="s">
        <v>2654</v>
      </c>
      <c r="H1187" s="211"/>
      <c r="I1187" s="326"/>
      <c r="K1187" s="62"/>
    </row>
    <row r="1188" spans="1:16" ht="27.6" hidden="1" x14ac:dyDescent="0.25">
      <c r="A1188" s="61" t="s">
        <v>460</v>
      </c>
      <c r="B1188" s="14">
        <v>43522</v>
      </c>
      <c r="C1188" s="13">
        <v>270</v>
      </c>
      <c r="D1188" s="14" t="s">
        <v>2659</v>
      </c>
      <c r="E1188" s="32" t="s">
        <v>2058</v>
      </c>
      <c r="F1188" s="4">
        <v>93840</v>
      </c>
      <c r="G1188" s="86" t="s">
        <v>2660</v>
      </c>
      <c r="H1188" s="211"/>
      <c r="I1188" s="326"/>
      <c r="K1188" s="62"/>
    </row>
    <row r="1189" spans="1:16" ht="13.95" hidden="1" customHeight="1" x14ac:dyDescent="0.25">
      <c r="A1189" s="68" t="s">
        <v>151</v>
      </c>
      <c r="B1189" s="14">
        <v>43522</v>
      </c>
      <c r="C1189" s="13">
        <v>58</v>
      </c>
      <c r="D1189" s="32" t="s">
        <v>272</v>
      </c>
      <c r="E1189" s="32" t="s">
        <v>195</v>
      </c>
      <c r="F1189" s="4">
        <f>349560-108000</f>
        <v>241560</v>
      </c>
      <c r="G1189" s="86" t="s">
        <v>3318</v>
      </c>
      <c r="H1189" s="211"/>
      <c r="I1189" s="84" t="s">
        <v>3319</v>
      </c>
      <c r="J1189" s="21">
        <f>136080+213480</f>
        <v>349560</v>
      </c>
      <c r="K1189" s="228"/>
    </row>
    <row r="1190" spans="1:16" hidden="1" x14ac:dyDescent="0.25">
      <c r="A1190" s="13" t="s">
        <v>637</v>
      </c>
      <c r="B1190" s="126">
        <v>43522</v>
      </c>
      <c r="C1190" s="13">
        <v>161</v>
      </c>
      <c r="D1190" s="13" t="s">
        <v>30</v>
      </c>
      <c r="E1190" s="13" t="s">
        <v>691</v>
      </c>
      <c r="F1190" s="37">
        <v>7133655.7999999998</v>
      </c>
      <c r="G1190" s="29" t="s">
        <v>4038</v>
      </c>
      <c r="H1190" s="14"/>
      <c r="I1190" s="208" t="s">
        <v>20</v>
      </c>
      <c r="J1190" s="62"/>
      <c r="K1190" s="62"/>
      <c r="L1190" s="35"/>
      <c r="M1190" s="35"/>
      <c r="N1190" s="35"/>
      <c r="O1190" s="35"/>
      <c r="P1190" s="35"/>
    </row>
    <row r="1191" spans="1:16" hidden="1" x14ac:dyDescent="0.25">
      <c r="A1191" s="32" t="s">
        <v>1350</v>
      </c>
      <c r="B1191" s="126">
        <v>43522</v>
      </c>
      <c r="C1191" s="13">
        <v>169</v>
      </c>
      <c r="D1191" s="32" t="s">
        <v>825</v>
      </c>
      <c r="E1191" s="13" t="s">
        <v>691</v>
      </c>
      <c r="F1191" s="4">
        <v>1000000</v>
      </c>
      <c r="G1191" s="29" t="s">
        <v>1643</v>
      </c>
      <c r="H1191" s="211"/>
      <c r="I1191" s="4" t="s">
        <v>82</v>
      </c>
      <c r="J1191" s="228"/>
      <c r="K1191" s="228"/>
    </row>
    <row r="1192" spans="1:16" hidden="1" x14ac:dyDescent="0.25">
      <c r="A1192" s="13" t="s">
        <v>637</v>
      </c>
      <c r="B1192" s="126">
        <v>43524</v>
      </c>
      <c r="C1192" s="13">
        <v>171</v>
      </c>
      <c r="D1192" s="13" t="s">
        <v>1947</v>
      </c>
      <c r="E1192" s="13" t="s">
        <v>691</v>
      </c>
      <c r="F1192" s="37">
        <v>500000</v>
      </c>
      <c r="G1192" s="29" t="s">
        <v>1948</v>
      </c>
      <c r="H1192" s="14"/>
      <c r="I1192" s="4" t="s">
        <v>315</v>
      </c>
      <c r="J1192" s="62"/>
      <c r="K1192" s="62"/>
      <c r="L1192" s="35"/>
      <c r="M1192" s="35"/>
      <c r="N1192" s="35"/>
      <c r="O1192" s="35"/>
      <c r="P1192" s="35"/>
    </row>
    <row r="1193" spans="1:16" hidden="1" x14ac:dyDescent="0.25">
      <c r="A1193" s="68" t="s">
        <v>637</v>
      </c>
      <c r="B1193" s="126">
        <v>43522</v>
      </c>
      <c r="C1193" s="127">
        <v>167</v>
      </c>
      <c r="D1193" s="32" t="s">
        <v>1228</v>
      </c>
      <c r="E1193" s="32" t="s">
        <v>691</v>
      </c>
      <c r="F1193" s="4">
        <f>243200-117000</f>
        <v>126200</v>
      </c>
      <c r="G1193" s="29" t="s">
        <v>2095</v>
      </c>
      <c r="H1193" s="14">
        <v>43399</v>
      </c>
      <c r="I1193" s="208" t="s">
        <v>1786</v>
      </c>
      <c r="J1193" s="21"/>
      <c r="K1193" s="228"/>
    </row>
    <row r="1194" spans="1:16" s="97" customFormat="1" hidden="1" x14ac:dyDescent="0.25">
      <c r="A1194" s="61" t="s">
        <v>1350</v>
      </c>
      <c r="B1194" s="126">
        <v>43522</v>
      </c>
      <c r="C1194" s="13">
        <v>162</v>
      </c>
      <c r="D1194" s="13" t="s">
        <v>448</v>
      </c>
      <c r="E1194" s="13" t="s">
        <v>691</v>
      </c>
      <c r="F1194" s="37">
        <v>11800</v>
      </c>
      <c r="G1194" s="210" t="s">
        <v>2932</v>
      </c>
      <c r="H1194" s="211">
        <v>43484</v>
      </c>
      <c r="I1194" s="4" t="s">
        <v>63</v>
      </c>
      <c r="J1194" s="133"/>
      <c r="K1194" s="22"/>
      <c r="L1194" s="134"/>
    </row>
    <row r="1195" spans="1:16" s="97" customFormat="1" hidden="1" x14ac:dyDescent="0.25">
      <c r="A1195" s="61" t="s">
        <v>659</v>
      </c>
      <c r="B1195" s="126">
        <v>43522</v>
      </c>
      <c r="C1195" s="13">
        <v>163</v>
      </c>
      <c r="D1195" s="13" t="s">
        <v>1032</v>
      </c>
      <c r="E1195" s="13" t="s">
        <v>691</v>
      </c>
      <c r="F1195" s="37">
        <v>84000</v>
      </c>
      <c r="G1195" s="29" t="s">
        <v>3893</v>
      </c>
      <c r="H1195" s="14">
        <v>43484</v>
      </c>
      <c r="I1195" s="4" t="s">
        <v>142</v>
      </c>
      <c r="J1195" s="133"/>
      <c r="K1195" s="22"/>
      <c r="L1195" s="134"/>
    </row>
    <row r="1196" spans="1:16" s="97" customFormat="1" hidden="1" x14ac:dyDescent="0.25">
      <c r="A1196" s="61" t="s">
        <v>637</v>
      </c>
      <c r="B1196" s="126">
        <v>43522</v>
      </c>
      <c r="C1196" s="13">
        <v>164</v>
      </c>
      <c r="D1196" s="13" t="s">
        <v>1491</v>
      </c>
      <c r="E1196" s="13" t="s">
        <v>691</v>
      </c>
      <c r="F1196" s="37">
        <v>6358.65</v>
      </c>
      <c r="G1196" s="29" t="s">
        <v>1740</v>
      </c>
      <c r="H1196" s="14">
        <v>43489</v>
      </c>
      <c r="I1196" s="4" t="s">
        <v>4118</v>
      </c>
      <c r="J1196" s="133"/>
      <c r="K1196" s="22"/>
      <c r="L1196" s="134"/>
    </row>
    <row r="1197" spans="1:16" hidden="1" x14ac:dyDescent="0.25">
      <c r="A1197" s="61" t="s">
        <v>1350</v>
      </c>
      <c r="B1197" s="126">
        <v>43522</v>
      </c>
      <c r="C1197" s="13">
        <v>165</v>
      </c>
      <c r="D1197" s="13" t="s">
        <v>944</v>
      </c>
      <c r="E1197" s="13" t="s">
        <v>691</v>
      </c>
      <c r="F1197" s="37">
        <v>146250</v>
      </c>
      <c r="G1197" s="29" t="s">
        <v>3117</v>
      </c>
      <c r="H1197" s="14">
        <v>43465</v>
      </c>
      <c r="I1197" s="4" t="s">
        <v>402</v>
      </c>
    </row>
    <row r="1198" spans="1:16" hidden="1" x14ac:dyDescent="0.25">
      <c r="A1198" s="32" t="s">
        <v>1350</v>
      </c>
      <c r="B1198" s="126">
        <v>43522</v>
      </c>
      <c r="C1198" s="13">
        <v>170</v>
      </c>
      <c r="D1198" s="13" t="s">
        <v>1395</v>
      </c>
      <c r="E1198" s="13" t="s">
        <v>691</v>
      </c>
      <c r="F1198" s="4">
        <v>38000</v>
      </c>
      <c r="G1198" s="28" t="s">
        <v>2519</v>
      </c>
      <c r="H1198" s="14">
        <v>43510</v>
      </c>
      <c r="I1198" s="4" t="s">
        <v>4301</v>
      </c>
    </row>
    <row r="1199" spans="1:16" hidden="1" x14ac:dyDescent="0.25">
      <c r="A1199" s="61" t="s">
        <v>1350</v>
      </c>
      <c r="B1199" s="126">
        <v>43522</v>
      </c>
      <c r="C1199" s="13">
        <v>170</v>
      </c>
      <c r="D1199" s="13" t="s">
        <v>1395</v>
      </c>
      <c r="E1199" s="13" t="s">
        <v>691</v>
      </c>
      <c r="F1199" s="4">
        <v>34200</v>
      </c>
      <c r="G1199" s="28" t="s">
        <v>1659</v>
      </c>
      <c r="H1199" s="14">
        <v>43511</v>
      </c>
      <c r="I1199" s="4" t="s">
        <v>4302</v>
      </c>
    </row>
    <row r="1200" spans="1:16" hidden="1" x14ac:dyDescent="0.25">
      <c r="A1200" s="32" t="s">
        <v>659</v>
      </c>
      <c r="B1200" s="126">
        <v>43522</v>
      </c>
      <c r="C1200" s="13">
        <v>166</v>
      </c>
      <c r="D1200" s="13" t="s">
        <v>250</v>
      </c>
      <c r="E1200" s="13" t="s">
        <v>691</v>
      </c>
      <c r="F1200" s="37">
        <v>179312.5</v>
      </c>
      <c r="G1200" s="29" t="s">
        <v>3150</v>
      </c>
      <c r="H1200" s="14">
        <v>43463</v>
      </c>
      <c r="I1200" s="4" t="s">
        <v>1601</v>
      </c>
    </row>
    <row r="1201" spans="1:19" s="62" customFormat="1" ht="15" hidden="1" customHeight="1" x14ac:dyDescent="0.25">
      <c r="A1201" s="13" t="s">
        <v>794</v>
      </c>
      <c r="B1201" s="126">
        <v>43522</v>
      </c>
      <c r="C1201" s="13">
        <v>57</v>
      </c>
      <c r="D1201" s="13" t="s">
        <v>757</v>
      </c>
      <c r="E1201" s="13" t="s">
        <v>195</v>
      </c>
      <c r="F1201" s="37">
        <v>57242.5</v>
      </c>
      <c r="G1201" s="29" t="s">
        <v>843</v>
      </c>
      <c r="H1201" s="14">
        <v>42826</v>
      </c>
      <c r="I1201" s="4" t="s">
        <v>758</v>
      </c>
      <c r="J1201" s="71" t="s">
        <v>239</v>
      </c>
      <c r="O1201" s="35"/>
      <c r="P1201" s="35"/>
      <c r="Q1201" s="35"/>
      <c r="R1201" s="35"/>
      <c r="S1201" s="35"/>
    </row>
    <row r="1202" spans="1:19" s="115" customFormat="1" ht="15.6" hidden="1" x14ac:dyDescent="0.25">
      <c r="A1202" s="61" t="s">
        <v>651</v>
      </c>
      <c r="B1202" s="14">
        <v>43522</v>
      </c>
      <c r="C1202" s="13">
        <v>194</v>
      </c>
      <c r="D1202" s="13" t="s">
        <v>813</v>
      </c>
      <c r="E1202" s="13" t="s">
        <v>547</v>
      </c>
      <c r="F1202" s="37">
        <v>4947378</v>
      </c>
      <c r="G1202" s="29" t="s">
        <v>810</v>
      </c>
      <c r="H1202" s="14">
        <v>42340</v>
      </c>
      <c r="I1202" s="41" t="s">
        <v>1560</v>
      </c>
      <c r="J1202" s="258"/>
      <c r="K1202" s="116"/>
      <c r="L1202" s="116"/>
      <c r="M1202" s="116"/>
      <c r="N1202" s="116"/>
      <c r="O1202" s="117"/>
      <c r="P1202" s="117"/>
      <c r="Q1202" s="117"/>
      <c r="R1202" s="117"/>
      <c r="S1202" s="117"/>
    </row>
    <row r="1203" spans="1:19" hidden="1" x14ac:dyDescent="0.25">
      <c r="A1203" s="68" t="s">
        <v>151</v>
      </c>
      <c r="B1203" s="14">
        <v>43522</v>
      </c>
      <c r="C1203" s="13">
        <v>106</v>
      </c>
      <c r="D1203" s="32" t="s">
        <v>2899</v>
      </c>
      <c r="E1203" s="32" t="s">
        <v>1336</v>
      </c>
      <c r="F1203" s="4">
        <v>4000</v>
      </c>
      <c r="G1203" s="210" t="s">
        <v>4621</v>
      </c>
      <c r="H1203" s="211">
        <v>43518</v>
      </c>
      <c r="I1203" s="208" t="s">
        <v>4399</v>
      </c>
      <c r="J1203" s="21"/>
      <c r="K1203" s="228"/>
    </row>
    <row r="1204" spans="1:19" hidden="1" x14ac:dyDescent="0.25">
      <c r="A1204" s="68" t="s">
        <v>151</v>
      </c>
      <c r="B1204" s="14">
        <v>43522</v>
      </c>
      <c r="C1204" s="13">
        <v>67</v>
      </c>
      <c r="D1204" s="32" t="s">
        <v>2899</v>
      </c>
      <c r="E1204" s="32" t="s">
        <v>314</v>
      </c>
      <c r="F1204" s="4">
        <v>4000</v>
      </c>
      <c r="G1204" s="210" t="s">
        <v>4622</v>
      </c>
      <c r="H1204" s="211">
        <v>43518</v>
      </c>
      <c r="I1204" s="208" t="s">
        <v>4399</v>
      </c>
      <c r="J1204" s="21"/>
      <c r="K1204" s="228"/>
    </row>
    <row r="1205" spans="1:19" hidden="1" x14ac:dyDescent="0.25">
      <c r="A1205" s="68" t="s">
        <v>151</v>
      </c>
      <c r="B1205" s="14">
        <v>43522</v>
      </c>
      <c r="C1205" s="13">
        <v>106</v>
      </c>
      <c r="D1205" s="32" t="s">
        <v>2899</v>
      </c>
      <c r="E1205" s="32" t="s">
        <v>408</v>
      </c>
      <c r="F1205" s="4">
        <v>4000</v>
      </c>
      <c r="G1205" s="210" t="s">
        <v>4623</v>
      </c>
      <c r="H1205" s="211">
        <v>43518</v>
      </c>
      <c r="I1205" s="208" t="s">
        <v>4399</v>
      </c>
      <c r="J1205" s="21"/>
      <c r="K1205" s="228"/>
    </row>
    <row r="1206" spans="1:19" ht="27.6" hidden="1" x14ac:dyDescent="0.25">
      <c r="A1206" s="68" t="s">
        <v>151</v>
      </c>
      <c r="B1206" s="14">
        <v>43522</v>
      </c>
      <c r="C1206" s="13">
        <v>406</v>
      </c>
      <c r="D1206" s="32" t="s">
        <v>2899</v>
      </c>
      <c r="E1206" s="32" t="s">
        <v>2433</v>
      </c>
      <c r="F1206" s="4">
        <v>4000</v>
      </c>
      <c r="G1206" s="210" t="s">
        <v>4624</v>
      </c>
      <c r="H1206" s="211">
        <v>43518</v>
      </c>
      <c r="I1206" s="208" t="s">
        <v>4399</v>
      </c>
      <c r="J1206" s="21"/>
      <c r="K1206" s="228"/>
    </row>
    <row r="1207" spans="1:19" hidden="1" x14ac:dyDescent="0.25">
      <c r="A1207" s="68" t="s">
        <v>151</v>
      </c>
      <c r="B1207" s="14">
        <v>43522</v>
      </c>
      <c r="C1207" s="13">
        <v>107</v>
      </c>
      <c r="D1207" s="32" t="s">
        <v>1169</v>
      </c>
      <c r="E1207" s="32" t="s">
        <v>1336</v>
      </c>
      <c r="F1207" s="4">
        <v>70000</v>
      </c>
      <c r="G1207" s="210" t="s">
        <v>77</v>
      </c>
      <c r="H1207" s="211">
        <v>43518</v>
      </c>
      <c r="I1207" s="208" t="s">
        <v>4625</v>
      </c>
      <c r="J1207" s="21"/>
      <c r="K1207" s="228"/>
    </row>
    <row r="1208" spans="1:19" ht="27.6" hidden="1" x14ac:dyDescent="0.25">
      <c r="A1208" s="68" t="s">
        <v>151</v>
      </c>
      <c r="B1208" s="14">
        <v>43522</v>
      </c>
      <c r="C1208" s="13">
        <v>405</v>
      </c>
      <c r="D1208" s="32" t="s">
        <v>1169</v>
      </c>
      <c r="E1208" s="32" t="s">
        <v>2433</v>
      </c>
      <c r="F1208" s="4">
        <v>60000</v>
      </c>
      <c r="G1208" s="210" t="s">
        <v>301</v>
      </c>
      <c r="H1208" s="211">
        <v>43518</v>
      </c>
      <c r="I1208" s="208" t="s">
        <v>4625</v>
      </c>
      <c r="J1208" s="21"/>
      <c r="K1208" s="228"/>
    </row>
    <row r="1209" spans="1:19" hidden="1" x14ac:dyDescent="0.25">
      <c r="A1209" s="68" t="s">
        <v>151</v>
      </c>
      <c r="B1209" s="14">
        <v>43522</v>
      </c>
      <c r="C1209" s="13">
        <v>12</v>
      </c>
      <c r="D1209" s="32" t="s">
        <v>1169</v>
      </c>
      <c r="E1209" s="32" t="s">
        <v>522</v>
      </c>
      <c r="F1209" s="4">
        <v>40000</v>
      </c>
      <c r="G1209" s="210" t="s">
        <v>199</v>
      </c>
      <c r="H1209" s="211">
        <v>43518</v>
      </c>
      <c r="I1209" s="208" t="s">
        <v>4625</v>
      </c>
      <c r="J1209" s="21"/>
      <c r="K1209" s="228"/>
    </row>
    <row r="1210" spans="1:19" hidden="1" x14ac:dyDescent="0.25">
      <c r="A1210" s="68" t="s">
        <v>151</v>
      </c>
      <c r="B1210" s="14">
        <v>43522</v>
      </c>
      <c r="C1210" s="13">
        <v>29</v>
      </c>
      <c r="D1210" s="32" t="s">
        <v>1169</v>
      </c>
      <c r="E1210" s="32" t="s">
        <v>483</v>
      </c>
      <c r="F1210" s="4">
        <v>50000</v>
      </c>
      <c r="G1210" s="210" t="s">
        <v>3142</v>
      </c>
      <c r="H1210" s="211">
        <v>43518</v>
      </c>
      <c r="I1210" s="208" t="s">
        <v>4625</v>
      </c>
      <c r="J1210" s="21"/>
      <c r="K1210" s="228"/>
    </row>
    <row r="1211" spans="1:19" hidden="1" x14ac:dyDescent="0.25">
      <c r="A1211" s="68" t="s">
        <v>151</v>
      </c>
      <c r="B1211" s="14">
        <v>43522</v>
      </c>
      <c r="C1211" s="13">
        <v>20</v>
      </c>
      <c r="D1211" s="32" t="s">
        <v>1169</v>
      </c>
      <c r="E1211" s="32" t="s">
        <v>742</v>
      </c>
      <c r="F1211" s="4">
        <v>60000</v>
      </c>
      <c r="G1211" s="210" t="s">
        <v>1158</v>
      </c>
      <c r="H1211" s="211">
        <v>43518</v>
      </c>
      <c r="I1211" s="208" t="s">
        <v>4625</v>
      </c>
      <c r="J1211" s="21"/>
      <c r="K1211" s="228"/>
    </row>
    <row r="1212" spans="1:19" hidden="1" x14ac:dyDescent="0.25">
      <c r="A1212" s="68" t="s">
        <v>151</v>
      </c>
      <c r="B1212" s="14">
        <v>43522</v>
      </c>
      <c r="C1212" s="13">
        <v>28</v>
      </c>
      <c r="D1212" s="32" t="s">
        <v>1169</v>
      </c>
      <c r="E1212" s="32" t="s">
        <v>175</v>
      </c>
      <c r="F1212" s="4">
        <v>70000</v>
      </c>
      <c r="G1212" s="210" t="s">
        <v>3184</v>
      </c>
      <c r="H1212" s="211">
        <v>43518</v>
      </c>
      <c r="I1212" s="208" t="s">
        <v>4625</v>
      </c>
      <c r="J1212" s="21"/>
      <c r="K1212" s="228"/>
    </row>
    <row r="1213" spans="1:19" hidden="1" x14ac:dyDescent="0.25">
      <c r="A1213" s="68" t="s">
        <v>151</v>
      </c>
      <c r="B1213" s="14">
        <v>43522</v>
      </c>
      <c r="C1213" s="13">
        <v>598</v>
      </c>
      <c r="D1213" s="32" t="s">
        <v>1169</v>
      </c>
      <c r="E1213" s="32" t="s">
        <v>140</v>
      </c>
      <c r="F1213" s="4">
        <v>70000</v>
      </c>
      <c r="G1213" s="210" t="s">
        <v>1191</v>
      </c>
      <c r="H1213" s="211">
        <v>43518</v>
      </c>
      <c r="I1213" s="208" t="s">
        <v>4625</v>
      </c>
      <c r="J1213" s="21"/>
      <c r="K1213" s="228"/>
    </row>
    <row r="1214" spans="1:19" hidden="1" x14ac:dyDescent="0.25">
      <c r="A1214" s="68" t="s">
        <v>151</v>
      </c>
      <c r="B1214" s="14">
        <v>43522</v>
      </c>
      <c r="C1214" s="13">
        <v>156</v>
      </c>
      <c r="D1214" s="32" t="s">
        <v>1169</v>
      </c>
      <c r="E1214" s="32" t="s">
        <v>877</v>
      </c>
      <c r="F1214" s="4">
        <v>40000</v>
      </c>
      <c r="G1214" s="210" t="s">
        <v>3104</v>
      </c>
      <c r="H1214" s="211">
        <v>43518</v>
      </c>
      <c r="I1214" s="208" t="s">
        <v>4625</v>
      </c>
      <c r="J1214" s="21"/>
      <c r="K1214" s="228"/>
    </row>
    <row r="1215" spans="1:19" ht="27.6" hidden="1" x14ac:dyDescent="0.25">
      <c r="A1215" s="68" t="s">
        <v>151</v>
      </c>
      <c r="B1215" s="14">
        <v>43522</v>
      </c>
      <c r="C1215" s="13">
        <v>409</v>
      </c>
      <c r="D1215" s="32" t="s">
        <v>1169</v>
      </c>
      <c r="E1215" s="32" t="s">
        <v>1427</v>
      </c>
      <c r="F1215" s="4">
        <v>60000</v>
      </c>
      <c r="G1215" s="210" t="s">
        <v>458</v>
      </c>
      <c r="H1215" s="211">
        <v>43518</v>
      </c>
      <c r="I1215" s="208" t="s">
        <v>4625</v>
      </c>
      <c r="J1215" s="21"/>
      <c r="K1215" s="228"/>
    </row>
    <row r="1216" spans="1:19" hidden="1" x14ac:dyDescent="0.25">
      <c r="A1216" s="68" t="s">
        <v>151</v>
      </c>
      <c r="B1216" s="14">
        <v>43522</v>
      </c>
      <c r="C1216" s="13">
        <v>408</v>
      </c>
      <c r="D1216" s="32" t="s">
        <v>1169</v>
      </c>
      <c r="E1216" s="32" t="s">
        <v>130</v>
      </c>
      <c r="F1216" s="4">
        <v>70000</v>
      </c>
      <c r="G1216" s="210" t="s">
        <v>724</v>
      </c>
      <c r="H1216" s="211">
        <v>43518</v>
      </c>
      <c r="I1216" s="208" t="s">
        <v>4625</v>
      </c>
      <c r="J1216" s="21"/>
      <c r="K1216" s="228"/>
    </row>
    <row r="1217" spans="1:12" hidden="1" x14ac:dyDescent="0.25">
      <c r="A1217" s="68" t="s">
        <v>151</v>
      </c>
      <c r="B1217" s="14">
        <v>43522</v>
      </c>
      <c r="C1217" s="13">
        <v>217</v>
      </c>
      <c r="D1217" s="32" t="s">
        <v>1169</v>
      </c>
      <c r="E1217" s="32" t="s">
        <v>1121</v>
      </c>
      <c r="F1217" s="4">
        <v>60000</v>
      </c>
      <c r="G1217" s="210" t="s">
        <v>2819</v>
      </c>
      <c r="H1217" s="211">
        <v>43518</v>
      </c>
      <c r="I1217" s="208" t="s">
        <v>4625</v>
      </c>
      <c r="J1217" s="21"/>
      <c r="K1217" s="228"/>
    </row>
    <row r="1218" spans="1:12" hidden="1" x14ac:dyDescent="0.25">
      <c r="A1218" s="68" t="s">
        <v>151</v>
      </c>
      <c r="B1218" s="14">
        <v>43522</v>
      </c>
      <c r="C1218" s="13">
        <v>408</v>
      </c>
      <c r="D1218" s="32" t="s">
        <v>1169</v>
      </c>
      <c r="E1218" s="32" t="s">
        <v>38</v>
      </c>
      <c r="F1218" s="4">
        <v>160000</v>
      </c>
      <c r="G1218" s="210" t="s">
        <v>86</v>
      </c>
      <c r="H1218" s="211">
        <v>43518</v>
      </c>
      <c r="I1218" s="208" t="s">
        <v>4625</v>
      </c>
      <c r="J1218" s="21"/>
      <c r="K1218" s="228"/>
    </row>
    <row r="1219" spans="1:12" hidden="1" x14ac:dyDescent="0.25">
      <c r="A1219" s="68" t="s">
        <v>151</v>
      </c>
      <c r="B1219" s="14">
        <v>43522</v>
      </c>
      <c r="C1219" s="13">
        <v>278</v>
      </c>
      <c r="D1219" s="32" t="s">
        <v>1169</v>
      </c>
      <c r="E1219" s="32" t="s">
        <v>494</v>
      </c>
      <c r="F1219" s="4">
        <v>70000</v>
      </c>
      <c r="G1219" s="210" t="s">
        <v>308</v>
      </c>
      <c r="H1219" s="211">
        <v>43518</v>
      </c>
      <c r="I1219" s="208" t="s">
        <v>4625</v>
      </c>
      <c r="J1219" s="21"/>
      <c r="K1219" s="228"/>
    </row>
    <row r="1220" spans="1:12" ht="13.95" hidden="1" customHeight="1" x14ac:dyDescent="0.25">
      <c r="A1220" s="68" t="s">
        <v>310</v>
      </c>
      <c r="B1220" s="14">
        <v>43522</v>
      </c>
      <c r="C1220" s="13">
        <v>158</v>
      </c>
      <c r="D1220" s="32" t="s">
        <v>269</v>
      </c>
      <c r="E1220" s="32" t="s">
        <v>958</v>
      </c>
      <c r="F1220" s="4">
        <v>2000000</v>
      </c>
      <c r="G1220" s="86" t="s">
        <v>4440</v>
      </c>
      <c r="H1220" s="211"/>
      <c r="I1220" s="41" t="s">
        <v>202</v>
      </c>
      <c r="J1220" s="21"/>
      <c r="K1220" s="228"/>
    </row>
    <row r="1221" spans="1:12" ht="27.6" hidden="1" x14ac:dyDescent="0.25">
      <c r="A1221" s="61" t="s">
        <v>460</v>
      </c>
      <c r="B1221" s="14">
        <v>43523</v>
      </c>
      <c r="C1221" s="13">
        <v>276</v>
      </c>
      <c r="D1221" s="14" t="s">
        <v>2640</v>
      </c>
      <c r="E1221" s="32" t="s">
        <v>2058</v>
      </c>
      <c r="F1221" s="4">
        <v>99169</v>
      </c>
      <c r="G1221" s="86" t="s">
        <v>2641</v>
      </c>
      <c r="H1221" s="211"/>
      <c r="I1221" s="326"/>
      <c r="K1221" s="62"/>
    </row>
    <row r="1222" spans="1:12" ht="27.6" hidden="1" x14ac:dyDescent="0.25">
      <c r="A1222" s="61" t="s">
        <v>460</v>
      </c>
      <c r="B1222" s="14">
        <v>43523</v>
      </c>
      <c r="C1222" s="13">
        <v>277</v>
      </c>
      <c r="D1222" s="14" t="s">
        <v>2642</v>
      </c>
      <c r="E1222" s="32" t="s">
        <v>2058</v>
      </c>
      <c r="F1222" s="4">
        <v>95415</v>
      </c>
      <c r="G1222" s="69" t="s">
        <v>2643</v>
      </c>
      <c r="H1222" s="14"/>
      <c r="I1222" s="326"/>
      <c r="K1222" s="62"/>
    </row>
    <row r="1223" spans="1:12" ht="27.6" hidden="1" x14ac:dyDescent="0.25">
      <c r="A1223" s="61" t="s">
        <v>460</v>
      </c>
      <c r="B1223" s="14">
        <v>43523</v>
      </c>
      <c r="C1223" s="13">
        <v>271</v>
      </c>
      <c r="D1223" s="14" t="s">
        <v>2788</v>
      </c>
      <c r="E1223" s="32" t="s">
        <v>2058</v>
      </c>
      <c r="F1223" s="4">
        <v>82861</v>
      </c>
      <c r="G1223" s="86" t="s">
        <v>2789</v>
      </c>
      <c r="H1223" s="211"/>
      <c r="I1223" s="326"/>
      <c r="K1223" s="62"/>
    </row>
    <row r="1224" spans="1:12" ht="27.6" hidden="1" x14ac:dyDescent="0.25">
      <c r="A1224" s="61" t="s">
        <v>460</v>
      </c>
      <c r="B1224" s="14">
        <v>43523</v>
      </c>
      <c r="C1224" s="13">
        <v>275</v>
      </c>
      <c r="D1224" s="14" t="s">
        <v>3053</v>
      </c>
      <c r="E1224" s="32" t="s">
        <v>2058</v>
      </c>
      <c r="F1224" s="4">
        <v>114400</v>
      </c>
      <c r="G1224" s="86" t="s">
        <v>3054</v>
      </c>
      <c r="H1224" s="211"/>
      <c r="I1224" s="326"/>
      <c r="K1224" s="62"/>
    </row>
    <row r="1225" spans="1:12" ht="13.95" hidden="1" customHeight="1" x14ac:dyDescent="0.25">
      <c r="A1225" s="61" t="s">
        <v>956</v>
      </c>
      <c r="B1225" s="14">
        <v>43523</v>
      </c>
      <c r="C1225" s="13">
        <v>109</v>
      </c>
      <c r="D1225" s="13" t="s">
        <v>679</v>
      </c>
      <c r="E1225" s="32" t="s">
        <v>481</v>
      </c>
      <c r="F1225" s="4">
        <v>154467.12</v>
      </c>
      <c r="G1225" s="86" t="s">
        <v>1663</v>
      </c>
      <c r="H1225" s="211"/>
      <c r="I1225" s="4" t="s">
        <v>24</v>
      </c>
      <c r="J1225" s="21"/>
      <c r="K1225" s="228"/>
    </row>
    <row r="1226" spans="1:12" s="97" customFormat="1" hidden="1" x14ac:dyDescent="0.25">
      <c r="A1226" s="61" t="s">
        <v>956</v>
      </c>
      <c r="B1226" s="14">
        <v>43523</v>
      </c>
      <c r="C1226" s="13">
        <v>110</v>
      </c>
      <c r="D1226" s="13" t="s">
        <v>740</v>
      </c>
      <c r="E1226" s="13" t="s">
        <v>481</v>
      </c>
      <c r="F1226" s="37">
        <v>23400</v>
      </c>
      <c r="G1226" s="210" t="s">
        <v>2130</v>
      </c>
      <c r="H1226" s="211">
        <v>43391</v>
      </c>
      <c r="I1226" s="4" t="s">
        <v>370</v>
      </c>
      <c r="J1226" s="133"/>
      <c r="K1226" s="22"/>
      <c r="L1226" s="134"/>
    </row>
    <row r="1227" spans="1:12" s="97" customFormat="1" hidden="1" x14ac:dyDescent="0.25">
      <c r="A1227" s="61" t="s">
        <v>956</v>
      </c>
      <c r="B1227" s="14">
        <v>43523</v>
      </c>
      <c r="C1227" s="13">
        <v>110</v>
      </c>
      <c r="D1227" s="13" t="s">
        <v>740</v>
      </c>
      <c r="E1227" s="13" t="s">
        <v>481</v>
      </c>
      <c r="F1227" s="37">
        <v>30600</v>
      </c>
      <c r="G1227" s="29" t="s">
        <v>2539</v>
      </c>
      <c r="H1227" s="14">
        <v>43405</v>
      </c>
      <c r="I1227" s="4" t="s">
        <v>2540</v>
      </c>
      <c r="J1227" s="133"/>
      <c r="K1227" s="22"/>
      <c r="L1227" s="134"/>
    </row>
    <row r="1228" spans="1:12" s="97" customFormat="1" hidden="1" x14ac:dyDescent="0.25">
      <c r="A1228" s="32" t="s">
        <v>956</v>
      </c>
      <c r="B1228" s="14">
        <v>43523</v>
      </c>
      <c r="C1228" s="13">
        <v>110</v>
      </c>
      <c r="D1228" s="13" t="s">
        <v>740</v>
      </c>
      <c r="E1228" s="13" t="s">
        <v>481</v>
      </c>
      <c r="F1228" s="37">
        <v>21100</v>
      </c>
      <c r="G1228" s="29" t="s">
        <v>2543</v>
      </c>
      <c r="H1228" s="14">
        <v>43413</v>
      </c>
      <c r="I1228" s="4" t="s">
        <v>2544</v>
      </c>
      <c r="J1228" s="133"/>
      <c r="K1228" s="22"/>
      <c r="L1228" s="134"/>
    </row>
    <row r="1229" spans="1:12" s="97" customFormat="1" hidden="1" x14ac:dyDescent="0.25">
      <c r="A1229" s="61" t="s">
        <v>956</v>
      </c>
      <c r="B1229" s="14">
        <v>43523</v>
      </c>
      <c r="C1229" s="13">
        <v>110</v>
      </c>
      <c r="D1229" s="13" t="s">
        <v>740</v>
      </c>
      <c r="E1229" s="13" t="s">
        <v>481</v>
      </c>
      <c r="F1229" s="37">
        <v>165400</v>
      </c>
      <c r="G1229" s="29" t="s">
        <v>2550</v>
      </c>
      <c r="H1229" s="14">
        <v>43432</v>
      </c>
      <c r="I1229" s="4" t="s">
        <v>2551</v>
      </c>
      <c r="J1229" s="133"/>
      <c r="K1229" s="22"/>
      <c r="L1229" s="134"/>
    </row>
    <row r="1230" spans="1:12" s="97" customFormat="1" hidden="1" x14ac:dyDescent="0.25">
      <c r="A1230" s="61" t="s">
        <v>956</v>
      </c>
      <c r="B1230" s="14">
        <v>43523</v>
      </c>
      <c r="C1230" s="13">
        <v>110</v>
      </c>
      <c r="D1230" s="13" t="s">
        <v>740</v>
      </c>
      <c r="E1230" s="13" t="s">
        <v>481</v>
      </c>
      <c r="F1230" s="37">
        <v>142500</v>
      </c>
      <c r="G1230" s="29" t="s">
        <v>2702</v>
      </c>
      <c r="H1230" s="14">
        <v>43432</v>
      </c>
      <c r="I1230" s="4" t="s">
        <v>2703</v>
      </c>
      <c r="J1230" s="133"/>
      <c r="K1230" s="22"/>
      <c r="L1230" s="134"/>
    </row>
    <row r="1231" spans="1:12" s="97" customFormat="1" hidden="1" x14ac:dyDescent="0.25">
      <c r="A1231" s="61" t="s">
        <v>956</v>
      </c>
      <c r="B1231" s="14">
        <v>43523</v>
      </c>
      <c r="C1231" s="13">
        <v>110</v>
      </c>
      <c r="D1231" s="13" t="s">
        <v>740</v>
      </c>
      <c r="E1231" s="13" t="s">
        <v>481</v>
      </c>
      <c r="F1231" s="37">
        <v>41292</v>
      </c>
      <c r="G1231" s="29" t="s">
        <v>2711</v>
      </c>
      <c r="H1231" s="14">
        <v>43446</v>
      </c>
      <c r="I1231" s="4" t="s">
        <v>2712</v>
      </c>
      <c r="J1231" s="133"/>
      <c r="K1231" s="22"/>
      <c r="L1231" s="134"/>
    </row>
    <row r="1232" spans="1:12" s="97" customFormat="1" hidden="1" x14ac:dyDescent="0.25">
      <c r="A1232" s="13" t="s">
        <v>956</v>
      </c>
      <c r="B1232" s="14">
        <v>43523</v>
      </c>
      <c r="C1232" s="13">
        <v>110</v>
      </c>
      <c r="D1232" s="13" t="s">
        <v>740</v>
      </c>
      <c r="E1232" s="13" t="s">
        <v>481</v>
      </c>
      <c r="F1232" s="37">
        <v>21700</v>
      </c>
      <c r="G1232" s="29" t="s">
        <v>2713</v>
      </c>
      <c r="H1232" s="14">
        <v>43446</v>
      </c>
      <c r="I1232" s="4" t="s">
        <v>1064</v>
      </c>
      <c r="J1232" s="133"/>
      <c r="K1232" s="22"/>
      <c r="L1232" s="134"/>
    </row>
    <row r="1233" spans="1:12" s="97" customFormat="1" hidden="1" x14ac:dyDescent="0.25">
      <c r="A1233" s="61" t="s">
        <v>956</v>
      </c>
      <c r="B1233" s="14">
        <v>43523</v>
      </c>
      <c r="C1233" s="13">
        <v>111</v>
      </c>
      <c r="D1233" s="13" t="s">
        <v>72</v>
      </c>
      <c r="E1233" s="13" t="s">
        <v>481</v>
      </c>
      <c r="F1233" s="37">
        <v>12750.82</v>
      </c>
      <c r="G1233" s="29" t="s">
        <v>1866</v>
      </c>
      <c r="H1233" s="14">
        <v>43481</v>
      </c>
      <c r="I1233" s="4" t="s">
        <v>3227</v>
      </c>
      <c r="J1233" s="133"/>
      <c r="K1233" s="22"/>
      <c r="L1233" s="134"/>
    </row>
    <row r="1234" spans="1:12" s="97" customFormat="1" hidden="1" x14ac:dyDescent="0.25">
      <c r="A1234" s="61" t="s">
        <v>956</v>
      </c>
      <c r="B1234" s="14">
        <v>43523</v>
      </c>
      <c r="C1234" s="13">
        <v>111</v>
      </c>
      <c r="D1234" s="13" t="s">
        <v>72</v>
      </c>
      <c r="E1234" s="13" t="s">
        <v>481</v>
      </c>
      <c r="F1234" s="37">
        <v>10549.86</v>
      </c>
      <c r="G1234" s="29" t="s">
        <v>975</v>
      </c>
      <c r="H1234" s="14">
        <v>43486</v>
      </c>
      <c r="I1234" s="4" t="s">
        <v>3435</v>
      </c>
      <c r="J1234" s="133"/>
      <c r="K1234" s="22"/>
      <c r="L1234" s="134"/>
    </row>
    <row r="1235" spans="1:12" s="97" customFormat="1" hidden="1" x14ac:dyDescent="0.25">
      <c r="A1235" s="61" t="s">
        <v>956</v>
      </c>
      <c r="B1235" s="14">
        <v>43523</v>
      </c>
      <c r="C1235" s="13">
        <v>111</v>
      </c>
      <c r="D1235" s="13" t="s">
        <v>72</v>
      </c>
      <c r="E1235" s="13" t="s">
        <v>481</v>
      </c>
      <c r="F1235" s="37">
        <v>15796.48</v>
      </c>
      <c r="G1235" s="29" t="s">
        <v>1944</v>
      </c>
      <c r="H1235" s="14">
        <v>43490</v>
      </c>
      <c r="I1235" s="4" t="s">
        <v>3612</v>
      </c>
      <c r="J1235" s="133"/>
      <c r="K1235" s="22"/>
      <c r="L1235" s="134"/>
    </row>
    <row r="1236" spans="1:12" hidden="1" x14ac:dyDescent="0.25">
      <c r="A1236" s="61" t="s">
        <v>956</v>
      </c>
      <c r="B1236" s="14">
        <v>43523</v>
      </c>
      <c r="C1236" s="13">
        <v>112</v>
      </c>
      <c r="D1236" s="13" t="s">
        <v>692</v>
      </c>
      <c r="E1236" s="13" t="s">
        <v>481</v>
      </c>
      <c r="F1236" s="37">
        <v>11000</v>
      </c>
      <c r="G1236" s="29" t="s">
        <v>1559</v>
      </c>
      <c r="H1236" s="14">
        <v>43436</v>
      </c>
      <c r="I1236" s="4" t="s">
        <v>419</v>
      </c>
    </row>
    <row r="1237" spans="1:12" hidden="1" x14ac:dyDescent="0.25">
      <c r="A1237" s="32" t="s">
        <v>956</v>
      </c>
      <c r="B1237" s="14">
        <v>43523</v>
      </c>
      <c r="C1237" s="13">
        <v>112</v>
      </c>
      <c r="D1237" s="13" t="s">
        <v>692</v>
      </c>
      <c r="E1237" s="13" t="s">
        <v>481</v>
      </c>
      <c r="F1237" s="4">
        <v>13750</v>
      </c>
      <c r="G1237" s="28" t="s">
        <v>1824</v>
      </c>
      <c r="H1237" s="14">
        <v>43449</v>
      </c>
      <c r="I1237" s="4" t="s">
        <v>419</v>
      </c>
    </row>
    <row r="1238" spans="1:12" hidden="1" x14ac:dyDescent="0.25">
      <c r="A1238" s="32" t="s">
        <v>956</v>
      </c>
      <c r="B1238" s="14">
        <v>43523</v>
      </c>
      <c r="C1238" s="13">
        <v>112</v>
      </c>
      <c r="D1238" s="13" t="s">
        <v>692</v>
      </c>
      <c r="E1238" s="13" t="s">
        <v>481</v>
      </c>
      <c r="F1238" s="4">
        <v>71500</v>
      </c>
      <c r="G1238" s="28" t="s">
        <v>1233</v>
      </c>
      <c r="H1238" s="14">
        <v>43459</v>
      </c>
      <c r="I1238" s="4" t="s">
        <v>419</v>
      </c>
    </row>
    <row r="1239" spans="1:12" s="192" customFormat="1" hidden="1" x14ac:dyDescent="0.25">
      <c r="A1239" s="147" t="s">
        <v>242</v>
      </c>
      <c r="B1239" s="164">
        <v>43523</v>
      </c>
      <c r="C1239" s="195">
        <v>157</v>
      </c>
      <c r="D1239" s="149" t="s">
        <v>490</v>
      </c>
      <c r="E1239" s="147" t="s">
        <v>144</v>
      </c>
      <c r="F1239" s="158">
        <v>1166335.45</v>
      </c>
      <c r="G1239" s="150" t="s">
        <v>3992</v>
      </c>
      <c r="H1239" s="148">
        <v>43487</v>
      </c>
      <c r="I1239" s="149" t="s">
        <v>143</v>
      </c>
      <c r="J1239" s="193"/>
      <c r="K1239" s="194"/>
      <c r="L1239" s="190"/>
    </row>
    <row r="1240" spans="1:12" s="192" customFormat="1" hidden="1" x14ac:dyDescent="0.25">
      <c r="A1240" s="147" t="s">
        <v>242</v>
      </c>
      <c r="B1240" s="164">
        <v>43523</v>
      </c>
      <c r="C1240" s="195">
        <v>157</v>
      </c>
      <c r="D1240" s="149" t="s">
        <v>490</v>
      </c>
      <c r="E1240" s="147" t="s">
        <v>144</v>
      </c>
      <c r="F1240" s="158">
        <v>182251.1</v>
      </c>
      <c r="G1240" s="150" t="s">
        <v>3997</v>
      </c>
      <c r="H1240" s="148">
        <v>43502</v>
      </c>
      <c r="I1240" s="149" t="s">
        <v>143</v>
      </c>
      <c r="J1240" s="193"/>
      <c r="K1240" s="194"/>
      <c r="L1240" s="190"/>
    </row>
    <row r="1241" spans="1:12" s="192" customFormat="1" ht="14.25" hidden="1" customHeight="1" x14ac:dyDescent="0.25">
      <c r="A1241" s="147" t="s">
        <v>242</v>
      </c>
      <c r="B1241" s="164">
        <v>43523</v>
      </c>
      <c r="C1241" s="195">
        <v>160</v>
      </c>
      <c r="D1241" s="149" t="s">
        <v>784</v>
      </c>
      <c r="E1241" s="147" t="s">
        <v>144</v>
      </c>
      <c r="F1241" s="158">
        <f>1902285.1</f>
        <v>1902285.1</v>
      </c>
      <c r="G1241" s="150" t="s">
        <v>3142</v>
      </c>
      <c r="H1241" s="148">
        <v>43507</v>
      </c>
      <c r="I1241" s="149" t="s">
        <v>143</v>
      </c>
    </row>
    <row r="1242" spans="1:12" s="192" customFormat="1" hidden="1" x14ac:dyDescent="0.25">
      <c r="A1242" s="147" t="s">
        <v>242</v>
      </c>
      <c r="B1242" s="164">
        <v>43523</v>
      </c>
      <c r="C1242" s="195">
        <v>158</v>
      </c>
      <c r="D1242" s="149" t="s">
        <v>388</v>
      </c>
      <c r="E1242" s="147" t="s">
        <v>144</v>
      </c>
      <c r="F1242" s="158">
        <v>126847.5</v>
      </c>
      <c r="G1242" s="150" t="s">
        <v>728</v>
      </c>
      <c r="H1242" s="148">
        <v>43507</v>
      </c>
      <c r="I1242" s="149" t="s">
        <v>143</v>
      </c>
      <c r="J1242" s="193"/>
      <c r="K1242" s="194"/>
      <c r="L1242" s="190"/>
    </row>
    <row r="1243" spans="1:12" s="192" customFormat="1" hidden="1" x14ac:dyDescent="0.25">
      <c r="A1243" s="147" t="s">
        <v>242</v>
      </c>
      <c r="B1243" s="164">
        <v>43523</v>
      </c>
      <c r="C1243" s="195">
        <v>159</v>
      </c>
      <c r="D1243" s="149" t="s">
        <v>388</v>
      </c>
      <c r="E1243" s="147" t="s">
        <v>144</v>
      </c>
      <c r="F1243" s="158">
        <v>188344.55</v>
      </c>
      <c r="G1243" s="150" t="s">
        <v>3390</v>
      </c>
      <c r="H1243" s="148">
        <v>43507</v>
      </c>
      <c r="I1243" s="149" t="s">
        <v>143</v>
      </c>
      <c r="J1243" s="193"/>
      <c r="K1243" s="194"/>
      <c r="L1243" s="190"/>
    </row>
    <row r="1244" spans="1:12" ht="55.2" hidden="1" x14ac:dyDescent="0.25">
      <c r="A1244" s="13" t="s">
        <v>1422</v>
      </c>
      <c r="B1244" s="14">
        <v>43523</v>
      </c>
      <c r="C1244" s="13">
        <v>160</v>
      </c>
      <c r="D1244" s="13" t="s">
        <v>3005</v>
      </c>
      <c r="E1244" s="13" t="s">
        <v>3345</v>
      </c>
      <c r="F1244" s="4">
        <v>607457.06999999995</v>
      </c>
      <c r="G1244" s="29" t="s">
        <v>3349</v>
      </c>
      <c r="H1244" s="14">
        <v>43377</v>
      </c>
      <c r="I1244" s="4" t="s">
        <v>3347</v>
      </c>
      <c r="J1244" s="169"/>
    </row>
    <row r="1245" spans="1:12" hidden="1" x14ac:dyDescent="0.25">
      <c r="A1245" s="32" t="s">
        <v>212</v>
      </c>
      <c r="B1245" s="14">
        <v>43523</v>
      </c>
      <c r="C1245" s="13">
        <v>159</v>
      </c>
      <c r="D1245" s="32" t="s">
        <v>212</v>
      </c>
      <c r="E1245" s="32" t="s">
        <v>440</v>
      </c>
      <c r="F1245" s="4">
        <v>5000000</v>
      </c>
      <c r="G1245" s="28" t="s">
        <v>4613</v>
      </c>
      <c r="H1245" s="14">
        <v>42457</v>
      </c>
      <c r="I1245" s="41" t="s">
        <v>277</v>
      </c>
      <c r="K1245" s="63"/>
      <c r="L1245" s="62"/>
    </row>
    <row r="1246" spans="1:12" s="129" customFormat="1" hidden="1" x14ac:dyDescent="0.25">
      <c r="A1246" s="13" t="s">
        <v>2320</v>
      </c>
      <c r="B1246" s="14">
        <v>43523</v>
      </c>
      <c r="C1246" s="13">
        <v>188</v>
      </c>
      <c r="D1246" s="13" t="s">
        <v>210</v>
      </c>
      <c r="E1246" s="13" t="s">
        <v>136</v>
      </c>
      <c r="F1246" s="37">
        <v>101713.79</v>
      </c>
      <c r="G1246" s="29" t="s">
        <v>4608</v>
      </c>
      <c r="H1246" s="14">
        <v>43503</v>
      </c>
      <c r="I1246" s="4" t="s">
        <v>1728</v>
      </c>
      <c r="J1246" s="35" t="s">
        <v>239</v>
      </c>
      <c r="K1246" s="136"/>
    </row>
    <row r="1247" spans="1:12" hidden="1" x14ac:dyDescent="0.25">
      <c r="A1247" s="13" t="s">
        <v>310</v>
      </c>
      <c r="B1247" s="14">
        <v>43523</v>
      </c>
      <c r="C1247" s="13">
        <v>69</v>
      </c>
      <c r="D1247" s="13" t="s">
        <v>210</v>
      </c>
      <c r="E1247" s="13" t="s">
        <v>314</v>
      </c>
      <c r="F1247" s="37">
        <v>1156.5899999999999</v>
      </c>
      <c r="G1247" s="29" t="s">
        <v>4513</v>
      </c>
      <c r="H1247" s="14">
        <v>43502</v>
      </c>
      <c r="I1247" s="4" t="s">
        <v>426</v>
      </c>
      <c r="J1247" s="22" t="s">
        <v>239</v>
      </c>
    </row>
    <row r="1248" spans="1:12" s="129" customFormat="1" hidden="1" x14ac:dyDescent="0.25">
      <c r="A1248" s="13" t="s">
        <v>310</v>
      </c>
      <c r="B1248" s="14">
        <v>43523</v>
      </c>
      <c r="C1248" s="13">
        <v>70</v>
      </c>
      <c r="D1248" s="13" t="s">
        <v>210</v>
      </c>
      <c r="E1248" s="13" t="s">
        <v>314</v>
      </c>
      <c r="F1248" s="37">
        <v>12417.73</v>
      </c>
      <c r="G1248" s="29" t="s">
        <v>4514</v>
      </c>
      <c r="H1248" s="14">
        <v>43502</v>
      </c>
      <c r="I1248" s="4" t="s">
        <v>546</v>
      </c>
      <c r="J1248" s="22" t="s">
        <v>239</v>
      </c>
      <c r="K1248" s="136"/>
    </row>
    <row r="1249" spans="1:19" ht="27.6" hidden="1" x14ac:dyDescent="0.25">
      <c r="A1249" s="68" t="s">
        <v>4493</v>
      </c>
      <c r="B1249" s="14">
        <v>43523</v>
      </c>
      <c r="C1249" s="13">
        <v>413</v>
      </c>
      <c r="D1249" s="32" t="s">
        <v>4494</v>
      </c>
      <c r="E1249" s="32" t="s">
        <v>1427</v>
      </c>
      <c r="F1249" s="4">
        <v>200000</v>
      </c>
      <c r="G1249" s="210" t="s">
        <v>2819</v>
      </c>
      <c r="H1249" s="211">
        <v>43524</v>
      </c>
      <c r="I1249" s="208" t="s">
        <v>4495</v>
      </c>
      <c r="J1249" s="21"/>
      <c r="K1249" s="228"/>
    </row>
    <row r="1250" spans="1:19" s="129" customFormat="1" ht="27.6" hidden="1" x14ac:dyDescent="0.25">
      <c r="A1250" s="13" t="s">
        <v>55</v>
      </c>
      <c r="B1250" s="14">
        <v>43523</v>
      </c>
      <c r="C1250" s="13">
        <v>414</v>
      </c>
      <c r="D1250" s="13" t="s">
        <v>1392</v>
      </c>
      <c r="E1250" s="32" t="s">
        <v>1427</v>
      </c>
      <c r="F1250" s="37">
        <v>127692.56</v>
      </c>
      <c r="G1250" s="29" t="s">
        <v>12</v>
      </c>
      <c r="H1250" s="14">
        <v>43496</v>
      </c>
      <c r="I1250" s="4" t="s">
        <v>546</v>
      </c>
      <c r="J1250" s="35" t="s">
        <v>239</v>
      </c>
      <c r="K1250" s="136"/>
    </row>
    <row r="1251" spans="1:19" ht="27.6" hidden="1" x14ac:dyDescent="0.25">
      <c r="A1251" s="32" t="s">
        <v>129</v>
      </c>
      <c r="B1251" s="14">
        <v>43523</v>
      </c>
      <c r="C1251" s="67">
        <v>415</v>
      </c>
      <c r="D1251" s="32" t="s">
        <v>373</v>
      </c>
      <c r="E1251" s="32" t="s">
        <v>1427</v>
      </c>
      <c r="F1251" s="4">
        <v>1561418.79</v>
      </c>
      <c r="G1251" s="28" t="s">
        <v>1405</v>
      </c>
      <c r="H1251" s="14">
        <v>43152</v>
      </c>
      <c r="I1251" s="4" t="s">
        <v>362</v>
      </c>
      <c r="J1251" s="166" t="s">
        <v>239</v>
      </c>
      <c r="K1251" s="167"/>
      <c r="L1251" s="35"/>
    </row>
    <row r="1252" spans="1:19" ht="15" hidden="1" customHeight="1" x14ac:dyDescent="0.25">
      <c r="A1252" s="68" t="s">
        <v>174</v>
      </c>
      <c r="B1252" s="14">
        <v>43523</v>
      </c>
      <c r="C1252" s="67">
        <v>39</v>
      </c>
      <c r="D1252" s="32" t="s">
        <v>156</v>
      </c>
      <c r="E1252" s="32" t="s">
        <v>178</v>
      </c>
      <c r="F1252" s="4">
        <v>222612.8</v>
      </c>
      <c r="G1252" s="28" t="s">
        <v>4519</v>
      </c>
      <c r="H1252" s="14">
        <v>43501</v>
      </c>
      <c r="I1252" s="4" t="s">
        <v>752</v>
      </c>
      <c r="J1252" s="166" t="s">
        <v>239</v>
      </c>
      <c r="K1252" s="167"/>
      <c r="L1252" s="35"/>
    </row>
    <row r="1253" spans="1:19" s="97" customFormat="1" hidden="1" x14ac:dyDescent="0.25">
      <c r="A1253" s="13" t="s">
        <v>637</v>
      </c>
      <c r="B1253" s="14">
        <v>43523</v>
      </c>
      <c r="C1253" s="28" t="s">
        <v>74</v>
      </c>
      <c r="D1253" s="13" t="s">
        <v>1135</v>
      </c>
      <c r="E1253" s="13" t="s">
        <v>547</v>
      </c>
      <c r="F1253" s="37">
        <v>41882.400000000001</v>
      </c>
      <c r="G1253" s="29" t="s">
        <v>4526</v>
      </c>
      <c r="H1253" s="14">
        <v>43514</v>
      </c>
      <c r="I1253" s="4" t="s">
        <v>4527</v>
      </c>
      <c r="J1253" s="133"/>
      <c r="K1253" s="22"/>
      <c r="L1253" s="134"/>
    </row>
    <row r="1254" spans="1:19" ht="13.95" hidden="1" customHeight="1" x14ac:dyDescent="0.25">
      <c r="A1254" s="68" t="s">
        <v>638</v>
      </c>
      <c r="B1254" s="14">
        <v>43523</v>
      </c>
      <c r="C1254" s="67">
        <v>199</v>
      </c>
      <c r="D1254" s="32" t="s">
        <v>595</v>
      </c>
      <c r="E1254" s="32" t="s">
        <v>547</v>
      </c>
      <c r="F1254" s="4">
        <v>947272.02</v>
      </c>
      <c r="G1254" s="28" t="s">
        <v>4011</v>
      </c>
      <c r="H1254" s="14">
        <v>43465</v>
      </c>
      <c r="I1254" s="41" t="s">
        <v>949</v>
      </c>
      <c r="J1254" s="166" t="s">
        <v>327</v>
      </c>
      <c r="K1254" s="167"/>
      <c r="L1254" s="35"/>
    </row>
    <row r="1255" spans="1:19" ht="13.95" hidden="1" customHeight="1" x14ac:dyDescent="0.25">
      <c r="A1255" s="13" t="s">
        <v>495</v>
      </c>
      <c r="B1255" s="151">
        <v>43523</v>
      </c>
      <c r="C1255" s="13">
        <v>418</v>
      </c>
      <c r="D1255" s="32" t="s">
        <v>390</v>
      </c>
      <c r="E1255" s="32" t="s">
        <v>130</v>
      </c>
      <c r="F1255" s="4">
        <v>190180</v>
      </c>
      <c r="G1255" s="210" t="s">
        <v>2062</v>
      </c>
      <c r="H1255" s="211">
        <v>43402</v>
      </c>
      <c r="I1255" s="84" t="s">
        <v>2063</v>
      </c>
      <c r="J1255" s="21"/>
      <c r="K1255" s="389"/>
      <c r="L1255" s="388"/>
    </row>
    <row r="1256" spans="1:19" s="62" customFormat="1" ht="13.95" hidden="1" customHeight="1" x14ac:dyDescent="0.25">
      <c r="A1256" s="61" t="s">
        <v>1471</v>
      </c>
      <c r="B1256" s="151">
        <v>43523</v>
      </c>
      <c r="C1256" s="13">
        <v>417</v>
      </c>
      <c r="D1256" s="13" t="s">
        <v>133</v>
      </c>
      <c r="E1256" s="13" t="s">
        <v>130</v>
      </c>
      <c r="F1256" s="37">
        <f>702690-200000</f>
        <v>502690</v>
      </c>
      <c r="G1256" s="29" t="s">
        <v>1628</v>
      </c>
      <c r="H1256" s="14">
        <v>43234</v>
      </c>
      <c r="I1256" s="4" t="s">
        <v>1134</v>
      </c>
      <c r="J1256" s="71" t="s">
        <v>1629</v>
      </c>
      <c r="O1256" s="35"/>
      <c r="P1256" s="35"/>
      <c r="Q1256" s="35"/>
      <c r="R1256" s="35"/>
      <c r="S1256" s="35"/>
    </row>
    <row r="1257" spans="1:19" ht="13.95" hidden="1" customHeight="1" x14ac:dyDescent="0.25">
      <c r="A1257" s="13" t="s">
        <v>151</v>
      </c>
      <c r="B1257" s="151">
        <v>43523</v>
      </c>
      <c r="C1257" s="13">
        <v>416</v>
      </c>
      <c r="D1257" s="32" t="s">
        <v>4503</v>
      </c>
      <c r="E1257" s="32" t="s">
        <v>130</v>
      </c>
      <c r="F1257" s="4">
        <v>4000</v>
      </c>
      <c r="G1257" s="29" t="s">
        <v>724</v>
      </c>
      <c r="H1257" s="14">
        <v>43518</v>
      </c>
      <c r="I1257" s="41" t="s">
        <v>4504</v>
      </c>
      <c r="J1257" s="21"/>
      <c r="K1257" s="228"/>
    </row>
    <row r="1258" spans="1:19" ht="13.95" hidden="1" customHeight="1" x14ac:dyDescent="0.25">
      <c r="A1258" s="32" t="s">
        <v>35</v>
      </c>
      <c r="B1258" s="14">
        <v>43523</v>
      </c>
      <c r="C1258" s="13">
        <v>287</v>
      </c>
      <c r="D1258" s="32" t="s">
        <v>39</v>
      </c>
      <c r="E1258" s="32" t="s">
        <v>963</v>
      </c>
      <c r="F1258" s="4">
        <v>5000000</v>
      </c>
      <c r="G1258" s="86" t="s">
        <v>1019</v>
      </c>
      <c r="H1258" s="211"/>
      <c r="I1258" s="41" t="s">
        <v>97</v>
      </c>
      <c r="J1258" s="21"/>
      <c r="K1258" s="228"/>
    </row>
    <row r="1259" spans="1:19" s="115" customFormat="1" ht="15.6" hidden="1" x14ac:dyDescent="0.25">
      <c r="A1259" s="61" t="s">
        <v>166</v>
      </c>
      <c r="B1259" s="14">
        <v>43523</v>
      </c>
      <c r="C1259" s="13">
        <v>17</v>
      </c>
      <c r="D1259" s="13" t="s">
        <v>3530</v>
      </c>
      <c r="E1259" s="13" t="s">
        <v>76</v>
      </c>
      <c r="F1259" s="4">
        <v>500000</v>
      </c>
      <c r="G1259" s="29" t="s">
        <v>3965</v>
      </c>
      <c r="H1259" s="14">
        <v>41177</v>
      </c>
      <c r="I1259" s="41" t="s">
        <v>818</v>
      </c>
      <c r="J1259" s="258"/>
      <c r="K1259" s="116"/>
      <c r="L1259" s="116"/>
      <c r="M1259" s="116"/>
      <c r="N1259" s="116"/>
      <c r="O1259" s="117"/>
      <c r="P1259" s="117"/>
      <c r="Q1259" s="117"/>
      <c r="R1259" s="117"/>
      <c r="S1259" s="117"/>
    </row>
    <row r="1260" spans="1:19" ht="13.95" hidden="1" customHeight="1" x14ac:dyDescent="0.25">
      <c r="A1260" s="68" t="s">
        <v>151</v>
      </c>
      <c r="B1260" s="14">
        <v>43523</v>
      </c>
      <c r="C1260" s="13">
        <v>1</v>
      </c>
      <c r="D1260" s="32" t="s">
        <v>1263</v>
      </c>
      <c r="E1260" s="32" t="s">
        <v>4657</v>
      </c>
      <c r="F1260" s="4">
        <v>1715</v>
      </c>
      <c r="G1260" s="210" t="s">
        <v>4658</v>
      </c>
      <c r="H1260" s="211">
        <v>43508</v>
      </c>
      <c r="I1260" s="208" t="s">
        <v>1722</v>
      </c>
      <c r="J1260" s="21"/>
      <c r="K1260" s="228"/>
    </row>
    <row r="1261" spans="1:19" ht="14.1" hidden="1" customHeight="1" x14ac:dyDescent="0.25">
      <c r="A1261" s="32" t="s">
        <v>310</v>
      </c>
      <c r="B1261" s="14">
        <v>43523</v>
      </c>
      <c r="C1261" s="13">
        <v>175</v>
      </c>
      <c r="D1261" s="32" t="s">
        <v>541</v>
      </c>
      <c r="E1261" s="13" t="s">
        <v>958</v>
      </c>
      <c r="F1261" s="4">
        <v>5120000</v>
      </c>
      <c r="G1261" s="86" t="s">
        <v>4475</v>
      </c>
      <c r="H1261" s="211"/>
      <c r="I1261" s="208" t="s">
        <v>297</v>
      </c>
      <c r="J1261" s="21"/>
      <c r="K1261" s="228"/>
    </row>
    <row r="1262" spans="1:19" ht="27.6" hidden="1" x14ac:dyDescent="0.25">
      <c r="A1262" s="61" t="s">
        <v>460</v>
      </c>
      <c r="B1262" s="14">
        <v>43524</v>
      </c>
      <c r="C1262" s="13" t="s">
        <v>4731</v>
      </c>
      <c r="D1262" s="14" t="s">
        <v>4732</v>
      </c>
      <c r="E1262" s="32" t="s">
        <v>2058</v>
      </c>
      <c r="F1262" s="4">
        <v>125350</v>
      </c>
      <c r="G1262" s="86" t="s">
        <v>2857</v>
      </c>
      <c r="H1262" s="211"/>
      <c r="I1262" s="326"/>
      <c r="K1262" s="62"/>
    </row>
    <row r="1263" spans="1:19" s="2" customFormat="1" ht="15" hidden="1" customHeight="1" x14ac:dyDescent="0.25">
      <c r="A1263" s="13" t="s">
        <v>6</v>
      </c>
      <c r="B1263" s="14">
        <v>43524</v>
      </c>
      <c r="C1263" s="13">
        <v>91</v>
      </c>
      <c r="D1263" s="13" t="s">
        <v>4386</v>
      </c>
      <c r="E1263" s="13" t="s">
        <v>183</v>
      </c>
      <c r="F1263" s="4">
        <v>260000</v>
      </c>
      <c r="G1263" s="29" t="s">
        <v>4</v>
      </c>
      <c r="H1263" s="14">
        <v>43514</v>
      </c>
      <c r="I1263" s="4" t="s">
        <v>4387</v>
      </c>
      <c r="J1263" s="341"/>
      <c r="K1263" s="31"/>
      <c r="L1263" s="31"/>
      <c r="M1263" s="31"/>
      <c r="N1263" s="31"/>
      <c r="O1263" s="34"/>
      <c r="P1263" s="34"/>
      <c r="Q1263" s="34"/>
      <c r="R1263" s="34"/>
      <c r="S1263" s="34"/>
    </row>
    <row r="1264" spans="1:19" s="2" customFormat="1" ht="15" hidden="1" customHeight="1" x14ac:dyDescent="0.25">
      <c r="A1264" s="13" t="s">
        <v>6</v>
      </c>
      <c r="B1264" s="14">
        <v>43524</v>
      </c>
      <c r="C1264" s="13">
        <v>92</v>
      </c>
      <c r="D1264" s="13" t="s">
        <v>807</v>
      </c>
      <c r="E1264" s="13" t="s">
        <v>183</v>
      </c>
      <c r="F1264" s="4">
        <v>6000</v>
      </c>
      <c r="G1264" s="29" t="s">
        <v>4388</v>
      </c>
      <c r="H1264" s="14">
        <v>43515</v>
      </c>
      <c r="I1264" s="4" t="s">
        <v>4389</v>
      </c>
      <c r="J1264" s="341"/>
      <c r="K1264" s="31"/>
      <c r="L1264" s="31"/>
      <c r="M1264" s="31"/>
      <c r="N1264" s="31"/>
      <c r="O1264" s="34"/>
      <c r="P1264" s="34"/>
      <c r="Q1264" s="34"/>
      <c r="R1264" s="34"/>
      <c r="S1264" s="34"/>
    </row>
    <row r="1265" spans="1:19" s="97" customFormat="1" ht="27.6" hidden="1" x14ac:dyDescent="0.25">
      <c r="A1265" s="13" t="s">
        <v>6</v>
      </c>
      <c r="B1265" s="14">
        <v>43524</v>
      </c>
      <c r="C1265" s="67">
        <v>93</v>
      </c>
      <c r="D1265" s="13" t="s">
        <v>1071</v>
      </c>
      <c r="E1265" s="13" t="s">
        <v>183</v>
      </c>
      <c r="F1265" s="4">
        <v>10000</v>
      </c>
      <c r="G1265" s="29" t="s">
        <v>1072</v>
      </c>
      <c r="H1265" s="14">
        <v>43517</v>
      </c>
      <c r="I1265" s="4" t="s">
        <v>1073</v>
      </c>
      <c r="J1265" s="22"/>
      <c r="K1265" s="22"/>
      <c r="L1265" s="134"/>
    </row>
    <row r="1266" spans="1:19" s="2" customFormat="1" hidden="1" x14ac:dyDescent="0.25">
      <c r="A1266" s="61" t="s">
        <v>6</v>
      </c>
      <c r="B1266" s="14">
        <v>43524</v>
      </c>
      <c r="C1266" s="13">
        <v>94</v>
      </c>
      <c r="D1266" s="32" t="s">
        <v>3014</v>
      </c>
      <c r="E1266" s="13" t="s">
        <v>183</v>
      </c>
      <c r="F1266" s="4">
        <v>25800</v>
      </c>
      <c r="G1266" s="29" t="s">
        <v>4390</v>
      </c>
      <c r="H1266" s="14">
        <v>43516</v>
      </c>
      <c r="I1266" s="4" t="s">
        <v>3016</v>
      </c>
      <c r="J1266" s="341"/>
      <c r="K1266" s="31"/>
      <c r="L1266" s="31"/>
      <c r="M1266" s="31"/>
      <c r="N1266" s="31"/>
      <c r="O1266" s="34"/>
      <c r="P1266" s="34"/>
      <c r="Q1266" s="34"/>
      <c r="R1266" s="34"/>
      <c r="S1266" s="34"/>
    </row>
    <row r="1267" spans="1:19" s="115" customFormat="1" ht="15.6" hidden="1" x14ac:dyDescent="0.25">
      <c r="A1267" s="32" t="s">
        <v>6</v>
      </c>
      <c r="B1267" s="14">
        <v>43524</v>
      </c>
      <c r="C1267" s="13">
        <v>95</v>
      </c>
      <c r="D1267" s="32" t="s">
        <v>1555</v>
      </c>
      <c r="E1267" s="13" t="s">
        <v>183</v>
      </c>
      <c r="F1267" s="4">
        <v>2265.2600000000002</v>
      </c>
      <c r="G1267" s="13" t="s">
        <v>4391</v>
      </c>
      <c r="H1267" s="14">
        <v>43496</v>
      </c>
      <c r="I1267" s="4" t="s">
        <v>118</v>
      </c>
      <c r="J1267" s="21" t="s">
        <v>721</v>
      </c>
      <c r="K1267" s="116"/>
      <c r="L1267" s="116"/>
      <c r="M1267" s="116"/>
      <c r="N1267" s="116"/>
      <c r="O1267" s="117"/>
      <c r="P1267" s="117"/>
      <c r="Q1267" s="117"/>
      <c r="R1267" s="117"/>
      <c r="S1267" s="117"/>
    </row>
    <row r="1268" spans="1:19" s="2" customFormat="1" hidden="1" x14ac:dyDescent="0.25">
      <c r="A1268" s="13" t="s">
        <v>6</v>
      </c>
      <c r="B1268" s="14">
        <v>43524</v>
      </c>
      <c r="C1268" s="13">
        <v>96</v>
      </c>
      <c r="D1268" s="13" t="s">
        <v>1678</v>
      </c>
      <c r="E1268" s="13" t="s">
        <v>183</v>
      </c>
      <c r="F1268" s="4">
        <v>17566</v>
      </c>
      <c r="G1268" s="29" t="s">
        <v>4392</v>
      </c>
      <c r="H1268" s="14">
        <v>43497</v>
      </c>
      <c r="I1268" s="4" t="s">
        <v>4393</v>
      </c>
      <c r="J1268" s="341"/>
      <c r="K1268" s="31"/>
      <c r="L1268" s="31"/>
      <c r="M1268" s="31"/>
      <c r="N1268" s="31"/>
      <c r="O1268" s="34"/>
      <c r="P1268" s="34"/>
      <c r="Q1268" s="34"/>
      <c r="R1268" s="34"/>
      <c r="S1268" s="34"/>
    </row>
    <row r="1269" spans="1:19" s="2" customFormat="1" hidden="1" x14ac:dyDescent="0.25">
      <c r="A1269" s="13" t="s">
        <v>6</v>
      </c>
      <c r="B1269" s="14">
        <v>43524</v>
      </c>
      <c r="C1269" s="13">
        <v>97</v>
      </c>
      <c r="D1269" s="13" t="s">
        <v>585</v>
      </c>
      <c r="E1269" s="13" t="s">
        <v>183</v>
      </c>
      <c r="F1269" s="4">
        <v>775</v>
      </c>
      <c r="G1269" s="28" t="s">
        <v>4405</v>
      </c>
      <c r="H1269" s="14">
        <v>43516</v>
      </c>
      <c r="I1269" s="4" t="s">
        <v>1</v>
      </c>
      <c r="J1269" s="341"/>
      <c r="K1269" s="31"/>
      <c r="L1269" s="31"/>
      <c r="M1269" s="31"/>
      <c r="N1269" s="31"/>
      <c r="O1269" s="34"/>
      <c r="P1269" s="34"/>
      <c r="Q1269" s="34"/>
      <c r="R1269" s="34"/>
      <c r="S1269" s="34"/>
    </row>
    <row r="1270" spans="1:19" s="2" customFormat="1" hidden="1" x14ac:dyDescent="0.25">
      <c r="A1270" s="13" t="s">
        <v>6</v>
      </c>
      <c r="B1270" s="14">
        <v>43524</v>
      </c>
      <c r="C1270" s="13">
        <v>98</v>
      </c>
      <c r="D1270" s="32" t="s">
        <v>530</v>
      </c>
      <c r="E1270" s="13" t="s">
        <v>183</v>
      </c>
      <c r="F1270" s="4">
        <v>21250</v>
      </c>
      <c r="G1270" s="29" t="s">
        <v>477</v>
      </c>
      <c r="H1270" s="14">
        <v>43500</v>
      </c>
      <c r="I1270" s="4" t="s">
        <v>105</v>
      </c>
      <c r="J1270" s="341"/>
      <c r="K1270" s="31"/>
      <c r="L1270" s="31"/>
      <c r="M1270" s="31"/>
      <c r="N1270" s="31"/>
      <c r="O1270" s="34"/>
      <c r="P1270" s="34"/>
      <c r="Q1270" s="34"/>
      <c r="R1270" s="34"/>
      <c r="S1270" s="34"/>
    </row>
    <row r="1271" spans="1:19" s="2" customFormat="1" ht="27.6" hidden="1" x14ac:dyDescent="0.25">
      <c r="A1271" s="13" t="s">
        <v>6</v>
      </c>
      <c r="B1271" s="14">
        <v>43524</v>
      </c>
      <c r="C1271" s="13">
        <v>99</v>
      </c>
      <c r="D1271" s="13" t="s">
        <v>1179</v>
      </c>
      <c r="E1271" s="13" t="s">
        <v>183</v>
      </c>
      <c r="F1271" s="4">
        <v>21050.97</v>
      </c>
      <c r="G1271" s="29" t="s">
        <v>4418</v>
      </c>
      <c r="H1271" s="14">
        <v>43517</v>
      </c>
      <c r="I1271" s="4" t="s">
        <v>4419</v>
      </c>
      <c r="J1271" s="341"/>
      <c r="K1271" s="31"/>
      <c r="L1271" s="31"/>
      <c r="M1271" s="31"/>
      <c r="N1271" s="31"/>
      <c r="O1271" s="34"/>
      <c r="P1271" s="34"/>
      <c r="Q1271" s="34"/>
      <c r="R1271" s="34"/>
      <c r="S1271" s="34"/>
    </row>
    <row r="1272" spans="1:19" s="2" customFormat="1" ht="15" hidden="1" customHeight="1" x14ac:dyDescent="0.25">
      <c r="A1272" s="13" t="s">
        <v>6</v>
      </c>
      <c r="B1272" s="14">
        <v>43524</v>
      </c>
      <c r="C1272" s="13">
        <v>99</v>
      </c>
      <c r="D1272" s="13" t="s">
        <v>1179</v>
      </c>
      <c r="E1272" s="13" t="s">
        <v>183</v>
      </c>
      <c r="F1272" s="4">
        <v>35006</v>
      </c>
      <c r="G1272" s="29" t="s">
        <v>4416</v>
      </c>
      <c r="H1272" s="14">
        <v>43517</v>
      </c>
      <c r="I1272" s="4" t="s">
        <v>4417</v>
      </c>
      <c r="J1272" s="341"/>
      <c r="K1272" s="31"/>
      <c r="L1272" s="31"/>
      <c r="M1272" s="31"/>
      <c r="N1272" s="31"/>
      <c r="O1272" s="34"/>
      <c r="P1272" s="34"/>
      <c r="Q1272" s="34"/>
      <c r="R1272" s="34"/>
      <c r="S1272" s="34"/>
    </row>
    <row r="1273" spans="1:19" s="2" customFormat="1" hidden="1" x14ac:dyDescent="0.25">
      <c r="A1273" s="13" t="s">
        <v>6</v>
      </c>
      <c r="B1273" s="14">
        <v>43524</v>
      </c>
      <c r="C1273" s="13">
        <v>100</v>
      </c>
      <c r="D1273" s="13" t="s">
        <v>743</v>
      </c>
      <c r="E1273" s="13" t="s">
        <v>183</v>
      </c>
      <c r="F1273" s="4">
        <v>117125</v>
      </c>
      <c r="G1273" s="29" t="s">
        <v>4414</v>
      </c>
      <c r="H1273" s="14">
        <v>43512</v>
      </c>
      <c r="I1273" s="4" t="s">
        <v>4415</v>
      </c>
      <c r="J1273" s="341"/>
      <c r="K1273" s="31"/>
      <c r="L1273" s="31"/>
      <c r="M1273" s="31"/>
      <c r="N1273" s="31"/>
      <c r="O1273" s="34"/>
      <c r="P1273" s="34"/>
      <c r="Q1273" s="34"/>
      <c r="R1273" s="34"/>
      <c r="S1273" s="34"/>
    </row>
    <row r="1274" spans="1:19" s="2" customFormat="1" hidden="1" x14ac:dyDescent="0.25">
      <c r="A1274" s="13" t="s">
        <v>6</v>
      </c>
      <c r="B1274" s="14">
        <v>43524</v>
      </c>
      <c r="C1274" s="13">
        <v>100</v>
      </c>
      <c r="D1274" s="13" t="s">
        <v>743</v>
      </c>
      <c r="E1274" s="13" t="s">
        <v>183</v>
      </c>
      <c r="F1274" s="4">
        <v>365875</v>
      </c>
      <c r="G1274" s="29" t="s">
        <v>4525</v>
      </c>
      <c r="H1274" s="14">
        <v>43505</v>
      </c>
      <c r="I1274" s="4" t="s">
        <v>4524</v>
      </c>
      <c r="J1274" s="341"/>
      <c r="K1274" s="31"/>
      <c r="L1274" s="31"/>
      <c r="M1274" s="31"/>
      <c r="N1274" s="31"/>
      <c r="O1274" s="34"/>
      <c r="P1274" s="34"/>
      <c r="Q1274" s="34"/>
      <c r="R1274" s="34"/>
      <c r="S1274" s="34"/>
    </row>
    <row r="1275" spans="1:19" s="2" customFormat="1" hidden="1" x14ac:dyDescent="0.25">
      <c r="A1275" s="61" t="s">
        <v>6</v>
      </c>
      <c r="B1275" s="14">
        <v>43524</v>
      </c>
      <c r="C1275" s="13">
        <v>101</v>
      </c>
      <c r="D1275" s="32" t="s">
        <v>3455</v>
      </c>
      <c r="E1275" s="13" t="s">
        <v>183</v>
      </c>
      <c r="F1275" s="4">
        <v>25000</v>
      </c>
      <c r="G1275" s="13">
        <v>29</v>
      </c>
      <c r="H1275" s="14">
        <v>43511</v>
      </c>
      <c r="I1275" s="4" t="s">
        <v>4533</v>
      </c>
      <c r="J1275" s="341"/>
      <c r="K1275" s="31"/>
      <c r="L1275" s="31"/>
      <c r="M1275" s="31"/>
      <c r="N1275" s="31"/>
      <c r="O1275" s="34"/>
      <c r="P1275" s="34"/>
      <c r="Q1275" s="34"/>
      <c r="R1275" s="34"/>
      <c r="S1275" s="34"/>
    </row>
    <row r="1276" spans="1:19" s="2" customFormat="1" ht="15" hidden="1" customHeight="1" x14ac:dyDescent="0.25">
      <c r="A1276" s="13" t="s">
        <v>6</v>
      </c>
      <c r="B1276" s="14">
        <v>43524</v>
      </c>
      <c r="C1276" s="13">
        <v>102</v>
      </c>
      <c r="D1276" s="13" t="s">
        <v>1958</v>
      </c>
      <c r="E1276" s="13" t="s">
        <v>183</v>
      </c>
      <c r="F1276" s="4">
        <v>9900</v>
      </c>
      <c r="G1276" s="29" t="s">
        <v>86</v>
      </c>
      <c r="H1276" s="14">
        <v>43511</v>
      </c>
      <c r="I1276" s="4" t="s">
        <v>4535</v>
      </c>
      <c r="J1276" s="341"/>
      <c r="K1276" s="31"/>
      <c r="L1276" s="31"/>
      <c r="M1276" s="31"/>
      <c r="N1276" s="31"/>
      <c r="O1276" s="34"/>
      <c r="P1276" s="34"/>
      <c r="Q1276" s="34"/>
      <c r="R1276" s="34"/>
      <c r="S1276" s="34"/>
    </row>
    <row r="1277" spans="1:19" s="2" customFormat="1" ht="15" hidden="1" customHeight="1" x14ac:dyDescent="0.25">
      <c r="A1277" s="13" t="s">
        <v>6</v>
      </c>
      <c r="B1277" s="14">
        <v>43524</v>
      </c>
      <c r="C1277" s="13">
        <v>102</v>
      </c>
      <c r="D1277" s="13" t="s">
        <v>1958</v>
      </c>
      <c r="E1277" s="13" t="s">
        <v>183</v>
      </c>
      <c r="F1277" s="4">
        <v>15000</v>
      </c>
      <c r="G1277" s="29" t="s">
        <v>3390</v>
      </c>
      <c r="H1277" s="14">
        <v>43511</v>
      </c>
      <c r="I1277" s="4" t="s">
        <v>4534</v>
      </c>
      <c r="J1277" s="341"/>
      <c r="K1277" s="31"/>
      <c r="L1277" s="31"/>
      <c r="M1277" s="31"/>
      <c r="N1277" s="31"/>
      <c r="O1277" s="34"/>
      <c r="P1277" s="34"/>
      <c r="Q1277" s="34"/>
      <c r="R1277" s="34"/>
      <c r="S1277" s="34"/>
    </row>
    <row r="1278" spans="1:19" s="2" customFormat="1" ht="15" hidden="1" customHeight="1" x14ac:dyDescent="0.25">
      <c r="A1278" s="13" t="s">
        <v>6</v>
      </c>
      <c r="B1278" s="14">
        <v>43524</v>
      </c>
      <c r="C1278" s="13">
        <v>103</v>
      </c>
      <c r="D1278" s="13" t="s">
        <v>3261</v>
      </c>
      <c r="E1278" s="13" t="s">
        <v>183</v>
      </c>
      <c r="F1278" s="4">
        <v>8410</v>
      </c>
      <c r="G1278" s="29" t="s">
        <v>4536</v>
      </c>
      <c r="H1278" s="14">
        <v>43507</v>
      </c>
      <c r="I1278" s="4" t="s">
        <v>187</v>
      </c>
      <c r="J1278" s="341"/>
      <c r="K1278" s="31"/>
      <c r="L1278" s="31"/>
      <c r="M1278" s="31"/>
      <c r="N1278" s="31"/>
      <c r="O1278" s="34"/>
      <c r="P1278" s="34"/>
      <c r="Q1278" s="34"/>
      <c r="R1278" s="34"/>
      <c r="S1278" s="34"/>
    </row>
    <row r="1279" spans="1:19" hidden="1" x14ac:dyDescent="0.25">
      <c r="A1279" s="61" t="s">
        <v>460</v>
      </c>
      <c r="B1279" s="14">
        <v>43524</v>
      </c>
      <c r="C1279" s="13">
        <v>30</v>
      </c>
      <c r="D1279" s="14" t="s">
        <v>3084</v>
      </c>
      <c r="E1279" s="32" t="s">
        <v>483</v>
      </c>
      <c r="F1279" s="4">
        <v>35333</v>
      </c>
      <c r="G1279" s="86" t="s">
        <v>3089</v>
      </c>
      <c r="H1279" s="211"/>
      <c r="I1279" s="326"/>
      <c r="K1279" s="62"/>
    </row>
    <row r="1280" spans="1:19" hidden="1" x14ac:dyDescent="0.25">
      <c r="A1280" s="61" t="s">
        <v>460</v>
      </c>
      <c r="B1280" s="14">
        <v>43524</v>
      </c>
      <c r="C1280" s="13">
        <v>31</v>
      </c>
      <c r="D1280" s="14" t="s">
        <v>3087</v>
      </c>
      <c r="E1280" s="32" t="s">
        <v>483</v>
      </c>
      <c r="F1280" s="4">
        <v>36720</v>
      </c>
      <c r="G1280" s="86" t="s">
        <v>3088</v>
      </c>
      <c r="H1280" s="211"/>
      <c r="I1280" s="326"/>
      <c r="K1280" s="62"/>
    </row>
    <row r="1281" spans="1:12" hidden="1" x14ac:dyDescent="0.25">
      <c r="A1281" s="61" t="s">
        <v>460</v>
      </c>
      <c r="B1281" s="14">
        <v>43524</v>
      </c>
      <c r="C1281" s="13">
        <v>32</v>
      </c>
      <c r="D1281" s="14" t="s">
        <v>3092</v>
      </c>
      <c r="E1281" s="32" t="s">
        <v>483</v>
      </c>
      <c r="F1281" s="4">
        <v>46561</v>
      </c>
      <c r="G1281" s="86" t="s">
        <v>3093</v>
      </c>
      <c r="H1281" s="211"/>
      <c r="I1281" s="326"/>
      <c r="K1281" s="62"/>
    </row>
    <row r="1282" spans="1:12" hidden="1" x14ac:dyDescent="0.25">
      <c r="A1282" s="61" t="s">
        <v>460</v>
      </c>
      <c r="B1282" s="14">
        <v>43524</v>
      </c>
      <c r="C1282" s="13">
        <v>33</v>
      </c>
      <c r="D1282" s="14" t="s">
        <v>3094</v>
      </c>
      <c r="E1282" s="32" t="s">
        <v>483</v>
      </c>
      <c r="F1282" s="4">
        <v>39340</v>
      </c>
      <c r="G1282" s="86" t="s">
        <v>3095</v>
      </c>
      <c r="H1282" s="211"/>
      <c r="I1282" s="326"/>
      <c r="K1282" s="62"/>
    </row>
    <row r="1283" spans="1:12" hidden="1" x14ac:dyDescent="0.25">
      <c r="A1283" s="61" t="s">
        <v>460</v>
      </c>
      <c r="B1283" s="14">
        <v>43524</v>
      </c>
      <c r="C1283" s="13">
        <v>35</v>
      </c>
      <c r="D1283" s="14" t="s">
        <v>3485</v>
      </c>
      <c r="E1283" s="32" t="s">
        <v>483</v>
      </c>
      <c r="F1283" s="4">
        <v>45293</v>
      </c>
      <c r="G1283" s="86" t="s">
        <v>3096</v>
      </c>
      <c r="H1283" s="211"/>
      <c r="I1283" s="326"/>
      <c r="K1283" s="62"/>
    </row>
    <row r="1284" spans="1:12" hidden="1" x14ac:dyDescent="0.25">
      <c r="A1284" s="61" t="s">
        <v>460</v>
      </c>
      <c r="B1284" s="14">
        <v>43524</v>
      </c>
      <c r="C1284" s="13">
        <v>36</v>
      </c>
      <c r="D1284" s="14" t="s">
        <v>3493</v>
      </c>
      <c r="E1284" s="32" t="s">
        <v>483</v>
      </c>
      <c r="F1284" s="4">
        <v>36495</v>
      </c>
      <c r="G1284" s="86" t="s">
        <v>3494</v>
      </c>
      <c r="H1284" s="211"/>
      <c r="I1284" s="326"/>
      <c r="K1284" s="62"/>
    </row>
    <row r="1285" spans="1:12" hidden="1" x14ac:dyDescent="0.25">
      <c r="A1285" s="61" t="s">
        <v>460</v>
      </c>
      <c r="B1285" s="14">
        <v>43524</v>
      </c>
      <c r="C1285" s="13">
        <v>37</v>
      </c>
      <c r="D1285" s="14" t="s">
        <v>3486</v>
      </c>
      <c r="E1285" s="32" t="s">
        <v>483</v>
      </c>
      <c r="F1285" s="4">
        <v>31567</v>
      </c>
      <c r="G1285" s="86" t="s">
        <v>3487</v>
      </c>
      <c r="H1285" s="211"/>
      <c r="I1285" s="326"/>
      <c r="K1285" s="62"/>
    </row>
    <row r="1286" spans="1:12" hidden="1" x14ac:dyDescent="0.25">
      <c r="A1286" s="61" t="s">
        <v>460</v>
      </c>
      <c r="B1286" s="14">
        <v>43524</v>
      </c>
      <c r="C1286" s="13">
        <v>39</v>
      </c>
      <c r="D1286" s="14" t="s">
        <v>3728</v>
      </c>
      <c r="E1286" s="32" t="s">
        <v>483</v>
      </c>
      <c r="F1286" s="4">
        <v>55491</v>
      </c>
      <c r="G1286" s="86" t="s">
        <v>3729</v>
      </c>
      <c r="H1286" s="211"/>
      <c r="I1286" s="326"/>
      <c r="K1286" s="62"/>
    </row>
    <row r="1287" spans="1:12" hidden="1" x14ac:dyDescent="0.25">
      <c r="A1287" s="61" t="s">
        <v>460</v>
      </c>
      <c r="B1287" s="14">
        <v>43524</v>
      </c>
      <c r="C1287" s="13">
        <v>38</v>
      </c>
      <c r="D1287" s="14" t="s">
        <v>3730</v>
      </c>
      <c r="E1287" s="32" t="s">
        <v>483</v>
      </c>
      <c r="F1287" s="4">
        <v>52440</v>
      </c>
      <c r="G1287" s="86" t="s">
        <v>3731</v>
      </c>
      <c r="H1287" s="211"/>
      <c r="I1287" s="326"/>
      <c r="K1287" s="62"/>
    </row>
    <row r="1288" spans="1:12" hidden="1" x14ac:dyDescent="0.25">
      <c r="A1288" s="61" t="s">
        <v>460</v>
      </c>
      <c r="B1288" s="14">
        <v>43524</v>
      </c>
      <c r="C1288" s="13">
        <v>34</v>
      </c>
      <c r="D1288" s="14" t="s">
        <v>3732</v>
      </c>
      <c r="E1288" s="32" t="s">
        <v>483</v>
      </c>
      <c r="F1288" s="4">
        <v>60060</v>
      </c>
      <c r="G1288" s="86" t="s">
        <v>3733</v>
      </c>
      <c r="H1288" s="211"/>
      <c r="I1288" s="326"/>
      <c r="K1288" s="62"/>
    </row>
    <row r="1289" spans="1:12" ht="15" hidden="1" customHeight="1" x14ac:dyDescent="0.25">
      <c r="A1289" s="61" t="s">
        <v>188</v>
      </c>
      <c r="B1289" s="14">
        <v>43524</v>
      </c>
      <c r="C1289" s="13">
        <v>40</v>
      </c>
      <c r="D1289" s="32" t="s">
        <v>4496</v>
      </c>
      <c r="E1289" s="32" t="s">
        <v>483</v>
      </c>
      <c r="F1289" s="4">
        <v>100000</v>
      </c>
      <c r="G1289" s="29" t="s">
        <v>3141</v>
      </c>
      <c r="H1289" s="14">
        <v>43514</v>
      </c>
      <c r="I1289" s="41" t="s">
        <v>4497</v>
      </c>
      <c r="J1289" s="35"/>
      <c r="K1289" s="35"/>
      <c r="L1289" s="35"/>
    </row>
    <row r="1290" spans="1:12" x14ac:dyDescent="0.25">
      <c r="A1290" s="61" t="s">
        <v>460</v>
      </c>
      <c r="B1290" s="14">
        <v>43524</v>
      </c>
      <c r="C1290" s="13">
        <v>219</v>
      </c>
      <c r="D1290" s="14" t="s">
        <v>3041</v>
      </c>
      <c r="E1290" s="32" t="s">
        <v>1121</v>
      </c>
      <c r="F1290" s="4">
        <v>51000</v>
      </c>
      <c r="G1290" s="86" t="s">
        <v>3042</v>
      </c>
      <c r="H1290" s="211"/>
      <c r="I1290" s="326"/>
      <c r="K1290" s="62"/>
    </row>
    <row r="1291" spans="1:12" hidden="1" x14ac:dyDescent="0.25">
      <c r="A1291" s="61" t="s">
        <v>460</v>
      </c>
      <c r="B1291" s="14">
        <v>43524</v>
      </c>
      <c r="C1291" s="13">
        <v>220</v>
      </c>
      <c r="D1291" s="14" t="s">
        <v>3085</v>
      </c>
      <c r="E1291" s="32" t="s">
        <v>1121</v>
      </c>
      <c r="F1291" s="4">
        <v>62250</v>
      </c>
      <c r="G1291" s="86" t="s">
        <v>3086</v>
      </c>
      <c r="H1291" s="211"/>
      <c r="I1291" s="326"/>
      <c r="K1291" s="62"/>
    </row>
    <row r="1292" spans="1:12" hidden="1" x14ac:dyDescent="0.25">
      <c r="A1292" s="61" t="s">
        <v>460</v>
      </c>
      <c r="B1292" s="14">
        <v>43524</v>
      </c>
      <c r="C1292" s="13">
        <v>221</v>
      </c>
      <c r="D1292" s="14" t="s">
        <v>3734</v>
      </c>
      <c r="E1292" s="32" t="s">
        <v>1121</v>
      </c>
      <c r="F1292" s="4">
        <v>39972</v>
      </c>
      <c r="G1292" s="86" t="s">
        <v>3735</v>
      </c>
      <c r="H1292" s="211"/>
      <c r="I1292" s="326"/>
      <c r="K1292" s="62"/>
    </row>
    <row r="1293" spans="1:12" hidden="1" x14ac:dyDescent="0.25">
      <c r="A1293" s="61" t="s">
        <v>460</v>
      </c>
      <c r="B1293" s="14">
        <v>43524</v>
      </c>
      <c r="C1293" s="13">
        <v>222</v>
      </c>
      <c r="D1293" s="13" t="s">
        <v>4511</v>
      </c>
      <c r="E1293" s="32" t="s">
        <v>1121</v>
      </c>
      <c r="F1293" s="4">
        <v>47500</v>
      </c>
      <c r="G1293" s="86" t="s">
        <v>4512</v>
      </c>
      <c r="H1293" s="211"/>
      <c r="I1293" s="326"/>
      <c r="K1293" s="62"/>
    </row>
    <row r="1294" spans="1:12" hidden="1" x14ac:dyDescent="0.25">
      <c r="A1294" s="61" t="s">
        <v>460</v>
      </c>
      <c r="B1294" s="14">
        <v>43524</v>
      </c>
      <c r="C1294" s="13">
        <v>223</v>
      </c>
      <c r="D1294" s="14" t="s">
        <v>4576</v>
      </c>
      <c r="E1294" s="32" t="s">
        <v>1121</v>
      </c>
      <c r="F1294" s="4">
        <v>91800</v>
      </c>
      <c r="G1294" s="86" t="s">
        <v>4577</v>
      </c>
      <c r="H1294" s="211"/>
      <c r="I1294" s="326"/>
      <c r="K1294" s="62"/>
    </row>
    <row r="1295" spans="1:12" hidden="1" x14ac:dyDescent="0.25">
      <c r="A1295" s="13" t="s">
        <v>184</v>
      </c>
      <c r="B1295" s="14">
        <v>43524</v>
      </c>
      <c r="C1295" s="13">
        <v>224</v>
      </c>
      <c r="D1295" s="13" t="s">
        <v>197</v>
      </c>
      <c r="E1295" s="32" t="s">
        <v>1121</v>
      </c>
      <c r="F1295" s="4">
        <v>195294</v>
      </c>
      <c r="G1295" s="28" t="s">
        <v>4139</v>
      </c>
      <c r="H1295" s="14">
        <v>43500</v>
      </c>
      <c r="I1295" s="4" t="s">
        <v>1181</v>
      </c>
      <c r="J1295" s="76" t="s">
        <v>721</v>
      </c>
    </row>
    <row r="1296" spans="1:12" ht="30" hidden="1" customHeight="1" x14ac:dyDescent="0.25">
      <c r="A1296" s="13" t="s">
        <v>184</v>
      </c>
      <c r="B1296" s="14">
        <v>43524</v>
      </c>
      <c r="C1296" s="13">
        <v>225</v>
      </c>
      <c r="D1296" s="13" t="s">
        <v>104</v>
      </c>
      <c r="E1296" s="32" t="s">
        <v>1121</v>
      </c>
      <c r="F1296" s="4">
        <f>150000-50000</f>
        <v>100000</v>
      </c>
      <c r="G1296" s="28" t="s">
        <v>1265</v>
      </c>
      <c r="H1296" s="14">
        <v>43495</v>
      </c>
      <c r="I1296" s="4" t="s">
        <v>3483</v>
      </c>
      <c r="J1296" s="76" t="s">
        <v>3767</v>
      </c>
    </row>
    <row r="1297" spans="1:12" ht="15" hidden="1" customHeight="1" x14ac:dyDescent="0.25">
      <c r="A1297" s="13" t="s">
        <v>184</v>
      </c>
      <c r="B1297" s="14">
        <v>43524</v>
      </c>
      <c r="C1297" s="13">
        <v>226</v>
      </c>
      <c r="D1297" s="13" t="s">
        <v>247</v>
      </c>
      <c r="E1297" s="32" t="s">
        <v>1121</v>
      </c>
      <c r="F1297" s="4">
        <v>112500</v>
      </c>
      <c r="G1297" s="28" t="s">
        <v>2955</v>
      </c>
      <c r="H1297" s="14">
        <v>43500</v>
      </c>
      <c r="I1297" s="4" t="s">
        <v>795</v>
      </c>
      <c r="J1297" s="125">
        <v>43525</v>
      </c>
    </row>
    <row r="1298" spans="1:12" ht="15" hidden="1" customHeight="1" x14ac:dyDescent="0.25">
      <c r="A1298" s="13" t="s">
        <v>184</v>
      </c>
      <c r="B1298" s="14">
        <v>43524</v>
      </c>
      <c r="C1298" s="13">
        <v>227</v>
      </c>
      <c r="D1298" s="13" t="s">
        <v>171</v>
      </c>
      <c r="E1298" s="32" t="s">
        <v>1121</v>
      </c>
      <c r="F1298" s="4">
        <f>1146571.2-600000</f>
        <v>546571.19999999995</v>
      </c>
      <c r="G1298" s="28" t="s">
        <v>4140</v>
      </c>
      <c r="H1298" s="14">
        <v>43497</v>
      </c>
      <c r="I1298" s="4" t="s">
        <v>384</v>
      </c>
      <c r="J1298" s="125" t="s">
        <v>4141</v>
      </c>
    </row>
    <row r="1299" spans="1:12" ht="14.4" hidden="1" customHeight="1" x14ac:dyDescent="0.25">
      <c r="A1299" s="13" t="s">
        <v>184</v>
      </c>
      <c r="B1299" s="14">
        <v>43524</v>
      </c>
      <c r="C1299" s="13">
        <v>228</v>
      </c>
      <c r="D1299" s="13" t="s">
        <v>645</v>
      </c>
      <c r="E1299" s="32" t="s">
        <v>1121</v>
      </c>
      <c r="F1299" s="4">
        <v>108000</v>
      </c>
      <c r="G1299" s="28" t="s">
        <v>4530</v>
      </c>
      <c r="H1299" s="14">
        <v>43497</v>
      </c>
      <c r="I1299" s="4" t="s">
        <v>646</v>
      </c>
      <c r="J1299" s="125" t="s">
        <v>4529</v>
      </c>
    </row>
    <row r="1300" spans="1:12" ht="15" hidden="1" customHeight="1" x14ac:dyDescent="0.25">
      <c r="A1300" s="13" t="s">
        <v>184</v>
      </c>
      <c r="B1300" s="14">
        <v>43524</v>
      </c>
      <c r="C1300" s="13">
        <v>228</v>
      </c>
      <c r="D1300" s="13" t="s">
        <v>645</v>
      </c>
      <c r="E1300" s="32" t="s">
        <v>1121</v>
      </c>
      <c r="F1300" s="4">
        <v>139320</v>
      </c>
      <c r="G1300" s="28" t="s">
        <v>4531</v>
      </c>
      <c r="H1300" s="14">
        <v>43497</v>
      </c>
      <c r="I1300" s="4" t="s">
        <v>648</v>
      </c>
      <c r="J1300" s="125" t="s">
        <v>4529</v>
      </c>
    </row>
    <row r="1301" spans="1:12" ht="15" hidden="1" customHeight="1" x14ac:dyDescent="0.25">
      <c r="A1301" s="13" t="s">
        <v>184</v>
      </c>
      <c r="B1301" s="14">
        <v>43524</v>
      </c>
      <c r="C1301" s="13">
        <v>228</v>
      </c>
      <c r="D1301" s="13" t="s">
        <v>645</v>
      </c>
      <c r="E1301" s="32" t="s">
        <v>1121</v>
      </c>
      <c r="F1301" s="4">
        <v>167400</v>
      </c>
      <c r="G1301" s="28" t="s">
        <v>4528</v>
      </c>
      <c r="H1301" s="14">
        <v>43497</v>
      </c>
      <c r="I1301" s="4" t="s">
        <v>649</v>
      </c>
      <c r="J1301" s="125" t="s">
        <v>4529</v>
      </c>
    </row>
    <row r="1302" spans="1:12" ht="15" hidden="1" customHeight="1" x14ac:dyDescent="0.25">
      <c r="A1302" s="13" t="s">
        <v>184</v>
      </c>
      <c r="B1302" s="14">
        <v>43524</v>
      </c>
      <c r="C1302" s="13">
        <v>228</v>
      </c>
      <c r="D1302" s="13" t="s">
        <v>645</v>
      </c>
      <c r="E1302" s="32" t="s">
        <v>1121</v>
      </c>
      <c r="F1302" s="4">
        <v>64980</v>
      </c>
      <c r="G1302" s="28" t="s">
        <v>4532</v>
      </c>
      <c r="H1302" s="14">
        <v>43497</v>
      </c>
      <c r="I1302" s="4" t="s">
        <v>647</v>
      </c>
      <c r="J1302" s="125" t="s">
        <v>4529</v>
      </c>
    </row>
    <row r="1303" spans="1:12" ht="15.6" hidden="1" customHeight="1" x14ac:dyDescent="0.25">
      <c r="A1303" s="13" t="s">
        <v>184</v>
      </c>
      <c r="B1303" s="14">
        <v>43524</v>
      </c>
      <c r="C1303" s="13">
        <v>229</v>
      </c>
      <c r="D1303" s="13" t="s">
        <v>444</v>
      </c>
      <c r="E1303" s="32" t="s">
        <v>1121</v>
      </c>
      <c r="F1303" s="4">
        <v>168000</v>
      </c>
      <c r="G1303" s="28" t="s">
        <v>27</v>
      </c>
      <c r="H1303" s="14">
        <v>43503</v>
      </c>
      <c r="I1303" s="4" t="s">
        <v>445</v>
      </c>
      <c r="J1303" s="76" t="s">
        <v>4150</v>
      </c>
    </row>
    <row r="1304" spans="1:12" hidden="1" x14ac:dyDescent="0.25">
      <c r="A1304" s="13" t="s">
        <v>184</v>
      </c>
      <c r="B1304" s="14">
        <v>43524</v>
      </c>
      <c r="C1304" s="13">
        <v>230</v>
      </c>
      <c r="D1304" s="13" t="s">
        <v>761</v>
      </c>
      <c r="E1304" s="32" t="s">
        <v>1121</v>
      </c>
      <c r="F1304" s="4">
        <v>250212</v>
      </c>
      <c r="G1304" s="28" t="s">
        <v>4148</v>
      </c>
      <c r="H1304" s="14">
        <v>43500</v>
      </c>
      <c r="I1304" s="4" t="s">
        <v>657</v>
      </c>
      <c r="J1304" s="76" t="s">
        <v>721</v>
      </c>
    </row>
    <row r="1305" spans="1:12" ht="15" hidden="1" customHeight="1" x14ac:dyDescent="0.25">
      <c r="A1305" s="13" t="s">
        <v>184</v>
      </c>
      <c r="B1305" s="14">
        <v>43524</v>
      </c>
      <c r="C1305" s="13">
        <v>231</v>
      </c>
      <c r="D1305" s="13" t="s">
        <v>47</v>
      </c>
      <c r="E1305" s="32" t="s">
        <v>1121</v>
      </c>
      <c r="F1305" s="4">
        <v>600</v>
      </c>
      <c r="G1305" s="28" t="s">
        <v>2154</v>
      </c>
      <c r="H1305" s="14">
        <v>43511</v>
      </c>
      <c r="I1305" s="4" t="s">
        <v>746</v>
      </c>
    </row>
    <row r="1306" spans="1:12" hidden="1" x14ac:dyDescent="0.25">
      <c r="A1306" s="13" t="s">
        <v>184</v>
      </c>
      <c r="B1306" s="14">
        <v>43524</v>
      </c>
      <c r="C1306" s="13">
        <v>232</v>
      </c>
      <c r="D1306" s="13" t="s">
        <v>1484</v>
      </c>
      <c r="E1306" s="32" t="s">
        <v>1121</v>
      </c>
      <c r="F1306" s="4">
        <v>30000</v>
      </c>
      <c r="G1306" s="29" t="s">
        <v>3707</v>
      </c>
      <c r="H1306" s="14">
        <v>43488</v>
      </c>
      <c r="I1306" s="4" t="s">
        <v>1150</v>
      </c>
      <c r="J1306" s="125" t="s">
        <v>3708</v>
      </c>
    </row>
    <row r="1307" spans="1:12" ht="27.6" hidden="1" x14ac:dyDescent="0.25">
      <c r="A1307" s="13" t="s">
        <v>184</v>
      </c>
      <c r="B1307" s="14">
        <v>43524</v>
      </c>
      <c r="C1307" s="13">
        <v>233</v>
      </c>
      <c r="D1307" s="13" t="s">
        <v>377</v>
      </c>
      <c r="E1307" s="32" t="s">
        <v>1121</v>
      </c>
      <c r="F1307" s="4">
        <v>6000</v>
      </c>
      <c r="G1307" s="29" t="s">
        <v>3184</v>
      </c>
      <c r="H1307" s="14">
        <v>43513</v>
      </c>
      <c r="I1307" s="4" t="s">
        <v>2863</v>
      </c>
      <c r="J1307" s="125" t="s">
        <v>213</v>
      </c>
    </row>
    <row r="1308" spans="1:12" s="192" customFormat="1" hidden="1" x14ac:dyDescent="0.25">
      <c r="A1308" s="147" t="s">
        <v>242</v>
      </c>
      <c r="B1308" s="14">
        <v>43524</v>
      </c>
      <c r="C1308" s="187">
        <v>234</v>
      </c>
      <c r="D1308" s="149" t="s">
        <v>388</v>
      </c>
      <c r="E1308" s="147" t="s">
        <v>1121</v>
      </c>
      <c r="F1308" s="158">
        <v>295390.8</v>
      </c>
      <c r="G1308" s="150" t="s">
        <v>3141</v>
      </c>
      <c r="H1308" s="148">
        <v>43507</v>
      </c>
      <c r="I1308" s="149" t="s">
        <v>143</v>
      </c>
      <c r="J1308" s="193"/>
      <c r="K1308" s="194"/>
      <c r="L1308" s="190"/>
    </row>
    <row r="1309" spans="1:12" s="192" customFormat="1" hidden="1" x14ac:dyDescent="0.25">
      <c r="A1309" s="147" t="s">
        <v>242</v>
      </c>
      <c r="B1309" s="14">
        <v>43524</v>
      </c>
      <c r="C1309" s="187">
        <v>234</v>
      </c>
      <c r="D1309" s="149" t="s">
        <v>388</v>
      </c>
      <c r="E1309" s="147" t="s">
        <v>1121</v>
      </c>
      <c r="F1309" s="158">
        <v>97440</v>
      </c>
      <c r="G1309" s="150" t="s">
        <v>3142</v>
      </c>
      <c r="H1309" s="148">
        <v>43507</v>
      </c>
      <c r="I1309" s="149" t="s">
        <v>143</v>
      </c>
      <c r="J1309" s="193"/>
      <c r="K1309" s="194"/>
      <c r="L1309" s="190"/>
    </row>
    <row r="1310" spans="1:12" ht="27.6" hidden="1" x14ac:dyDescent="0.25">
      <c r="A1310" s="32" t="s">
        <v>151</v>
      </c>
      <c r="B1310" s="14">
        <v>43524</v>
      </c>
      <c r="C1310" s="67">
        <v>235</v>
      </c>
      <c r="D1310" s="32" t="s">
        <v>412</v>
      </c>
      <c r="E1310" s="13" t="s">
        <v>1121</v>
      </c>
      <c r="F1310" s="4">
        <v>96000</v>
      </c>
      <c r="G1310" s="13">
        <v>11</v>
      </c>
      <c r="H1310" s="14">
        <v>43497</v>
      </c>
      <c r="I1310" s="4" t="s">
        <v>2078</v>
      </c>
      <c r="J1310" s="22" t="s">
        <v>721</v>
      </c>
      <c r="K1310" s="245"/>
    </row>
    <row r="1311" spans="1:12" ht="27.6" hidden="1" x14ac:dyDescent="0.25">
      <c r="A1311" s="32" t="s">
        <v>151</v>
      </c>
      <c r="B1311" s="14">
        <v>43524</v>
      </c>
      <c r="C1311" s="67">
        <v>235</v>
      </c>
      <c r="D1311" s="32" t="s">
        <v>412</v>
      </c>
      <c r="E1311" s="13" t="s">
        <v>1121</v>
      </c>
      <c r="F1311" s="4">
        <v>90000</v>
      </c>
      <c r="G1311" s="13">
        <v>12</v>
      </c>
      <c r="H1311" s="14">
        <v>43497</v>
      </c>
      <c r="I1311" s="4" t="s">
        <v>2079</v>
      </c>
      <c r="J1311" s="22" t="s">
        <v>721</v>
      </c>
      <c r="K1311" s="245"/>
    </row>
    <row r="1312" spans="1:12" ht="13.95" hidden="1" customHeight="1" x14ac:dyDescent="0.25">
      <c r="A1312" s="32" t="s">
        <v>151</v>
      </c>
      <c r="B1312" s="14">
        <v>43524</v>
      </c>
      <c r="C1312" s="67">
        <v>236</v>
      </c>
      <c r="D1312" s="32" t="s">
        <v>412</v>
      </c>
      <c r="E1312" s="13" t="s">
        <v>1121</v>
      </c>
      <c r="F1312" s="4">
        <v>20000</v>
      </c>
      <c r="G1312" s="13">
        <v>10</v>
      </c>
      <c r="H1312" s="14">
        <v>43497</v>
      </c>
      <c r="I1312" s="4" t="s">
        <v>1908</v>
      </c>
      <c r="J1312" s="22" t="s">
        <v>721</v>
      </c>
      <c r="K1312" s="245"/>
    </row>
    <row r="1313" spans="1:19" ht="13.95" hidden="1" customHeight="1" x14ac:dyDescent="0.25">
      <c r="A1313" s="32" t="s">
        <v>151</v>
      </c>
      <c r="B1313" s="14">
        <v>43524</v>
      </c>
      <c r="C1313" s="13">
        <v>237</v>
      </c>
      <c r="D1313" s="13" t="s">
        <v>223</v>
      </c>
      <c r="E1313" s="32" t="s">
        <v>1121</v>
      </c>
      <c r="F1313" s="4">
        <v>16500</v>
      </c>
      <c r="G1313" s="28" t="s">
        <v>86</v>
      </c>
      <c r="H1313" s="14">
        <v>43497</v>
      </c>
      <c r="I1313" s="4" t="s">
        <v>3970</v>
      </c>
      <c r="J1313" s="22" t="s">
        <v>721</v>
      </c>
      <c r="K1313" s="246"/>
    </row>
    <row r="1314" spans="1:19" hidden="1" x14ac:dyDescent="0.25">
      <c r="A1314" s="32" t="s">
        <v>151</v>
      </c>
      <c r="B1314" s="14">
        <v>43524</v>
      </c>
      <c r="C1314" s="13">
        <v>237</v>
      </c>
      <c r="D1314" s="13" t="s">
        <v>223</v>
      </c>
      <c r="E1314" s="32" t="s">
        <v>1121</v>
      </c>
      <c r="F1314" s="4">
        <v>18900</v>
      </c>
      <c r="G1314" s="28" t="s">
        <v>3143</v>
      </c>
      <c r="H1314" s="14">
        <v>43497</v>
      </c>
      <c r="I1314" s="4" t="s">
        <v>3072</v>
      </c>
      <c r="J1314" s="76"/>
      <c r="K1314" s="246"/>
    </row>
    <row r="1315" spans="1:19" hidden="1" x14ac:dyDescent="0.25">
      <c r="A1315" s="32" t="s">
        <v>151</v>
      </c>
      <c r="B1315" s="14">
        <v>43524</v>
      </c>
      <c r="C1315" s="13">
        <v>47</v>
      </c>
      <c r="D1315" s="13" t="s">
        <v>223</v>
      </c>
      <c r="E1315" s="32" t="s">
        <v>22</v>
      </c>
      <c r="F1315" s="4">
        <v>36300</v>
      </c>
      <c r="G1315" s="28" t="s">
        <v>3142</v>
      </c>
      <c r="H1315" s="14">
        <v>43487</v>
      </c>
      <c r="I1315" s="4" t="s">
        <v>3072</v>
      </c>
      <c r="J1315" s="76"/>
      <c r="K1315" s="246"/>
    </row>
    <row r="1316" spans="1:19" hidden="1" x14ac:dyDescent="0.25">
      <c r="A1316" s="13" t="s">
        <v>151</v>
      </c>
      <c r="B1316" s="14">
        <v>43524</v>
      </c>
      <c r="C1316" s="28" t="s">
        <v>3592</v>
      </c>
      <c r="D1316" s="13" t="s">
        <v>596</v>
      </c>
      <c r="E1316" s="13" t="s">
        <v>22</v>
      </c>
      <c r="F1316" s="4">
        <v>1000</v>
      </c>
      <c r="G1316" s="29" t="s">
        <v>1127</v>
      </c>
      <c r="H1316" s="14">
        <v>43522</v>
      </c>
      <c r="I1316" s="4" t="s">
        <v>3982</v>
      </c>
      <c r="K1316" s="260"/>
    </row>
    <row r="1317" spans="1:19" hidden="1" x14ac:dyDescent="0.25">
      <c r="A1317" s="13" t="s">
        <v>151</v>
      </c>
      <c r="B1317" s="14">
        <v>43524</v>
      </c>
      <c r="C1317" s="13">
        <v>49</v>
      </c>
      <c r="D1317" s="13" t="s">
        <v>619</v>
      </c>
      <c r="E1317" s="32" t="s">
        <v>22</v>
      </c>
      <c r="F1317" s="4">
        <v>37561.54</v>
      </c>
      <c r="G1317" s="28" t="s">
        <v>3525</v>
      </c>
      <c r="H1317" s="14">
        <v>43514</v>
      </c>
      <c r="I1317" s="4" t="s">
        <v>4255</v>
      </c>
      <c r="J1317" s="125"/>
    </row>
    <row r="1318" spans="1:19" s="129" customFormat="1" hidden="1" x14ac:dyDescent="0.25">
      <c r="A1318" s="13" t="s">
        <v>151</v>
      </c>
      <c r="B1318" s="14">
        <v>43524</v>
      </c>
      <c r="C1318" s="28" t="s">
        <v>3273</v>
      </c>
      <c r="D1318" s="13" t="s">
        <v>372</v>
      </c>
      <c r="E1318" s="13" t="s">
        <v>22</v>
      </c>
      <c r="F1318" s="37">
        <v>150000</v>
      </c>
      <c r="G1318" s="28" t="s">
        <v>4616</v>
      </c>
      <c r="H1318" s="14">
        <v>43522</v>
      </c>
      <c r="I1318" s="4" t="s">
        <v>836</v>
      </c>
      <c r="J1318" s="133" t="s">
        <v>2030</v>
      </c>
      <c r="K1318" s="275"/>
    </row>
    <row r="1319" spans="1:19" ht="27.6" hidden="1" x14ac:dyDescent="0.25">
      <c r="A1319" s="32" t="s">
        <v>2019</v>
      </c>
      <c r="B1319" s="14">
        <v>43524</v>
      </c>
      <c r="C1319" s="13">
        <v>239</v>
      </c>
      <c r="D1319" s="32" t="s">
        <v>392</v>
      </c>
      <c r="E1319" s="32" t="s">
        <v>4747</v>
      </c>
      <c r="F1319" s="4">
        <v>2052225.49</v>
      </c>
      <c r="G1319" s="28" t="s">
        <v>114</v>
      </c>
      <c r="H1319" s="14">
        <v>43497</v>
      </c>
      <c r="I1319" s="41" t="s">
        <v>621</v>
      </c>
      <c r="J1319" s="35" t="s">
        <v>239</v>
      </c>
      <c r="K1319" s="167"/>
      <c r="L1319" s="35"/>
    </row>
    <row r="1320" spans="1:19" ht="27.6" hidden="1" x14ac:dyDescent="0.25">
      <c r="A1320" s="32" t="s">
        <v>2020</v>
      </c>
      <c r="B1320" s="14">
        <v>43524</v>
      </c>
      <c r="C1320" s="13">
        <v>240</v>
      </c>
      <c r="D1320" s="32" t="s">
        <v>392</v>
      </c>
      <c r="E1320" s="32" t="s">
        <v>4747</v>
      </c>
      <c r="F1320" s="4">
        <v>2200000</v>
      </c>
      <c r="G1320" s="28" t="s">
        <v>170</v>
      </c>
      <c r="H1320" s="14">
        <v>43497</v>
      </c>
      <c r="I1320" s="41" t="s">
        <v>620</v>
      </c>
      <c r="J1320" s="35" t="s">
        <v>239</v>
      </c>
      <c r="K1320" s="167"/>
      <c r="L1320" s="35"/>
    </row>
    <row r="1321" spans="1:19" s="129" customFormat="1" ht="27.6" hidden="1" x14ac:dyDescent="0.25">
      <c r="A1321" s="13" t="s">
        <v>90</v>
      </c>
      <c r="B1321" s="14">
        <v>43524</v>
      </c>
      <c r="C1321" s="13">
        <v>162</v>
      </c>
      <c r="D1321" s="13" t="s">
        <v>1392</v>
      </c>
      <c r="E1321" s="13" t="s">
        <v>1335</v>
      </c>
      <c r="F1321" s="37">
        <v>32906.589999999997</v>
      </c>
      <c r="G1321" s="29" t="s">
        <v>152</v>
      </c>
      <c r="H1321" s="14">
        <v>43496</v>
      </c>
      <c r="I1321" s="4" t="s">
        <v>546</v>
      </c>
      <c r="J1321" s="35" t="s">
        <v>239</v>
      </c>
      <c r="K1321" s="136"/>
    </row>
    <row r="1322" spans="1:19" s="31" customFormat="1" ht="27.6" hidden="1" x14ac:dyDescent="0.25">
      <c r="A1322" s="13" t="s">
        <v>91</v>
      </c>
      <c r="B1322" s="14">
        <v>43524</v>
      </c>
      <c r="C1322" s="13">
        <v>163</v>
      </c>
      <c r="D1322" s="13" t="s">
        <v>745</v>
      </c>
      <c r="E1322" s="13" t="s">
        <v>2021</v>
      </c>
      <c r="F1322" s="37">
        <v>200000</v>
      </c>
      <c r="G1322" s="29" t="s">
        <v>2018</v>
      </c>
      <c r="H1322" s="14">
        <v>43377</v>
      </c>
      <c r="I1322" s="4" t="s">
        <v>484</v>
      </c>
      <c r="J1322" s="34"/>
      <c r="O1322" s="34"/>
      <c r="P1322" s="34"/>
      <c r="Q1322" s="34"/>
      <c r="R1322" s="34"/>
      <c r="S1322" s="34"/>
    </row>
    <row r="1323" spans="1:19" ht="15" hidden="1" customHeight="1" x14ac:dyDescent="0.25">
      <c r="A1323" s="68" t="s">
        <v>166</v>
      </c>
      <c r="B1323" s="14">
        <v>43524</v>
      </c>
      <c r="C1323" s="67">
        <v>18</v>
      </c>
      <c r="D1323" s="32" t="s">
        <v>156</v>
      </c>
      <c r="E1323" s="32" t="s">
        <v>76</v>
      </c>
      <c r="F1323" s="4">
        <v>57694.13</v>
      </c>
      <c r="G1323" s="28" t="s">
        <v>4515</v>
      </c>
      <c r="H1323" s="14">
        <v>43474</v>
      </c>
      <c r="I1323" s="4" t="s">
        <v>752</v>
      </c>
      <c r="J1323" s="166" t="s">
        <v>327</v>
      </c>
      <c r="K1323" s="167"/>
      <c r="L1323" s="35"/>
    </row>
    <row r="1324" spans="1:19" hidden="1" x14ac:dyDescent="0.25">
      <c r="A1324" s="32" t="s">
        <v>660</v>
      </c>
      <c r="B1324" s="14">
        <v>43524</v>
      </c>
      <c r="C1324" s="67">
        <v>20</v>
      </c>
      <c r="D1324" s="32" t="s">
        <v>595</v>
      </c>
      <c r="E1324" s="32" t="s">
        <v>488</v>
      </c>
      <c r="F1324" s="4">
        <v>156437.95000000001</v>
      </c>
      <c r="G1324" s="29" t="s">
        <v>153</v>
      </c>
      <c r="H1324" s="14">
        <v>43496</v>
      </c>
      <c r="I1324" s="41" t="s">
        <v>949</v>
      </c>
      <c r="J1324" s="35" t="s">
        <v>239</v>
      </c>
      <c r="K1324" s="167"/>
      <c r="L1324" s="35"/>
    </row>
    <row r="1325" spans="1:19" hidden="1" x14ac:dyDescent="0.25">
      <c r="A1325" s="32" t="s">
        <v>659</v>
      </c>
      <c r="B1325" s="14">
        <v>43524</v>
      </c>
      <c r="C1325" s="67">
        <v>21</v>
      </c>
      <c r="D1325" s="32" t="s">
        <v>595</v>
      </c>
      <c r="E1325" s="32" t="s">
        <v>488</v>
      </c>
      <c r="F1325" s="4">
        <v>227065.51</v>
      </c>
      <c r="G1325" s="29" t="s">
        <v>1264</v>
      </c>
      <c r="H1325" s="14">
        <v>43496</v>
      </c>
      <c r="I1325" s="41" t="s">
        <v>949</v>
      </c>
      <c r="J1325" s="35" t="s">
        <v>239</v>
      </c>
      <c r="K1325" s="167"/>
      <c r="L1325" s="35"/>
    </row>
    <row r="1326" spans="1:19" hidden="1" x14ac:dyDescent="0.25">
      <c r="A1326" s="68" t="s">
        <v>908</v>
      </c>
      <c r="B1326" s="14">
        <v>43524</v>
      </c>
      <c r="C1326" s="13">
        <v>410</v>
      </c>
      <c r="D1326" s="32" t="s">
        <v>1077</v>
      </c>
      <c r="E1326" s="32" t="s">
        <v>38</v>
      </c>
      <c r="F1326" s="4">
        <v>10000000</v>
      </c>
      <c r="G1326" s="86" t="s">
        <v>591</v>
      </c>
      <c r="H1326" s="211"/>
      <c r="I1326" s="208" t="s">
        <v>581</v>
      </c>
      <c r="J1326" s="21"/>
      <c r="K1326" s="228"/>
    </row>
    <row r="1327" spans="1:19" ht="13.95" hidden="1" customHeight="1" x14ac:dyDescent="0.25">
      <c r="A1327" s="68" t="s">
        <v>358</v>
      </c>
      <c r="B1327" s="14">
        <v>43524</v>
      </c>
      <c r="C1327" s="13">
        <v>411</v>
      </c>
      <c r="D1327" s="32" t="s">
        <v>1077</v>
      </c>
      <c r="E1327" s="32" t="s">
        <v>38</v>
      </c>
      <c r="F1327" s="4">
        <v>11695178.930000007</v>
      </c>
      <c r="G1327" s="86" t="s">
        <v>410</v>
      </c>
      <c r="H1327" s="211"/>
      <c r="I1327" s="208" t="s">
        <v>581</v>
      </c>
      <c r="J1327" s="21"/>
      <c r="K1327" s="228"/>
    </row>
    <row r="1328" spans="1:19" ht="13.95" hidden="1" customHeight="1" x14ac:dyDescent="0.25">
      <c r="A1328" s="68" t="s">
        <v>358</v>
      </c>
      <c r="B1328" s="14">
        <v>43524</v>
      </c>
      <c r="C1328" s="13">
        <v>412</v>
      </c>
      <c r="D1328" s="32" t="s">
        <v>1077</v>
      </c>
      <c r="E1328" s="32" t="s">
        <v>38</v>
      </c>
      <c r="F1328" s="4">
        <v>23304821.07</v>
      </c>
      <c r="G1328" s="86" t="s">
        <v>410</v>
      </c>
      <c r="H1328" s="211"/>
      <c r="I1328" s="208" t="s">
        <v>581</v>
      </c>
      <c r="J1328" s="21"/>
      <c r="K1328" s="228"/>
    </row>
    <row r="1329" spans="1:12" ht="13.95" hidden="1" customHeight="1" x14ac:dyDescent="0.25">
      <c r="A1329" s="68" t="s">
        <v>904</v>
      </c>
      <c r="B1329" s="14">
        <v>43524</v>
      </c>
      <c r="C1329" s="13">
        <v>412</v>
      </c>
      <c r="D1329" s="32" t="s">
        <v>905</v>
      </c>
      <c r="E1329" s="32" t="s">
        <v>38</v>
      </c>
      <c r="F1329" s="4">
        <v>5000000</v>
      </c>
      <c r="G1329" s="86" t="s">
        <v>906</v>
      </c>
      <c r="H1329" s="211"/>
      <c r="I1329" s="208" t="s">
        <v>581</v>
      </c>
      <c r="J1329" s="21"/>
      <c r="K1329" s="228"/>
    </row>
    <row r="1330" spans="1:12" ht="13.95" hidden="1" customHeight="1" x14ac:dyDescent="0.25">
      <c r="A1330" s="68" t="s">
        <v>536</v>
      </c>
      <c r="B1330" s="14">
        <v>43524</v>
      </c>
      <c r="C1330" s="13">
        <v>348</v>
      </c>
      <c r="D1330" s="32" t="s">
        <v>272</v>
      </c>
      <c r="E1330" s="32" t="s">
        <v>62</v>
      </c>
      <c r="F1330" s="4">
        <v>1200000</v>
      </c>
      <c r="G1330" s="86" t="s">
        <v>537</v>
      </c>
      <c r="H1330" s="211"/>
      <c r="I1330" s="84" t="s">
        <v>273</v>
      </c>
      <c r="J1330" s="21"/>
      <c r="K1330" s="228"/>
    </row>
    <row r="1331" spans="1:12" ht="13.95" hidden="1" customHeight="1" x14ac:dyDescent="0.25">
      <c r="A1331" s="68" t="s">
        <v>534</v>
      </c>
      <c r="B1331" s="14">
        <v>43524</v>
      </c>
      <c r="C1331" s="13">
        <v>349</v>
      </c>
      <c r="D1331" s="32" t="s">
        <v>272</v>
      </c>
      <c r="E1331" s="32" t="s">
        <v>62</v>
      </c>
      <c r="F1331" s="4">
        <v>1400000</v>
      </c>
      <c r="G1331" s="86" t="s">
        <v>535</v>
      </c>
      <c r="H1331" s="211"/>
      <c r="I1331" s="84" t="s">
        <v>273</v>
      </c>
      <c r="J1331" s="21"/>
      <c r="K1331" s="228"/>
    </row>
    <row r="1332" spans="1:12" ht="16.2" hidden="1" customHeight="1" x14ac:dyDescent="0.25">
      <c r="A1332" s="68" t="s">
        <v>129</v>
      </c>
      <c r="B1332" s="14">
        <v>43524</v>
      </c>
      <c r="C1332" s="13">
        <v>350</v>
      </c>
      <c r="D1332" s="13" t="s">
        <v>456</v>
      </c>
      <c r="E1332" s="32" t="s">
        <v>62</v>
      </c>
      <c r="F1332" s="4">
        <v>4805556.46</v>
      </c>
      <c r="G1332" s="86" t="s">
        <v>457</v>
      </c>
      <c r="H1332" s="14"/>
      <c r="I1332" s="4" t="s">
        <v>237</v>
      </c>
      <c r="J1332" s="71"/>
      <c r="K1332" s="62"/>
      <c r="L1332" s="62"/>
    </row>
    <row r="1333" spans="1:12" ht="15" hidden="1" customHeight="1" x14ac:dyDescent="0.25">
      <c r="A1333" s="68" t="s">
        <v>214</v>
      </c>
      <c r="B1333" s="14">
        <v>43524</v>
      </c>
      <c r="C1333" s="13">
        <v>351</v>
      </c>
      <c r="D1333" s="13" t="s">
        <v>456</v>
      </c>
      <c r="E1333" s="32" t="s">
        <v>62</v>
      </c>
      <c r="F1333" s="4">
        <v>4793920</v>
      </c>
      <c r="G1333" s="86" t="s">
        <v>518</v>
      </c>
      <c r="H1333" s="14"/>
      <c r="I1333" s="4" t="s">
        <v>237</v>
      </c>
      <c r="J1333" s="71"/>
      <c r="K1333" s="62"/>
      <c r="L1333" s="62"/>
    </row>
    <row r="1334" spans="1:12" ht="13.95" hidden="1" customHeight="1" x14ac:dyDescent="0.25">
      <c r="A1334" s="68" t="s">
        <v>1165</v>
      </c>
      <c r="B1334" s="14">
        <v>43524</v>
      </c>
      <c r="C1334" s="13">
        <v>352</v>
      </c>
      <c r="D1334" s="32" t="s">
        <v>2759</v>
      </c>
      <c r="E1334" s="32" t="s">
        <v>62</v>
      </c>
      <c r="F1334" s="4">
        <v>3000000</v>
      </c>
      <c r="G1334" s="86" t="s">
        <v>2608</v>
      </c>
      <c r="H1334" s="211"/>
      <c r="I1334" s="84" t="s">
        <v>23</v>
      </c>
      <c r="J1334" s="21"/>
      <c r="K1334" s="228"/>
    </row>
    <row r="1335" spans="1:12" ht="13.95" hidden="1" customHeight="1" x14ac:dyDescent="0.25">
      <c r="A1335" s="68" t="s">
        <v>1732</v>
      </c>
      <c r="B1335" s="14">
        <v>43524</v>
      </c>
      <c r="C1335" s="13">
        <v>353</v>
      </c>
      <c r="D1335" s="32" t="s">
        <v>1664</v>
      </c>
      <c r="E1335" s="32" t="s">
        <v>62</v>
      </c>
      <c r="F1335" s="4">
        <v>9714000</v>
      </c>
      <c r="G1335" s="86" t="s">
        <v>1733</v>
      </c>
      <c r="H1335" s="211"/>
      <c r="I1335" s="208" t="s">
        <v>16</v>
      </c>
      <c r="J1335" s="21"/>
      <c r="K1335" s="228"/>
    </row>
    <row r="1336" spans="1:12" ht="13.95" hidden="1" customHeight="1" x14ac:dyDescent="0.25">
      <c r="A1336" s="68" t="s">
        <v>1730</v>
      </c>
      <c r="B1336" s="14">
        <v>43524</v>
      </c>
      <c r="C1336" s="13">
        <v>354</v>
      </c>
      <c r="D1336" s="32" t="s">
        <v>1664</v>
      </c>
      <c r="E1336" s="32" t="s">
        <v>62</v>
      </c>
      <c r="F1336" s="4">
        <v>5286000</v>
      </c>
      <c r="G1336" s="86" t="s">
        <v>1731</v>
      </c>
      <c r="H1336" s="211"/>
      <c r="I1336" s="208" t="s">
        <v>16</v>
      </c>
      <c r="J1336" s="21"/>
      <c r="K1336" s="228"/>
    </row>
    <row r="1337" spans="1:12" hidden="1" x14ac:dyDescent="0.25">
      <c r="A1337" s="32" t="s">
        <v>1637</v>
      </c>
      <c r="B1337" s="14">
        <v>43524</v>
      </c>
      <c r="C1337" s="13">
        <v>355</v>
      </c>
      <c r="D1337" s="32" t="s">
        <v>1179</v>
      </c>
      <c r="E1337" s="32" t="s">
        <v>62</v>
      </c>
      <c r="F1337" s="4">
        <v>4000000</v>
      </c>
      <c r="G1337" s="86" t="s">
        <v>1696</v>
      </c>
      <c r="H1337" s="211"/>
      <c r="I1337" s="208" t="s">
        <v>237</v>
      </c>
      <c r="J1337" s="21"/>
      <c r="K1337" s="228"/>
    </row>
    <row r="1338" spans="1:12" ht="13.95" hidden="1" customHeight="1" x14ac:dyDescent="0.25">
      <c r="A1338" s="68" t="s">
        <v>92</v>
      </c>
      <c r="B1338" s="14">
        <v>43524</v>
      </c>
      <c r="C1338" s="13">
        <v>356</v>
      </c>
      <c r="D1338" s="32" t="s">
        <v>1144</v>
      </c>
      <c r="E1338" s="32" t="s">
        <v>62</v>
      </c>
      <c r="F1338" s="4">
        <v>2912000</v>
      </c>
      <c r="G1338" s="86" t="s">
        <v>1145</v>
      </c>
      <c r="H1338" s="211"/>
      <c r="I1338" s="41" t="s">
        <v>220</v>
      </c>
      <c r="J1338" s="21"/>
      <c r="K1338" s="228"/>
    </row>
    <row r="1339" spans="1:12" ht="15" hidden="1" customHeight="1" x14ac:dyDescent="0.25">
      <c r="A1339" s="32" t="s">
        <v>1363</v>
      </c>
      <c r="B1339" s="14">
        <v>43524</v>
      </c>
      <c r="C1339" s="13">
        <v>357</v>
      </c>
      <c r="D1339" s="32" t="s">
        <v>454</v>
      </c>
      <c r="E1339" s="32" t="s">
        <v>62</v>
      </c>
      <c r="F1339" s="4">
        <v>2000000</v>
      </c>
      <c r="G1339" s="69" t="s">
        <v>1704</v>
      </c>
      <c r="H1339" s="14"/>
      <c r="I1339" s="4" t="s">
        <v>252</v>
      </c>
      <c r="J1339" s="21"/>
      <c r="K1339" s="228"/>
    </row>
    <row r="1340" spans="1:12" ht="13.95" hidden="1" customHeight="1" x14ac:dyDescent="0.25">
      <c r="A1340" s="32" t="s">
        <v>129</v>
      </c>
      <c r="B1340" s="14">
        <v>43524</v>
      </c>
      <c r="C1340" s="13">
        <v>358</v>
      </c>
      <c r="D1340" s="32" t="s">
        <v>352</v>
      </c>
      <c r="E1340" s="32" t="s">
        <v>62</v>
      </c>
      <c r="F1340" s="4">
        <v>390870</v>
      </c>
      <c r="G1340" s="69" t="s">
        <v>580</v>
      </c>
      <c r="H1340" s="14"/>
      <c r="I1340" s="4" t="s">
        <v>804</v>
      </c>
      <c r="J1340" s="21"/>
      <c r="K1340" s="228"/>
    </row>
    <row r="1341" spans="1:12" s="97" customFormat="1" hidden="1" x14ac:dyDescent="0.25">
      <c r="A1341" s="68" t="s">
        <v>160</v>
      </c>
      <c r="B1341" s="14">
        <v>43524</v>
      </c>
      <c r="C1341" s="13">
        <v>359</v>
      </c>
      <c r="D1341" s="13" t="s">
        <v>982</v>
      </c>
      <c r="E1341" s="13" t="s">
        <v>62</v>
      </c>
      <c r="F1341" s="37">
        <v>500000</v>
      </c>
      <c r="G1341" s="29" t="s">
        <v>1296</v>
      </c>
      <c r="H1341" s="14">
        <v>41319</v>
      </c>
      <c r="I1341" s="4" t="s">
        <v>1093</v>
      </c>
      <c r="J1341" s="133"/>
      <c r="K1341" s="22"/>
      <c r="L1341" s="134"/>
    </row>
    <row r="1342" spans="1:12" s="97" customFormat="1" hidden="1" x14ac:dyDescent="0.25">
      <c r="A1342" s="13" t="s">
        <v>160</v>
      </c>
      <c r="B1342" s="14">
        <v>43524</v>
      </c>
      <c r="C1342" s="13">
        <v>360</v>
      </c>
      <c r="D1342" s="13" t="s">
        <v>590</v>
      </c>
      <c r="E1342" s="13" t="s">
        <v>62</v>
      </c>
      <c r="F1342" s="4">
        <v>4477039.7699999996</v>
      </c>
      <c r="G1342" s="29" t="s">
        <v>1197</v>
      </c>
      <c r="H1342" s="14">
        <v>41572</v>
      </c>
      <c r="I1342" s="4" t="s">
        <v>159</v>
      </c>
      <c r="J1342" s="133"/>
      <c r="K1342" s="22"/>
      <c r="L1342" s="134"/>
    </row>
    <row r="1343" spans="1:12" s="97" customFormat="1" hidden="1" x14ac:dyDescent="0.25">
      <c r="A1343" s="61" t="s">
        <v>442</v>
      </c>
      <c r="B1343" s="14">
        <v>43524</v>
      </c>
      <c r="C1343" s="13">
        <v>361</v>
      </c>
      <c r="D1343" s="13" t="s">
        <v>304</v>
      </c>
      <c r="E1343" s="13" t="s">
        <v>62</v>
      </c>
      <c r="F1343" s="37">
        <v>523428</v>
      </c>
      <c r="G1343" s="29" t="s">
        <v>3866</v>
      </c>
      <c r="H1343" s="14">
        <v>43488</v>
      </c>
      <c r="I1343" s="4" t="s">
        <v>1826</v>
      </c>
      <c r="J1343" s="133"/>
      <c r="K1343" s="22"/>
      <c r="L1343" s="134"/>
    </row>
    <row r="1344" spans="1:12" s="97" customFormat="1" hidden="1" x14ac:dyDescent="0.25">
      <c r="A1344" s="32" t="s">
        <v>91</v>
      </c>
      <c r="B1344" s="14">
        <v>43524</v>
      </c>
      <c r="C1344" s="13">
        <v>362</v>
      </c>
      <c r="D1344" s="13" t="s">
        <v>157</v>
      </c>
      <c r="E1344" s="13" t="s">
        <v>62</v>
      </c>
      <c r="F1344" s="4">
        <v>940135.2</v>
      </c>
      <c r="G1344" s="28" t="s">
        <v>3406</v>
      </c>
      <c r="H1344" s="14">
        <v>43488</v>
      </c>
      <c r="I1344" s="4" t="s">
        <v>305</v>
      </c>
      <c r="J1344" s="133"/>
      <c r="K1344" s="22"/>
      <c r="L1344" s="134"/>
    </row>
    <row r="1345" spans="1:12" s="97" customFormat="1" hidden="1" x14ac:dyDescent="0.25">
      <c r="A1345" s="13" t="s">
        <v>442</v>
      </c>
      <c r="B1345" s="14">
        <v>43524</v>
      </c>
      <c r="C1345" s="13">
        <v>363</v>
      </c>
      <c r="D1345" s="13" t="s">
        <v>740</v>
      </c>
      <c r="E1345" s="13" t="s">
        <v>62</v>
      </c>
      <c r="F1345" s="37">
        <v>255000</v>
      </c>
      <c r="G1345" s="29" t="s">
        <v>2542</v>
      </c>
      <c r="H1345" s="14">
        <v>43413</v>
      </c>
      <c r="I1345" s="4" t="s">
        <v>1691</v>
      </c>
      <c r="J1345" s="133"/>
      <c r="K1345" s="22"/>
      <c r="L1345" s="134"/>
    </row>
    <row r="1346" spans="1:12" s="97" customFormat="1" hidden="1" x14ac:dyDescent="0.25">
      <c r="A1346" s="61" t="s">
        <v>92</v>
      </c>
      <c r="B1346" s="14">
        <v>43524</v>
      </c>
      <c r="C1346" s="13">
        <v>364</v>
      </c>
      <c r="D1346" s="13" t="s">
        <v>448</v>
      </c>
      <c r="E1346" s="13" t="s">
        <v>62</v>
      </c>
      <c r="F1346" s="37">
        <v>10400</v>
      </c>
      <c r="G1346" s="29" t="s">
        <v>152</v>
      </c>
      <c r="H1346" s="14">
        <v>43495</v>
      </c>
      <c r="I1346" s="4" t="s">
        <v>63</v>
      </c>
      <c r="J1346" s="133"/>
      <c r="K1346" s="22"/>
      <c r="L1346" s="134"/>
    </row>
    <row r="1347" spans="1:12" s="97" customFormat="1" hidden="1" x14ac:dyDescent="0.25">
      <c r="A1347" s="61" t="s">
        <v>91</v>
      </c>
      <c r="B1347" s="14">
        <v>43524</v>
      </c>
      <c r="C1347" s="13">
        <v>364</v>
      </c>
      <c r="D1347" s="13" t="s">
        <v>448</v>
      </c>
      <c r="E1347" s="13" t="s">
        <v>62</v>
      </c>
      <c r="F1347" s="37">
        <v>10400</v>
      </c>
      <c r="G1347" s="29" t="s">
        <v>150</v>
      </c>
      <c r="H1347" s="14">
        <v>43495</v>
      </c>
      <c r="I1347" s="4" t="s">
        <v>63</v>
      </c>
      <c r="J1347" s="133"/>
      <c r="K1347" s="22"/>
      <c r="L1347" s="134"/>
    </row>
    <row r="1348" spans="1:12" s="97" customFormat="1" hidden="1" x14ac:dyDescent="0.25">
      <c r="A1348" s="32" t="s">
        <v>92</v>
      </c>
      <c r="B1348" s="14">
        <v>43524</v>
      </c>
      <c r="C1348" s="13">
        <v>364</v>
      </c>
      <c r="D1348" s="13" t="s">
        <v>448</v>
      </c>
      <c r="E1348" s="13" t="s">
        <v>62</v>
      </c>
      <c r="F1348" s="4">
        <v>10400</v>
      </c>
      <c r="G1348" s="28" t="s">
        <v>153</v>
      </c>
      <c r="H1348" s="14">
        <v>43495</v>
      </c>
      <c r="I1348" s="4" t="s">
        <v>63</v>
      </c>
      <c r="J1348" s="133"/>
      <c r="K1348" s="22"/>
      <c r="L1348" s="134"/>
    </row>
    <row r="1349" spans="1:12" s="97" customFormat="1" hidden="1" x14ac:dyDescent="0.25">
      <c r="A1349" s="32" t="s">
        <v>358</v>
      </c>
      <c r="B1349" s="14">
        <v>43524</v>
      </c>
      <c r="C1349" s="13">
        <v>364</v>
      </c>
      <c r="D1349" s="13" t="s">
        <v>448</v>
      </c>
      <c r="E1349" s="13" t="s">
        <v>62</v>
      </c>
      <c r="F1349" s="4">
        <v>9880</v>
      </c>
      <c r="G1349" s="28" t="s">
        <v>1402</v>
      </c>
      <c r="H1349" s="14">
        <v>43495</v>
      </c>
      <c r="I1349" s="4" t="s">
        <v>63</v>
      </c>
      <c r="J1349" s="133"/>
      <c r="K1349" s="22"/>
      <c r="L1349" s="134"/>
    </row>
    <row r="1350" spans="1:12" s="97" customFormat="1" hidden="1" x14ac:dyDescent="0.25">
      <c r="A1350" s="32" t="s">
        <v>442</v>
      </c>
      <c r="B1350" s="14">
        <v>43524</v>
      </c>
      <c r="C1350" s="13">
        <v>365</v>
      </c>
      <c r="D1350" s="13" t="s">
        <v>869</v>
      </c>
      <c r="E1350" s="13" t="s">
        <v>62</v>
      </c>
      <c r="F1350" s="4">
        <v>48775.49</v>
      </c>
      <c r="G1350" s="28" t="s">
        <v>3621</v>
      </c>
      <c r="H1350" s="14">
        <v>43494</v>
      </c>
      <c r="I1350" s="4" t="s">
        <v>572</v>
      </c>
      <c r="J1350" s="133"/>
      <c r="K1350" s="22"/>
      <c r="L1350" s="134"/>
    </row>
    <row r="1351" spans="1:12" s="97" customFormat="1" hidden="1" x14ac:dyDescent="0.25">
      <c r="A1351" s="61" t="s">
        <v>442</v>
      </c>
      <c r="B1351" s="14">
        <v>43524</v>
      </c>
      <c r="C1351" s="13">
        <v>366</v>
      </c>
      <c r="D1351" s="13" t="s">
        <v>1032</v>
      </c>
      <c r="E1351" s="13" t="s">
        <v>62</v>
      </c>
      <c r="F1351" s="37">
        <v>36750</v>
      </c>
      <c r="G1351" s="29" t="s">
        <v>3895</v>
      </c>
      <c r="H1351" s="14">
        <v>43489</v>
      </c>
      <c r="I1351" s="4" t="s">
        <v>142</v>
      </c>
      <c r="J1351" s="133"/>
      <c r="K1351" s="22"/>
      <c r="L1351" s="134"/>
    </row>
    <row r="1352" spans="1:12" s="97" customFormat="1" hidden="1" x14ac:dyDescent="0.25">
      <c r="A1352" s="61" t="s">
        <v>442</v>
      </c>
      <c r="B1352" s="14">
        <v>43524</v>
      </c>
      <c r="C1352" s="13">
        <v>366</v>
      </c>
      <c r="D1352" s="13" t="s">
        <v>1032</v>
      </c>
      <c r="E1352" s="13" t="s">
        <v>62</v>
      </c>
      <c r="F1352" s="37">
        <v>66150</v>
      </c>
      <c r="G1352" s="29" t="s">
        <v>3896</v>
      </c>
      <c r="H1352" s="14">
        <v>43489</v>
      </c>
      <c r="I1352" s="4" t="s">
        <v>142</v>
      </c>
      <c r="J1352" s="133"/>
      <c r="K1352" s="22"/>
      <c r="L1352" s="134"/>
    </row>
    <row r="1353" spans="1:12" s="97" customFormat="1" hidden="1" x14ac:dyDescent="0.25">
      <c r="A1353" s="61" t="s">
        <v>442</v>
      </c>
      <c r="B1353" s="14">
        <v>43524</v>
      </c>
      <c r="C1353" s="13">
        <v>367</v>
      </c>
      <c r="D1353" s="13" t="s">
        <v>100</v>
      </c>
      <c r="E1353" s="13" t="s">
        <v>62</v>
      </c>
      <c r="F1353" s="37">
        <v>360028.8</v>
      </c>
      <c r="G1353" s="29" t="s">
        <v>1128</v>
      </c>
      <c r="H1353" s="14">
        <v>43495</v>
      </c>
      <c r="I1353" s="4" t="s">
        <v>572</v>
      </c>
      <c r="J1353" s="133"/>
      <c r="K1353" s="22"/>
      <c r="L1353" s="134"/>
    </row>
    <row r="1354" spans="1:12" s="97" customFormat="1" hidden="1" x14ac:dyDescent="0.25">
      <c r="A1354" s="61" t="s">
        <v>442</v>
      </c>
      <c r="B1354" s="14">
        <v>43524</v>
      </c>
      <c r="C1354" s="13">
        <v>367</v>
      </c>
      <c r="D1354" s="13" t="s">
        <v>100</v>
      </c>
      <c r="E1354" s="13" t="s">
        <v>62</v>
      </c>
      <c r="F1354" s="37">
        <v>361028.88</v>
      </c>
      <c r="G1354" s="29" t="s">
        <v>4380</v>
      </c>
      <c r="H1354" s="14">
        <v>43501</v>
      </c>
      <c r="I1354" s="4" t="s">
        <v>572</v>
      </c>
      <c r="J1354" s="133"/>
      <c r="K1354" s="22"/>
      <c r="L1354" s="134"/>
    </row>
    <row r="1355" spans="1:12" s="97" customFormat="1" hidden="1" x14ac:dyDescent="0.25">
      <c r="A1355" s="61" t="s">
        <v>442</v>
      </c>
      <c r="B1355" s="14">
        <v>43524</v>
      </c>
      <c r="C1355" s="13">
        <v>368</v>
      </c>
      <c r="D1355" s="13" t="s">
        <v>868</v>
      </c>
      <c r="E1355" s="13" t="s">
        <v>62</v>
      </c>
      <c r="F1355" s="37">
        <v>20345</v>
      </c>
      <c r="G1355" s="29" t="s">
        <v>2434</v>
      </c>
      <c r="H1355" s="14">
        <v>43494</v>
      </c>
      <c r="I1355" s="4" t="s">
        <v>345</v>
      </c>
      <c r="J1355" s="133"/>
      <c r="K1355" s="22"/>
      <c r="L1355" s="134"/>
    </row>
    <row r="1356" spans="1:12" s="97" customFormat="1" hidden="1" x14ac:dyDescent="0.25">
      <c r="A1356" s="61" t="s">
        <v>442</v>
      </c>
      <c r="B1356" s="14">
        <v>43524</v>
      </c>
      <c r="C1356" s="13">
        <v>369</v>
      </c>
      <c r="D1356" s="13" t="s">
        <v>280</v>
      </c>
      <c r="E1356" s="13" t="s">
        <v>62</v>
      </c>
      <c r="F1356" s="37">
        <v>69281</v>
      </c>
      <c r="G1356" s="29" t="s">
        <v>3142</v>
      </c>
      <c r="H1356" s="14">
        <v>43489</v>
      </c>
      <c r="I1356" s="4" t="s">
        <v>3618</v>
      </c>
      <c r="J1356" s="133"/>
      <c r="K1356" s="22"/>
      <c r="L1356" s="134"/>
    </row>
    <row r="1357" spans="1:12" s="97" customFormat="1" hidden="1" x14ac:dyDescent="0.25">
      <c r="A1357" s="13" t="s">
        <v>91</v>
      </c>
      <c r="B1357" s="14">
        <v>43524</v>
      </c>
      <c r="C1357" s="13">
        <v>369</v>
      </c>
      <c r="D1357" s="13" t="s">
        <v>280</v>
      </c>
      <c r="E1357" s="13" t="s">
        <v>62</v>
      </c>
      <c r="F1357" s="37">
        <v>28745</v>
      </c>
      <c r="G1357" s="29" t="s">
        <v>33</v>
      </c>
      <c r="H1357" s="14">
        <v>43495</v>
      </c>
      <c r="I1357" s="4" t="s">
        <v>3887</v>
      </c>
      <c r="J1357" s="133"/>
      <c r="K1357" s="22"/>
      <c r="L1357" s="134"/>
    </row>
    <row r="1358" spans="1:12" s="97" customFormat="1" hidden="1" x14ac:dyDescent="0.25">
      <c r="A1358" s="13" t="s">
        <v>92</v>
      </c>
      <c r="B1358" s="14">
        <v>43524</v>
      </c>
      <c r="C1358" s="13">
        <v>369</v>
      </c>
      <c r="D1358" s="13" t="s">
        <v>280</v>
      </c>
      <c r="E1358" s="13" t="s">
        <v>62</v>
      </c>
      <c r="F1358" s="37">
        <v>46150</v>
      </c>
      <c r="G1358" s="29" t="s">
        <v>724</v>
      </c>
      <c r="H1358" s="14">
        <v>43495</v>
      </c>
      <c r="I1358" s="4" t="s">
        <v>3888</v>
      </c>
      <c r="J1358" s="133"/>
      <c r="K1358" s="22"/>
      <c r="L1358" s="134"/>
    </row>
    <row r="1359" spans="1:12" s="97" customFormat="1" hidden="1" x14ac:dyDescent="0.25">
      <c r="A1359" s="61" t="s">
        <v>55</v>
      </c>
      <c r="B1359" s="14">
        <v>43524</v>
      </c>
      <c r="C1359" s="13">
        <v>369</v>
      </c>
      <c r="D1359" s="13" t="s">
        <v>280</v>
      </c>
      <c r="E1359" s="13" t="s">
        <v>62</v>
      </c>
      <c r="F1359" s="37">
        <v>17440</v>
      </c>
      <c r="G1359" s="29" t="s">
        <v>299</v>
      </c>
      <c r="H1359" s="14">
        <v>43495</v>
      </c>
      <c r="I1359" s="4" t="s">
        <v>3889</v>
      </c>
      <c r="J1359" s="133"/>
      <c r="K1359" s="22"/>
      <c r="L1359" s="134"/>
    </row>
    <row r="1360" spans="1:12" s="97" customFormat="1" hidden="1" x14ac:dyDescent="0.25">
      <c r="A1360" s="13" t="s">
        <v>91</v>
      </c>
      <c r="B1360" s="14">
        <v>43524</v>
      </c>
      <c r="C1360" s="13">
        <v>370</v>
      </c>
      <c r="D1360" s="13" t="s">
        <v>304</v>
      </c>
      <c r="E1360" s="13" t="s">
        <v>62</v>
      </c>
      <c r="F1360" s="37">
        <v>17025</v>
      </c>
      <c r="G1360" s="29" t="s">
        <v>3883</v>
      </c>
      <c r="H1360" s="14">
        <v>43496</v>
      </c>
      <c r="I1360" s="4" t="s">
        <v>374</v>
      </c>
      <c r="J1360" s="133"/>
      <c r="K1360" s="22"/>
      <c r="L1360" s="134"/>
    </row>
    <row r="1361" spans="1:12" s="97" customFormat="1" hidden="1" x14ac:dyDescent="0.25">
      <c r="A1361" s="61" t="s">
        <v>358</v>
      </c>
      <c r="B1361" s="14">
        <v>43524</v>
      </c>
      <c r="C1361" s="13">
        <v>371</v>
      </c>
      <c r="D1361" s="13" t="s">
        <v>72</v>
      </c>
      <c r="E1361" s="13" t="s">
        <v>62</v>
      </c>
      <c r="F1361" s="37">
        <v>46205.62</v>
      </c>
      <c r="G1361" s="29" t="s">
        <v>3436</v>
      </c>
      <c r="H1361" s="14">
        <v>43487</v>
      </c>
      <c r="I1361" s="4" t="s">
        <v>3437</v>
      </c>
      <c r="J1361" s="133"/>
      <c r="K1361" s="22"/>
      <c r="L1361" s="134"/>
    </row>
    <row r="1362" spans="1:12" s="97" customFormat="1" hidden="1" x14ac:dyDescent="0.25">
      <c r="A1362" s="61" t="s">
        <v>442</v>
      </c>
      <c r="B1362" s="14">
        <v>43524</v>
      </c>
      <c r="C1362" s="13">
        <v>371</v>
      </c>
      <c r="D1362" s="13" t="s">
        <v>72</v>
      </c>
      <c r="E1362" s="13" t="s">
        <v>62</v>
      </c>
      <c r="F1362" s="37">
        <v>30644</v>
      </c>
      <c r="G1362" s="29" t="s">
        <v>1300</v>
      </c>
      <c r="H1362" s="14">
        <v>43494</v>
      </c>
      <c r="I1362" s="4" t="s">
        <v>3613</v>
      </c>
      <c r="J1362" s="133"/>
      <c r="K1362" s="22"/>
      <c r="L1362" s="134"/>
    </row>
    <row r="1363" spans="1:12" s="97" customFormat="1" hidden="1" x14ac:dyDescent="0.25">
      <c r="A1363" s="32" t="s">
        <v>442</v>
      </c>
      <c r="B1363" s="14">
        <v>43524</v>
      </c>
      <c r="C1363" s="13">
        <v>372</v>
      </c>
      <c r="D1363" s="13" t="s">
        <v>666</v>
      </c>
      <c r="E1363" s="13" t="s">
        <v>62</v>
      </c>
      <c r="F1363" s="4">
        <v>28300</v>
      </c>
      <c r="G1363" s="28" t="s">
        <v>1510</v>
      </c>
      <c r="H1363" s="14">
        <v>43495</v>
      </c>
      <c r="I1363" s="4" t="s">
        <v>3877</v>
      </c>
      <c r="J1363" s="133"/>
      <c r="K1363" s="22"/>
      <c r="L1363" s="134"/>
    </row>
    <row r="1364" spans="1:12" hidden="1" x14ac:dyDescent="0.25">
      <c r="A1364" s="61" t="s">
        <v>442</v>
      </c>
      <c r="B1364" s="14">
        <v>43524</v>
      </c>
      <c r="C1364" s="13">
        <v>373</v>
      </c>
      <c r="D1364" s="13" t="s">
        <v>29</v>
      </c>
      <c r="E1364" s="13" t="s">
        <v>62</v>
      </c>
      <c r="F1364" s="37">
        <v>36000</v>
      </c>
      <c r="G1364" s="29" t="s">
        <v>1264</v>
      </c>
      <c r="H1364" s="14">
        <v>43494</v>
      </c>
      <c r="I1364" s="4" t="s">
        <v>87</v>
      </c>
    </row>
    <row r="1365" spans="1:12" hidden="1" x14ac:dyDescent="0.25">
      <c r="A1365" s="61" t="s">
        <v>442</v>
      </c>
      <c r="B1365" s="14">
        <v>43524</v>
      </c>
      <c r="C1365" s="13">
        <v>373</v>
      </c>
      <c r="D1365" s="13" t="s">
        <v>29</v>
      </c>
      <c r="E1365" s="13" t="s">
        <v>62</v>
      </c>
      <c r="F1365" s="37">
        <v>27200</v>
      </c>
      <c r="G1365" s="29" t="s">
        <v>2910</v>
      </c>
      <c r="H1365" s="14">
        <v>43495</v>
      </c>
      <c r="I1365" s="4" t="s">
        <v>95</v>
      </c>
    </row>
    <row r="1366" spans="1:12" hidden="1" x14ac:dyDescent="0.25">
      <c r="A1366" s="61" t="s">
        <v>92</v>
      </c>
      <c r="B1366" s="14">
        <v>43524</v>
      </c>
      <c r="C1366" s="13">
        <v>373</v>
      </c>
      <c r="D1366" s="13" t="s">
        <v>29</v>
      </c>
      <c r="E1366" s="13" t="s">
        <v>62</v>
      </c>
      <c r="F1366" s="37">
        <v>173400</v>
      </c>
      <c r="G1366" s="29" t="s">
        <v>2911</v>
      </c>
      <c r="H1366" s="14">
        <v>43496</v>
      </c>
      <c r="I1366" s="4" t="s">
        <v>95</v>
      </c>
    </row>
    <row r="1367" spans="1:12" hidden="1" x14ac:dyDescent="0.25">
      <c r="A1367" s="61" t="s">
        <v>103</v>
      </c>
      <c r="B1367" s="14">
        <v>43524</v>
      </c>
      <c r="C1367" s="13">
        <v>374</v>
      </c>
      <c r="D1367" s="13" t="s">
        <v>2047</v>
      </c>
      <c r="E1367" s="13" t="s">
        <v>62</v>
      </c>
      <c r="F1367" s="37">
        <v>11900</v>
      </c>
      <c r="G1367" s="29" t="s">
        <v>3852</v>
      </c>
      <c r="H1367" s="14">
        <v>43500</v>
      </c>
      <c r="I1367" s="4" t="s">
        <v>95</v>
      </c>
    </row>
    <row r="1368" spans="1:12" hidden="1" x14ac:dyDescent="0.25">
      <c r="A1368" s="61" t="s">
        <v>358</v>
      </c>
      <c r="B1368" s="14">
        <v>43524</v>
      </c>
      <c r="C1368" s="13">
        <v>375</v>
      </c>
      <c r="D1368" s="13" t="s">
        <v>2115</v>
      </c>
      <c r="E1368" s="13" t="s">
        <v>62</v>
      </c>
      <c r="F1368" s="37">
        <v>234600</v>
      </c>
      <c r="G1368" s="29" t="s">
        <v>2955</v>
      </c>
      <c r="H1368" s="14">
        <v>43496</v>
      </c>
      <c r="I1368" s="4" t="s">
        <v>1602</v>
      </c>
    </row>
    <row r="1369" spans="1:12" hidden="1" x14ac:dyDescent="0.25">
      <c r="A1369" s="61" t="s">
        <v>103</v>
      </c>
      <c r="B1369" s="14">
        <v>43524</v>
      </c>
      <c r="C1369" s="13">
        <v>376</v>
      </c>
      <c r="D1369" s="13" t="s">
        <v>862</v>
      </c>
      <c r="E1369" s="13" t="s">
        <v>62</v>
      </c>
      <c r="F1369" s="37">
        <v>48750</v>
      </c>
      <c r="G1369" s="29" t="s">
        <v>4319</v>
      </c>
      <c r="H1369" s="14">
        <v>43501</v>
      </c>
      <c r="I1369" s="4" t="s">
        <v>354</v>
      </c>
    </row>
    <row r="1370" spans="1:12" hidden="1" x14ac:dyDescent="0.25">
      <c r="A1370" s="61" t="s">
        <v>91</v>
      </c>
      <c r="B1370" s="14">
        <v>43524</v>
      </c>
      <c r="C1370" s="13">
        <v>377</v>
      </c>
      <c r="D1370" s="13" t="s">
        <v>149</v>
      </c>
      <c r="E1370" s="13" t="s">
        <v>62</v>
      </c>
      <c r="F1370" s="37">
        <v>52500</v>
      </c>
      <c r="G1370" s="29" t="s">
        <v>1746</v>
      </c>
      <c r="H1370" s="14">
        <v>43480</v>
      </c>
      <c r="I1370" s="4" t="s">
        <v>3402</v>
      </c>
    </row>
    <row r="1371" spans="1:12" ht="13.95" hidden="1" customHeight="1" x14ac:dyDescent="0.25">
      <c r="A1371" s="13" t="s">
        <v>151</v>
      </c>
      <c r="B1371" s="14">
        <v>43524</v>
      </c>
      <c r="C1371" s="13">
        <v>378</v>
      </c>
      <c r="D1371" s="32" t="s">
        <v>4499</v>
      </c>
      <c r="E1371" s="32" t="s">
        <v>62</v>
      </c>
      <c r="F1371" s="4">
        <v>1030</v>
      </c>
      <c r="G1371" s="29" t="s">
        <v>4500</v>
      </c>
      <c r="H1371" s="14">
        <v>43516</v>
      </c>
      <c r="I1371" s="41" t="s">
        <v>4501</v>
      </c>
      <c r="J1371" s="21"/>
      <c r="K1371" s="228"/>
    </row>
    <row r="1372" spans="1:12" ht="13.95" hidden="1" customHeight="1" x14ac:dyDescent="0.25">
      <c r="A1372" s="13" t="s">
        <v>103</v>
      </c>
      <c r="B1372" s="14">
        <v>43524</v>
      </c>
      <c r="C1372" s="13">
        <v>379</v>
      </c>
      <c r="D1372" s="32" t="s">
        <v>910</v>
      </c>
      <c r="E1372" s="32" t="s">
        <v>62</v>
      </c>
      <c r="F1372" s="4">
        <v>2920</v>
      </c>
      <c r="G1372" s="29" t="s">
        <v>4488</v>
      </c>
      <c r="H1372" s="14">
        <v>43496</v>
      </c>
      <c r="I1372" s="41" t="s">
        <v>911</v>
      </c>
      <c r="J1372" s="21" t="s">
        <v>239</v>
      </c>
      <c r="K1372" s="228"/>
    </row>
    <row r="1373" spans="1:12" ht="13.95" hidden="1" customHeight="1" x14ac:dyDescent="0.25">
      <c r="A1373" s="13" t="s">
        <v>261</v>
      </c>
      <c r="B1373" s="242">
        <v>43524</v>
      </c>
      <c r="C1373" s="13">
        <v>361</v>
      </c>
      <c r="D1373" s="13" t="s">
        <v>950</v>
      </c>
      <c r="E1373" s="13" t="s">
        <v>808</v>
      </c>
      <c r="F1373" s="4">
        <v>5000000</v>
      </c>
      <c r="G1373" s="86" t="s">
        <v>957</v>
      </c>
      <c r="H1373" s="14"/>
      <c r="I1373" s="4" t="s">
        <v>361</v>
      </c>
      <c r="K1373" s="228"/>
    </row>
    <row r="1374" spans="1:12" ht="13.95" hidden="1" customHeight="1" x14ac:dyDescent="0.25">
      <c r="A1374" s="61" t="s">
        <v>1148</v>
      </c>
      <c r="B1374" s="242">
        <v>43524</v>
      </c>
      <c r="C1374" s="13">
        <v>363</v>
      </c>
      <c r="D1374" s="32" t="s">
        <v>588</v>
      </c>
      <c r="E1374" s="32" t="s">
        <v>808</v>
      </c>
      <c r="F1374" s="4">
        <v>3471269.25</v>
      </c>
      <c r="G1374" s="86" t="s">
        <v>3714</v>
      </c>
      <c r="H1374" s="211"/>
      <c r="I1374" s="4" t="s">
        <v>82</v>
      </c>
      <c r="J1374" s="21"/>
      <c r="K1374" s="228"/>
    </row>
    <row r="1375" spans="1:12" ht="13.95" hidden="1" customHeight="1" x14ac:dyDescent="0.25">
      <c r="A1375" s="61" t="s">
        <v>1149</v>
      </c>
      <c r="B1375" s="242">
        <v>43524</v>
      </c>
      <c r="C1375" s="13">
        <v>362</v>
      </c>
      <c r="D1375" s="32" t="s">
        <v>588</v>
      </c>
      <c r="E1375" s="32" t="s">
        <v>808</v>
      </c>
      <c r="F1375" s="4">
        <v>377180</v>
      </c>
      <c r="G1375" s="86" t="s">
        <v>2597</v>
      </c>
      <c r="H1375" s="211"/>
      <c r="I1375" s="4" t="s">
        <v>82</v>
      </c>
      <c r="J1375" s="21"/>
      <c r="K1375" s="228"/>
    </row>
    <row r="1376" spans="1:12" ht="13.95" hidden="1" customHeight="1" x14ac:dyDescent="0.25">
      <c r="A1376" s="32" t="s">
        <v>1316</v>
      </c>
      <c r="B1376" s="242">
        <v>43524</v>
      </c>
      <c r="C1376" s="13">
        <v>383</v>
      </c>
      <c r="D1376" s="32" t="s">
        <v>1725</v>
      </c>
      <c r="E1376" s="32" t="s">
        <v>808</v>
      </c>
      <c r="F1376" s="4">
        <v>1000000</v>
      </c>
      <c r="G1376" s="69" t="s">
        <v>1532</v>
      </c>
      <c r="H1376" s="14"/>
      <c r="I1376" s="4" t="s">
        <v>24</v>
      </c>
      <c r="J1376" s="21"/>
      <c r="K1376" s="228"/>
    </row>
    <row r="1377" spans="1:12" hidden="1" x14ac:dyDescent="0.25">
      <c r="A1377" s="32" t="s">
        <v>4208</v>
      </c>
      <c r="B1377" s="242">
        <v>43524</v>
      </c>
      <c r="C1377" s="13">
        <v>364</v>
      </c>
      <c r="D1377" s="32" t="s">
        <v>3628</v>
      </c>
      <c r="E1377" s="32" t="s">
        <v>808</v>
      </c>
      <c r="F1377" s="4">
        <v>70000</v>
      </c>
      <c r="G1377" s="29" t="s">
        <v>4209</v>
      </c>
      <c r="H1377" s="14">
        <v>43508</v>
      </c>
      <c r="I1377" s="4" t="s">
        <v>4210</v>
      </c>
      <c r="J1377" s="21" t="s">
        <v>754</v>
      </c>
      <c r="K1377" s="228"/>
    </row>
    <row r="1378" spans="1:12" s="97" customFormat="1" hidden="1" x14ac:dyDescent="0.25">
      <c r="A1378" s="32" t="s">
        <v>1147</v>
      </c>
      <c r="B1378" s="242">
        <v>43524</v>
      </c>
      <c r="C1378" s="13">
        <v>380</v>
      </c>
      <c r="D1378" s="13" t="s">
        <v>257</v>
      </c>
      <c r="E1378" s="13" t="s">
        <v>808</v>
      </c>
      <c r="F1378" s="4">
        <v>831726</v>
      </c>
      <c r="G1378" s="28" t="s">
        <v>3421</v>
      </c>
      <c r="H1378" s="14">
        <v>43482</v>
      </c>
      <c r="I1378" s="4" t="s">
        <v>3422</v>
      </c>
      <c r="J1378" s="133"/>
      <c r="K1378" s="22"/>
      <c r="L1378" s="134"/>
    </row>
    <row r="1379" spans="1:12" s="97" customFormat="1" hidden="1" x14ac:dyDescent="0.25">
      <c r="A1379" s="32" t="s">
        <v>1147</v>
      </c>
      <c r="B1379" s="242">
        <v>43524</v>
      </c>
      <c r="C1379" s="13">
        <v>380</v>
      </c>
      <c r="D1379" s="13" t="s">
        <v>257</v>
      </c>
      <c r="E1379" s="13" t="s">
        <v>808</v>
      </c>
      <c r="F1379" s="4">
        <v>824108.4</v>
      </c>
      <c r="G1379" s="28" t="s">
        <v>3423</v>
      </c>
      <c r="H1379" s="14">
        <v>43482</v>
      </c>
      <c r="I1379" s="4" t="s">
        <v>1207</v>
      </c>
      <c r="J1379" s="133"/>
      <c r="K1379" s="22"/>
      <c r="L1379" s="134"/>
    </row>
    <row r="1380" spans="1:12" s="97" customFormat="1" hidden="1" x14ac:dyDescent="0.25">
      <c r="A1380" s="68" t="s">
        <v>1148</v>
      </c>
      <c r="B1380" s="242">
        <v>43524</v>
      </c>
      <c r="C1380" s="13">
        <v>365</v>
      </c>
      <c r="D1380" s="13" t="s">
        <v>539</v>
      </c>
      <c r="E1380" s="13" t="s">
        <v>808</v>
      </c>
      <c r="F1380" s="4">
        <v>748220</v>
      </c>
      <c r="G1380" s="70" t="s">
        <v>3601</v>
      </c>
      <c r="H1380" s="211">
        <v>43493</v>
      </c>
      <c r="I1380" s="4" t="s">
        <v>1349</v>
      </c>
      <c r="J1380" s="133"/>
      <c r="K1380" s="22"/>
      <c r="L1380" s="134"/>
    </row>
    <row r="1381" spans="1:12" s="97" customFormat="1" hidden="1" x14ac:dyDescent="0.25">
      <c r="A1381" s="61" t="s">
        <v>1148</v>
      </c>
      <c r="B1381" s="242">
        <v>43524</v>
      </c>
      <c r="C1381" s="13">
        <v>366</v>
      </c>
      <c r="D1381" s="13" t="s">
        <v>1206</v>
      </c>
      <c r="E1381" s="13" t="s">
        <v>808</v>
      </c>
      <c r="F1381" s="37">
        <v>812540</v>
      </c>
      <c r="G1381" s="29" t="s">
        <v>3602</v>
      </c>
      <c r="H1381" s="14">
        <v>43493</v>
      </c>
      <c r="I1381" s="4" t="s">
        <v>3603</v>
      </c>
      <c r="J1381" s="133"/>
      <c r="K1381" s="22"/>
      <c r="L1381" s="134"/>
    </row>
    <row r="1382" spans="1:12" s="97" customFormat="1" hidden="1" x14ac:dyDescent="0.25">
      <c r="A1382" s="61" t="s">
        <v>1148</v>
      </c>
      <c r="B1382" s="242">
        <v>43524</v>
      </c>
      <c r="C1382" s="13">
        <v>367</v>
      </c>
      <c r="D1382" s="13" t="s">
        <v>589</v>
      </c>
      <c r="E1382" s="13" t="s">
        <v>808</v>
      </c>
      <c r="F1382" s="37">
        <v>768016</v>
      </c>
      <c r="G1382" s="29" t="s">
        <v>3828</v>
      </c>
      <c r="H1382" s="14">
        <v>43496</v>
      </c>
      <c r="I1382" s="4" t="s">
        <v>1349</v>
      </c>
      <c r="J1382" s="133"/>
      <c r="K1382" s="22"/>
      <c r="L1382" s="134"/>
    </row>
    <row r="1383" spans="1:12" s="97" customFormat="1" hidden="1" x14ac:dyDescent="0.25">
      <c r="A1383" s="61" t="s">
        <v>1149</v>
      </c>
      <c r="B1383" s="242">
        <v>43524</v>
      </c>
      <c r="C1383" s="13">
        <v>368</v>
      </c>
      <c r="D1383" s="13" t="s">
        <v>243</v>
      </c>
      <c r="E1383" s="13" t="s">
        <v>808</v>
      </c>
      <c r="F1383" s="37">
        <v>834205.32</v>
      </c>
      <c r="G1383" s="29" t="s">
        <v>1347</v>
      </c>
      <c r="H1383" s="14">
        <v>43496</v>
      </c>
      <c r="I1383" s="4" t="s">
        <v>3869</v>
      </c>
      <c r="J1383" s="133"/>
      <c r="K1383" s="22"/>
      <c r="L1383" s="134"/>
    </row>
    <row r="1384" spans="1:12" s="97" customFormat="1" hidden="1" x14ac:dyDescent="0.25">
      <c r="A1384" s="13" t="s">
        <v>1149</v>
      </c>
      <c r="B1384" s="242">
        <v>43524</v>
      </c>
      <c r="C1384" s="13">
        <v>369</v>
      </c>
      <c r="D1384" s="13" t="s">
        <v>1082</v>
      </c>
      <c r="E1384" s="13" t="s">
        <v>808</v>
      </c>
      <c r="F1384" s="37">
        <v>797199.92</v>
      </c>
      <c r="G1384" s="29" t="s">
        <v>2961</v>
      </c>
      <c r="H1384" s="14">
        <v>43495</v>
      </c>
      <c r="I1384" s="4" t="s">
        <v>421</v>
      </c>
      <c r="J1384" s="133"/>
      <c r="K1384" s="22"/>
      <c r="L1384" s="134"/>
    </row>
    <row r="1385" spans="1:12" s="97" customFormat="1" hidden="1" x14ac:dyDescent="0.25">
      <c r="A1385" s="61" t="s">
        <v>1147</v>
      </c>
      <c r="B1385" s="242">
        <v>43524</v>
      </c>
      <c r="C1385" s="13">
        <v>370</v>
      </c>
      <c r="D1385" s="13" t="s">
        <v>1353</v>
      </c>
      <c r="E1385" s="13" t="s">
        <v>808</v>
      </c>
      <c r="F1385" s="37">
        <v>6014</v>
      </c>
      <c r="G1385" s="29" t="s">
        <v>4383</v>
      </c>
      <c r="H1385" s="14">
        <v>43503</v>
      </c>
      <c r="I1385" s="4" t="s">
        <v>1497</v>
      </c>
      <c r="J1385" s="133"/>
      <c r="K1385" s="22"/>
      <c r="L1385" s="134"/>
    </row>
    <row r="1386" spans="1:12" s="97" customFormat="1" hidden="1" x14ac:dyDescent="0.25">
      <c r="A1386" s="61" t="s">
        <v>261</v>
      </c>
      <c r="B1386" s="242">
        <v>43524</v>
      </c>
      <c r="C1386" s="13">
        <v>371</v>
      </c>
      <c r="D1386" s="13" t="s">
        <v>1065</v>
      </c>
      <c r="E1386" s="13" t="s">
        <v>808</v>
      </c>
      <c r="F1386" s="37">
        <v>10965.66</v>
      </c>
      <c r="G1386" s="29" t="s">
        <v>308</v>
      </c>
      <c r="H1386" s="14">
        <v>43494</v>
      </c>
      <c r="I1386" s="4" t="s">
        <v>3620</v>
      </c>
      <c r="J1386" s="133"/>
      <c r="K1386" s="22"/>
      <c r="L1386" s="134"/>
    </row>
    <row r="1387" spans="1:12" s="97" customFormat="1" hidden="1" x14ac:dyDescent="0.25">
      <c r="A1387" s="61" t="s">
        <v>1148</v>
      </c>
      <c r="B1387" s="242">
        <v>43524</v>
      </c>
      <c r="C1387" s="13">
        <v>372</v>
      </c>
      <c r="D1387" s="13" t="s">
        <v>1269</v>
      </c>
      <c r="E1387" s="13" t="s">
        <v>808</v>
      </c>
      <c r="F1387" s="37">
        <v>43710</v>
      </c>
      <c r="G1387" s="29" t="s">
        <v>3375</v>
      </c>
      <c r="H1387" s="14">
        <v>43496</v>
      </c>
      <c r="I1387" s="4" t="s">
        <v>718</v>
      </c>
      <c r="J1387" s="133"/>
      <c r="K1387" s="22"/>
      <c r="L1387" s="134"/>
    </row>
    <row r="1388" spans="1:12" s="97" customFormat="1" hidden="1" x14ac:dyDescent="0.25">
      <c r="A1388" s="32" t="s">
        <v>659</v>
      </c>
      <c r="B1388" s="242">
        <v>43524</v>
      </c>
      <c r="C1388" s="13">
        <v>373</v>
      </c>
      <c r="D1388" s="13" t="s">
        <v>280</v>
      </c>
      <c r="E1388" s="13" t="s">
        <v>808</v>
      </c>
      <c r="F1388" s="4">
        <v>42350</v>
      </c>
      <c r="G1388" s="28" t="s">
        <v>66</v>
      </c>
      <c r="H1388" s="14">
        <v>43494</v>
      </c>
      <c r="I1388" s="4" t="s">
        <v>3885</v>
      </c>
      <c r="J1388" s="133"/>
      <c r="K1388" s="22"/>
      <c r="L1388" s="134"/>
    </row>
    <row r="1389" spans="1:12" s="97" customFormat="1" hidden="1" x14ac:dyDescent="0.25">
      <c r="A1389" s="32" t="s">
        <v>659</v>
      </c>
      <c r="B1389" s="242">
        <v>43524</v>
      </c>
      <c r="C1389" s="13">
        <v>381</v>
      </c>
      <c r="D1389" s="13" t="s">
        <v>666</v>
      </c>
      <c r="E1389" s="13" t="s">
        <v>808</v>
      </c>
      <c r="F1389" s="4">
        <v>5970</v>
      </c>
      <c r="G1389" s="28" t="s">
        <v>150</v>
      </c>
      <c r="H1389" s="14">
        <v>43494</v>
      </c>
      <c r="I1389" s="4" t="s">
        <v>266</v>
      </c>
      <c r="J1389" s="133"/>
      <c r="K1389" s="22"/>
      <c r="L1389" s="134"/>
    </row>
    <row r="1390" spans="1:12" s="97" customFormat="1" hidden="1" x14ac:dyDescent="0.25">
      <c r="A1390" s="32" t="s">
        <v>1148</v>
      </c>
      <c r="B1390" s="242">
        <v>43524</v>
      </c>
      <c r="C1390" s="13">
        <v>381</v>
      </c>
      <c r="D1390" s="13" t="s">
        <v>666</v>
      </c>
      <c r="E1390" s="13" t="s">
        <v>808</v>
      </c>
      <c r="F1390" s="4">
        <v>13150</v>
      </c>
      <c r="G1390" s="28" t="s">
        <v>1319</v>
      </c>
      <c r="H1390" s="14">
        <v>43496</v>
      </c>
      <c r="I1390" s="4" t="s">
        <v>266</v>
      </c>
      <c r="J1390" s="133"/>
      <c r="K1390" s="22"/>
      <c r="L1390" s="134"/>
    </row>
    <row r="1391" spans="1:12" s="97" customFormat="1" hidden="1" x14ac:dyDescent="0.25">
      <c r="A1391" s="61" t="s">
        <v>659</v>
      </c>
      <c r="B1391" s="242">
        <v>43524</v>
      </c>
      <c r="C1391" s="13">
        <v>386</v>
      </c>
      <c r="D1391" s="13" t="s">
        <v>516</v>
      </c>
      <c r="E1391" s="13" t="s">
        <v>808</v>
      </c>
      <c r="F1391" s="4">
        <f>293354-100000</f>
        <v>193354</v>
      </c>
      <c r="G1391" s="28" t="s">
        <v>3609</v>
      </c>
      <c r="H1391" s="14">
        <v>43494</v>
      </c>
      <c r="I1391" s="4" t="s">
        <v>2289</v>
      </c>
      <c r="J1391" s="133"/>
      <c r="K1391" s="22"/>
      <c r="L1391" s="134"/>
    </row>
    <row r="1392" spans="1:12" s="97" customFormat="1" hidden="1" x14ac:dyDescent="0.25">
      <c r="A1392" s="13" t="s">
        <v>1148</v>
      </c>
      <c r="B1392" s="242">
        <v>43524</v>
      </c>
      <c r="C1392" s="13">
        <v>386</v>
      </c>
      <c r="D1392" s="13" t="s">
        <v>516</v>
      </c>
      <c r="E1392" s="13" t="s">
        <v>808</v>
      </c>
      <c r="F1392" s="4">
        <v>196524</v>
      </c>
      <c r="G1392" s="28" t="s">
        <v>3872</v>
      </c>
      <c r="H1392" s="14">
        <v>43495</v>
      </c>
      <c r="I1392" s="4" t="s">
        <v>3873</v>
      </c>
      <c r="J1392" s="133"/>
      <c r="K1392" s="22"/>
      <c r="L1392" s="134"/>
    </row>
    <row r="1393" spans="1:10" hidden="1" x14ac:dyDescent="0.25">
      <c r="A1393" s="13" t="s">
        <v>2320</v>
      </c>
      <c r="B1393" s="242">
        <v>43524</v>
      </c>
      <c r="C1393" s="13">
        <v>384</v>
      </c>
      <c r="D1393" s="13" t="s">
        <v>1935</v>
      </c>
      <c r="E1393" s="13" t="s">
        <v>808</v>
      </c>
      <c r="F1393" s="37">
        <v>1095000</v>
      </c>
      <c r="G1393" s="69" t="s">
        <v>2321</v>
      </c>
      <c r="H1393" s="14"/>
      <c r="I1393" s="4" t="s">
        <v>2318</v>
      </c>
      <c r="J1393" s="169"/>
    </row>
    <row r="1394" spans="1:10" hidden="1" x14ac:dyDescent="0.25">
      <c r="A1394" s="61" t="s">
        <v>1147</v>
      </c>
      <c r="B1394" s="242">
        <v>43524</v>
      </c>
      <c r="C1394" s="13">
        <v>387</v>
      </c>
      <c r="D1394" s="13" t="s">
        <v>515</v>
      </c>
      <c r="E1394" s="13" t="s">
        <v>808</v>
      </c>
      <c r="F1394" s="37">
        <f>335540-100000</f>
        <v>235540</v>
      </c>
      <c r="G1394" s="29" t="s">
        <v>177</v>
      </c>
      <c r="H1394" s="14">
        <v>43462</v>
      </c>
      <c r="I1394" s="4" t="s">
        <v>2661</v>
      </c>
    </row>
    <row r="1395" spans="1:10" ht="27.6" hidden="1" x14ac:dyDescent="0.25">
      <c r="A1395" s="61" t="s">
        <v>1894</v>
      </c>
      <c r="B1395" s="242">
        <v>43524</v>
      </c>
      <c r="C1395" s="13">
        <v>374</v>
      </c>
      <c r="D1395" s="13" t="s">
        <v>447</v>
      </c>
      <c r="E1395" s="13" t="s">
        <v>808</v>
      </c>
      <c r="F1395" s="37">
        <v>74800</v>
      </c>
      <c r="G1395" s="29" t="s">
        <v>301</v>
      </c>
      <c r="H1395" s="14">
        <v>43501</v>
      </c>
      <c r="I1395" s="4" t="s">
        <v>95</v>
      </c>
    </row>
    <row r="1396" spans="1:10" hidden="1" x14ac:dyDescent="0.25">
      <c r="A1396" s="61" t="s">
        <v>2320</v>
      </c>
      <c r="B1396" s="242">
        <v>43524</v>
      </c>
      <c r="C1396" s="13">
        <v>388</v>
      </c>
      <c r="D1396" s="13" t="s">
        <v>3720</v>
      </c>
      <c r="E1396" s="13" t="s">
        <v>808</v>
      </c>
      <c r="F1396" s="37">
        <f>202800-102800</f>
        <v>100000</v>
      </c>
      <c r="G1396" s="29" t="s">
        <v>3424</v>
      </c>
      <c r="H1396" s="14">
        <v>43496</v>
      </c>
      <c r="I1396" s="4" t="s">
        <v>263</v>
      </c>
      <c r="J1396" s="22" t="s">
        <v>3721</v>
      </c>
    </row>
    <row r="1397" spans="1:10" hidden="1" x14ac:dyDescent="0.25">
      <c r="A1397" s="61" t="s">
        <v>1316</v>
      </c>
      <c r="B1397" s="242">
        <v>43524</v>
      </c>
      <c r="C1397" s="13">
        <v>389</v>
      </c>
      <c r="D1397" s="13" t="s">
        <v>282</v>
      </c>
      <c r="E1397" s="13" t="s">
        <v>808</v>
      </c>
      <c r="F1397" s="37">
        <v>1430</v>
      </c>
      <c r="G1397" s="29" t="s">
        <v>4080</v>
      </c>
      <c r="H1397" s="14">
        <v>43503</v>
      </c>
      <c r="I1397" s="4" t="s">
        <v>283</v>
      </c>
    </row>
    <row r="1398" spans="1:10" hidden="1" x14ac:dyDescent="0.25">
      <c r="A1398" s="61" t="s">
        <v>1148</v>
      </c>
      <c r="B1398" s="242">
        <v>43524</v>
      </c>
      <c r="C1398" s="13">
        <v>389</v>
      </c>
      <c r="D1398" s="13" t="s">
        <v>282</v>
      </c>
      <c r="E1398" s="13" t="s">
        <v>808</v>
      </c>
      <c r="F1398" s="37">
        <v>4290</v>
      </c>
      <c r="G1398" s="29" t="s">
        <v>2219</v>
      </c>
      <c r="H1398" s="14">
        <v>43503</v>
      </c>
      <c r="I1398" s="4" t="s">
        <v>283</v>
      </c>
    </row>
    <row r="1399" spans="1:10" hidden="1" x14ac:dyDescent="0.25">
      <c r="A1399" s="32" t="s">
        <v>659</v>
      </c>
      <c r="B1399" s="242">
        <v>43524</v>
      </c>
      <c r="C1399" s="13">
        <v>389</v>
      </c>
      <c r="D1399" s="13" t="s">
        <v>282</v>
      </c>
      <c r="E1399" s="13" t="s">
        <v>808</v>
      </c>
      <c r="F1399" s="4">
        <v>2145</v>
      </c>
      <c r="G1399" s="28" t="s">
        <v>939</v>
      </c>
      <c r="H1399" s="14">
        <v>43503</v>
      </c>
      <c r="I1399" s="4" t="s">
        <v>283</v>
      </c>
    </row>
    <row r="1400" spans="1:10" ht="27.6" hidden="1" x14ac:dyDescent="0.25">
      <c r="A1400" s="61" t="s">
        <v>1894</v>
      </c>
      <c r="B1400" s="242">
        <v>43524</v>
      </c>
      <c r="C1400" s="13">
        <v>375</v>
      </c>
      <c r="D1400" s="13" t="s">
        <v>80</v>
      </c>
      <c r="E1400" s="13" t="s">
        <v>808</v>
      </c>
      <c r="F1400" s="37">
        <v>280540</v>
      </c>
      <c r="G1400" s="29" t="s">
        <v>3850</v>
      </c>
      <c r="H1400" s="14">
        <v>43496</v>
      </c>
      <c r="I1400" s="4" t="s">
        <v>2157</v>
      </c>
    </row>
    <row r="1401" spans="1:10" hidden="1" x14ac:dyDescent="0.25">
      <c r="A1401" s="61" t="s">
        <v>659</v>
      </c>
      <c r="B1401" s="242">
        <v>43524</v>
      </c>
      <c r="C1401" s="13">
        <v>382</v>
      </c>
      <c r="D1401" s="13" t="s">
        <v>250</v>
      </c>
      <c r="E1401" s="13" t="s">
        <v>808</v>
      </c>
      <c r="F1401" s="4">
        <v>59500</v>
      </c>
      <c r="G1401" s="28" t="s">
        <v>4305</v>
      </c>
      <c r="H1401" s="14">
        <v>43480</v>
      </c>
      <c r="I1401" s="4" t="s">
        <v>1895</v>
      </c>
    </row>
    <row r="1402" spans="1:10" hidden="1" x14ac:dyDescent="0.25">
      <c r="A1402" s="61" t="s">
        <v>659</v>
      </c>
      <c r="B1402" s="242">
        <v>43524</v>
      </c>
      <c r="C1402" s="13">
        <v>382</v>
      </c>
      <c r="D1402" s="13" t="s">
        <v>250</v>
      </c>
      <c r="E1402" s="13" t="s">
        <v>808</v>
      </c>
      <c r="F1402" s="37">
        <v>142375</v>
      </c>
      <c r="G1402" s="29" t="s">
        <v>4306</v>
      </c>
      <c r="H1402" s="14">
        <v>43487</v>
      </c>
      <c r="I1402" s="4" t="s">
        <v>1895</v>
      </c>
    </row>
    <row r="1403" spans="1:10" hidden="1" x14ac:dyDescent="0.25">
      <c r="A1403" s="32" t="s">
        <v>1148</v>
      </c>
      <c r="B1403" s="242">
        <v>43524</v>
      </c>
      <c r="C1403" s="13">
        <v>385</v>
      </c>
      <c r="D1403" s="13" t="s">
        <v>29</v>
      </c>
      <c r="E1403" s="13" t="s">
        <v>808</v>
      </c>
      <c r="F1403" s="4">
        <v>131250</v>
      </c>
      <c r="G1403" s="28" t="s">
        <v>66</v>
      </c>
      <c r="H1403" s="14">
        <v>43483</v>
      </c>
      <c r="I1403" s="4" t="s">
        <v>511</v>
      </c>
    </row>
    <row r="1404" spans="1:10" hidden="1" x14ac:dyDescent="0.25">
      <c r="A1404" s="61" t="s">
        <v>1148</v>
      </c>
      <c r="B1404" s="242">
        <v>43524</v>
      </c>
      <c r="C1404" s="13">
        <v>385</v>
      </c>
      <c r="D1404" s="13" t="s">
        <v>29</v>
      </c>
      <c r="E1404" s="13" t="s">
        <v>808</v>
      </c>
      <c r="F1404" s="37">
        <v>433650</v>
      </c>
      <c r="G1404" s="29" t="s">
        <v>27</v>
      </c>
      <c r="H1404" s="14">
        <v>43483</v>
      </c>
      <c r="I1404" s="4" t="s">
        <v>1061</v>
      </c>
    </row>
    <row r="1405" spans="1:10" hidden="1" x14ac:dyDescent="0.25">
      <c r="A1405" s="61" t="s">
        <v>1147</v>
      </c>
      <c r="B1405" s="242">
        <v>43524</v>
      </c>
      <c r="C1405" s="13">
        <v>385</v>
      </c>
      <c r="D1405" s="13" t="s">
        <v>29</v>
      </c>
      <c r="E1405" s="13" t="s">
        <v>808</v>
      </c>
      <c r="F1405" s="37">
        <v>80500</v>
      </c>
      <c r="G1405" s="29" t="s">
        <v>478</v>
      </c>
      <c r="H1405" s="14">
        <v>43490</v>
      </c>
      <c r="I1405" s="4" t="s">
        <v>511</v>
      </c>
    </row>
    <row r="1406" spans="1:10" ht="27.6" hidden="1" x14ac:dyDescent="0.25">
      <c r="A1406" s="61" t="s">
        <v>1894</v>
      </c>
      <c r="B1406" s="242">
        <v>43524</v>
      </c>
      <c r="C1406" s="13">
        <v>385</v>
      </c>
      <c r="D1406" s="13" t="s">
        <v>29</v>
      </c>
      <c r="E1406" s="13" t="s">
        <v>808</v>
      </c>
      <c r="F1406" s="37">
        <v>437475</v>
      </c>
      <c r="G1406" s="29" t="s">
        <v>201</v>
      </c>
      <c r="H1406" s="14">
        <v>43496</v>
      </c>
      <c r="I1406" s="4" t="s">
        <v>1061</v>
      </c>
    </row>
    <row r="1407" spans="1:10" hidden="1" x14ac:dyDescent="0.25">
      <c r="A1407" s="32" t="s">
        <v>1148</v>
      </c>
      <c r="B1407" s="242">
        <v>43524</v>
      </c>
      <c r="C1407" s="13">
        <v>390</v>
      </c>
      <c r="D1407" s="13" t="s">
        <v>692</v>
      </c>
      <c r="E1407" s="13" t="s">
        <v>808</v>
      </c>
      <c r="F1407" s="4">
        <v>104625</v>
      </c>
      <c r="G1407" s="28" t="s">
        <v>1457</v>
      </c>
      <c r="H1407" s="14">
        <v>43459</v>
      </c>
      <c r="I1407" s="4" t="s">
        <v>2027</v>
      </c>
    </row>
    <row r="1408" spans="1:10" hidden="1" x14ac:dyDescent="0.25">
      <c r="A1408" s="61" t="s">
        <v>1148</v>
      </c>
      <c r="B1408" s="242">
        <v>43524</v>
      </c>
      <c r="C1408" s="13">
        <v>390</v>
      </c>
      <c r="D1408" s="13" t="s">
        <v>692</v>
      </c>
      <c r="E1408" s="13" t="s">
        <v>808</v>
      </c>
      <c r="F1408" s="37">
        <v>173812.5</v>
      </c>
      <c r="G1408" s="29" t="s">
        <v>1132</v>
      </c>
      <c r="H1408" s="14">
        <v>43465</v>
      </c>
      <c r="I1408" s="4" t="s">
        <v>2027</v>
      </c>
    </row>
    <row r="1409" spans="1:16" hidden="1" x14ac:dyDescent="0.25">
      <c r="A1409" s="32" t="s">
        <v>1148</v>
      </c>
      <c r="B1409" s="242">
        <v>43524</v>
      </c>
      <c r="C1409" s="13">
        <v>376</v>
      </c>
      <c r="D1409" s="13" t="s">
        <v>692</v>
      </c>
      <c r="E1409" s="13" t="s">
        <v>808</v>
      </c>
      <c r="F1409" s="4">
        <v>119812.5</v>
      </c>
      <c r="G1409" s="28" t="s">
        <v>3375</v>
      </c>
      <c r="H1409" s="14">
        <v>43482</v>
      </c>
      <c r="I1409" s="4" t="s">
        <v>2027</v>
      </c>
    </row>
    <row r="1410" spans="1:16" hidden="1" x14ac:dyDescent="0.25">
      <c r="A1410" s="61" t="s">
        <v>1147</v>
      </c>
      <c r="B1410" s="242">
        <v>43524</v>
      </c>
      <c r="C1410" s="13">
        <v>391</v>
      </c>
      <c r="D1410" s="13" t="s">
        <v>2115</v>
      </c>
      <c r="E1410" s="13" t="s">
        <v>808</v>
      </c>
      <c r="F1410" s="37">
        <f>1019700-400000</f>
        <v>619700</v>
      </c>
      <c r="G1410" s="29" t="s">
        <v>0</v>
      </c>
      <c r="H1410" s="14">
        <v>43465</v>
      </c>
      <c r="I1410" s="4" t="s">
        <v>511</v>
      </c>
    </row>
    <row r="1411" spans="1:16" hidden="1" x14ac:dyDescent="0.25">
      <c r="A1411" s="13" t="s">
        <v>1148</v>
      </c>
      <c r="B1411" s="242">
        <v>43524</v>
      </c>
      <c r="C1411" s="13">
        <v>377</v>
      </c>
      <c r="D1411" s="13" t="s">
        <v>2115</v>
      </c>
      <c r="E1411" s="13" t="s">
        <v>808</v>
      </c>
      <c r="F1411" s="4">
        <v>512650</v>
      </c>
      <c r="G1411" s="28" t="s">
        <v>301</v>
      </c>
      <c r="H1411" s="14">
        <v>43496</v>
      </c>
      <c r="I1411" s="4" t="s">
        <v>164</v>
      </c>
    </row>
    <row r="1412" spans="1:16" hidden="1" x14ac:dyDescent="0.25">
      <c r="A1412" s="13" t="s">
        <v>1316</v>
      </c>
      <c r="B1412" s="242">
        <v>43524</v>
      </c>
      <c r="C1412" s="13">
        <v>378</v>
      </c>
      <c r="D1412" s="13" t="s">
        <v>303</v>
      </c>
      <c r="E1412" s="13" t="s">
        <v>808</v>
      </c>
      <c r="F1412" s="4">
        <v>24360</v>
      </c>
      <c r="G1412" s="28" t="s">
        <v>1132</v>
      </c>
      <c r="H1412" s="14">
        <v>43500</v>
      </c>
      <c r="I1412" s="4" t="s">
        <v>87</v>
      </c>
    </row>
    <row r="1413" spans="1:16" hidden="1" x14ac:dyDescent="0.25">
      <c r="A1413" s="32" t="s">
        <v>151</v>
      </c>
      <c r="B1413" s="242">
        <v>43524</v>
      </c>
      <c r="C1413" s="67">
        <v>379</v>
      </c>
      <c r="D1413" s="32" t="s">
        <v>93</v>
      </c>
      <c r="E1413" s="13" t="s">
        <v>808</v>
      </c>
      <c r="F1413" s="4">
        <v>6600</v>
      </c>
      <c r="G1413" s="67">
        <v>914</v>
      </c>
      <c r="H1413" s="14">
        <v>43518</v>
      </c>
      <c r="I1413" s="4" t="s">
        <v>4502</v>
      </c>
      <c r="J1413" s="21"/>
      <c r="K1413" s="228"/>
    </row>
    <row r="1414" spans="1:16" hidden="1" x14ac:dyDescent="0.25">
      <c r="A1414" s="13" t="s">
        <v>637</v>
      </c>
      <c r="B1414" s="126">
        <v>43524</v>
      </c>
      <c r="C1414" s="13">
        <v>172</v>
      </c>
      <c r="D1414" s="13" t="s">
        <v>4491</v>
      </c>
      <c r="E1414" s="13" t="s">
        <v>691</v>
      </c>
      <c r="F1414" s="37">
        <f>2060624</f>
        <v>2060624</v>
      </c>
      <c r="G1414" s="29" t="s">
        <v>4492</v>
      </c>
      <c r="H1414" s="14"/>
      <c r="I1414" s="208" t="s">
        <v>218</v>
      </c>
      <c r="J1414" s="62"/>
      <c r="K1414" s="62"/>
      <c r="L1414" s="35"/>
      <c r="M1414" s="35"/>
      <c r="N1414" s="35"/>
      <c r="O1414" s="35"/>
      <c r="P1414" s="35"/>
    </row>
    <row r="1415" spans="1:16" hidden="1" x14ac:dyDescent="0.25">
      <c r="A1415" s="13" t="s">
        <v>637</v>
      </c>
      <c r="B1415" s="126">
        <v>43524</v>
      </c>
      <c r="C1415" s="13">
        <v>183</v>
      </c>
      <c r="D1415" s="13" t="s">
        <v>1144</v>
      </c>
      <c r="E1415" s="13" t="s">
        <v>691</v>
      </c>
      <c r="F1415" s="37">
        <v>500000</v>
      </c>
      <c r="G1415" s="29" t="s">
        <v>1680</v>
      </c>
      <c r="H1415" s="14"/>
      <c r="I1415" s="4" t="s">
        <v>220</v>
      </c>
      <c r="J1415" s="62"/>
      <c r="K1415" s="62"/>
      <c r="L1415" s="35"/>
      <c r="M1415" s="35"/>
      <c r="N1415" s="35"/>
      <c r="O1415" s="35"/>
      <c r="P1415" s="35"/>
    </row>
    <row r="1416" spans="1:16" ht="27.6" hidden="1" x14ac:dyDescent="0.25">
      <c r="A1416" s="32" t="s">
        <v>151</v>
      </c>
      <c r="B1416" s="126">
        <v>43524</v>
      </c>
      <c r="C1416" s="127">
        <v>173</v>
      </c>
      <c r="D1416" s="32" t="s">
        <v>4517</v>
      </c>
      <c r="E1416" s="32" t="s">
        <v>691</v>
      </c>
      <c r="F1416" s="4">
        <v>28080</v>
      </c>
      <c r="G1416" s="29" t="s">
        <v>4518</v>
      </c>
      <c r="H1416" s="14">
        <v>43517</v>
      </c>
      <c r="I1416" s="4" t="s">
        <v>5558</v>
      </c>
      <c r="J1416" s="21"/>
      <c r="K1416" s="228"/>
    </row>
    <row r="1417" spans="1:16" s="97" customFormat="1" hidden="1" x14ac:dyDescent="0.25">
      <c r="A1417" s="13" t="s">
        <v>1350</v>
      </c>
      <c r="B1417" s="14">
        <v>43524</v>
      </c>
      <c r="C1417" s="28" t="s">
        <v>65</v>
      </c>
      <c r="D1417" s="13" t="s">
        <v>1317</v>
      </c>
      <c r="E1417" s="13" t="s">
        <v>691</v>
      </c>
      <c r="F1417" s="37">
        <v>9881.2999999999993</v>
      </c>
      <c r="G1417" s="29" t="s">
        <v>3809</v>
      </c>
      <c r="H1417" s="14">
        <v>43486</v>
      </c>
      <c r="I1417" s="4" t="s">
        <v>3810</v>
      </c>
      <c r="J1417" s="133"/>
      <c r="K1417" s="22"/>
      <c r="L1417" s="134"/>
    </row>
    <row r="1418" spans="1:16" s="97" customFormat="1" hidden="1" x14ac:dyDescent="0.25">
      <c r="A1418" s="13" t="s">
        <v>637</v>
      </c>
      <c r="B1418" s="126">
        <v>43524</v>
      </c>
      <c r="C1418" s="28" t="s">
        <v>791</v>
      </c>
      <c r="D1418" s="13" t="s">
        <v>4610</v>
      </c>
      <c r="E1418" s="13" t="s">
        <v>691</v>
      </c>
      <c r="F1418" s="37">
        <v>7850</v>
      </c>
      <c r="G1418" s="29" t="s">
        <v>4611</v>
      </c>
      <c r="H1418" s="14">
        <v>43522</v>
      </c>
      <c r="I1418" s="4" t="s">
        <v>4612</v>
      </c>
      <c r="J1418" s="133"/>
      <c r="K1418" s="22"/>
      <c r="L1418" s="134"/>
    </row>
    <row r="1419" spans="1:16" s="97" customFormat="1" hidden="1" x14ac:dyDescent="0.25">
      <c r="A1419" s="13" t="s">
        <v>1255</v>
      </c>
      <c r="B1419" s="126">
        <v>43524</v>
      </c>
      <c r="C1419" s="13">
        <v>184</v>
      </c>
      <c r="D1419" s="13" t="s">
        <v>590</v>
      </c>
      <c r="E1419" s="13" t="s">
        <v>691</v>
      </c>
      <c r="F1419" s="4">
        <v>536000</v>
      </c>
      <c r="G1419" s="29" t="s">
        <v>1323</v>
      </c>
      <c r="H1419" s="14">
        <v>42746</v>
      </c>
      <c r="I1419" s="4" t="s">
        <v>159</v>
      </c>
      <c r="J1419" s="133"/>
      <c r="K1419" s="22"/>
      <c r="L1419" s="134"/>
    </row>
    <row r="1420" spans="1:16" s="97" customFormat="1" hidden="1" x14ac:dyDescent="0.25">
      <c r="A1420" s="61" t="s">
        <v>659</v>
      </c>
      <c r="B1420" s="126">
        <v>43524</v>
      </c>
      <c r="C1420" s="13">
        <v>175</v>
      </c>
      <c r="D1420" s="13" t="s">
        <v>740</v>
      </c>
      <c r="E1420" s="13" t="s">
        <v>691</v>
      </c>
      <c r="F1420" s="37">
        <v>22660</v>
      </c>
      <c r="G1420" s="29" t="s">
        <v>2705</v>
      </c>
      <c r="H1420" s="14">
        <v>43433</v>
      </c>
      <c r="I1420" s="4" t="s">
        <v>1064</v>
      </c>
      <c r="J1420" s="133"/>
      <c r="K1420" s="22"/>
      <c r="L1420" s="134"/>
    </row>
    <row r="1421" spans="1:16" s="97" customFormat="1" hidden="1" x14ac:dyDescent="0.25">
      <c r="A1421" s="32" t="s">
        <v>1350</v>
      </c>
      <c r="B1421" s="126">
        <v>43524</v>
      </c>
      <c r="C1421" s="13">
        <v>187</v>
      </c>
      <c r="D1421" s="13" t="s">
        <v>276</v>
      </c>
      <c r="E1421" s="13" t="s">
        <v>691</v>
      </c>
      <c r="F1421" s="4">
        <v>97500</v>
      </c>
      <c r="G1421" s="70" t="s">
        <v>2961</v>
      </c>
      <c r="H1421" s="211">
        <v>43493</v>
      </c>
      <c r="I1421" s="4" t="s">
        <v>1876</v>
      </c>
      <c r="J1421" s="133"/>
      <c r="K1421" s="22"/>
      <c r="L1421" s="134"/>
    </row>
    <row r="1422" spans="1:16" s="97" customFormat="1" hidden="1" x14ac:dyDescent="0.25">
      <c r="A1422" s="32" t="s">
        <v>1350</v>
      </c>
      <c r="B1422" s="126">
        <v>43524</v>
      </c>
      <c r="C1422" s="13">
        <v>187</v>
      </c>
      <c r="D1422" s="13" t="s">
        <v>276</v>
      </c>
      <c r="E1422" s="13" t="s">
        <v>691</v>
      </c>
      <c r="F1422" s="4">
        <v>216200</v>
      </c>
      <c r="G1422" s="70" t="s">
        <v>2955</v>
      </c>
      <c r="H1422" s="211">
        <v>43494</v>
      </c>
      <c r="I1422" s="4" t="s">
        <v>3605</v>
      </c>
      <c r="J1422" s="133"/>
      <c r="K1422" s="22"/>
      <c r="L1422" s="134"/>
    </row>
    <row r="1423" spans="1:16" s="97" customFormat="1" hidden="1" x14ac:dyDescent="0.25">
      <c r="A1423" s="32" t="s">
        <v>1350</v>
      </c>
      <c r="B1423" s="126">
        <v>43524</v>
      </c>
      <c r="C1423" s="13">
        <v>187</v>
      </c>
      <c r="D1423" s="13" t="s">
        <v>276</v>
      </c>
      <c r="E1423" s="13" t="s">
        <v>691</v>
      </c>
      <c r="F1423" s="4">
        <v>59700</v>
      </c>
      <c r="G1423" s="70" t="s">
        <v>458</v>
      </c>
      <c r="H1423" s="211">
        <v>43494</v>
      </c>
      <c r="I1423" s="4" t="s">
        <v>3605</v>
      </c>
      <c r="J1423" s="133"/>
      <c r="K1423" s="22"/>
      <c r="L1423" s="134"/>
    </row>
    <row r="1424" spans="1:16" s="97" customFormat="1" hidden="1" x14ac:dyDescent="0.25">
      <c r="A1424" s="32" t="s">
        <v>1350</v>
      </c>
      <c r="B1424" s="126">
        <v>43524</v>
      </c>
      <c r="C1424" s="13">
        <v>187</v>
      </c>
      <c r="D1424" s="13" t="s">
        <v>276</v>
      </c>
      <c r="E1424" s="13" t="s">
        <v>691</v>
      </c>
      <c r="F1424" s="4">
        <v>54700</v>
      </c>
      <c r="G1424" s="70" t="s">
        <v>3211</v>
      </c>
      <c r="H1424" s="211">
        <v>43494</v>
      </c>
      <c r="I1424" s="4" t="s">
        <v>3605</v>
      </c>
      <c r="J1424" s="133"/>
      <c r="K1424" s="22"/>
      <c r="L1424" s="134"/>
    </row>
    <row r="1425" spans="1:12" s="97" customFormat="1" hidden="1" x14ac:dyDescent="0.25">
      <c r="A1425" s="32" t="s">
        <v>1350</v>
      </c>
      <c r="B1425" s="126">
        <v>43524</v>
      </c>
      <c r="C1425" s="13">
        <v>187</v>
      </c>
      <c r="D1425" s="13" t="s">
        <v>276</v>
      </c>
      <c r="E1425" s="13" t="s">
        <v>691</v>
      </c>
      <c r="F1425" s="4">
        <v>55300</v>
      </c>
      <c r="G1425" s="70" t="s">
        <v>459</v>
      </c>
      <c r="H1425" s="211">
        <v>43494</v>
      </c>
      <c r="I1425" s="4" t="s">
        <v>3605</v>
      </c>
      <c r="J1425" s="133"/>
      <c r="K1425" s="22"/>
      <c r="L1425" s="134"/>
    </row>
    <row r="1426" spans="1:12" s="97" customFormat="1" hidden="1" x14ac:dyDescent="0.25">
      <c r="A1426" s="32" t="s">
        <v>1350</v>
      </c>
      <c r="B1426" s="126">
        <v>43524</v>
      </c>
      <c r="C1426" s="13">
        <v>187</v>
      </c>
      <c r="D1426" s="13" t="s">
        <v>276</v>
      </c>
      <c r="E1426" s="13" t="s">
        <v>691</v>
      </c>
      <c r="F1426" s="4">
        <v>52900</v>
      </c>
      <c r="G1426" s="70" t="s">
        <v>300</v>
      </c>
      <c r="H1426" s="211">
        <v>43494</v>
      </c>
      <c r="I1426" s="4" t="s">
        <v>3605</v>
      </c>
      <c r="J1426" s="133"/>
      <c r="K1426" s="22"/>
      <c r="L1426" s="134"/>
    </row>
    <row r="1427" spans="1:12" s="97" customFormat="1" hidden="1" x14ac:dyDescent="0.25">
      <c r="A1427" s="32" t="s">
        <v>1350</v>
      </c>
      <c r="B1427" s="126">
        <v>43524</v>
      </c>
      <c r="C1427" s="13">
        <v>187</v>
      </c>
      <c r="D1427" s="13" t="s">
        <v>276</v>
      </c>
      <c r="E1427" s="13" t="s">
        <v>691</v>
      </c>
      <c r="F1427" s="4">
        <v>93600</v>
      </c>
      <c r="G1427" s="28" t="s">
        <v>728</v>
      </c>
      <c r="H1427" s="14">
        <v>43495</v>
      </c>
      <c r="I1427" s="4" t="s">
        <v>449</v>
      </c>
      <c r="J1427" s="133"/>
      <c r="K1427" s="22"/>
      <c r="L1427" s="134"/>
    </row>
    <row r="1428" spans="1:12" s="97" customFormat="1" hidden="1" x14ac:dyDescent="0.25">
      <c r="A1428" s="61" t="s">
        <v>1350</v>
      </c>
      <c r="B1428" s="126">
        <v>43524</v>
      </c>
      <c r="C1428" s="13">
        <v>176</v>
      </c>
      <c r="D1428" s="13" t="s">
        <v>734</v>
      </c>
      <c r="E1428" s="13" t="s">
        <v>691</v>
      </c>
      <c r="F1428" s="37">
        <v>11520</v>
      </c>
      <c r="G1428" s="29" t="s">
        <v>2072</v>
      </c>
      <c r="H1428" s="14">
        <v>43508</v>
      </c>
      <c r="I1428" s="4" t="s">
        <v>985</v>
      </c>
      <c r="J1428" s="133"/>
      <c r="K1428" s="22"/>
      <c r="L1428" s="134"/>
    </row>
    <row r="1429" spans="1:12" s="97" customFormat="1" hidden="1" x14ac:dyDescent="0.25">
      <c r="A1429" s="61" t="s">
        <v>1350</v>
      </c>
      <c r="B1429" s="126">
        <v>43524</v>
      </c>
      <c r="C1429" s="13">
        <v>188</v>
      </c>
      <c r="D1429" s="13" t="s">
        <v>72</v>
      </c>
      <c r="E1429" s="13" t="s">
        <v>691</v>
      </c>
      <c r="F1429" s="37">
        <f>160958.5-100000</f>
        <v>60958.5</v>
      </c>
      <c r="G1429" s="29" t="s">
        <v>3614</v>
      </c>
      <c r="H1429" s="14">
        <v>43494</v>
      </c>
      <c r="I1429" s="4" t="s">
        <v>3615</v>
      </c>
      <c r="J1429" s="133"/>
      <c r="K1429" s="22"/>
      <c r="L1429" s="134"/>
    </row>
    <row r="1430" spans="1:12" s="97" customFormat="1" hidden="1" x14ac:dyDescent="0.25">
      <c r="A1430" s="13" t="s">
        <v>1350</v>
      </c>
      <c r="B1430" s="126">
        <v>43524</v>
      </c>
      <c r="C1430" s="13">
        <v>188</v>
      </c>
      <c r="D1430" s="13" t="s">
        <v>72</v>
      </c>
      <c r="E1430" s="13" t="s">
        <v>691</v>
      </c>
      <c r="F1430" s="37">
        <v>135838.20000000001</v>
      </c>
      <c r="G1430" s="29" t="s">
        <v>3525</v>
      </c>
      <c r="H1430" s="14">
        <v>43501</v>
      </c>
      <c r="I1430" s="4" t="s">
        <v>3882</v>
      </c>
      <c r="J1430" s="133"/>
      <c r="K1430" s="22"/>
      <c r="L1430" s="134"/>
    </row>
    <row r="1431" spans="1:12" s="97" customFormat="1" hidden="1" x14ac:dyDescent="0.25">
      <c r="A1431" s="61" t="s">
        <v>1350</v>
      </c>
      <c r="B1431" s="126">
        <v>43524</v>
      </c>
      <c r="C1431" s="13">
        <v>177</v>
      </c>
      <c r="D1431" s="13" t="s">
        <v>2830</v>
      </c>
      <c r="E1431" s="13" t="s">
        <v>691</v>
      </c>
      <c r="F1431" s="37">
        <v>34920</v>
      </c>
      <c r="G1431" s="29" t="s">
        <v>4359</v>
      </c>
      <c r="H1431" s="14">
        <v>43509</v>
      </c>
      <c r="I1431" s="4" t="s">
        <v>4360</v>
      </c>
      <c r="J1431" s="133"/>
      <c r="K1431" s="22"/>
      <c r="L1431" s="134"/>
    </row>
    <row r="1432" spans="1:12" hidden="1" x14ac:dyDescent="0.25">
      <c r="A1432" s="61" t="s">
        <v>1350</v>
      </c>
      <c r="B1432" s="126">
        <v>43524</v>
      </c>
      <c r="C1432" s="13">
        <v>186</v>
      </c>
      <c r="D1432" s="13" t="s">
        <v>944</v>
      </c>
      <c r="E1432" s="13" t="s">
        <v>691</v>
      </c>
      <c r="F1432" s="37">
        <v>85500</v>
      </c>
      <c r="G1432" s="29" t="s">
        <v>196</v>
      </c>
      <c r="H1432" s="14">
        <v>43488</v>
      </c>
      <c r="I1432" s="4" t="s">
        <v>402</v>
      </c>
    </row>
    <row r="1433" spans="1:12" hidden="1" x14ac:dyDescent="0.25">
      <c r="A1433" s="61" t="s">
        <v>637</v>
      </c>
      <c r="B1433" s="126">
        <v>43524</v>
      </c>
      <c r="C1433" s="13">
        <v>186</v>
      </c>
      <c r="D1433" s="13" t="s">
        <v>944</v>
      </c>
      <c r="E1433" s="13" t="s">
        <v>691</v>
      </c>
      <c r="F1433" s="37">
        <v>18000</v>
      </c>
      <c r="G1433" s="29" t="s">
        <v>306</v>
      </c>
      <c r="H1433" s="14">
        <v>43493</v>
      </c>
      <c r="I1433" s="4" t="s">
        <v>402</v>
      </c>
    </row>
    <row r="1434" spans="1:12" hidden="1" x14ac:dyDescent="0.25">
      <c r="A1434" s="61" t="s">
        <v>1350</v>
      </c>
      <c r="B1434" s="126">
        <v>43524</v>
      </c>
      <c r="C1434" s="13">
        <v>186</v>
      </c>
      <c r="D1434" s="13" t="s">
        <v>944</v>
      </c>
      <c r="E1434" s="13" t="s">
        <v>691</v>
      </c>
      <c r="F1434" s="37">
        <v>13500</v>
      </c>
      <c r="G1434" s="29" t="s">
        <v>201</v>
      </c>
      <c r="H1434" s="14">
        <v>43496</v>
      </c>
      <c r="I1434" s="4" t="s">
        <v>337</v>
      </c>
    </row>
    <row r="1435" spans="1:12" hidden="1" x14ac:dyDescent="0.25">
      <c r="A1435" s="61" t="s">
        <v>637</v>
      </c>
      <c r="B1435" s="126">
        <v>43524</v>
      </c>
      <c r="C1435" s="13">
        <v>182</v>
      </c>
      <c r="D1435" s="13" t="s">
        <v>282</v>
      </c>
      <c r="E1435" s="13" t="s">
        <v>691</v>
      </c>
      <c r="F1435" s="4">
        <v>6435</v>
      </c>
      <c r="G1435" s="28" t="s">
        <v>4081</v>
      </c>
      <c r="H1435" s="14">
        <v>43503</v>
      </c>
      <c r="I1435" s="4" t="s">
        <v>283</v>
      </c>
    </row>
    <row r="1436" spans="1:12" hidden="1" x14ac:dyDescent="0.25">
      <c r="A1436" s="61" t="s">
        <v>1455</v>
      </c>
      <c r="B1436" s="126">
        <v>43524</v>
      </c>
      <c r="C1436" s="13">
        <v>182</v>
      </c>
      <c r="D1436" s="13" t="s">
        <v>282</v>
      </c>
      <c r="E1436" s="13" t="s">
        <v>691</v>
      </c>
      <c r="F1436" s="37">
        <v>7150</v>
      </c>
      <c r="G1436" s="29" t="s">
        <v>4298</v>
      </c>
      <c r="H1436" s="14">
        <v>43510</v>
      </c>
      <c r="I1436" s="4" t="s">
        <v>283</v>
      </c>
    </row>
    <row r="1437" spans="1:12" hidden="1" x14ac:dyDescent="0.25">
      <c r="A1437" s="61" t="s">
        <v>1350</v>
      </c>
      <c r="B1437" s="126">
        <v>43524</v>
      </c>
      <c r="C1437" s="13">
        <v>178</v>
      </c>
      <c r="D1437" s="13" t="s">
        <v>80</v>
      </c>
      <c r="E1437" s="13" t="s">
        <v>691</v>
      </c>
      <c r="F1437" s="4">
        <v>12800</v>
      </c>
      <c r="G1437" s="28" t="s">
        <v>4086</v>
      </c>
      <c r="H1437" s="14">
        <v>43496</v>
      </c>
      <c r="I1437" s="4" t="s">
        <v>354</v>
      </c>
    </row>
    <row r="1438" spans="1:12" hidden="1" x14ac:dyDescent="0.25">
      <c r="A1438" s="61" t="s">
        <v>1350</v>
      </c>
      <c r="B1438" s="126">
        <v>43524</v>
      </c>
      <c r="C1438" s="13">
        <v>179</v>
      </c>
      <c r="D1438" s="13" t="s">
        <v>250</v>
      </c>
      <c r="E1438" s="13" t="s">
        <v>691</v>
      </c>
      <c r="F1438" s="4">
        <v>137750</v>
      </c>
      <c r="G1438" s="28" t="s">
        <v>3149</v>
      </c>
      <c r="H1438" s="14">
        <v>43463</v>
      </c>
      <c r="I1438" s="4" t="s">
        <v>1601</v>
      </c>
    </row>
    <row r="1439" spans="1:12" hidden="1" x14ac:dyDescent="0.25">
      <c r="A1439" s="61" t="s">
        <v>1350</v>
      </c>
      <c r="B1439" s="126">
        <v>43524</v>
      </c>
      <c r="C1439" s="13">
        <v>180</v>
      </c>
      <c r="D1439" s="13" t="s">
        <v>250</v>
      </c>
      <c r="E1439" s="13" t="s">
        <v>691</v>
      </c>
      <c r="F1439" s="4">
        <v>155652.5</v>
      </c>
      <c r="G1439" s="28" t="s">
        <v>4087</v>
      </c>
      <c r="H1439" s="14">
        <v>43483</v>
      </c>
      <c r="I1439" s="4" t="s">
        <v>4088</v>
      </c>
    </row>
    <row r="1440" spans="1:12" hidden="1" x14ac:dyDescent="0.25">
      <c r="A1440" s="61" t="s">
        <v>1350</v>
      </c>
      <c r="B1440" s="126">
        <v>43524</v>
      </c>
      <c r="C1440" s="13">
        <v>181</v>
      </c>
      <c r="D1440" s="13" t="s">
        <v>2047</v>
      </c>
      <c r="E1440" s="13" t="s">
        <v>691</v>
      </c>
      <c r="F1440" s="37">
        <v>17000</v>
      </c>
      <c r="G1440" s="29" t="s">
        <v>4091</v>
      </c>
      <c r="H1440" s="14">
        <v>43500</v>
      </c>
      <c r="I1440" s="4" t="s">
        <v>95</v>
      </c>
    </row>
    <row r="1441" spans="1:11" ht="27.6" hidden="1" x14ac:dyDescent="0.25">
      <c r="A1441" s="13" t="s">
        <v>495</v>
      </c>
      <c r="B1441" s="14">
        <v>43524</v>
      </c>
      <c r="C1441" s="13">
        <v>420</v>
      </c>
      <c r="D1441" s="13" t="s">
        <v>2974</v>
      </c>
      <c r="E1441" s="13" t="s">
        <v>130</v>
      </c>
      <c r="F1441" s="37">
        <v>5</v>
      </c>
      <c r="G1441" s="29"/>
      <c r="H1441" s="14"/>
      <c r="I1441" s="4" t="s">
        <v>2975</v>
      </c>
    </row>
    <row r="1442" spans="1:11" hidden="1" x14ac:dyDescent="0.25">
      <c r="A1442" s="68" t="s">
        <v>151</v>
      </c>
      <c r="B1442" s="14">
        <v>43524</v>
      </c>
      <c r="C1442" s="13">
        <v>21</v>
      </c>
      <c r="D1442" s="32" t="s">
        <v>2899</v>
      </c>
      <c r="E1442" s="32" t="s">
        <v>742</v>
      </c>
      <c r="F1442" s="4">
        <v>4000</v>
      </c>
      <c r="G1442" s="210" t="s">
        <v>4748</v>
      </c>
      <c r="H1442" s="211">
        <v>43521</v>
      </c>
      <c r="I1442" s="208" t="s">
        <v>4399</v>
      </c>
      <c r="J1442" s="21"/>
      <c r="K1442" s="228"/>
    </row>
    <row r="1443" spans="1:11" hidden="1" x14ac:dyDescent="0.25">
      <c r="A1443" s="32" t="s">
        <v>151</v>
      </c>
      <c r="B1443" s="14">
        <v>43524</v>
      </c>
      <c r="C1443" s="13">
        <v>92</v>
      </c>
      <c r="D1443" s="32" t="s">
        <v>3310</v>
      </c>
      <c r="E1443" s="32" t="s">
        <v>691</v>
      </c>
      <c r="F1443" s="4">
        <v>1500</v>
      </c>
      <c r="G1443" s="29" t="s">
        <v>4749</v>
      </c>
      <c r="H1443" s="14">
        <v>43524</v>
      </c>
      <c r="I1443" s="4" t="s">
        <v>4769</v>
      </c>
      <c r="J1443" s="21"/>
      <c r="K1443" s="228"/>
    </row>
    <row r="1444" spans="1:11" s="129" customFormat="1" hidden="1" x14ac:dyDescent="0.25">
      <c r="A1444" s="340" t="s">
        <v>151</v>
      </c>
      <c r="B1444" s="102">
        <v>43524</v>
      </c>
      <c r="C1444" s="328"/>
      <c r="D1444" s="340" t="s">
        <v>5627</v>
      </c>
      <c r="E1444" s="340" t="s">
        <v>958</v>
      </c>
      <c r="F1444" s="327">
        <v>160000</v>
      </c>
      <c r="G1444" s="462"/>
      <c r="H1444" s="102"/>
      <c r="I1444" s="327" t="s">
        <v>5628</v>
      </c>
      <c r="J1444" s="136"/>
    </row>
  </sheetData>
  <autoFilter ref="A2:J1444">
    <filterColumn colId="3">
      <filters>
        <filter val="Болфа МТ."/>
      </filters>
    </filterColumn>
  </autoFilter>
  <pageMargins left="0.59055118110236227" right="0.39370078740157483" top="0.78740157480314965" bottom="0.19685039370078741" header="0.51181102362204722" footer="0.51181102362204722"/>
  <pageSetup paperSize="9" scale="67" fitToHeight="0" orientation="landscape" r:id="rId1"/>
  <headerFooter alignWithMargins="0"/>
  <colBreaks count="2" manualBreakCount="2">
    <brk id="10" max="1048575" man="1"/>
    <brk id="102" max="28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S932"/>
  <sheetViews>
    <sheetView zoomScaleNormal="100" workbookViewId="0">
      <pane ySplit="2" topLeftCell="A3" activePane="bottomLeft" state="frozen"/>
      <selection activeCell="D147" sqref="D147"/>
      <selection pane="bottomLeft" activeCell="A715" sqref="A715"/>
    </sheetView>
  </sheetViews>
  <sheetFormatPr defaultColWidth="9.44140625" defaultRowHeight="13.8" x14ac:dyDescent="0.25"/>
  <cols>
    <col min="1" max="1" width="14.44140625" style="228" customWidth="1"/>
    <col min="2" max="2" width="10.5546875" style="57" customWidth="1"/>
    <col min="3" max="3" width="9.21875" style="124" customWidth="1"/>
    <col min="4" max="4" width="27" style="228" customWidth="1"/>
    <col min="5" max="5" width="11" style="228" customWidth="1"/>
    <col min="6" max="6" width="16.44140625" style="50" customWidth="1"/>
    <col min="7" max="7" width="26.109375" style="50" customWidth="1"/>
    <col min="8" max="8" width="11.44140625" style="228" customWidth="1"/>
    <col min="9" max="9" width="37.88671875" style="228" customWidth="1"/>
    <col min="10" max="10" width="17.5546875" style="22" customWidth="1"/>
    <col min="11" max="11" width="14.44140625" style="21" customWidth="1"/>
    <col min="12" max="16384" width="9.44140625" style="228"/>
  </cols>
  <sheetData>
    <row r="1" spans="1:19" ht="19.5" customHeight="1" x14ac:dyDescent="0.25">
      <c r="F1" s="72">
        <f>SUM(F3:F930)</f>
        <v>307175624.26794988</v>
      </c>
      <c r="G1" s="62"/>
    </row>
    <row r="2" spans="1:19" s="50" customFormat="1" ht="24.6" customHeight="1" x14ac:dyDescent="0.25">
      <c r="A2" s="79" t="s">
        <v>192</v>
      </c>
      <c r="B2" s="80" t="s">
        <v>123</v>
      </c>
      <c r="C2" s="78" t="s">
        <v>51</v>
      </c>
      <c r="D2" s="79" t="s">
        <v>109</v>
      </c>
      <c r="E2" s="79" t="s">
        <v>9</v>
      </c>
      <c r="F2" s="81" t="s">
        <v>56</v>
      </c>
      <c r="G2" s="79" t="s">
        <v>58</v>
      </c>
      <c r="H2" s="79" t="s">
        <v>57</v>
      </c>
      <c r="I2" s="81" t="s">
        <v>10</v>
      </c>
      <c r="J2" s="22"/>
      <c r="K2" s="21"/>
    </row>
    <row r="3" spans="1:19" ht="27.6" hidden="1" x14ac:dyDescent="0.25">
      <c r="A3" s="61" t="s">
        <v>460</v>
      </c>
      <c r="B3" s="14">
        <v>43474</v>
      </c>
      <c r="C3" s="13">
        <v>166</v>
      </c>
      <c r="D3" s="14" t="s">
        <v>2656</v>
      </c>
      <c r="E3" s="32" t="s">
        <v>2058</v>
      </c>
      <c r="F3" s="4">
        <v>115200</v>
      </c>
      <c r="G3" s="86" t="s">
        <v>2094</v>
      </c>
      <c r="H3" s="211"/>
      <c r="I3" s="326"/>
      <c r="K3" s="62"/>
    </row>
    <row r="4" spans="1:19" ht="15" hidden="1" customHeight="1" x14ac:dyDescent="0.25">
      <c r="A4" s="68" t="s">
        <v>311</v>
      </c>
      <c r="B4" s="14">
        <v>43474</v>
      </c>
      <c r="C4" s="13">
        <v>2</v>
      </c>
      <c r="D4" s="32" t="s">
        <v>281</v>
      </c>
      <c r="E4" s="32" t="s">
        <v>408</v>
      </c>
      <c r="F4" s="4">
        <v>269463</v>
      </c>
      <c r="G4" s="29" t="s">
        <v>2482</v>
      </c>
      <c r="H4" s="14">
        <v>43446</v>
      </c>
      <c r="I4" s="41" t="s">
        <v>852</v>
      </c>
      <c r="J4" s="35" t="s">
        <v>239</v>
      </c>
      <c r="K4" s="35"/>
      <c r="L4" s="35"/>
    </row>
    <row r="5" spans="1:19" ht="15" hidden="1" customHeight="1" x14ac:dyDescent="0.25">
      <c r="A5" s="13" t="s">
        <v>151</v>
      </c>
      <c r="B5" s="14">
        <v>43474</v>
      </c>
      <c r="C5" s="13">
        <v>1</v>
      </c>
      <c r="D5" s="32" t="s">
        <v>2798</v>
      </c>
      <c r="E5" s="32" t="s">
        <v>22</v>
      </c>
      <c r="F5" s="4">
        <v>89990</v>
      </c>
      <c r="G5" s="29" t="s">
        <v>2799</v>
      </c>
      <c r="H5" s="14">
        <v>43474</v>
      </c>
      <c r="I5" s="41" t="s">
        <v>3028</v>
      </c>
      <c r="J5" s="35"/>
      <c r="K5" s="35"/>
      <c r="L5" s="35"/>
    </row>
    <row r="6" spans="1:19" hidden="1" x14ac:dyDescent="0.25">
      <c r="A6" s="32" t="s">
        <v>92</v>
      </c>
      <c r="B6" s="14">
        <v>43475</v>
      </c>
      <c r="C6" s="13">
        <v>5</v>
      </c>
      <c r="D6" s="13" t="s">
        <v>373</v>
      </c>
      <c r="E6" s="13" t="s">
        <v>140</v>
      </c>
      <c r="F6" s="37">
        <v>11700.19</v>
      </c>
      <c r="G6" s="29" t="s">
        <v>2795</v>
      </c>
      <c r="H6" s="14">
        <v>43470</v>
      </c>
      <c r="I6" s="4" t="s">
        <v>2796</v>
      </c>
      <c r="J6" s="128"/>
    </row>
    <row r="7" spans="1:19" hidden="1" x14ac:dyDescent="0.25">
      <c r="A7" s="32" t="s">
        <v>151</v>
      </c>
      <c r="B7" s="14">
        <v>43475</v>
      </c>
      <c r="C7" s="13">
        <v>2</v>
      </c>
      <c r="D7" s="32" t="s">
        <v>1888</v>
      </c>
      <c r="E7" s="32" t="s">
        <v>62</v>
      </c>
      <c r="F7" s="4">
        <v>3135</v>
      </c>
      <c r="G7" s="13">
        <v>2</v>
      </c>
      <c r="H7" s="14">
        <v>43474</v>
      </c>
      <c r="I7" s="4" t="s">
        <v>3029</v>
      </c>
      <c r="K7" s="62"/>
      <c r="L7" s="62"/>
      <c r="M7" s="62"/>
      <c r="N7" s="62"/>
      <c r="O7" s="35"/>
      <c r="P7" s="35"/>
      <c r="Q7" s="35"/>
      <c r="R7" s="35"/>
      <c r="S7" s="35"/>
    </row>
    <row r="8" spans="1:19" s="129" customFormat="1" hidden="1" x14ac:dyDescent="0.25">
      <c r="A8" s="13" t="s">
        <v>151</v>
      </c>
      <c r="B8" s="14">
        <v>43475</v>
      </c>
      <c r="C8" s="28" t="s">
        <v>2893</v>
      </c>
      <c r="D8" s="13" t="s">
        <v>711</v>
      </c>
      <c r="E8" s="32" t="s">
        <v>1121</v>
      </c>
      <c r="F8" s="37">
        <f>1350+900+4600</f>
        <v>6850</v>
      </c>
      <c r="G8" s="28" t="s">
        <v>2776</v>
      </c>
      <c r="H8" s="28" t="s">
        <v>2777</v>
      </c>
      <c r="I8" s="4" t="s">
        <v>712</v>
      </c>
      <c r="J8" s="170"/>
      <c r="K8" s="136"/>
    </row>
    <row r="9" spans="1:19" hidden="1" x14ac:dyDescent="0.25">
      <c r="A9" s="32" t="s">
        <v>151</v>
      </c>
      <c r="B9" s="14">
        <v>43475</v>
      </c>
      <c r="C9" s="13">
        <v>5</v>
      </c>
      <c r="D9" s="32" t="s">
        <v>437</v>
      </c>
      <c r="E9" s="32" t="s">
        <v>60</v>
      </c>
      <c r="F9" s="4">
        <v>8000</v>
      </c>
      <c r="G9" s="13">
        <v>49</v>
      </c>
      <c r="H9" s="14">
        <v>43474</v>
      </c>
      <c r="I9" s="4" t="s">
        <v>1324</v>
      </c>
      <c r="J9" s="22" t="s">
        <v>239</v>
      </c>
      <c r="K9" s="62"/>
      <c r="L9" s="62"/>
      <c r="M9" s="62"/>
      <c r="N9" s="62"/>
      <c r="O9" s="35"/>
      <c r="P9" s="35"/>
      <c r="Q9" s="35"/>
      <c r="R9" s="35"/>
      <c r="S9" s="35"/>
    </row>
    <row r="10" spans="1:19" hidden="1" x14ac:dyDescent="0.25">
      <c r="A10" s="32" t="s">
        <v>151</v>
      </c>
      <c r="B10" s="14">
        <v>43475</v>
      </c>
      <c r="C10" s="13">
        <v>9</v>
      </c>
      <c r="D10" s="32" t="s">
        <v>437</v>
      </c>
      <c r="E10" s="32" t="s">
        <v>130</v>
      </c>
      <c r="F10" s="4">
        <v>8000</v>
      </c>
      <c r="G10" s="13">
        <v>53</v>
      </c>
      <c r="H10" s="14">
        <v>43474</v>
      </c>
      <c r="I10" s="4" t="s">
        <v>1324</v>
      </c>
      <c r="J10" s="22" t="s">
        <v>239</v>
      </c>
      <c r="K10" s="62"/>
      <c r="L10" s="62"/>
      <c r="M10" s="62"/>
      <c r="N10" s="62"/>
      <c r="O10" s="35"/>
      <c r="P10" s="35"/>
      <c r="Q10" s="35"/>
      <c r="R10" s="35"/>
      <c r="S10" s="35"/>
    </row>
    <row r="11" spans="1:19" ht="15" hidden="1" customHeight="1" x14ac:dyDescent="0.25">
      <c r="A11" s="13" t="s">
        <v>151</v>
      </c>
      <c r="B11" s="14">
        <v>43475</v>
      </c>
      <c r="C11" s="13">
        <v>2</v>
      </c>
      <c r="D11" s="32" t="s">
        <v>2853</v>
      </c>
      <c r="E11" s="32" t="s">
        <v>22</v>
      </c>
      <c r="F11" s="4">
        <v>26220</v>
      </c>
      <c r="G11" s="29" t="s">
        <v>2854</v>
      </c>
      <c r="H11" s="14">
        <v>43474</v>
      </c>
      <c r="I11" s="41" t="s">
        <v>3030</v>
      </c>
      <c r="J11" s="35"/>
      <c r="K11" s="35"/>
      <c r="L11" s="35"/>
    </row>
    <row r="12" spans="1:19" ht="15" hidden="1" customHeight="1" x14ac:dyDescent="0.25">
      <c r="A12" s="61" t="s">
        <v>1934</v>
      </c>
      <c r="B12" s="14">
        <v>43475</v>
      </c>
      <c r="C12" s="13">
        <v>31</v>
      </c>
      <c r="D12" s="32" t="s">
        <v>281</v>
      </c>
      <c r="E12" s="32" t="s">
        <v>136</v>
      </c>
      <c r="F12" s="4">
        <v>301854</v>
      </c>
      <c r="G12" s="29" t="s">
        <v>2488</v>
      </c>
      <c r="H12" s="14">
        <v>43446</v>
      </c>
      <c r="I12" s="41" t="s">
        <v>852</v>
      </c>
      <c r="J12" s="35" t="s">
        <v>239</v>
      </c>
      <c r="K12" s="35"/>
      <c r="L12" s="35"/>
    </row>
    <row r="13" spans="1:19" ht="15" hidden="1" customHeight="1" x14ac:dyDescent="0.25">
      <c r="A13" s="68" t="s">
        <v>206</v>
      </c>
      <c r="B13" s="14">
        <v>43475</v>
      </c>
      <c r="C13" s="13">
        <v>1</v>
      </c>
      <c r="D13" s="32" t="s">
        <v>281</v>
      </c>
      <c r="E13" s="32" t="s">
        <v>178</v>
      </c>
      <c r="F13" s="4">
        <v>13652.54</v>
      </c>
      <c r="G13" s="29" t="s">
        <v>2486</v>
      </c>
      <c r="H13" s="14">
        <v>43446</v>
      </c>
      <c r="I13" s="41" t="s">
        <v>852</v>
      </c>
      <c r="J13" s="35" t="s">
        <v>239</v>
      </c>
      <c r="K13" s="35"/>
      <c r="L13" s="35"/>
    </row>
    <row r="14" spans="1:19" ht="15" hidden="1" customHeight="1" x14ac:dyDescent="0.25">
      <c r="A14" s="68" t="s">
        <v>455</v>
      </c>
      <c r="B14" s="14">
        <v>43475</v>
      </c>
      <c r="C14" s="13">
        <v>34</v>
      </c>
      <c r="D14" s="32" t="s">
        <v>281</v>
      </c>
      <c r="E14" s="32" t="s">
        <v>440</v>
      </c>
      <c r="F14" s="4">
        <v>224450</v>
      </c>
      <c r="G14" s="29" t="s">
        <v>2480</v>
      </c>
      <c r="H14" s="14">
        <v>43447</v>
      </c>
      <c r="I14" s="41" t="s">
        <v>852</v>
      </c>
      <c r="J14" s="35" t="s">
        <v>239</v>
      </c>
      <c r="K14" s="35"/>
      <c r="L14" s="35"/>
    </row>
    <row r="15" spans="1:19" ht="15" hidden="1" customHeight="1" x14ac:dyDescent="0.25">
      <c r="A15" s="68" t="s">
        <v>310</v>
      </c>
      <c r="B15" s="14">
        <v>43475</v>
      </c>
      <c r="C15" s="13">
        <v>2</v>
      </c>
      <c r="D15" s="32" t="s">
        <v>281</v>
      </c>
      <c r="E15" s="32" t="s">
        <v>314</v>
      </c>
      <c r="F15" s="4">
        <v>176901</v>
      </c>
      <c r="G15" s="29" t="s">
        <v>2484</v>
      </c>
      <c r="H15" s="14">
        <v>43446</v>
      </c>
      <c r="I15" s="41" t="s">
        <v>852</v>
      </c>
      <c r="J15" s="35" t="s">
        <v>239</v>
      </c>
      <c r="K15" s="35"/>
      <c r="L15" s="35"/>
    </row>
    <row r="16" spans="1:19" ht="13.95" hidden="1" customHeight="1" x14ac:dyDescent="0.25">
      <c r="A16" s="68" t="s">
        <v>151</v>
      </c>
      <c r="B16" s="14">
        <v>43475</v>
      </c>
      <c r="C16" s="13">
        <v>1</v>
      </c>
      <c r="D16" s="32" t="s">
        <v>1263</v>
      </c>
      <c r="E16" s="32" t="s">
        <v>691</v>
      </c>
      <c r="F16" s="4">
        <v>1715</v>
      </c>
      <c r="G16" s="210" t="s">
        <v>2894</v>
      </c>
      <c r="H16" s="211">
        <v>43474</v>
      </c>
      <c r="I16" s="208" t="s">
        <v>5559</v>
      </c>
      <c r="J16" s="21"/>
      <c r="K16" s="228"/>
    </row>
    <row r="17" spans="1:19" ht="13.95" hidden="1" customHeight="1" x14ac:dyDescent="0.25">
      <c r="A17" s="68" t="s">
        <v>151</v>
      </c>
      <c r="B17" s="14">
        <v>43475</v>
      </c>
      <c r="C17" s="13">
        <v>1</v>
      </c>
      <c r="D17" s="32" t="s">
        <v>1263</v>
      </c>
      <c r="E17" s="32" t="s">
        <v>2895</v>
      </c>
      <c r="F17" s="4">
        <v>1715</v>
      </c>
      <c r="G17" s="210" t="s">
        <v>2896</v>
      </c>
      <c r="H17" s="211">
        <v>43474</v>
      </c>
      <c r="I17" s="208" t="s">
        <v>1722</v>
      </c>
      <c r="J17" s="21"/>
      <c r="K17" s="228"/>
    </row>
    <row r="18" spans="1:19" ht="13.95" hidden="1" customHeight="1" x14ac:dyDescent="0.25">
      <c r="A18" s="68" t="s">
        <v>151</v>
      </c>
      <c r="B18" s="14">
        <v>43475</v>
      </c>
      <c r="C18" s="13">
        <v>1</v>
      </c>
      <c r="D18" s="32" t="s">
        <v>1263</v>
      </c>
      <c r="E18" s="32" t="s">
        <v>2897</v>
      </c>
      <c r="F18" s="4">
        <v>1715</v>
      </c>
      <c r="G18" s="210" t="s">
        <v>2898</v>
      </c>
      <c r="H18" s="211">
        <v>43474</v>
      </c>
      <c r="I18" s="208" t="s">
        <v>1722</v>
      </c>
      <c r="J18" s="21"/>
      <c r="K18" s="228"/>
    </row>
    <row r="19" spans="1:19" ht="27.6" hidden="1" x14ac:dyDescent="0.25">
      <c r="A19" s="68" t="s">
        <v>151</v>
      </c>
      <c r="B19" s="14">
        <v>43475</v>
      </c>
      <c r="C19" s="13">
        <v>1</v>
      </c>
      <c r="D19" s="32" t="s">
        <v>2899</v>
      </c>
      <c r="E19" s="32" t="s">
        <v>2021</v>
      </c>
      <c r="F19" s="4">
        <v>500</v>
      </c>
      <c r="G19" s="210" t="s">
        <v>2900</v>
      </c>
      <c r="H19" s="211">
        <v>43475</v>
      </c>
      <c r="I19" s="208" t="s">
        <v>2901</v>
      </c>
      <c r="J19" s="21"/>
      <c r="K19" s="228"/>
    </row>
    <row r="20" spans="1:19" ht="27.6" hidden="1" x14ac:dyDescent="0.25">
      <c r="A20" s="68" t="s">
        <v>151</v>
      </c>
      <c r="B20" s="14">
        <v>43475</v>
      </c>
      <c r="C20" s="13">
        <v>8</v>
      </c>
      <c r="D20" s="32" t="s">
        <v>2899</v>
      </c>
      <c r="E20" s="32" t="s">
        <v>1427</v>
      </c>
      <c r="F20" s="4">
        <v>500</v>
      </c>
      <c r="G20" s="210" t="s">
        <v>2902</v>
      </c>
      <c r="H20" s="211">
        <v>43475</v>
      </c>
      <c r="I20" s="208" t="s">
        <v>2901</v>
      </c>
      <c r="J20" s="21"/>
      <c r="K20" s="228"/>
    </row>
    <row r="21" spans="1:19" hidden="1" x14ac:dyDescent="0.25">
      <c r="A21" s="68" t="s">
        <v>6</v>
      </c>
      <c r="B21" s="14">
        <v>43475</v>
      </c>
      <c r="C21" s="13">
        <v>3</v>
      </c>
      <c r="D21" s="32" t="s">
        <v>2903</v>
      </c>
      <c r="E21" s="32" t="s">
        <v>183</v>
      </c>
      <c r="F21" s="4">
        <v>50000</v>
      </c>
      <c r="G21" s="210" t="s">
        <v>2904</v>
      </c>
      <c r="H21" s="211">
        <v>43474</v>
      </c>
      <c r="I21" s="208" t="s">
        <v>512</v>
      </c>
      <c r="J21" s="21"/>
      <c r="K21" s="228"/>
    </row>
    <row r="22" spans="1:19" hidden="1" x14ac:dyDescent="0.25">
      <c r="A22" s="68" t="s">
        <v>151</v>
      </c>
      <c r="B22" s="14">
        <v>43475</v>
      </c>
      <c r="C22" s="13">
        <v>1</v>
      </c>
      <c r="D22" s="32" t="s">
        <v>2905</v>
      </c>
      <c r="E22" s="32" t="s">
        <v>1121</v>
      </c>
      <c r="F22" s="4">
        <f>50000+36850</f>
        <v>86850</v>
      </c>
      <c r="G22" s="210" t="s">
        <v>2906</v>
      </c>
      <c r="H22" s="211"/>
      <c r="I22" s="208" t="s">
        <v>1525</v>
      </c>
      <c r="J22" s="21"/>
      <c r="K22" s="228"/>
    </row>
    <row r="23" spans="1:19" s="62" customFormat="1" ht="15" hidden="1" customHeight="1" x14ac:dyDescent="0.25">
      <c r="A23" s="13" t="s">
        <v>794</v>
      </c>
      <c r="B23" s="126">
        <v>43476</v>
      </c>
      <c r="C23" s="13">
        <v>1</v>
      </c>
      <c r="D23" s="13" t="s">
        <v>756</v>
      </c>
      <c r="E23" s="13" t="s">
        <v>195</v>
      </c>
      <c r="F23" s="37">
        <v>60000</v>
      </c>
      <c r="G23" s="29" t="s">
        <v>2910</v>
      </c>
      <c r="H23" s="14">
        <v>43418</v>
      </c>
      <c r="I23" s="4" t="s">
        <v>916</v>
      </c>
      <c r="J23" s="71" t="s">
        <v>2618</v>
      </c>
      <c r="O23" s="35"/>
      <c r="P23" s="35"/>
      <c r="Q23" s="35"/>
      <c r="R23" s="35"/>
      <c r="S23" s="35"/>
    </row>
    <row r="24" spans="1:19" s="62" customFormat="1" ht="15" hidden="1" customHeight="1" x14ac:dyDescent="0.25">
      <c r="A24" s="13" t="s">
        <v>794</v>
      </c>
      <c r="B24" s="126">
        <v>43476</v>
      </c>
      <c r="C24" s="13">
        <v>2</v>
      </c>
      <c r="D24" s="13" t="s">
        <v>756</v>
      </c>
      <c r="E24" s="13" t="s">
        <v>195</v>
      </c>
      <c r="F24" s="37">
        <v>1237.78</v>
      </c>
      <c r="G24" s="29" t="s">
        <v>141</v>
      </c>
      <c r="H24" s="14">
        <v>43418</v>
      </c>
      <c r="I24" s="4" t="s">
        <v>546</v>
      </c>
      <c r="J24" s="71" t="s">
        <v>622</v>
      </c>
      <c r="O24" s="35"/>
      <c r="P24" s="35"/>
      <c r="Q24" s="35"/>
      <c r="R24" s="35"/>
      <c r="S24" s="35"/>
    </row>
    <row r="25" spans="1:19" s="62" customFormat="1" ht="15" hidden="1" customHeight="1" x14ac:dyDescent="0.25">
      <c r="A25" s="13" t="s">
        <v>794</v>
      </c>
      <c r="B25" s="126">
        <v>43476</v>
      </c>
      <c r="C25" s="13">
        <v>3</v>
      </c>
      <c r="D25" s="13" t="s">
        <v>756</v>
      </c>
      <c r="E25" s="13" t="s">
        <v>195</v>
      </c>
      <c r="F25" s="37">
        <v>185.67</v>
      </c>
      <c r="G25" s="29" t="s">
        <v>2911</v>
      </c>
      <c r="H25" s="14">
        <v>43418</v>
      </c>
      <c r="I25" s="4" t="s">
        <v>143</v>
      </c>
      <c r="J25" s="71" t="s">
        <v>622</v>
      </c>
      <c r="O25" s="35"/>
      <c r="P25" s="35"/>
      <c r="Q25" s="35"/>
      <c r="R25" s="35"/>
      <c r="S25" s="35"/>
    </row>
    <row r="26" spans="1:19" ht="15" hidden="1" customHeight="1" x14ac:dyDescent="0.25">
      <c r="A26" s="13" t="s">
        <v>794</v>
      </c>
      <c r="B26" s="126">
        <v>43476</v>
      </c>
      <c r="C26" s="13">
        <v>4</v>
      </c>
      <c r="D26" s="32" t="s">
        <v>281</v>
      </c>
      <c r="E26" s="13" t="s">
        <v>195</v>
      </c>
      <c r="F26" s="4">
        <v>7160</v>
      </c>
      <c r="G26" s="29"/>
      <c r="H26" s="14"/>
      <c r="I26" s="41" t="s">
        <v>2912</v>
      </c>
      <c r="J26" s="35" t="s">
        <v>239</v>
      </c>
      <c r="K26" s="35"/>
      <c r="L26" s="35"/>
    </row>
    <row r="27" spans="1:19" ht="13.8" hidden="1" customHeight="1" x14ac:dyDescent="0.25">
      <c r="A27" s="32" t="s">
        <v>198</v>
      </c>
      <c r="B27" s="126">
        <v>43476</v>
      </c>
      <c r="C27" s="67" t="s">
        <v>2939</v>
      </c>
      <c r="D27" s="32" t="s">
        <v>116</v>
      </c>
      <c r="E27" s="32" t="s">
        <v>195</v>
      </c>
      <c r="F27" s="4">
        <f>456.66+2221</f>
        <v>2677.66</v>
      </c>
      <c r="G27" s="28" t="s">
        <v>2794</v>
      </c>
      <c r="H27" s="14">
        <v>43465</v>
      </c>
      <c r="I27" s="4" t="s">
        <v>118</v>
      </c>
      <c r="J27" s="170"/>
      <c r="K27" s="246"/>
    </row>
    <row r="28" spans="1:19" ht="13.95" hidden="1" customHeight="1" x14ac:dyDescent="0.25">
      <c r="A28" s="68" t="s">
        <v>151</v>
      </c>
      <c r="B28" s="14">
        <v>43476</v>
      </c>
      <c r="C28" s="13">
        <v>1</v>
      </c>
      <c r="D28" s="32" t="s">
        <v>1263</v>
      </c>
      <c r="E28" s="32" t="s">
        <v>377</v>
      </c>
      <c r="F28" s="4">
        <v>1715</v>
      </c>
      <c r="G28" s="210" t="s">
        <v>2940</v>
      </c>
      <c r="H28" s="211">
        <v>43474</v>
      </c>
      <c r="I28" s="208" t="s">
        <v>1722</v>
      </c>
      <c r="J28" s="21"/>
      <c r="K28" s="228"/>
    </row>
    <row r="29" spans="1:19" ht="13.95" hidden="1" customHeight="1" x14ac:dyDescent="0.25">
      <c r="A29" s="68" t="s">
        <v>151</v>
      </c>
      <c r="B29" s="14">
        <v>43476</v>
      </c>
      <c r="C29" s="13">
        <v>1</v>
      </c>
      <c r="D29" s="32" t="s">
        <v>1263</v>
      </c>
      <c r="E29" s="32" t="s">
        <v>2941</v>
      </c>
      <c r="F29" s="4">
        <v>1715</v>
      </c>
      <c r="G29" s="210" t="s">
        <v>2942</v>
      </c>
      <c r="H29" s="211">
        <v>43476</v>
      </c>
      <c r="I29" s="208" t="s">
        <v>1722</v>
      </c>
      <c r="J29" s="21"/>
      <c r="K29" s="228"/>
    </row>
    <row r="30" spans="1:19" ht="27.6" hidden="1" x14ac:dyDescent="0.25">
      <c r="A30" s="68" t="s">
        <v>151</v>
      </c>
      <c r="B30" s="14">
        <v>43476</v>
      </c>
      <c r="C30" s="13">
        <v>4</v>
      </c>
      <c r="D30" s="32" t="s">
        <v>1263</v>
      </c>
      <c r="E30" s="32" t="s">
        <v>22</v>
      </c>
      <c r="F30" s="4">
        <v>360000</v>
      </c>
      <c r="G30" s="210" t="s">
        <v>2943</v>
      </c>
      <c r="H30" s="211">
        <v>43385</v>
      </c>
      <c r="I30" s="208" t="s">
        <v>2944</v>
      </c>
      <c r="J30" s="21"/>
      <c r="K30" s="228"/>
    </row>
    <row r="31" spans="1:19" ht="13.95" hidden="1" customHeight="1" x14ac:dyDescent="0.25">
      <c r="A31" s="32" t="s">
        <v>151</v>
      </c>
      <c r="B31" s="14">
        <v>43476</v>
      </c>
      <c r="C31" s="13">
        <v>3</v>
      </c>
      <c r="D31" s="32" t="s">
        <v>2945</v>
      </c>
      <c r="E31" s="32" t="s">
        <v>22</v>
      </c>
      <c r="F31" s="4">
        <v>160000</v>
      </c>
      <c r="G31" s="29" t="s">
        <v>2946</v>
      </c>
      <c r="H31" s="14">
        <v>43382</v>
      </c>
      <c r="I31" s="4"/>
      <c r="J31" s="21"/>
      <c r="K31" s="228"/>
    </row>
    <row r="32" spans="1:19" s="2" customFormat="1" ht="15" hidden="1" customHeight="1" x14ac:dyDescent="0.25">
      <c r="A32" s="61" t="s">
        <v>6</v>
      </c>
      <c r="B32" s="14">
        <v>43479</v>
      </c>
      <c r="C32" s="13">
        <v>5</v>
      </c>
      <c r="D32" s="13" t="s">
        <v>225</v>
      </c>
      <c r="E32" s="13" t="s">
        <v>183</v>
      </c>
      <c r="F32" s="4">
        <v>6000</v>
      </c>
      <c r="G32" s="29" t="s">
        <v>2781</v>
      </c>
      <c r="H32" s="14">
        <v>43465</v>
      </c>
      <c r="I32" s="4" t="s">
        <v>1441</v>
      </c>
      <c r="J32" s="341" t="s">
        <v>239</v>
      </c>
      <c r="K32" s="31"/>
      <c r="L32" s="31"/>
      <c r="M32" s="31"/>
      <c r="N32" s="31"/>
      <c r="O32" s="34"/>
      <c r="P32" s="34"/>
      <c r="Q32" s="34"/>
      <c r="R32" s="34"/>
      <c r="S32" s="34"/>
    </row>
    <row r="33" spans="1:19" s="2" customFormat="1" hidden="1" x14ac:dyDescent="0.25">
      <c r="A33" s="13" t="s">
        <v>6</v>
      </c>
      <c r="B33" s="14">
        <v>43479</v>
      </c>
      <c r="C33" s="13">
        <v>6</v>
      </c>
      <c r="D33" s="13" t="s">
        <v>2949</v>
      </c>
      <c r="E33" s="13" t="s">
        <v>183</v>
      </c>
      <c r="F33" s="4">
        <v>76720</v>
      </c>
      <c r="G33" s="29" t="s">
        <v>1126</v>
      </c>
      <c r="H33" s="14">
        <v>43418</v>
      </c>
      <c r="I33" s="4" t="s">
        <v>246</v>
      </c>
      <c r="J33" s="341"/>
      <c r="K33" s="31"/>
      <c r="L33" s="31"/>
      <c r="M33" s="31"/>
      <c r="N33" s="31"/>
      <c r="O33" s="34"/>
      <c r="P33" s="34"/>
      <c r="Q33" s="34"/>
      <c r="R33" s="34"/>
      <c r="S33" s="34"/>
    </row>
    <row r="34" spans="1:19" s="2" customFormat="1" ht="15" hidden="1" customHeight="1" x14ac:dyDescent="0.25">
      <c r="A34" s="13" t="s">
        <v>6</v>
      </c>
      <c r="B34" s="14">
        <v>43479</v>
      </c>
      <c r="C34" s="13">
        <v>7</v>
      </c>
      <c r="D34" s="13" t="s">
        <v>1958</v>
      </c>
      <c r="E34" s="13" t="s">
        <v>183</v>
      </c>
      <c r="F34" s="4">
        <v>216450.41</v>
      </c>
      <c r="G34" s="29" t="s">
        <v>2893</v>
      </c>
      <c r="H34" s="14">
        <v>43475</v>
      </c>
      <c r="I34" s="4" t="s">
        <v>1959</v>
      </c>
      <c r="J34" s="341"/>
      <c r="K34" s="31"/>
      <c r="L34" s="31"/>
      <c r="M34" s="31"/>
      <c r="N34" s="31"/>
      <c r="O34" s="34"/>
      <c r="P34" s="34"/>
      <c r="Q34" s="34"/>
      <c r="R34" s="34"/>
      <c r="S34" s="34"/>
    </row>
    <row r="35" spans="1:19" s="2" customFormat="1" ht="15" hidden="1" customHeight="1" x14ac:dyDescent="0.25">
      <c r="A35" s="13" t="s">
        <v>6</v>
      </c>
      <c r="B35" s="14">
        <v>43479</v>
      </c>
      <c r="C35" s="13">
        <v>8</v>
      </c>
      <c r="D35" s="32" t="s">
        <v>1500</v>
      </c>
      <c r="E35" s="13" t="s">
        <v>183</v>
      </c>
      <c r="F35" s="4">
        <v>37200</v>
      </c>
      <c r="G35" s="29" t="s">
        <v>2851</v>
      </c>
      <c r="H35" s="14">
        <v>43463</v>
      </c>
      <c r="I35" s="4" t="s">
        <v>1916</v>
      </c>
      <c r="J35" s="341"/>
      <c r="K35" s="31"/>
      <c r="L35" s="31"/>
      <c r="M35" s="31"/>
      <c r="N35" s="31"/>
      <c r="O35" s="34"/>
      <c r="P35" s="34"/>
      <c r="Q35" s="34"/>
      <c r="R35" s="34"/>
      <c r="S35" s="34"/>
    </row>
    <row r="36" spans="1:19" s="2" customFormat="1" ht="15" hidden="1" customHeight="1" x14ac:dyDescent="0.25">
      <c r="A36" s="13" t="s">
        <v>6</v>
      </c>
      <c r="B36" s="14">
        <v>43479</v>
      </c>
      <c r="C36" s="13">
        <v>9</v>
      </c>
      <c r="D36" s="32" t="s">
        <v>863</v>
      </c>
      <c r="E36" s="13" t="s">
        <v>183</v>
      </c>
      <c r="F36" s="4">
        <v>76250</v>
      </c>
      <c r="G36" s="29" t="s">
        <v>2852</v>
      </c>
      <c r="H36" s="14">
        <v>43460</v>
      </c>
      <c r="I36" s="4" t="s">
        <v>354</v>
      </c>
      <c r="J36" s="341"/>
      <c r="K36" s="31"/>
      <c r="L36" s="31"/>
      <c r="M36" s="31"/>
      <c r="N36" s="31"/>
      <c r="O36" s="34"/>
      <c r="P36" s="34"/>
      <c r="Q36" s="34"/>
      <c r="R36" s="34"/>
      <c r="S36" s="34"/>
    </row>
    <row r="37" spans="1:19" s="2" customFormat="1" ht="15" hidden="1" customHeight="1" x14ac:dyDescent="0.25">
      <c r="A37" s="13" t="s">
        <v>6</v>
      </c>
      <c r="B37" s="14">
        <v>43479</v>
      </c>
      <c r="C37" s="13">
        <v>10</v>
      </c>
      <c r="D37" s="32" t="s">
        <v>2907</v>
      </c>
      <c r="E37" s="13" t="s">
        <v>183</v>
      </c>
      <c r="F37" s="4">
        <v>4602</v>
      </c>
      <c r="G37" s="29" t="s">
        <v>2908</v>
      </c>
      <c r="H37" s="14">
        <v>43452</v>
      </c>
      <c r="I37" s="4" t="s">
        <v>2909</v>
      </c>
      <c r="J37" s="341" t="s">
        <v>327</v>
      </c>
      <c r="K37" s="31"/>
      <c r="L37" s="31"/>
      <c r="M37" s="31"/>
      <c r="N37" s="31"/>
      <c r="O37" s="34"/>
      <c r="P37" s="34"/>
      <c r="Q37" s="34"/>
      <c r="R37" s="34"/>
      <c r="S37" s="34"/>
    </row>
    <row r="38" spans="1:19" s="2" customFormat="1" ht="15" hidden="1" customHeight="1" x14ac:dyDescent="0.25">
      <c r="A38" s="13" t="s">
        <v>6</v>
      </c>
      <c r="B38" s="14">
        <v>43479</v>
      </c>
      <c r="C38" s="13">
        <v>11</v>
      </c>
      <c r="D38" s="13" t="s">
        <v>1166</v>
      </c>
      <c r="E38" s="13" t="s">
        <v>183</v>
      </c>
      <c r="F38" s="4">
        <v>13400</v>
      </c>
      <c r="G38" s="29" t="s">
        <v>2947</v>
      </c>
      <c r="H38" s="14">
        <v>43479</v>
      </c>
      <c r="I38" s="4" t="s">
        <v>2948</v>
      </c>
      <c r="J38" s="341"/>
      <c r="K38" s="31"/>
      <c r="L38" s="31"/>
      <c r="M38" s="31"/>
      <c r="N38" s="31"/>
      <c r="O38" s="34"/>
      <c r="P38" s="34"/>
      <c r="Q38" s="34"/>
      <c r="R38" s="34"/>
      <c r="S38" s="34"/>
    </row>
    <row r="39" spans="1:19" hidden="1" x14ac:dyDescent="0.25">
      <c r="A39" s="61" t="s">
        <v>460</v>
      </c>
      <c r="B39" s="14">
        <v>43479</v>
      </c>
      <c r="C39" s="13">
        <v>14</v>
      </c>
      <c r="D39" s="13" t="s">
        <v>2031</v>
      </c>
      <c r="E39" s="13" t="s">
        <v>547</v>
      </c>
      <c r="F39" s="256">
        <f>1300000</f>
        <v>1300000</v>
      </c>
      <c r="G39" s="69" t="s">
        <v>2032</v>
      </c>
      <c r="H39" s="14">
        <v>43391</v>
      </c>
      <c r="I39" s="274" t="s">
        <v>2149</v>
      </c>
      <c r="J39" s="169"/>
    </row>
    <row r="40" spans="1:19" hidden="1" x14ac:dyDescent="0.25">
      <c r="A40" s="61" t="s">
        <v>460</v>
      </c>
      <c r="B40" s="14">
        <v>43479</v>
      </c>
      <c r="C40" s="13">
        <v>15</v>
      </c>
      <c r="D40" s="13" t="s">
        <v>2059</v>
      </c>
      <c r="E40" s="13" t="s">
        <v>547</v>
      </c>
      <c r="F40" s="256">
        <f>2781440</f>
        <v>2781440</v>
      </c>
      <c r="G40" s="69" t="s">
        <v>2060</v>
      </c>
      <c r="H40" s="211">
        <v>43398</v>
      </c>
      <c r="I40" s="274" t="s">
        <v>2149</v>
      </c>
      <c r="J40" s="169"/>
    </row>
    <row r="41" spans="1:19" hidden="1" x14ac:dyDescent="0.25">
      <c r="A41" s="61" t="s">
        <v>460</v>
      </c>
      <c r="B41" s="14">
        <v>43479</v>
      </c>
      <c r="C41" s="13" t="s">
        <v>2972</v>
      </c>
      <c r="D41" s="13" t="s">
        <v>2101</v>
      </c>
      <c r="E41" s="13" t="s">
        <v>547</v>
      </c>
      <c r="F41" s="256">
        <v>319752.96000000002</v>
      </c>
      <c r="G41" s="69" t="s">
        <v>2102</v>
      </c>
      <c r="H41" s="14">
        <v>43417</v>
      </c>
      <c r="I41" s="274" t="s">
        <v>2605</v>
      </c>
      <c r="J41" s="169"/>
    </row>
    <row r="42" spans="1:19" hidden="1" x14ac:dyDescent="0.25">
      <c r="A42" s="61" t="s">
        <v>460</v>
      </c>
      <c r="B42" s="14">
        <v>43479</v>
      </c>
      <c r="C42" s="13">
        <v>10</v>
      </c>
      <c r="D42" s="13" t="s">
        <v>1928</v>
      </c>
      <c r="E42" s="13" t="s">
        <v>140</v>
      </c>
      <c r="F42" s="256">
        <v>660206.48</v>
      </c>
      <c r="G42" s="69" t="s">
        <v>1929</v>
      </c>
      <c r="H42" s="14">
        <v>43362</v>
      </c>
      <c r="I42" s="274" t="s">
        <v>2595</v>
      </c>
      <c r="J42" s="169"/>
    </row>
    <row r="43" spans="1:19" hidden="1" x14ac:dyDescent="0.25">
      <c r="A43" s="61" t="s">
        <v>460</v>
      </c>
      <c r="B43" s="14">
        <v>43479</v>
      </c>
      <c r="C43" s="13">
        <v>40</v>
      </c>
      <c r="D43" s="13" t="s">
        <v>1955</v>
      </c>
      <c r="E43" s="13" t="s">
        <v>494</v>
      </c>
      <c r="F43" s="256">
        <f>807350</f>
        <v>807350</v>
      </c>
      <c r="G43" s="69" t="s">
        <v>1956</v>
      </c>
      <c r="H43" s="14">
        <v>43369</v>
      </c>
      <c r="I43" s="274" t="s">
        <v>2760</v>
      </c>
      <c r="J43" s="169"/>
    </row>
    <row r="44" spans="1:19" hidden="1" x14ac:dyDescent="0.25">
      <c r="A44" s="61" t="s">
        <v>460</v>
      </c>
      <c r="B44" s="14">
        <v>43479</v>
      </c>
      <c r="C44" s="13">
        <v>41</v>
      </c>
      <c r="D44" s="13" t="s">
        <v>2620</v>
      </c>
      <c r="E44" s="13" t="s">
        <v>494</v>
      </c>
      <c r="F44" s="256">
        <v>16437</v>
      </c>
      <c r="G44" s="69" t="s">
        <v>2621</v>
      </c>
      <c r="H44" s="14"/>
      <c r="I44" s="274"/>
      <c r="J44" s="169"/>
    </row>
    <row r="45" spans="1:19" hidden="1" x14ac:dyDescent="0.25">
      <c r="A45" s="61" t="s">
        <v>460</v>
      </c>
      <c r="B45" s="14">
        <v>43479</v>
      </c>
      <c r="C45" s="13">
        <v>42</v>
      </c>
      <c r="D45" s="13" t="s">
        <v>2476</v>
      </c>
      <c r="E45" s="13" t="s">
        <v>494</v>
      </c>
      <c r="F45" s="256">
        <v>1350888</v>
      </c>
      <c r="G45" s="69" t="s">
        <v>2478</v>
      </c>
      <c r="H45" s="14">
        <v>43432</v>
      </c>
      <c r="I45" s="274" t="s">
        <v>2595</v>
      </c>
      <c r="J45" s="169"/>
    </row>
    <row r="46" spans="1:19" ht="13.95" customHeight="1" x14ac:dyDescent="0.25">
      <c r="A46" s="32" t="s">
        <v>1286</v>
      </c>
      <c r="B46" s="14">
        <v>43480</v>
      </c>
      <c r="C46" s="13">
        <v>11</v>
      </c>
      <c r="D46" s="32" t="s">
        <v>272</v>
      </c>
      <c r="E46" s="32" t="s">
        <v>62</v>
      </c>
      <c r="F46" s="4">
        <v>2000000</v>
      </c>
      <c r="G46" s="69" t="s">
        <v>1195</v>
      </c>
      <c r="H46" s="14"/>
      <c r="I46" s="84" t="s">
        <v>1196</v>
      </c>
      <c r="K46" s="62"/>
    </row>
    <row r="47" spans="1:19" s="82" customFormat="1" hidden="1" x14ac:dyDescent="0.25">
      <c r="A47" s="13" t="s">
        <v>188</v>
      </c>
      <c r="B47" s="14">
        <v>43480</v>
      </c>
      <c r="C47" s="13">
        <v>6</v>
      </c>
      <c r="D47" s="13" t="s">
        <v>3005</v>
      </c>
      <c r="E47" s="32" t="s">
        <v>483</v>
      </c>
      <c r="F47" s="4">
        <v>1500000</v>
      </c>
      <c r="G47" s="29" t="s">
        <v>3006</v>
      </c>
      <c r="H47" s="14">
        <v>41942</v>
      </c>
      <c r="I47" s="13" t="s">
        <v>3007</v>
      </c>
      <c r="J47" s="22"/>
      <c r="K47" s="63"/>
      <c r="L47" s="228"/>
      <c r="M47" s="228"/>
      <c r="N47" s="228"/>
    </row>
    <row r="48" spans="1:19" hidden="1" x14ac:dyDescent="0.25">
      <c r="A48" s="13" t="s">
        <v>188</v>
      </c>
      <c r="B48" s="14">
        <v>43480</v>
      </c>
      <c r="C48" s="13">
        <v>5</v>
      </c>
      <c r="D48" s="13" t="s">
        <v>3005</v>
      </c>
      <c r="E48" s="32" t="s">
        <v>483</v>
      </c>
      <c r="F48" s="4">
        <v>1500000</v>
      </c>
      <c r="G48" s="29" t="s">
        <v>3008</v>
      </c>
      <c r="H48" s="14">
        <v>41942</v>
      </c>
      <c r="I48" s="13" t="s">
        <v>3009</v>
      </c>
      <c r="J48" s="50"/>
      <c r="K48" s="228"/>
    </row>
    <row r="49" spans="1:19" ht="13.95" hidden="1" customHeight="1" x14ac:dyDescent="0.25">
      <c r="A49" s="13" t="s">
        <v>90</v>
      </c>
      <c r="B49" s="14">
        <v>43480</v>
      </c>
      <c r="C49" s="13">
        <v>29</v>
      </c>
      <c r="D49" s="32" t="s">
        <v>1907</v>
      </c>
      <c r="E49" s="32" t="s">
        <v>130</v>
      </c>
      <c r="F49" s="4">
        <v>2490847.2799999998</v>
      </c>
      <c r="G49" s="86" t="s">
        <v>1932</v>
      </c>
      <c r="H49" s="14"/>
      <c r="I49" s="41" t="s">
        <v>270</v>
      </c>
      <c r="J49" s="21"/>
      <c r="K49" s="228"/>
    </row>
    <row r="50" spans="1:19" ht="13.95" hidden="1" customHeight="1" x14ac:dyDescent="0.25">
      <c r="A50" s="68" t="s">
        <v>639</v>
      </c>
      <c r="B50" s="14">
        <v>43480</v>
      </c>
      <c r="C50" s="13" t="s">
        <v>2972</v>
      </c>
      <c r="D50" s="32" t="s">
        <v>905</v>
      </c>
      <c r="E50" s="32" t="s">
        <v>60</v>
      </c>
      <c r="F50" s="4">
        <v>2000000</v>
      </c>
      <c r="G50" s="86" t="s">
        <v>1120</v>
      </c>
      <c r="H50" s="211"/>
      <c r="I50" s="208" t="s">
        <v>1119</v>
      </c>
      <c r="J50" s="21"/>
      <c r="K50" s="228"/>
    </row>
    <row r="51" spans="1:19" ht="13.95" hidden="1" customHeight="1" x14ac:dyDescent="0.25">
      <c r="A51" s="68" t="s">
        <v>311</v>
      </c>
      <c r="B51" s="14">
        <v>43480</v>
      </c>
      <c r="C51" s="67">
        <v>12</v>
      </c>
      <c r="D51" s="32" t="s">
        <v>595</v>
      </c>
      <c r="E51" s="32" t="s">
        <v>408</v>
      </c>
      <c r="F51" s="4">
        <f>830680.82</f>
        <v>830680.82</v>
      </c>
      <c r="G51" s="28" t="s">
        <v>2934</v>
      </c>
      <c r="H51" s="14">
        <v>43434</v>
      </c>
      <c r="I51" s="41" t="s">
        <v>949</v>
      </c>
      <c r="J51" s="166" t="s">
        <v>323</v>
      </c>
      <c r="K51" s="167"/>
      <c r="L51" s="35"/>
    </row>
    <row r="52" spans="1:19" s="115" customFormat="1" ht="15" hidden="1" customHeight="1" x14ac:dyDescent="0.25">
      <c r="A52" s="13" t="s">
        <v>311</v>
      </c>
      <c r="B52" s="14">
        <v>43480</v>
      </c>
      <c r="C52" s="13">
        <v>13</v>
      </c>
      <c r="D52" s="13" t="s">
        <v>253</v>
      </c>
      <c r="E52" s="13" t="s">
        <v>408</v>
      </c>
      <c r="F52" s="37">
        <v>4655.92</v>
      </c>
      <c r="G52" s="29" t="s">
        <v>2892</v>
      </c>
      <c r="H52" s="14">
        <v>43465</v>
      </c>
      <c r="I52" s="4" t="s">
        <v>1608</v>
      </c>
      <c r="J52" s="71" t="s">
        <v>327</v>
      </c>
      <c r="K52" s="116"/>
      <c r="L52" s="116"/>
      <c r="M52" s="116"/>
      <c r="N52" s="116"/>
      <c r="O52" s="117"/>
      <c r="P52" s="117"/>
      <c r="Q52" s="117"/>
      <c r="R52" s="117"/>
      <c r="S52" s="117"/>
    </row>
    <row r="53" spans="1:19" hidden="1" x14ac:dyDescent="0.25">
      <c r="A53" s="32" t="s">
        <v>311</v>
      </c>
      <c r="B53" s="14">
        <v>43480</v>
      </c>
      <c r="C53" s="13">
        <v>14</v>
      </c>
      <c r="D53" s="32" t="s">
        <v>485</v>
      </c>
      <c r="E53" s="32" t="s">
        <v>408</v>
      </c>
      <c r="F53" s="37">
        <v>24189.32</v>
      </c>
      <c r="G53" s="29" t="s">
        <v>2950</v>
      </c>
      <c r="H53" s="14">
        <v>43476</v>
      </c>
      <c r="I53" s="41" t="s">
        <v>546</v>
      </c>
      <c r="J53" s="22" t="s">
        <v>327</v>
      </c>
      <c r="K53" s="22"/>
      <c r="L53" s="63"/>
      <c r="M53" s="62"/>
    </row>
    <row r="54" spans="1:19" ht="15" hidden="1" customHeight="1" x14ac:dyDescent="0.25">
      <c r="A54" s="32" t="s">
        <v>311</v>
      </c>
      <c r="B54" s="14">
        <v>43480</v>
      </c>
      <c r="C54" s="13">
        <v>15</v>
      </c>
      <c r="D54" s="32" t="s">
        <v>281</v>
      </c>
      <c r="E54" s="32" t="s">
        <v>408</v>
      </c>
      <c r="F54" s="4">
        <v>428221.7</v>
      </c>
      <c r="G54" s="29" t="s">
        <v>2978</v>
      </c>
      <c r="H54" s="14">
        <v>43477</v>
      </c>
      <c r="I54" s="41" t="s">
        <v>362</v>
      </c>
      <c r="J54" s="35" t="s">
        <v>327</v>
      </c>
      <c r="K54" s="35"/>
      <c r="L54" s="35"/>
    </row>
    <row r="55" spans="1:19" hidden="1" x14ac:dyDescent="0.25">
      <c r="A55" s="13" t="s">
        <v>209</v>
      </c>
      <c r="B55" s="14">
        <v>43480</v>
      </c>
      <c r="C55" s="13">
        <v>5</v>
      </c>
      <c r="D55" s="13" t="s">
        <v>210</v>
      </c>
      <c r="E55" s="13" t="s">
        <v>134</v>
      </c>
      <c r="F55" s="37">
        <v>47042.63</v>
      </c>
      <c r="G55" s="67" t="s">
        <v>2915</v>
      </c>
      <c r="H55" s="14">
        <v>43475</v>
      </c>
      <c r="I55" s="4" t="s">
        <v>2916</v>
      </c>
      <c r="J55" s="392"/>
      <c r="K55" s="228"/>
    </row>
    <row r="56" spans="1:19" ht="15" hidden="1" customHeight="1" x14ac:dyDescent="0.25">
      <c r="A56" s="68" t="s">
        <v>209</v>
      </c>
      <c r="B56" s="14">
        <v>43480</v>
      </c>
      <c r="C56" s="67">
        <v>7</v>
      </c>
      <c r="D56" s="32" t="s">
        <v>200</v>
      </c>
      <c r="E56" s="32" t="s">
        <v>134</v>
      </c>
      <c r="F56" s="4">
        <v>711141.5</v>
      </c>
      <c r="G56" s="28" t="s">
        <v>2454</v>
      </c>
      <c r="H56" s="14">
        <v>43445</v>
      </c>
      <c r="I56" s="4" t="s">
        <v>362</v>
      </c>
      <c r="J56" s="166" t="s">
        <v>323</v>
      </c>
      <c r="K56" s="167"/>
      <c r="L56" s="35"/>
    </row>
    <row r="57" spans="1:19" ht="15" hidden="1" customHeight="1" x14ac:dyDescent="0.25">
      <c r="A57" s="68" t="s">
        <v>209</v>
      </c>
      <c r="B57" s="14">
        <v>43480</v>
      </c>
      <c r="C57" s="67">
        <v>8</v>
      </c>
      <c r="D57" s="32" t="s">
        <v>200</v>
      </c>
      <c r="E57" s="32" t="s">
        <v>134</v>
      </c>
      <c r="F57" s="4">
        <v>975380.36</v>
      </c>
      <c r="G57" s="28" t="s">
        <v>58</v>
      </c>
      <c r="H57" s="14">
        <v>43465</v>
      </c>
      <c r="I57" s="4" t="s">
        <v>362</v>
      </c>
      <c r="J57" s="166" t="s">
        <v>327</v>
      </c>
      <c r="K57" s="167"/>
      <c r="L57" s="35"/>
    </row>
    <row r="58" spans="1:19" s="62" customFormat="1" ht="15" hidden="1" customHeight="1" x14ac:dyDescent="0.25">
      <c r="A58" s="13" t="s">
        <v>794</v>
      </c>
      <c r="B58" s="126">
        <v>43480</v>
      </c>
      <c r="C58" s="13">
        <v>12</v>
      </c>
      <c r="D58" s="32" t="s">
        <v>281</v>
      </c>
      <c r="E58" s="13" t="s">
        <v>195</v>
      </c>
      <c r="F58" s="37">
        <v>3885.82</v>
      </c>
      <c r="G58" s="29" t="s">
        <v>2999</v>
      </c>
      <c r="H58" s="14">
        <v>43479</v>
      </c>
      <c r="I58" s="4" t="s">
        <v>759</v>
      </c>
      <c r="J58" s="71" t="s">
        <v>327</v>
      </c>
      <c r="K58" s="247"/>
      <c r="L58" s="35"/>
      <c r="M58" s="35"/>
    </row>
    <row r="59" spans="1:19" s="62" customFormat="1" ht="15" hidden="1" customHeight="1" x14ac:dyDescent="0.25">
      <c r="A59" s="13" t="s">
        <v>794</v>
      </c>
      <c r="B59" s="126">
        <v>43480</v>
      </c>
      <c r="C59" s="13">
        <v>13</v>
      </c>
      <c r="D59" s="13" t="s">
        <v>756</v>
      </c>
      <c r="E59" s="13" t="s">
        <v>195</v>
      </c>
      <c r="F59" s="37">
        <v>808.52</v>
      </c>
      <c r="G59" s="29" t="s">
        <v>2932</v>
      </c>
      <c r="H59" s="14">
        <v>43438</v>
      </c>
      <c r="I59" s="4" t="s">
        <v>546</v>
      </c>
      <c r="J59" s="71" t="s">
        <v>323</v>
      </c>
      <c r="O59" s="35"/>
      <c r="P59" s="35"/>
      <c r="Q59" s="35"/>
      <c r="R59" s="35"/>
      <c r="S59" s="35"/>
    </row>
    <row r="60" spans="1:19" s="62" customFormat="1" ht="15" hidden="1" customHeight="1" x14ac:dyDescent="0.25">
      <c r="A60" s="13" t="s">
        <v>794</v>
      </c>
      <c r="B60" s="126">
        <v>43480</v>
      </c>
      <c r="C60" s="13">
        <v>14</v>
      </c>
      <c r="D60" s="13" t="s">
        <v>756</v>
      </c>
      <c r="E60" s="13" t="s">
        <v>195</v>
      </c>
      <c r="F60" s="37">
        <v>121.28</v>
      </c>
      <c r="G60" s="29" t="s">
        <v>2933</v>
      </c>
      <c r="H60" s="14">
        <v>43438</v>
      </c>
      <c r="I60" s="4" t="s">
        <v>143</v>
      </c>
      <c r="J60" s="71" t="s">
        <v>323</v>
      </c>
      <c r="O60" s="35"/>
      <c r="P60" s="35"/>
      <c r="Q60" s="35"/>
      <c r="R60" s="35"/>
      <c r="S60" s="35"/>
    </row>
    <row r="61" spans="1:19" s="62" customFormat="1" ht="15" hidden="1" customHeight="1" x14ac:dyDescent="0.25">
      <c r="A61" s="13" t="s">
        <v>151</v>
      </c>
      <c r="B61" s="126">
        <v>43480</v>
      </c>
      <c r="C61" s="13">
        <v>12</v>
      </c>
      <c r="D61" s="13" t="s">
        <v>2903</v>
      </c>
      <c r="E61" s="13" t="s">
        <v>140</v>
      </c>
      <c r="F61" s="37">
        <v>113400</v>
      </c>
      <c r="G61" s="29" t="s">
        <v>3037</v>
      </c>
      <c r="H61" s="14">
        <v>43480</v>
      </c>
      <c r="I61" s="4" t="s">
        <v>512</v>
      </c>
      <c r="J61" s="71"/>
      <c r="O61" s="35"/>
      <c r="P61" s="35"/>
      <c r="Q61" s="35"/>
      <c r="R61" s="35"/>
      <c r="S61" s="35"/>
    </row>
    <row r="62" spans="1:19" s="62" customFormat="1" ht="15" hidden="1" customHeight="1" x14ac:dyDescent="0.25">
      <c r="A62" s="13" t="s">
        <v>151</v>
      </c>
      <c r="B62" s="126">
        <v>43480</v>
      </c>
      <c r="C62" s="13">
        <v>36</v>
      </c>
      <c r="D62" s="13" t="s">
        <v>3064</v>
      </c>
      <c r="E62" s="13" t="s">
        <v>136</v>
      </c>
      <c r="F62" s="37">
        <v>12000</v>
      </c>
      <c r="G62" s="29"/>
      <c r="H62" s="14"/>
      <c r="I62" s="4" t="s">
        <v>3065</v>
      </c>
      <c r="J62" s="71"/>
      <c r="O62" s="35"/>
      <c r="P62" s="35"/>
      <c r="Q62" s="35"/>
      <c r="R62" s="35"/>
      <c r="S62" s="35"/>
    </row>
    <row r="63" spans="1:19" ht="13.95" hidden="1" customHeight="1" x14ac:dyDescent="0.25">
      <c r="A63" s="68" t="s">
        <v>209</v>
      </c>
      <c r="B63" s="14">
        <v>43481</v>
      </c>
      <c r="C63" s="67">
        <v>9</v>
      </c>
      <c r="D63" s="32" t="s">
        <v>595</v>
      </c>
      <c r="E63" s="32" t="s">
        <v>134</v>
      </c>
      <c r="F63" s="4">
        <f>1955653</f>
        <v>1955653</v>
      </c>
      <c r="G63" s="28" t="s">
        <v>2463</v>
      </c>
      <c r="H63" s="14">
        <v>43434</v>
      </c>
      <c r="I63" s="41" t="s">
        <v>949</v>
      </c>
      <c r="J63" s="166" t="s">
        <v>323</v>
      </c>
      <c r="K63" s="167"/>
      <c r="L63" s="35"/>
    </row>
    <row r="64" spans="1:19" ht="13.95" hidden="1" customHeight="1" x14ac:dyDescent="0.25">
      <c r="A64" s="68" t="s">
        <v>209</v>
      </c>
      <c r="B64" s="14">
        <v>43481</v>
      </c>
      <c r="C64" s="67">
        <v>9</v>
      </c>
      <c r="D64" s="32" t="s">
        <v>595</v>
      </c>
      <c r="E64" s="32" t="s">
        <v>134</v>
      </c>
      <c r="F64" s="4">
        <v>44347</v>
      </c>
      <c r="G64" s="28" t="s">
        <v>2463</v>
      </c>
      <c r="H64" s="14">
        <v>43434</v>
      </c>
      <c r="I64" s="41" t="s">
        <v>949</v>
      </c>
      <c r="J64" s="166" t="s">
        <v>327</v>
      </c>
      <c r="K64" s="167"/>
      <c r="L64" s="35"/>
    </row>
    <row r="65" spans="1:19" hidden="1" x14ac:dyDescent="0.25">
      <c r="A65" s="13" t="s">
        <v>209</v>
      </c>
      <c r="B65" s="14">
        <v>43481</v>
      </c>
      <c r="C65" s="13">
        <v>6</v>
      </c>
      <c r="D65" s="13" t="s">
        <v>210</v>
      </c>
      <c r="E65" s="13" t="s">
        <v>134</v>
      </c>
      <c r="F65" s="37">
        <v>2881.38</v>
      </c>
      <c r="G65" s="67" t="s">
        <v>2917</v>
      </c>
      <c r="H65" s="14">
        <v>43475</v>
      </c>
      <c r="I65" s="4" t="s">
        <v>2918</v>
      </c>
      <c r="J65" s="21"/>
      <c r="K65" s="228"/>
    </row>
    <row r="66" spans="1:19" hidden="1" x14ac:dyDescent="0.25">
      <c r="A66" s="61" t="s">
        <v>460</v>
      </c>
      <c r="B66" s="14">
        <v>43481</v>
      </c>
      <c r="C66" s="13">
        <v>3</v>
      </c>
      <c r="D66" s="14" t="s">
        <v>3043</v>
      </c>
      <c r="E66" s="32" t="s">
        <v>482</v>
      </c>
      <c r="F66" s="4">
        <v>80198</v>
      </c>
      <c r="G66" s="86" t="s">
        <v>3044</v>
      </c>
      <c r="H66" s="211"/>
      <c r="I66" s="326"/>
      <c r="K66" s="62"/>
    </row>
    <row r="67" spans="1:19" s="62" customFormat="1" ht="13.95" hidden="1" customHeight="1" x14ac:dyDescent="0.25">
      <c r="A67" s="61" t="s">
        <v>1420</v>
      </c>
      <c r="B67" s="14">
        <v>43481</v>
      </c>
      <c r="C67" s="13">
        <v>32</v>
      </c>
      <c r="D67" s="13" t="s">
        <v>133</v>
      </c>
      <c r="E67" s="13" t="s">
        <v>130</v>
      </c>
      <c r="F67" s="37">
        <f>692660-392660</f>
        <v>300000</v>
      </c>
      <c r="G67" s="29" t="s">
        <v>1421</v>
      </c>
      <c r="H67" s="14">
        <v>43160</v>
      </c>
      <c r="I67" s="4" t="s">
        <v>1134</v>
      </c>
      <c r="J67" s="71" t="s">
        <v>3066</v>
      </c>
      <c r="O67" s="35"/>
      <c r="P67" s="35"/>
      <c r="Q67" s="35"/>
      <c r="R67" s="35"/>
      <c r="S67" s="35"/>
    </row>
    <row r="68" spans="1:19" s="62" customFormat="1" hidden="1" x14ac:dyDescent="0.25">
      <c r="A68" s="61" t="s">
        <v>2921</v>
      </c>
      <c r="B68" s="14">
        <v>43481</v>
      </c>
      <c r="C68" s="13">
        <v>33</v>
      </c>
      <c r="D68" s="13" t="s">
        <v>133</v>
      </c>
      <c r="E68" s="13" t="s">
        <v>130</v>
      </c>
      <c r="F68" s="37">
        <v>250000</v>
      </c>
      <c r="G68" s="29" t="s">
        <v>2920</v>
      </c>
      <c r="H68" s="14">
        <v>43160</v>
      </c>
      <c r="I68" s="4" t="s">
        <v>1134</v>
      </c>
      <c r="J68" s="167" t="s">
        <v>3067</v>
      </c>
      <c r="O68" s="35"/>
      <c r="P68" s="35"/>
      <c r="Q68" s="35"/>
      <c r="R68" s="35"/>
      <c r="S68" s="35"/>
    </row>
    <row r="69" spans="1:19" s="62" customFormat="1" hidden="1" x14ac:dyDescent="0.25">
      <c r="A69" s="61" t="s">
        <v>2924</v>
      </c>
      <c r="B69" s="14">
        <v>43481</v>
      </c>
      <c r="C69" s="13">
        <v>34</v>
      </c>
      <c r="D69" s="13" t="s">
        <v>133</v>
      </c>
      <c r="E69" s="13" t="s">
        <v>130</v>
      </c>
      <c r="F69" s="37">
        <v>250000</v>
      </c>
      <c r="G69" s="29" t="s">
        <v>2923</v>
      </c>
      <c r="H69" s="14">
        <v>43160</v>
      </c>
      <c r="I69" s="4" t="s">
        <v>1134</v>
      </c>
      <c r="J69" s="71" t="s">
        <v>3068</v>
      </c>
      <c r="O69" s="35"/>
      <c r="P69" s="35"/>
      <c r="Q69" s="35"/>
      <c r="R69" s="35"/>
      <c r="S69" s="35"/>
    </row>
    <row r="70" spans="1:19" hidden="1" x14ac:dyDescent="0.25">
      <c r="A70" s="61" t="s">
        <v>460</v>
      </c>
      <c r="B70" s="14">
        <v>43482</v>
      </c>
      <c r="C70" s="13">
        <v>4</v>
      </c>
      <c r="D70" s="14" t="s">
        <v>3078</v>
      </c>
      <c r="E70" s="32" t="s">
        <v>482</v>
      </c>
      <c r="F70" s="4">
        <v>803</v>
      </c>
      <c r="G70" s="86" t="s">
        <v>3079</v>
      </c>
      <c r="H70" s="211"/>
      <c r="I70" s="326"/>
      <c r="K70" s="62"/>
    </row>
    <row r="71" spans="1:19" ht="15" hidden="1" customHeight="1" x14ac:dyDescent="0.25">
      <c r="A71" s="32" t="s">
        <v>213</v>
      </c>
      <c r="B71" s="14">
        <v>43482</v>
      </c>
      <c r="C71" s="67">
        <v>36</v>
      </c>
      <c r="D71" s="32" t="s">
        <v>757</v>
      </c>
      <c r="E71" s="32" t="s">
        <v>136</v>
      </c>
      <c r="F71" s="4">
        <v>406377.29</v>
      </c>
      <c r="G71" s="28" t="s">
        <v>58</v>
      </c>
      <c r="H71" s="14">
        <v>43465</v>
      </c>
      <c r="I71" s="4" t="s">
        <v>362</v>
      </c>
      <c r="J71" s="166" t="s">
        <v>327</v>
      </c>
      <c r="K71" s="167"/>
      <c r="L71" s="35"/>
    </row>
    <row r="72" spans="1:19" ht="15" hidden="1" customHeight="1" x14ac:dyDescent="0.25">
      <c r="A72" s="32" t="s">
        <v>213</v>
      </c>
      <c r="B72" s="14">
        <v>43482</v>
      </c>
      <c r="C72" s="67">
        <v>37</v>
      </c>
      <c r="D72" s="32" t="s">
        <v>757</v>
      </c>
      <c r="E72" s="32" t="s">
        <v>136</v>
      </c>
      <c r="F72" s="4">
        <v>500000</v>
      </c>
      <c r="G72" s="28" t="s">
        <v>2358</v>
      </c>
      <c r="H72" s="14">
        <v>43434</v>
      </c>
      <c r="I72" s="4" t="s">
        <v>284</v>
      </c>
      <c r="J72" s="166" t="s">
        <v>239</v>
      </c>
      <c r="K72" s="167"/>
      <c r="L72" s="35"/>
    </row>
    <row r="73" spans="1:19" hidden="1" x14ac:dyDescent="0.25">
      <c r="A73" s="13" t="s">
        <v>213</v>
      </c>
      <c r="B73" s="14">
        <v>43482</v>
      </c>
      <c r="C73" s="13">
        <v>39</v>
      </c>
      <c r="D73" s="13" t="s">
        <v>210</v>
      </c>
      <c r="E73" s="13" t="s">
        <v>136</v>
      </c>
      <c r="F73" s="37">
        <v>7734.7</v>
      </c>
      <c r="G73" s="29" t="s">
        <v>3248</v>
      </c>
      <c r="H73" s="14">
        <v>43475</v>
      </c>
      <c r="I73" s="4" t="s">
        <v>426</v>
      </c>
      <c r="J73" s="22" t="s">
        <v>327</v>
      </c>
    </row>
    <row r="74" spans="1:19" hidden="1" x14ac:dyDescent="0.25">
      <c r="A74" s="13" t="s">
        <v>213</v>
      </c>
      <c r="B74" s="14">
        <v>43482</v>
      </c>
      <c r="C74" s="13">
        <v>38</v>
      </c>
      <c r="D74" s="13" t="s">
        <v>210</v>
      </c>
      <c r="E74" s="13" t="s">
        <v>136</v>
      </c>
      <c r="F74" s="37">
        <v>7734.7</v>
      </c>
      <c r="G74" s="29" t="s">
        <v>3249</v>
      </c>
      <c r="H74" s="14">
        <v>43475</v>
      </c>
      <c r="I74" s="4" t="s">
        <v>546</v>
      </c>
      <c r="J74" s="35" t="s">
        <v>327</v>
      </c>
    </row>
    <row r="75" spans="1:19" s="129" customFormat="1" ht="27.6" hidden="1" x14ac:dyDescent="0.25">
      <c r="A75" s="13" t="s">
        <v>151</v>
      </c>
      <c r="B75" s="14">
        <v>43482</v>
      </c>
      <c r="C75" s="28" t="s">
        <v>317</v>
      </c>
      <c r="D75" s="13" t="s">
        <v>1945</v>
      </c>
      <c r="E75" s="32" t="s">
        <v>1427</v>
      </c>
      <c r="F75" s="37">
        <v>14196</v>
      </c>
      <c r="G75" s="28" t="s">
        <v>2186</v>
      </c>
      <c r="H75" s="14">
        <v>43370</v>
      </c>
      <c r="I75" s="4" t="s">
        <v>1835</v>
      </c>
      <c r="J75" s="22" t="s">
        <v>721</v>
      </c>
      <c r="K75" s="136"/>
    </row>
    <row r="76" spans="1:19" s="129" customFormat="1" ht="27.6" hidden="1" x14ac:dyDescent="0.25">
      <c r="A76" s="13" t="s">
        <v>151</v>
      </c>
      <c r="B76" s="14">
        <v>43482</v>
      </c>
      <c r="C76" s="28" t="s">
        <v>459</v>
      </c>
      <c r="D76" s="13" t="s">
        <v>1945</v>
      </c>
      <c r="E76" s="32" t="s">
        <v>2021</v>
      </c>
      <c r="F76" s="37">
        <v>15912</v>
      </c>
      <c r="G76" s="28" t="s">
        <v>2187</v>
      </c>
      <c r="H76" s="14">
        <v>43370</v>
      </c>
      <c r="I76" s="4" t="s">
        <v>1835</v>
      </c>
      <c r="J76" s="22" t="s">
        <v>721</v>
      </c>
      <c r="K76" s="136"/>
    </row>
    <row r="77" spans="1:19" s="192" customFormat="1" hidden="1" x14ac:dyDescent="0.25">
      <c r="A77" s="147" t="s">
        <v>242</v>
      </c>
      <c r="B77" s="164">
        <v>43482</v>
      </c>
      <c r="C77" s="195">
        <v>16</v>
      </c>
      <c r="D77" s="233" t="s">
        <v>784</v>
      </c>
      <c r="E77" s="147" t="s">
        <v>140</v>
      </c>
      <c r="F77" s="158">
        <f>656367.5-113262.5</f>
        <v>543105</v>
      </c>
      <c r="G77" s="150" t="s">
        <v>375</v>
      </c>
      <c r="H77" s="151">
        <v>43411</v>
      </c>
      <c r="I77" s="233" t="s">
        <v>143</v>
      </c>
      <c r="J77" s="193"/>
      <c r="K77" s="194"/>
      <c r="L77" s="190"/>
    </row>
    <row r="78" spans="1:19" s="192" customFormat="1" ht="14.85" hidden="1" customHeight="1" x14ac:dyDescent="0.25">
      <c r="A78" s="147" t="s">
        <v>242</v>
      </c>
      <c r="B78" s="164">
        <v>43482</v>
      </c>
      <c r="C78" s="195">
        <v>17</v>
      </c>
      <c r="D78" s="149" t="s">
        <v>1816</v>
      </c>
      <c r="E78" s="147" t="s">
        <v>140</v>
      </c>
      <c r="F78" s="158">
        <v>106080</v>
      </c>
      <c r="G78" s="150" t="s">
        <v>191</v>
      </c>
      <c r="H78" s="148">
        <v>43447</v>
      </c>
      <c r="I78" s="149" t="s">
        <v>143</v>
      </c>
      <c r="J78" s="193"/>
      <c r="K78" s="194"/>
      <c r="L78" s="190"/>
    </row>
    <row r="79" spans="1:19" s="192" customFormat="1" ht="14.85" hidden="1" customHeight="1" x14ac:dyDescent="0.25">
      <c r="A79" s="147" t="s">
        <v>242</v>
      </c>
      <c r="B79" s="164">
        <v>43482</v>
      </c>
      <c r="C79" s="195">
        <v>15</v>
      </c>
      <c r="D79" s="149" t="s">
        <v>840</v>
      </c>
      <c r="E79" s="147" t="s">
        <v>140</v>
      </c>
      <c r="F79" s="158">
        <v>96226</v>
      </c>
      <c r="G79" s="150" t="s">
        <v>2506</v>
      </c>
      <c r="H79" s="148">
        <v>43444</v>
      </c>
      <c r="I79" s="149" t="s">
        <v>143</v>
      </c>
      <c r="J79" s="193"/>
      <c r="K79" s="194"/>
      <c r="L79" s="190"/>
    </row>
    <row r="80" spans="1:19" hidden="1" x14ac:dyDescent="0.25">
      <c r="A80" s="13" t="s">
        <v>184</v>
      </c>
      <c r="B80" s="14">
        <v>43482</v>
      </c>
      <c r="C80" s="13">
        <v>11</v>
      </c>
      <c r="D80" s="13" t="s">
        <v>394</v>
      </c>
      <c r="E80" s="32" t="s">
        <v>1121</v>
      </c>
      <c r="F80" s="4">
        <v>10000</v>
      </c>
      <c r="G80" s="28" t="s">
        <v>2956</v>
      </c>
      <c r="H80" s="14">
        <v>43312</v>
      </c>
      <c r="I80" s="4" t="s">
        <v>295</v>
      </c>
      <c r="J80" s="76" t="s">
        <v>569</v>
      </c>
    </row>
    <row r="81" spans="1:12" hidden="1" x14ac:dyDescent="0.25">
      <c r="A81" s="13" t="s">
        <v>184</v>
      </c>
      <c r="B81" s="14">
        <v>43482</v>
      </c>
      <c r="C81" s="13">
        <v>11</v>
      </c>
      <c r="D81" s="13" t="s">
        <v>394</v>
      </c>
      <c r="E81" s="32" t="s">
        <v>1121</v>
      </c>
      <c r="F81" s="4">
        <v>10000</v>
      </c>
      <c r="G81" s="28" t="s">
        <v>2958</v>
      </c>
      <c r="H81" s="14">
        <v>43343</v>
      </c>
      <c r="I81" s="4" t="s">
        <v>295</v>
      </c>
      <c r="J81" s="76" t="s">
        <v>597</v>
      </c>
    </row>
    <row r="82" spans="1:12" ht="14.25" hidden="1" customHeight="1" x14ac:dyDescent="0.25">
      <c r="A82" s="13" t="s">
        <v>184</v>
      </c>
      <c r="B82" s="14">
        <v>43482</v>
      </c>
      <c r="C82" s="13">
        <v>11</v>
      </c>
      <c r="D82" s="13" t="s">
        <v>394</v>
      </c>
      <c r="E82" s="32" t="s">
        <v>1121</v>
      </c>
      <c r="F82" s="4">
        <v>35650</v>
      </c>
      <c r="G82" s="28" t="s">
        <v>2957</v>
      </c>
      <c r="H82" s="14">
        <v>43312</v>
      </c>
      <c r="I82" s="4" t="s">
        <v>1261</v>
      </c>
      <c r="J82" s="76" t="s">
        <v>400</v>
      </c>
    </row>
    <row r="83" spans="1:12" ht="14.25" hidden="1" customHeight="1" x14ac:dyDescent="0.25">
      <c r="A83" s="13" t="s">
        <v>184</v>
      </c>
      <c r="B83" s="14">
        <v>43482</v>
      </c>
      <c r="C83" s="13">
        <v>11</v>
      </c>
      <c r="D83" s="13" t="s">
        <v>394</v>
      </c>
      <c r="E83" s="32" t="s">
        <v>1121</v>
      </c>
      <c r="F83" s="4">
        <v>15525</v>
      </c>
      <c r="G83" s="28" t="s">
        <v>2959</v>
      </c>
      <c r="H83" s="14">
        <v>43343</v>
      </c>
      <c r="I83" s="4" t="s">
        <v>1261</v>
      </c>
      <c r="J83" s="76" t="s">
        <v>569</v>
      </c>
    </row>
    <row r="84" spans="1:12" hidden="1" x14ac:dyDescent="0.25">
      <c r="A84" s="13" t="s">
        <v>184</v>
      </c>
      <c r="B84" s="14">
        <v>43482</v>
      </c>
      <c r="C84" s="13">
        <v>12</v>
      </c>
      <c r="D84" s="32" t="s">
        <v>1546</v>
      </c>
      <c r="E84" s="32" t="s">
        <v>1121</v>
      </c>
      <c r="F84" s="4">
        <v>21000</v>
      </c>
      <c r="G84" s="28" t="s">
        <v>2858</v>
      </c>
      <c r="H84" s="14">
        <v>43465</v>
      </c>
      <c r="I84" s="4" t="s">
        <v>915</v>
      </c>
      <c r="J84" s="22" t="s">
        <v>327</v>
      </c>
      <c r="K84" s="63"/>
      <c r="L84" s="62"/>
    </row>
    <row r="85" spans="1:12" hidden="1" x14ac:dyDescent="0.25">
      <c r="A85" s="13" t="s">
        <v>184</v>
      </c>
      <c r="B85" s="14">
        <v>43482</v>
      </c>
      <c r="C85" s="13">
        <v>13</v>
      </c>
      <c r="D85" s="32" t="s">
        <v>914</v>
      </c>
      <c r="E85" s="32" t="s">
        <v>1121</v>
      </c>
      <c r="F85" s="4">
        <v>63050</v>
      </c>
      <c r="G85" s="28" t="s">
        <v>2859</v>
      </c>
      <c r="H85" s="14">
        <v>43465</v>
      </c>
      <c r="I85" s="4" t="s">
        <v>1260</v>
      </c>
      <c r="J85" s="22" t="s">
        <v>327</v>
      </c>
      <c r="K85" s="63"/>
      <c r="L85" s="62"/>
    </row>
    <row r="86" spans="1:12" ht="15" hidden="1" customHeight="1" x14ac:dyDescent="0.25">
      <c r="A86" s="13" t="s">
        <v>184</v>
      </c>
      <c r="B86" s="14">
        <v>43482</v>
      </c>
      <c r="C86" s="13">
        <v>14</v>
      </c>
      <c r="D86" s="13" t="s">
        <v>120</v>
      </c>
      <c r="E86" s="32" t="s">
        <v>1121</v>
      </c>
      <c r="F86" s="4">
        <v>30000</v>
      </c>
      <c r="G86" s="28" t="s">
        <v>2966</v>
      </c>
      <c r="H86" s="14">
        <v>43397</v>
      </c>
      <c r="I86" s="4" t="s">
        <v>1214</v>
      </c>
      <c r="J86" s="125">
        <v>43769</v>
      </c>
    </row>
    <row r="87" spans="1:12" hidden="1" x14ac:dyDescent="0.25">
      <c r="A87" s="13" t="s">
        <v>184</v>
      </c>
      <c r="B87" s="14">
        <v>43482</v>
      </c>
      <c r="C87" s="13">
        <v>15</v>
      </c>
      <c r="D87" s="32" t="s">
        <v>747</v>
      </c>
      <c r="E87" s="32" t="s">
        <v>1121</v>
      </c>
      <c r="F87" s="4">
        <v>370825</v>
      </c>
      <c r="G87" s="28" t="s">
        <v>2866</v>
      </c>
      <c r="H87" s="14">
        <v>43463</v>
      </c>
      <c r="I87" s="4" t="s">
        <v>770</v>
      </c>
      <c r="J87" s="76" t="s">
        <v>239</v>
      </c>
    </row>
    <row r="88" spans="1:12" ht="15" hidden="1" customHeight="1" x14ac:dyDescent="0.25">
      <c r="A88" s="13" t="s">
        <v>184</v>
      </c>
      <c r="B88" s="14">
        <v>43482</v>
      </c>
      <c r="C88" s="13">
        <v>15</v>
      </c>
      <c r="D88" s="32" t="s">
        <v>747</v>
      </c>
      <c r="E88" s="32" t="s">
        <v>1121</v>
      </c>
      <c r="F88" s="4">
        <v>195833</v>
      </c>
      <c r="G88" s="28" t="s">
        <v>2869</v>
      </c>
      <c r="H88" s="14">
        <v>43463</v>
      </c>
      <c r="I88" s="4" t="s">
        <v>356</v>
      </c>
      <c r="J88" s="76" t="s">
        <v>239</v>
      </c>
    </row>
    <row r="89" spans="1:12" ht="15" hidden="1" customHeight="1" x14ac:dyDescent="0.25">
      <c r="A89" s="13" t="s">
        <v>184</v>
      </c>
      <c r="B89" s="14">
        <v>43482</v>
      </c>
      <c r="C89" s="13">
        <v>16</v>
      </c>
      <c r="D89" s="13" t="s">
        <v>47</v>
      </c>
      <c r="E89" s="32" t="s">
        <v>1121</v>
      </c>
      <c r="F89" s="4">
        <v>5870</v>
      </c>
      <c r="G89" s="28" t="s">
        <v>2860</v>
      </c>
      <c r="H89" s="14">
        <v>43463</v>
      </c>
      <c r="I89" s="4" t="s">
        <v>746</v>
      </c>
    </row>
    <row r="90" spans="1:12" ht="15" hidden="1" customHeight="1" x14ac:dyDescent="0.25">
      <c r="A90" s="13" t="s">
        <v>184</v>
      </c>
      <c r="B90" s="14">
        <v>43482</v>
      </c>
      <c r="C90" s="13">
        <v>16</v>
      </c>
      <c r="D90" s="13" t="s">
        <v>47</v>
      </c>
      <c r="E90" s="32" t="s">
        <v>1121</v>
      </c>
      <c r="F90" s="4">
        <v>2690</v>
      </c>
      <c r="G90" s="28" t="s">
        <v>2964</v>
      </c>
      <c r="H90" s="14">
        <v>43475</v>
      </c>
      <c r="I90" s="4" t="s">
        <v>746</v>
      </c>
    </row>
    <row r="91" spans="1:12" ht="15" hidden="1" customHeight="1" x14ac:dyDescent="0.25">
      <c r="A91" s="13" t="s">
        <v>184</v>
      </c>
      <c r="B91" s="14">
        <v>43482</v>
      </c>
      <c r="C91" s="13">
        <v>16</v>
      </c>
      <c r="D91" s="13" t="s">
        <v>47</v>
      </c>
      <c r="E91" s="32" t="s">
        <v>1121</v>
      </c>
      <c r="F91" s="4">
        <v>1790</v>
      </c>
      <c r="G91" s="28" t="s">
        <v>2965</v>
      </c>
      <c r="H91" s="14">
        <v>43476</v>
      </c>
      <c r="I91" s="4" t="s">
        <v>746</v>
      </c>
    </row>
    <row r="92" spans="1:12" ht="15" hidden="1" customHeight="1" x14ac:dyDescent="0.25">
      <c r="A92" s="13" t="s">
        <v>184</v>
      </c>
      <c r="B92" s="14">
        <v>43482</v>
      </c>
      <c r="C92" s="13">
        <v>17</v>
      </c>
      <c r="D92" s="13" t="s">
        <v>47</v>
      </c>
      <c r="E92" s="32" t="s">
        <v>1121</v>
      </c>
      <c r="F92" s="4">
        <v>5780</v>
      </c>
      <c r="G92" s="28" t="s">
        <v>2968</v>
      </c>
      <c r="H92" s="14">
        <v>43479</v>
      </c>
      <c r="I92" s="4" t="s">
        <v>746</v>
      </c>
    </row>
    <row r="93" spans="1:12" ht="15" hidden="1" customHeight="1" x14ac:dyDescent="0.25">
      <c r="A93" s="13" t="s">
        <v>184</v>
      </c>
      <c r="B93" s="14">
        <v>43482</v>
      </c>
      <c r="C93" s="13">
        <v>17</v>
      </c>
      <c r="D93" s="13" t="s">
        <v>47</v>
      </c>
      <c r="E93" s="32" t="s">
        <v>1121</v>
      </c>
      <c r="F93" s="4">
        <v>1440</v>
      </c>
      <c r="G93" s="28" t="s">
        <v>2967</v>
      </c>
      <c r="H93" s="14">
        <v>43479</v>
      </c>
      <c r="I93" s="4" t="s">
        <v>746</v>
      </c>
    </row>
    <row r="94" spans="1:12" ht="15" hidden="1" customHeight="1" x14ac:dyDescent="0.25">
      <c r="A94" s="13" t="s">
        <v>184</v>
      </c>
      <c r="B94" s="14">
        <v>43482</v>
      </c>
      <c r="C94" s="13">
        <v>18</v>
      </c>
      <c r="D94" s="13" t="s">
        <v>1533</v>
      </c>
      <c r="E94" s="32" t="s">
        <v>1121</v>
      </c>
      <c r="F94" s="4">
        <f>229500-165000</f>
        <v>64500</v>
      </c>
      <c r="G94" s="28" t="s">
        <v>2610</v>
      </c>
      <c r="H94" s="14">
        <v>43452</v>
      </c>
      <c r="I94" s="4" t="s">
        <v>1535</v>
      </c>
      <c r="J94" s="125" t="s">
        <v>239</v>
      </c>
    </row>
    <row r="95" spans="1:12" ht="15" hidden="1" customHeight="1" x14ac:dyDescent="0.25">
      <c r="A95" s="13" t="s">
        <v>184</v>
      </c>
      <c r="B95" s="14">
        <v>43482</v>
      </c>
      <c r="C95" s="13">
        <v>18</v>
      </c>
      <c r="D95" s="13" t="s">
        <v>1533</v>
      </c>
      <c r="E95" s="32" t="s">
        <v>1121</v>
      </c>
      <c r="F95" s="4">
        <v>35500</v>
      </c>
      <c r="G95" s="28" t="s">
        <v>3388</v>
      </c>
      <c r="H95" s="14">
        <v>43483</v>
      </c>
      <c r="I95" s="4" t="s">
        <v>1535</v>
      </c>
      <c r="J95" s="125" t="s">
        <v>721</v>
      </c>
    </row>
    <row r="96" spans="1:12" hidden="1" x14ac:dyDescent="0.25">
      <c r="A96" s="13" t="s">
        <v>964</v>
      </c>
      <c r="B96" s="14">
        <v>43482</v>
      </c>
      <c r="C96" s="13">
        <v>19</v>
      </c>
      <c r="D96" s="13" t="s">
        <v>1245</v>
      </c>
      <c r="E96" s="32" t="s">
        <v>1121</v>
      </c>
      <c r="F96" s="4">
        <v>21176.09</v>
      </c>
      <c r="G96" s="29" t="s">
        <v>2973</v>
      </c>
      <c r="H96" s="14">
        <v>43479</v>
      </c>
      <c r="I96" s="4" t="s">
        <v>1246</v>
      </c>
      <c r="J96" s="21" t="s">
        <v>327</v>
      </c>
      <c r="K96" s="50"/>
    </row>
    <row r="97" spans="1:19" ht="15" hidden="1" customHeight="1" x14ac:dyDescent="0.25">
      <c r="A97" s="13" t="s">
        <v>964</v>
      </c>
      <c r="B97" s="14">
        <v>43482</v>
      </c>
      <c r="C97" s="13">
        <v>20</v>
      </c>
      <c r="D97" s="13" t="s">
        <v>1885</v>
      </c>
      <c r="E97" s="32" t="s">
        <v>1121</v>
      </c>
      <c r="F97" s="4">
        <v>130800</v>
      </c>
      <c r="G97" s="28" t="s">
        <v>2802</v>
      </c>
      <c r="H97" s="14">
        <v>43474</v>
      </c>
      <c r="I97" s="4" t="s">
        <v>1892</v>
      </c>
      <c r="J97" s="76" t="s">
        <v>239</v>
      </c>
    </row>
    <row r="98" spans="1:19" s="192" customFormat="1" ht="14.85" hidden="1" customHeight="1" x14ac:dyDescent="0.25">
      <c r="A98" s="147" t="s">
        <v>242</v>
      </c>
      <c r="B98" s="14">
        <v>43482</v>
      </c>
      <c r="C98" s="195">
        <v>21</v>
      </c>
      <c r="D98" s="149" t="s">
        <v>840</v>
      </c>
      <c r="E98" s="147" t="s">
        <v>1121</v>
      </c>
      <c r="F98" s="158">
        <v>118314</v>
      </c>
      <c r="G98" s="150" t="s">
        <v>2766</v>
      </c>
      <c r="H98" s="148">
        <v>43454</v>
      </c>
      <c r="I98" s="149" t="s">
        <v>143</v>
      </c>
      <c r="J98" s="193"/>
      <c r="K98" s="194"/>
      <c r="L98" s="190"/>
    </row>
    <row r="99" spans="1:19" hidden="1" x14ac:dyDescent="0.25">
      <c r="A99" s="13" t="s">
        <v>151</v>
      </c>
      <c r="B99" s="14">
        <v>43482</v>
      </c>
      <c r="C99" s="13">
        <v>22</v>
      </c>
      <c r="D99" s="13" t="s">
        <v>1212</v>
      </c>
      <c r="E99" s="32" t="s">
        <v>1121</v>
      </c>
      <c r="F99" s="4">
        <v>42877</v>
      </c>
      <c r="G99" s="28" t="s">
        <v>2995</v>
      </c>
      <c r="H99" s="14">
        <v>43479</v>
      </c>
      <c r="I99" s="4" t="s">
        <v>3061</v>
      </c>
      <c r="J99" s="125"/>
    </row>
    <row r="100" spans="1:19" hidden="1" x14ac:dyDescent="0.25">
      <c r="A100" s="32" t="s">
        <v>151</v>
      </c>
      <c r="B100" s="14">
        <v>43482</v>
      </c>
      <c r="C100" s="13">
        <v>23</v>
      </c>
      <c r="D100" s="32" t="s">
        <v>3055</v>
      </c>
      <c r="E100" s="32" t="s">
        <v>1121</v>
      </c>
      <c r="F100" s="4">
        <v>20000</v>
      </c>
      <c r="G100" s="13">
        <v>1741943</v>
      </c>
      <c r="H100" s="14">
        <v>43481</v>
      </c>
      <c r="I100" s="14" t="s">
        <v>3060</v>
      </c>
      <c r="J100" s="170"/>
      <c r="K100" s="167"/>
      <c r="L100" s="35"/>
    </row>
    <row r="101" spans="1:19" hidden="1" x14ac:dyDescent="0.25">
      <c r="A101" s="32" t="s">
        <v>151</v>
      </c>
      <c r="B101" s="14">
        <v>43482</v>
      </c>
      <c r="C101" s="13">
        <v>24</v>
      </c>
      <c r="D101" s="13" t="s">
        <v>223</v>
      </c>
      <c r="E101" s="32" t="s">
        <v>1121</v>
      </c>
      <c r="F101" s="4">
        <v>6800</v>
      </c>
      <c r="G101" s="28" t="s">
        <v>1527</v>
      </c>
      <c r="H101" s="14" t="s">
        <v>2803</v>
      </c>
      <c r="I101" s="4" t="s">
        <v>3072</v>
      </c>
      <c r="J101" s="76"/>
      <c r="K101" s="246"/>
    </row>
    <row r="102" spans="1:19" hidden="1" x14ac:dyDescent="0.25">
      <c r="A102" s="32" t="s">
        <v>151</v>
      </c>
      <c r="B102" s="14">
        <v>43482</v>
      </c>
      <c r="C102" s="13">
        <v>24</v>
      </c>
      <c r="D102" s="13" t="s">
        <v>223</v>
      </c>
      <c r="E102" s="32" t="s">
        <v>1121</v>
      </c>
      <c r="F102" s="4">
        <v>21670</v>
      </c>
      <c r="G102" s="28" t="s">
        <v>1393</v>
      </c>
      <c r="H102" s="14">
        <v>43438</v>
      </c>
      <c r="I102" s="4" t="s">
        <v>3072</v>
      </c>
      <c r="J102" s="76"/>
      <c r="K102" s="246"/>
    </row>
    <row r="103" spans="1:19" hidden="1" x14ac:dyDescent="0.25">
      <c r="A103" s="32" t="s">
        <v>151</v>
      </c>
      <c r="B103" s="14">
        <v>43482</v>
      </c>
      <c r="C103" s="13">
        <v>25</v>
      </c>
      <c r="D103" s="13" t="s">
        <v>1846</v>
      </c>
      <c r="E103" s="32" t="s">
        <v>1121</v>
      </c>
      <c r="F103" s="4">
        <v>3447</v>
      </c>
      <c r="G103" s="28" t="s">
        <v>3073</v>
      </c>
      <c r="H103" s="14">
        <v>43480</v>
      </c>
      <c r="I103" s="4" t="s">
        <v>3074</v>
      </c>
      <c r="J103" s="76"/>
      <c r="K103" s="246"/>
    </row>
    <row r="104" spans="1:19" hidden="1" x14ac:dyDescent="0.25">
      <c r="A104" s="32" t="s">
        <v>151</v>
      </c>
      <c r="B104" s="14">
        <v>43482</v>
      </c>
      <c r="C104" s="13">
        <v>26</v>
      </c>
      <c r="D104" s="13" t="s">
        <v>3075</v>
      </c>
      <c r="E104" s="32" t="s">
        <v>1121</v>
      </c>
      <c r="F104" s="4">
        <v>16000</v>
      </c>
      <c r="G104" s="28" t="s">
        <v>3076</v>
      </c>
      <c r="H104" s="14">
        <v>43481</v>
      </c>
      <c r="I104" s="4" t="s">
        <v>3077</v>
      </c>
      <c r="J104" s="76"/>
      <c r="K104" s="246"/>
    </row>
    <row r="105" spans="1:19" s="62" customFormat="1" ht="13.8" hidden="1" customHeight="1" x14ac:dyDescent="0.25">
      <c r="A105" s="61" t="s">
        <v>151</v>
      </c>
      <c r="B105" s="14">
        <v>43482</v>
      </c>
      <c r="C105" s="13">
        <v>27</v>
      </c>
      <c r="D105" s="13" t="s">
        <v>593</v>
      </c>
      <c r="E105" s="13" t="s">
        <v>1121</v>
      </c>
      <c r="F105" s="37">
        <v>1070</v>
      </c>
      <c r="G105" s="29" t="s">
        <v>2614</v>
      </c>
      <c r="H105" s="14">
        <v>43466</v>
      </c>
      <c r="I105" s="4" t="s">
        <v>1796</v>
      </c>
      <c r="J105" s="71" t="s">
        <v>239</v>
      </c>
      <c r="O105" s="35"/>
      <c r="P105" s="35"/>
      <c r="Q105" s="35"/>
      <c r="R105" s="35"/>
      <c r="S105" s="35"/>
    </row>
    <row r="106" spans="1:19" ht="27.6" hidden="1" x14ac:dyDescent="0.25">
      <c r="A106" s="13" t="s">
        <v>151</v>
      </c>
      <c r="B106" s="14">
        <v>43482</v>
      </c>
      <c r="C106" s="13">
        <v>28</v>
      </c>
      <c r="D106" s="13" t="s">
        <v>1075</v>
      </c>
      <c r="E106" s="13" t="s">
        <v>1121</v>
      </c>
      <c r="F106" s="37">
        <v>10900</v>
      </c>
      <c r="G106" s="29" t="s">
        <v>886</v>
      </c>
      <c r="H106" s="14">
        <v>43059</v>
      </c>
      <c r="I106" s="4" t="s">
        <v>1076</v>
      </c>
      <c r="J106" s="22" t="s">
        <v>721</v>
      </c>
      <c r="K106" s="62"/>
    </row>
    <row r="107" spans="1:19" s="192" customFormat="1" hidden="1" x14ac:dyDescent="0.25">
      <c r="A107" s="147" t="s">
        <v>242</v>
      </c>
      <c r="B107" s="164">
        <v>43482</v>
      </c>
      <c r="C107" s="195">
        <v>12</v>
      </c>
      <c r="D107" s="149" t="s">
        <v>490</v>
      </c>
      <c r="E107" s="147" t="s">
        <v>144</v>
      </c>
      <c r="F107" s="158">
        <v>454961</v>
      </c>
      <c r="G107" s="150" t="s">
        <v>2424</v>
      </c>
      <c r="H107" s="148">
        <v>43425</v>
      </c>
      <c r="I107" s="149" t="s">
        <v>143</v>
      </c>
      <c r="J107" s="193"/>
      <c r="K107" s="194"/>
      <c r="L107" s="190"/>
    </row>
    <row r="108" spans="1:19" s="192" customFormat="1" hidden="1" x14ac:dyDescent="0.25">
      <c r="A108" s="147" t="s">
        <v>242</v>
      </c>
      <c r="B108" s="164">
        <v>43482</v>
      </c>
      <c r="C108" s="195">
        <v>13</v>
      </c>
      <c r="D108" s="149" t="s">
        <v>490</v>
      </c>
      <c r="E108" s="147" t="s">
        <v>144</v>
      </c>
      <c r="F108" s="158">
        <v>124586</v>
      </c>
      <c r="G108" s="150" t="s">
        <v>2425</v>
      </c>
      <c r="H108" s="148">
        <v>43425</v>
      </c>
      <c r="I108" s="149" t="s">
        <v>143</v>
      </c>
      <c r="J108" s="193"/>
      <c r="K108" s="194"/>
      <c r="L108" s="190"/>
    </row>
    <row r="109" spans="1:19" s="192" customFormat="1" hidden="1" x14ac:dyDescent="0.25">
      <c r="A109" s="147" t="s">
        <v>242</v>
      </c>
      <c r="B109" s="164">
        <v>43482</v>
      </c>
      <c r="C109" s="195">
        <v>14</v>
      </c>
      <c r="D109" s="149" t="s">
        <v>388</v>
      </c>
      <c r="E109" s="147" t="s">
        <v>144</v>
      </c>
      <c r="F109" s="158">
        <v>180484.92</v>
      </c>
      <c r="G109" s="150" t="s">
        <v>359</v>
      </c>
      <c r="H109" s="148">
        <v>43447</v>
      </c>
      <c r="I109" s="149" t="s">
        <v>143</v>
      </c>
      <c r="J109" s="193"/>
      <c r="K109" s="194"/>
      <c r="L109" s="190"/>
    </row>
    <row r="110" spans="1:19" s="192" customFormat="1" hidden="1" x14ac:dyDescent="0.25">
      <c r="A110" s="147" t="s">
        <v>242</v>
      </c>
      <c r="B110" s="164">
        <v>43482</v>
      </c>
      <c r="C110" s="195">
        <v>14</v>
      </c>
      <c r="D110" s="149" t="s">
        <v>388</v>
      </c>
      <c r="E110" s="147" t="s">
        <v>144</v>
      </c>
      <c r="F110" s="158">
        <v>125235.85</v>
      </c>
      <c r="G110" s="150" t="s">
        <v>18</v>
      </c>
      <c r="H110" s="148">
        <v>43447</v>
      </c>
      <c r="I110" s="149" t="s">
        <v>143</v>
      </c>
      <c r="J110" s="193"/>
      <c r="K110" s="194"/>
      <c r="L110" s="190"/>
    </row>
    <row r="111" spans="1:19" s="192" customFormat="1" hidden="1" x14ac:dyDescent="0.25">
      <c r="A111" s="147" t="s">
        <v>242</v>
      </c>
      <c r="B111" s="164">
        <v>43482</v>
      </c>
      <c r="C111" s="195">
        <v>14</v>
      </c>
      <c r="D111" s="149" t="s">
        <v>388</v>
      </c>
      <c r="E111" s="147" t="s">
        <v>144</v>
      </c>
      <c r="F111" s="158">
        <v>259917.5</v>
      </c>
      <c r="G111" s="150" t="s">
        <v>114</v>
      </c>
      <c r="H111" s="148">
        <v>43447</v>
      </c>
      <c r="I111" s="149" t="s">
        <v>143</v>
      </c>
      <c r="J111" s="193"/>
      <c r="K111" s="194"/>
      <c r="L111" s="190"/>
    </row>
    <row r="112" spans="1:19" s="192" customFormat="1" ht="14.85" hidden="1" customHeight="1" x14ac:dyDescent="0.25">
      <c r="A112" s="147" t="s">
        <v>242</v>
      </c>
      <c r="B112" s="164">
        <v>43482</v>
      </c>
      <c r="C112" s="195">
        <v>15</v>
      </c>
      <c r="D112" s="149" t="s">
        <v>840</v>
      </c>
      <c r="E112" s="147" t="s">
        <v>144</v>
      </c>
      <c r="F112" s="158">
        <v>60606</v>
      </c>
      <c r="G112" s="150" t="s">
        <v>2767</v>
      </c>
      <c r="H112" s="148">
        <v>43454</v>
      </c>
      <c r="I112" s="149" t="s">
        <v>143</v>
      </c>
      <c r="J112" s="193"/>
      <c r="K112" s="194"/>
      <c r="L112" s="190"/>
    </row>
    <row r="113" spans="1:19" s="129" customFormat="1" hidden="1" x14ac:dyDescent="0.25">
      <c r="A113" s="13" t="s">
        <v>151</v>
      </c>
      <c r="B113" s="14">
        <v>43482</v>
      </c>
      <c r="C113" s="28" t="s">
        <v>3211</v>
      </c>
      <c r="D113" s="13" t="s">
        <v>1589</v>
      </c>
      <c r="E113" s="13" t="s">
        <v>22</v>
      </c>
      <c r="F113" s="37">
        <v>1350</v>
      </c>
      <c r="G113" s="28" t="s">
        <v>1823</v>
      </c>
      <c r="H113" s="14">
        <v>43433</v>
      </c>
      <c r="I113" s="4" t="s">
        <v>3062</v>
      </c>
      <c r="J113" s="133"/>
      <c r="K113" s="275"/>
    </row>
    <row r="114" spans="1:19" hidden="1" x14ac:dyDescent="0.25">
      <c r="A114" s="32" t="s">
        <v>151</v>
      </c>
      <c r="B114" s="14">
        <v>43482</v>
      </c>
      <c r="C114" s="13">
        <v>11</v>
      </c>
      <c r="D114" s="13" t="s">
        <v>223</v>
      </c>
      <c r="E114" s="32" t="s">
        <v>22</v>
      </c>
      <c r="F114" s="4">
        <v>36860</v>
      </c>
      <c r="G114" s="28" t="s">
        <v>1133</v>
      </c>
      <c r="H114" s="14">
        <v>43451</v>
      </c>
      <c r="I114" s="4" t="s">
        <v>3072</v>
      </c>
      <c r="J114" s="76"/>
      <c r="K114" s="246"/>
    </row>
    <row r="115" spans="1:19" hidden="1" x14ac:dyDescent="0.25">
      <c r="A115" s="32" t="s">
        <v>151</v>
      </c>
      <c r="B115" s="14">
        <v>43482</v>
      </c>
      <c r="C115" s="13">
        <v>11</v>
      </c>
      <c r="D115" s="13" t="s">
        <v>223</v>
      </c>
      <c r="E115" s="32" t="s">
        <v>22</v>
      </c>
      <c r="F115" s="4">
        <v>11200</v>
      </c>
      <c r="G115" s="28" t="s">
        <v>1605</v>
      </c>
      <c r="H115" s="14">
        <v>43406</v>
      </c>
      <c r="I115" s="4" t="s">
        <v>3072</v>
      </c>
      <c r="J115" s="76"/>
      <c r="K115" s="246"/>
    </row>
    <row r="116" spans="1:19" ht="15" hidden="1" customHeight="1" x14ac:dyDescent="0.25">
      <c r="A116" s="68" t="s">
        <v>455</v>
      </c>
      <c r="B116" s="14">
        <v>43482</v>
      </c>
      <c r="C116" s="13">
        <v>42</v>
      </c>
      <c r="D116" s="32" t="s">
        <v>281</v>
      </c>
      <c r="E116" s="32" t="s">
        <v>440</v>
      </c>
      <c r="F116" s="4">
        <v>623777.93999999994</v>
      </c>
      <c r="G116" s="29" t="s">
        <v>2985</v>
      </c>
      <c r="H116" s="14">
        <v>43479</v>
      </c>
      <c r="I116" s="41" t="s">
        <v>362</v>
      </c>
      <c r="J116" s="35" t="s">
        <v>327</v>
      </c>
      <c r="K116" s="35"/>
      <c r="L116" s="35"/>
    </row>
    <row r="117" spans="1:19" ht="15" hidden="1" customHeight="1" x14ac:dyDescent="0.25">
      <c r="A117" s="68" t="s">
        <v>455</v>
      </c>
      <c r="B117" s="14">
        <v>43482</v>
      </c>
      <c r="C117" s="13">
        <v>43</v>
      </c>
      <c r="D117" s="32" t="s">
        <v>281</v>
      </c>
      <c r="E117" s="32" t="s">
        <v>440</v>
      </c>
      <c r="F117" s="4">
        <v>1036.8800000000001</v>
      </c>
      <c r="G117" s="29" t="s">
        <v>2986</v>
      </c>
      <c r="H117" s="14">
        <v>43475</v>
      </c>
      <c r="I117" s="41" t="s">
        <v>1747</v>
      </c>
      <c r="J117" s="35"/>
      <c r="K117" s="35"/>
      <c r="L117" s="35"/>
    </row>
    <row r="118" spans="1:19" ht="15" hidden="1" customHeight="1" x14ac:dyDescent="0.25">
      <c r="A118" s="32" t="s">
        <v>310</v>
      </c>
      <c r="B118" s="14">
        <v>43482</v>
      </c>
      <c r="C118" s="13">
        <v>13</v>
      </c>
      <c r="D118" s="32" t="s">
        <v>281</v>
      </c>
      <c r="E118" s="32" t="s">
        <v>314</v>
      </c>
      <c r="F118" s="4">
        <v>304947.81</v>
      </c>
      <c r="G118" s="29" t="s">
        <v>2981</v>
      </c>
      <c r="H118" s="14">
        <v>43479</v>
      </c>
      <c r="I118" s="41" t="s">
        <v>362</v>
      </c>
      <c r="J118" s="35" t="s">
        <v>327</v>
      </c>
      <c r="K118" s="35"/>
      <c r="L118" s="35"/>
    </row>
    <row r="119" spans="1:19" hidden="1" x14ac:dyDescent="0.25">
      <c r="A119" s="13" t="s">
        <v>310</v>
      </c>
      <c r="B119" s="14">
        <v>43482</v>
      </c>
      <c r="C119" s="13">
        <v>11</v>
      </c>
      <c r="D119" s="13" t="s">
        <v>210</v>
      </c>
      <c r="E119" s="13" t="s">
        <v>314</v>
      </c>
      <c r="F119" s="37">
        <v>2315.73</v>
      </c>
      <c r="G119" s="29" t="s">
        <v>3002</v>
      </c>
      <c r="H119" s="14">
        <v>43440</v>
      </c>
      <c r="I119" s="4" t="s">
        <v>426</v>
      </c>
      <c r="J119" s="22" t="s">
        <v>323</v>
      </c>
    </row>
    <row r="120" spans="1:19" s="129" customFormat="1" hidden="1" x14ac:dyDescent="0.25">
      <c r="A120" s="13" t="s">
        <v>310</v>
      </c>
      <c r="B120" s="14">
        <v>43482</v>
      </c>
      <c r="C120" s="13">
        <v>12</v>
      </c>
      <c r="D120" s="13" t="s">
        <v>210</v>
      </c>
      <c r="E120" s="13" t="s">
        <v>314</v>
      </c>
      <c r="F120" s="37">
        <v>10514.74</v>
      </c>
      <c r="G120" s="29" t="s">
        <v>3001</v>
      </c>
      <c r="H120" s="14">
        <v>43440</v>
      </c>
      <c r="I120" s="4" t="s">
        <v>546</v>
      </c>
      <c r="J120" s="35" t="s">
        <v>323</v>
      </c>
      <c r="K120" s="136"/>
    </row>
    <row r="121" spans="1:19" s="62" customFormat="1" ht="15" hidden="1" customHeight="1" x14ac:dyDescent="0.25">
      <c r="A121" s="61" t="s">
        <v>188</v>
      </c>
      <c r="B121" s="14">
        <v>43482</v>
      </c>
      <c r="C121" s="13">
        <v>9</v>
      </c>
      <c r="D121" s="13" t="s">
        <v>210</v>
      </c>
      <c r="E121" s="13" t="s">
        <v>483</v>
      </c>
      <c r="F121" s="37">
        <v>3650.2</v>
      </c>
      <c r="G121" s="29" t="s">
        <v>3000</v>
      </c>
      <c r="H121" s="14">
        <v>43441</v>
      </c>
      <c r="I121" s="4" t="s">
        <v>546</v>
      </c>
      <c r="J121" s="22" t="s">
        <v>323</v>
      </c>
      <c r="O121" s="35"/>
      <c r="P121" s="35"/>
      <c r="Q121" s="35"/>
      <c r="R121" s="35"/>
      <c r="S121" s="35"/>
    </row>
    <row r="122" spans="1:19" hidden="1" x14ac:dyDescent="0.25">
      <c r="A122" s="13" t="s">
        <v>2953</v>
      </c>
      <c r="B122" s="14">
        <v>43482</v>
      </c>
      <c r="C122" s="13">
        <v>1</v>
      </c>
      <c r="D122" s="13" t="s">
        <v>2928</v>
      </c>
      <c r="E122" s="32" t="s">
        <v>2954</v>
      </c>
      <c r="F122" s="4">
        <v>87900</v>
      </c>
      <c r="G122" s="29" t="s">
        <v>2955</v>
      </c>
      <c r="H122" s="14">
        <v>43479</v>
      </c>
      <c r="I122" s="4" t="s">
        <v>1470</v>
      </c>
      <c r="J122" s="21"/>
      <c r="K122" s="228"/>
    </row>
    <row r="123" spans="1:19" hidden="1" x14ac:dyDescent="0.25">
      <c r="A123" s="13" t="s">
        <v>107</v>
      </c>
      <c r="B123" s="14">
        <v>43482</v>
      </c>
      <c r="C123" s="13">
        <v>4</v>
      </c>
      <c r="D123" s="13" t="s">
        <v>253</v>
      </c>
      <c r="E123" s="13" t="s">
        <v>522</v>
      </c>
      <c r="F123" s="37">
        <v>3239.14</v>
      </c>
      <c r="G123" s="29" t="s">
        <v>2938</v>
      </c>
      <c r="H123" s="14">
        <v>43404</v>
      </c>
      <c r="I123" s="4" t="s">
        <v>696</v>
      </c>
      <c r="J123" s="22" t="s">
        <v>622</v>
      </c>
      <c r="K123" s="260"/>
    </row>
    <row r="124" spans="1:19" hidden="1" x14ac:dyDescent="0.25">
      <c r="A124" s="13" t="s">
        <v>260</v>
      </c>
      <c r="B124" s="14">
        <v>43482</v>
      </c>
      <c r="C124" s="13">
        <v>33</v>
      </c>
      <c r="D124" s="32" t="s">
        <v>432</v>
      </c>
      <c r="E124" s="32" t="s">
        <v>963</v>
      </c>
      <c r="F124" s="4">
        <v>70960</v>
      </c>
      <c r="G124" s="69" t="s">
        <v>1137</v>
      </c>
      <c r="H124" s="14"/>
      <c r="I124" s="4" t="s">
        <v>433</v>
      </c>
      <c r="J124" s="21"/>
      <c r="K124" s="228"/>
    </row>
    <row r="125" spans="1:19" hidden="1" x14ac:dyDescent="0.25">
      <c r="A125" s="13" t="s">
        <v>151</v>
      </c>
      <c r="B125" s="14">
        <v>43482</v>
      </c>
      <c r="C125" s="28" t="s">
        <v>3184</v>
      </c>
      <c r="D125" s="13" t="s">
        <v>3024</v>
      </c>
      <c r="E125" s="13" t="s">
        <v>60</v>
      </c>
      <c r="F125" s="37">
        <v>11500</v>
      </c>
      <c r="G125" s="29" t="s">
        <v>1241</v>
      </c>
      <c r="H125" s="14">
        <v>43373</v>
      </c>
      <c r="I125" s="4" t="s">
        <v>3031</v>
      </c>
      <c r="J125" s="128"/>
    </row>
    <row r="126" spans="1:19" hidden="1" x14ac:dyDescent="0.25">
      <c r="A126" s="13" t="s">
        <v>151</v>
      </c>
      <c r="B126" s="14">
        <v>43482</v>
      </c>
      <c r="C126" s="28" t="s">
        <v>3184</v>
      </c>
      <c r="D126" s="13" t="s">
        <v>3024</v>
      </c>
      <c r="E126" s="13" t="s">
        <v>60</v>
      </c>
      <c r="F126" s="37">
        <v>1500</v>
      </c>
      <c r="G126" s="29" t="s">
        <v>3025</v>
      </c>
      <c r="H126" s="14">
        <v>43434</v>
      </c>
      <c r="I126" s="4" t="s">
        <v>3026</v>
      </c>
      <c r="J126" s="128"/>
    </row>
    <row r="127" spans="1:19" hidden="1" x14ac:dyDescent="0.25">
      <c r="A127" s="32" t="s">
        <v>151</v>
      </c>
      <c r="B127" s="14">
        <v>43482</v>
      </c>
      <c r="C127" s="28" t="s">
        <v>3257</v>
      </c>
      <c r="D127" s="32" t="s">
        <v>2952</v>
      </c>
      <c r="E127" s="13" t="s">
        <v>481</v>
      </c>
      <c r="F127" s="4">
        <f>5*3500</f>
        <v>17500</v>
      </c>
      <c r="G127" s="67"/>
      <c r="H127" s="14"/>
      <c r="I127" s="4" t="s">
        <v>3027</v>
      </c>
      <c r="J127" s="21"/>
      <c r="K127" s="228"/>
    </row>
    <row r="128" spans="1:19" hidden="1" x14ac:dyDescent="0.25">
      <c r="A128" s="32" t="s">
        <v>151</v>
      </c>
      <c r="B128" s="14">
        <v>43482</v>
      </c>
      <c r="C128" s="28" t="s">
        <v>3258</v>
      </c>
      <c r="D128" s="32" t="s">
        <v>2952</v>
      </c>
      <c r="E128" s="13" t="s">
        <v>481</v>
      </c>
      <c r="F128" s="4">
        <f>5*800</f>
        <v>4000</v>
      </c>
      <c r="G128" s="67"/>
      <c r="H128" s="14"/>
      <c r="I128" s="4" t="s">
        <v>3034</v>
      </c>
      <c r="J128" s="21"/>
      <c r="K128" s="228"/>
    </row>
    <row r="129" spans="1:12" s="97" customFormat="1" hidden="1" x14ac:dyDescent="0.25">
      <c r="A129" s="211" t="s">
        <v>442</v>
      </c>
      <c r="B129" s="14">
        <v>43482</v>
      </c>
      <c r="C129" s="13">
        <v>24</v>
      </c>
      <c r="D129" s="13" t="s">
        <v>740</v>
      </c>
      <c r="E129" s="218" t="s">
        <v>62</v>
      </c>
      <c r="F129" s="224">
        <f>166400-50400</f>
        <v>116000</v>
      </c>
      <c r="G129" s="70" t="s">
        <v>1897</v>
      </c>
      <c r="H129" s="211">
        <v>43306</v>
      </c>
      <c r="I129" s="4" t="s">
        <v>1105</v>
      </c>
      <c r="J129" s="133"/>
      <c r="K129" s="22"/>
      <c r="L129" s="134"/>
    </row>
    <row r="130" spans="1:12" s="97" customFormat="1" hidden="1" x14ac:dyDescent="0.25">
      <c r="A130" s="13" t="s">
        <v>442</v>
      </c>
      <c r="B130" s="14">
        <v>43482</v>
      </c>
      <c r="C130" s="13">
        <v>24</v>
      </c>
      <c r="D130" s="13" t="s">
        <v>740</v>
      </c>
      <c r="E130" s="13" t="s">
        <v>62</v>
      </c>
      <c r="F130" s="37">
        <v>94500</v>
      </c>
      <c r="G130" s="29" t="s">
        <v>1898</v>
      </c>
      <c r="H130" s="14">
        <v>43328</v>
      </c>
      <c r="I130" s="4" t="s">
        <v>1899</v>
      </c>
      <c r="J130" s="133"/>
      <c r="K130" s="22"/>
      <c r="L130" s="134"/>
    </row>
    <row r="131" spans="1:12" s="97" customFormat="1" hidden="1" x14ac:dyDescent="0.25">
      <c r="A131" s="13" t="s">
        <v>442</v>
      </c>
      <c r="B131" s="14">
        <v>43482</v>
      </c>
      <c r="C131" s="13">
        <v>24</v>
      </c>
      <c r="D131" s="13" t="s">
        <v>740</v>
      </c>
      <c r="E131" s="13" t="s">
        <v>62</v>
      </c>
      <c r="F131" s="37">
        <v>98320</v>
      </c>
      <c r="G131" s="29" t="s">
        <v>1902</v>
      </c>
      <c r="H131" s="14">
        <v>43334</v>
      </c>
      <c r="I131" s="4" t="s">
        <v>1903</v>
      </c>
      <c r="J131" s="133"/>
      <c r="K131" s="22"/>
      <c r="L131" s="134"/>
    </row>
    <row r="132" spans="1:12" s="97" customFormat="1" hidden="1" x14ac:dyDescent="0.25">
      <c r="A132" s="61" t="s">
        <v>442</v>
      </c>
      <c r="B132" s="14">
        <v>43482</v>
      </c>
      <c r="C132" s="13">
        <v>24</v>
      </c>
      <c r="D132" s="13" t="s">
        <v>740</v>
      </c>
      <c r="E132" s="13" t="s">
        <v>62</v>
      </c>
      <c r="F132" s="37">
        <v>210520</v>
      </c>
      <c r="G132" s="29" t="s">
        <v>1987</v>
      </c>
      <c r="H132" s="14">
        <v>43353</v>
      </c>
      <c r="I132" s="4" t="s">
        <v>1988</v>
      </c>
      <c r="J132" s="133"/>
      <c r="K132" s="22"/>
      <c r="L132" s="134"/>
    </row>
    <row r="133" spans="1:12" s="97" customFormat="1" hidden="1" x14ac:dyDescent="0.25">
      <c r="A133" s="13" t="s">
        <v>442</v>
      </c>
      <c r="B133" s="14">
        <v>43482</v>
      </c>
      <c r="C133" s="13">
        <v>17</v>
      </c>
      <c r="D133" s="13" t="s">
        <v>257</v>
      </c>
      <c r="E133" s="13" t="s">
        <v>62</v>
      </c>
      <c r="F133" s="37">
        <v>930620.25</v>
      </c>
      <c r="G133" s="29" t="s">
        <v>2090</v>
      </c>
      <c r="H133" s="14">
        <v>43402</v>
      </c>
      <c r="I133" s="4" t="s">
        <v>2091</v>
      </c>
      <c r="J133" s="133"/>
      <c r="K133" s="22"/>
      <c r="L133" s="134"/>
    </row>
    <row r="134" spans="1:12" s="97" customFormat="1" hidden="1" x14ac:dyDescent="0.25">
      <c r="A134" s="61" t="s">
        <v>442</v>
      </c>
      <c r="B134" s="14">
        <v>43482</v>
      </c>
      <c r="C134" s="13">
        <v>18</v>
      </c>
      <c r="D134" s="13" t="s">
        <v>539</v>
      </c>
      <c r="E134" s="13" t="s">
        <v>62</v>
      </c>
      <c r="F134" s="37">
        <v>824682</v>
      </c>
      <c r="G134" s="29" t="s">
        <v>2391</v>
      </c>
      <c r="H134" s="14">
        <v>43444</v>
      </c>
      <c r="I134" s="4" t="s">
        <v>2068</v>
      </c>
      <c r="J134" s="133"/>
      <c r="K134" s="22"/>
      <c r="L134" s="134"/>
    </row>
    <row r="135" spans="1:12" s="97" customFormat="1" ht="13.2" hidden="1" customHeight="1" x14ac:dyDescent="0.25">
      <c r="A135" s="61" t="s">
        <v>442</v>
      </c>
      <c r="B135" s="14">
        <v>43482</v>
      </c>
      <c r="C135" s="13">
        <v>19</v>
      </c>
      <c r="D135" s="13" t="s">
        <v>589</v>
      </c>
      <c r="E135" s="13" t="s">
        <v>62</v>
      </c>
      <c r="F135" s="37">
        <v>773905</v>
      </c>
      <c r="G135" s="29" t="s">
        <v>2132</v>
      </c>
      <c r="H135" s="14">
        <v>43417</v>
      </c>
      <c r="I135" s="4" t="s">
        <v>2133</v>
      </c>
      <c r="J135" s="133"/>
      <c r="K135" s="22"/>
      <c r="L135" s="134"/>
    </row>
    <row r="136" spans="1:12" s="97" customFormat="1" hidden="1" x14ac:dyDescent="0.25">
      <c r="A136" s="13" t="s">
        <v>442</v>
      </c>
      <c r="B136" s="14">
        <v>43482</v>
      </c>
      <c r="C136" s="13">
        <v>20</v>
      </c>
      <c r="D136" s="13" t="s">
        <v>1827</v>
      </c>
      <c r="E136" s="13" t="s">
        <v>62</v>
      </c>
      <c r="F136" s="37">
        <v>889656</v>
      </c>
      <c r="G136" s="29" t="s">
        <v>730</v>
      </c>
      <c r="H136" s="14">
        <v>43441</v>
      </c>
      <c r="I136" s="4" t="s">
        <v>1721</v>
      </c>
      <c r="J136" s="133"/>
      <c r="K136" s="22"/>
      <c r="L136" s="134"/>
    </row>
    <row r="137" spans="1:12" s="97" customFormat="1" hidden="1" x14ac:dyDescent="0.25">
      <c r="A137" s="13" t="s">
        <v>442</v>
      </c>
      <c r="B137" s="14">
        <v>43482</v>
      </c>
      <c r="C137" s="13">
        <v>21</v>
      </c>
      <c r="D137" s="13" t="s">
        <v>249</v>
      </c>
      <c r="E137" s="13" t="s">
        <v>62</v>
      </c>
      <c r="F137" s="37">
        <v>841587.63</v>
      </c>
      <c r="G137" s="29" t="s">
        <v>1812</v>
      </c>
      <c r="H137" s="14">
        <v>43446</v>
      </c>
      <c r="I137" s="4" t="s">
        <v>1998</v>
      </c>
      <c r="J137" s="133"/>
      <c r="K137" s="22"/>
      <c r="L137" s="134"/>
    </row>
    <row r="138" spans="1:12" hidden="1" x14ac:dyDescent="0.25">
      <c r="A138" s="32" t="s">
        <v>442</v>
      </c>
      <c r="B138" s="14">
        <v>43482</v>
      </c>
      <c r="C138" s="67">
        <v>22</v>
      </c>
      <c r="D138" s="32" t="s">
        <v>258</v>
      </c>
      <c r="E138" s="13" t="s">
        <v>62</v>
      </c>
      <c r="F138" s="4">
        <v>15249</v>
      </c>
      <c r="G138" s="67">
        <v>39</v>
      </c>
      <c r="H138" s="14">
        <v>43479</v>
      </c>
      <c r="I138" s="4" t="s">
        <v>187</v>
      </c>
      <c r="J138" s="21"/>
      <c r="K138" s="228"/>
    </row>
    <row r="139" spans="1:12" hidden="1" x14ac:dyDescent="0.25">
      <c r="A139" s="13" t="s">
        <v>151</v>
      </c>
      <c r="B139" s="14">
        <v>43482</v>
      </c>
      <c r="C139" s="28" t="s">
        <v>111</v>
      </c>
      <c r="D139" s="13" t="s">
        <v>3024</v>
      </c>
      <c r="E139" s="13" t="s">
        <v>62</v>
      </c>
      <c r="F139" s="37">
        <v>1500</v>
      </c>
      <c r="G139" s="29" t="s">
        <v>2203</v>
      </c>
      <c r="H139" s="14">
        <v>43434</v>
      </c>
      <c r="I139" s="4" t="s">
        <v>3026</v>
      </c>
      <c r="J139" s="128"/>
    </row>
    <row r="140" spans="1:12" hidden="1" x14ac:dyDescent="0.25">
      <c r="A140" s="13" t="s">
        <v>151</v>
      </c>
      <c r="B140" s="14">
        <v>43482</v>
      </c>
      <c r="C140" s="28" t="s">
        <v>86</v>
      </c>
      <c r="D140" s="13" t="s">
        <v>3021</v>
      </c>
      <c r="E140" s="13" t="s">
        <v>62</v>
      </c>
      <c r="F140" s="37">
        <v>1850</v>
      </c>
      <c r="G140" s="29" t="s">
        <v>3022</v>
      </c>
      <c r="H140" s="14">
        <v>43480</v>
      </c>
      <c r="I140" s="4" t="s">
        <v>3023</v>
      </c>
      <c r="J140" s="128"/>
    </row>
    <row r="141" spans="1:12" s="97" customFormat="1" hidden="1" x14ac:dyDescent="0.25">
      <c r="A141" s="61" t="s">
        <v>1148</v>
      </c>
      <c r="B141" s="14">
        <v>43482</v>
      </c>
      <c r="C141" s="13">
        <v>24</v>
      </c>
      <c r="D141" s="13" t="s">
        <v>257</v>
      </c>
      <c r="E141" s="13" t="s">
        <v>808</v>
      </c>
      <c r="F141" s="37">
        <f>3602531-1000000-800000</f>
        <v>1802531</v>
      </c>
      <c r="G141" s="29" t="s">
        <v>2171</v>
      </c>
      <c r="H141" s="14">
        <v>43423</v>
      </c>
      <c r="I141" s="4" t="s">
        <v>2172</v>
      </c>
      <c r="J141" s="133"/>
      <c r="K141" s="22"/>
      <c r="L141" s="134"/>
    </row>
    <row r="142" spans="1:12" s="97" customFormat="1" hidden="1" x14ac:dyDescent="0.25">
      <c r="A142" s="13" t="s">
        <v>1148</v>
      </c>
      <c r="B142" s="14">
        <v>43482</v>
      </c>
      <c r="C142" s="13">
        <v>19</v>
      </c>
      <c r="D142" s="13" t="s">
        <v>254</v>
      </c>
      <c r="E142" s="13" t="s">
        <v>808</v>
      </c>
      <c r="F142" s="37">
        <v>804000.08</v>
      </c>
      <c r="G142" s="29" t="s">
        <v>2555</v>
      </c>
      <c r="H142" s="14">
        <v>43446</v>
      </c>
      <c r="I142" s="4" t="s">
        <v>421</v>
      </c>
      <c r="J142" s="133"/>
      <c r="K142" s="22"/>
      <c r="L142" s="134"/>
    </row>
    <row r="143" spans="1:12" s="97" customFormat="1" hidden="1" x14ac:dyDescent="0.25">
      <c r="A143" s="61" t="s">
        <v>1148</v>
      </c>
      <c r="B143" s="14">
        <v>43482</v>
      </c>
      <c r="C143" s="13">
        <v>23</v>
      </c>
      <c r="D143" s="13" t="s">
        <v>589</v>
      </c>
      <c r="E143" s="13" t="s">
        <v>808</v>
      </c>
      <c r="F143" s="37">
        <v>806000</v>
      </c>
      <c r="G143" s="29" t="s">
        <v>2227</v>
      </c>
      <c r="H143" s="14">
        <v>43425</v>
      </c>
      <c r="I143" s="4" t="s">
        <v>423</v>
      </c>
      <c r="J143" s="133"/>
      <c r="K143" s="22"/>
      <c r="L143" s="134"/>
    </row>
    <row r="144" spans="1:12" s="97" customFormat="1" hidden="1" x14ac:dyDescent="0.25">
      <c r="A144" s="61" t="s">
        <v>1148</v>
      </c>
      <c r="B144" s="14">
        <v>43482</v>
      </c>
      <c r="C144" s="13">
        <v>23</v>
      </c>
      <c r="D144" s="13" t="s">
        <v>589</v>
      </c>
      <c r="E144" s="13" t="s">
        <v>808</v>
      </c>
      <c r="F144" s="37">
        <v>803790</v>
      </c>
      <c r="G144" s="29" t="s">
        <v>2228</v>
      </c>
      <c r="H144" s="14">
        <v>43425</v>
      </c>
      <c r="I144" s="4" t="s">
        <v>1349</v>
      </c>
      <c r="J144" s="133"/>
      <c r="K144" s="22"/>
      <c r="L144" s="134"/>
    </row>
    <row r="145" spans="1:12" s="93" customFormat="1" hidden="1" x14ac:dyDescent="0.25">
      <c r="A145" s="32" t="s">
        <v>1316</v>
      </c>
      <c r="B145" s="14">
        <v>43482</v>
      </c>
      <c r="C145" s="28" t="s">
        <v>66</v>
      </c>
      <c r="D145" s="13" t="s">
        <v>1317</v>
      </c>
      <c r="E145" s="13" t="s">
        <v>808</v>
      </c>
      <c r="F145" s="4">
        <f>290811-189632.48</f>
        <v>101178.51999999999</v>
      </c>
      <c r="G145" s="28" t="s">
        <v>2230</v>
      </c>
      <c r="H145" s="14">
        <v>43431</v>
      </c>
      <c r="I145" s="4" t="s">
        <v>1489</v>
      </c>
      <c r="J145" s="130"/>
      <c r="K145" s="16"/>
      <c r="L145" s="92"/>
    </row>
    <row r="146" spans="1:12" s="93" customFormat="1" hidden="1" x14ac:dyDescent="0.25">
      <c r="A146" s="61" t="s">
        <v>1316</v>
      </c>
      <c r="B146" s="14">
        <v>43482</v>
      </c>
      <c r="C146" s="28" t="s">
        <v>3142</v>
      </c>
      <c r="D146" s="13" t="s">
        <v>1317</v>
      </c>
      <c r="E146" s="13" t="s">
        <v>808</v>
      </c>
      <c r="F146" s="37">
        <v>18608.599999999999</v>
      </c>
      <c r="G146" s="210" t="s">
        <v>2558</v>
      </c>
      <c r="H146" s="211">
        <v>43440</v>
      </c>
      <c r="I146" s="4" t="s">
        <v>2559</v>
      </c>
      <c r="J146" s="130"/>
      <c r="K146" s="16"/>
      <c r="L146" s="92"/>
    </row>
    <row r="147" spans="1:12" s="93" customFormat="1" hidden="1" x14ac:dyDescent="0.25">
      <c r="A147" s="61" t="s">
        <v>1316</v>
      </c>
      <c r="B147" s="14">
        <v>43482</v>
      </c>
      <c r="C147" s="28" t="s">
        <v>199</v>
      </c>
      <c r="D147" s="13" t="s">
        <v>3032</v>
      </c>
      <c r="E147" s="13" t="s">
        <v>808</v>
      </c>
      <c r="F147" s="37">
        <v>8031</v>
      </c>
      <c r="G147" s="210" t="s">
        <v>106</v>
      </c>
      <c r="H147" s="211">
        <v>43480</v>
      </c>
      <c r="I147" s="4" t="s">
        <v>3033</v>
      </c>
      <c r="J147" s="130"/>
      <c r="K147" s="16"/>
      <c r="L147" s="92"/>
    </row>
    <row r="148" spans="1:12" hidden="1" x14ac:dyDescent="0.25">
      <c r="A148" s="61" t="s">
        <v>1148</v>
      </c>
      <c r="B148" s="14">
        <v>43482</v>
      </c>
      <c r="C148" s="13">
        <v>22</v>
      </c>
      <c r="D148" s="13" t="s">
        <v>1395</v>
      </c>
      <c r="E148" s="13" t="s">
        <v>808</v>
      </c>
      <c r="F148" s="37">
        <v>57000</v>
      </c>
      <c r="G148" s="29" t="s">
        <v>1724</v>
      </c>
      <c r="H148" s="14">
        <v>43447</v>
      </c>
      <c r="I148" s="4" t="s">
        <v>2668</v>
      </c>
    </row>
    <row r="149" spans="1:12" hidden="1" x14ac:dyDescent="0.25">
      <c r="A149" s="13" t="s">
        <v>637</v>
      </c>
      <c r="B149" s="126">
        <v>43482</v>
      </c>
      <c r="C149" s="28" t="s">
        <v>2893</v>
      </c>
      <c r="D149" s="32" t="s">
        <v>432</v>
      </c>
      <c r="E149" s="32" t="s">
        <v>691</v>
      </c>
      <c r="F149" s="4">
        <v>110000</v>
      </c>
      <c r="G149" s="69" t="s">
        <v>1660</v>
      </c>
      <c r="H149" s="14"/>
      <c r="I149" s="4" t="s">
        <v>433</v>
      </c>
      <c r="J149" s="21"/>
      <c r="K149" s="228"/>
    </row>
    <row r="150" spans="1:12" s="97" customFormat="1" hidden="1" x14ac:dyDescent="0.25">
      <c r="A150" s="32" t="s">
        <v>659</v>
      </c>
      <c r="B150" s="126">
        <v>43482</v>
      </c>
      <c r="C150" s="13">
        <v>3</v>
      </c>
      <c r="D150" s="13" t="s">
        <v>243</v>
      </c>
      <c r="E150" s="13" t="s">
        <v>691</v>
      </c>
      <c r="F150" s="4">
        <v>1000000</v>
      </c>
      <c r="G150" s="28" t="s">
        <v>2828</v>
      </c>
      <c r="H150" s="14">
        <v>43430</v>
      </c>
      <c r="I150" s="4" t="s">
        <v>1876</v>
      </c>
      <c r="J150" s="133"/>
      <c r="K150" s="22"/>
      <c r="L150" s="134"/>
    </row>
    <row r="151" spans="1:12" s="97" customFormat="1" hidden="1" x14ac:dyDescent="0.25">
      <c r="A151" s="13" t="s">
        <v>637</v>
      </c>
      <c r="B151" s="126">
        <v>43482</v>
      </c>
      <c r="C151" s="28" t="s">
        <v>3212</v>
      </c>
      <c r="D151" s="13" t="s">
        <v>1317</v>
      </c>
      <c r="E151" s="13" t="s">
        <v>691</v>
      </c>
      <c r="F151" s="37">
        <f>109256.97-100476.95</f>
        <v>8780.0200000000041</v>
      </c>
      <c r="G151" s="210" t="s">
        <v>2177</v>
      </c>
      <c r="H151" s="211">
        <v>43418</v>
      </c>
      <c r="I151" s="4" t="s">
        <v>2178</v>
      </c>
      <c r="J151" s="133"/>
      <c r="K151" s="22"/>
      <c r="L151" s="134"/>
    </row>
    <row r="152" spans="1:12" s="93" customFormat="1" hidden="1" x14ac:dyDescent="0.25">
      <c r="A152" s="61" t="s">
        <v>1350</v>
      </c>
      <c r="B152" s="126">
        <v>43482</v>
      </c>
      <c r="C152" s="28" t="s">
        <v>3236</v>
      </c>
      <c r="D152" s="13" t="s">
        <v>1317</v>
      </c>
      <c r="E152" s="13" t="s">
        <v>691</v>
      </c>
      <c r="F152" s="37">
        <v>40693.980000000003</v>
      </c>
      <c r="G152" s="210" t="s">
        <v>2560</v>
      </c>
      <c r="H152" s="14">
        <v>43446</v>
      </c>
      <c r="I152" s="4" t="s">
        <v>2561</v>
      </c>
      <c r="J152" s="130"/>
      <c r="K152" s="16"/>
      <c r="L152" s="92"/>
    </row>
    <row r="153" spans="1:12" ht="16.2" hidden="1" customHeight="1" x14ac:dyDescent="0.25">
      <c r="A153" s="68" t="s">
        <v>1672</v>
      </c>
      <c r="B153" s="14">
        <v>43482</v>
      </c>
      <c r="C153" s="13">
        <v>37</v>
      </c>
      <c r="D153" s="13" t="s">
        <v>456</v>
      </c>
      <c r="E153" s="32" t="s">
        <v>130</v>
      </c>
      <c r="F153" s="4">
        <v>3000000</v>
      </c>
      <c r="G153" s="86" t="s">
        <v>1763</v>
      </c>
      <c r="H153" s="14"/>
      <c r="I153" s="4" t="s">
        <v>1764</v>
      </c>
      <c r="J153" s="71"/>
      <c r="K153" s="62"/>
      <c r="L153" s="62"/>
    </row>
    <row r="154" spans="1:12" s="62" customFormat="1" hidden="1" x14ac:dyDescent="0.25">
      <c r="A154" s="13" t="s">
        <v>35</v>
      </c>
      <c r="B154" s="14">
        <v>43482</v>
      </c>
      <c r="C154" s="13">
        <v>38</v>
      </c>
      <c r="D154" s="13" t="s">
        <v>1516</v>
      </c>
      <c r="E154" s="13" t="s">
        <v>130</v>
      </c>
      <c r="F154" s="37">
        <v>2242865</v>
      </c>
      <c r="G154" s="69" t="s">
        <v>3035</v>
      </c>
      <c r="H154" s="14"/>
      <c r="I154" s="4" t="s">
        <v>3036</v>
      </c>
      <c r="J154" s="71"/>
    </row>
    <row r="155" spans="1:12" hidden="1" x14ac:dyDescent="0.25">
      <c r="A155" s="61" t="s">
        <v>460</v>
      </c>
      <c r="B155" s="14">
        <v>43482</v>
      </c>
      <c r="C155" s="13">
        <v>17</v>
      </c>
      <c r="D155" s="14" t="s">
        <v>2211</v>
      </c>
      <c r="E155" s="32" t="s">
        <v>144</v>
      </c>
      <c r="F155" s="4">
        <v>35006</v>
      </c>
      <c r="G155" s="86" t="s">
        <v>2213</v>
      </c>
      <c r="H155" s="211"/>
      <c r="I155" s="326"/>
      <c r="K155" s="62"/>
    </row>
    <row r="156" spans="1:12" hidden="1" x14ac:dyDescent="0.25">
      <c r="A156" s="61" t="s">
        <v>460</v>
      </c>
      <c r="B156" s="14">
        <v>43482</v>
      </c>
      <c r="C156" s="13">
        <v>18</v>
      </c>
      <c r="D156" s="14" t="s">
        <v>2212</v>
      </c>
      <c r="E156" s="32" t="s">
        <v>144</v>
      </c>
      <c r="F156" s="4">
        <v>61500</v>
      </c>
      <c r="G156" s="86" t="s">
        <v>2208</v>
      </c>
      <c r="H156" s="211"/>
      <c r="I156" s="326"/>
      <c r="K156" s="62"/>
    </row>
    <row r="157" spans="1:12" hidden="1" x14ac:dyDescent="0.25">
      <c r="A157" s="61" t="s">
        <v>460</v>
      </c>
      <c r="B157" s="14">
        <v>43482</v>
      </c>
      <c r="C157" s="13">
        <v>19</v>
      </c>
      <c r="D157" s="14" t="s">
        <v>2209</v>
      </c>
      <c r="E157" s="32" t="s">
        <v>144</v>
      </c>
      <c r="F157" s="4">
        <v>38844</v>
      </c>
      <c r="G157" s="86" t="s">
        <v>2210</v>
      </c>
      <c r="H157" s="211"/>
      <c r="I157" s="326"/>
      <c r="K157" s="62"/>
    </row>
    <row r="158" spans="1:12" hidden="1" x14ac:dyDescent="0.25">
      <c r="A158" s="61" t="s">
        <v>460</v>
      </c>
      <c r="B158" s="14">
        <v>43482</v>
      </c>
      <c r="C158" s="13">
        <v>20</v>
      </c>
      <c r="D158" s="14" t="s">
        <v>2214</v>
      </c>
      <c r="E158" s="32" t="s">
        <v>144</v>
      </c>
      <c r="F158" s="4">
        <v>47432</v>
      </c>
      <c r="G158" s="86" t="s">
        <v>2215</v>
      </c>
      <c r="H158" s="211"/>
      <c r="I158" s="326"/>
      <c r="K158" s="62"/>
    </row>
    <row r="159" spans="1:12" hidden="1" x14ac:dyDescent="0.25">
      <c r="A159" s="61" t="s">
        <v>460</v>
      </c>
      <c r="B159" s="14">
        <v>43482</v>
      </c>
      <c r="C159" s="13">
        <v>21</v>
      </c>
      <c r="D159" s="14" t="s">
        <v>2216</v>
      </c>
      <c r="E159" s="32" t="s">
        <v>144</v>
      </c>
      <c r="F159" s="4">
        <v>37604</v>
      </c>
      <c r="G159" s="86" t="s">
        <v>2217</v>
      </c>
      <c r="H159" s="211"/>
      <c r="I159" s="326"/>
      <c r="K159" s="62"/>
    </row>
    <row r="160" spans="1:12" hidden="1" x14ac:dyDescent="0.25">
      <c r="A160" s="61" t="s">
        <v>460</v>
      </c>
      <c r="B160" s="14">
        <v>43482</v>
      </c>
      <c r="C160" s="13">
        <v>22</v>
      </c>
      <c r="D160" s="13" t="s">
        <v>2466</v>
      </c>
      <c r="E160" s="32" t="s">
        <v>144</v>
      </c>
      <c r="F160" s="4">
        <v>49296</v>
      </c>
      <c r="G160" s="86" t="s">
        <v>2467</v>
      </c>
      <c r="H160" s="211"/>
      <c r="I160" s="326"/>
      <c r="K160" s="62"/>
    </row>
    <row r="161" spans="1:19" hidden="1" x14ac:dyDescent="0.25">
      <c r="A161" s="61" t="s">
        <v>460</v>
      </c>
      <c r="B161" s="14">
        <v>43482</v>
      </c>
      <c r="C161" s="13">
        <v>23</v>
      </c>
      <c r="D161" s="13" t="s">
        <v>2468</v>
      </c>
      <c r="E161" s="32" t="s">
        <v>144</v>
      </c>
      <c r="F161" s="4">
        <v>29782</v>
      </c>
      <c r="G161" s="86" t="s">
        <v>2469</v>
      </c>
      <c r="H161" s="211"/>
      <c r="I161" s="326"/>
      <c r="K161" s="62"/>
    </row>
    <row r="162" spans="1:19" hidden="1" x14ac:dyDescent="0.25">
      <c r="A162" s="61" t="s">
        <v>460</v>
      </c>
      <c r="B162" s="14">
        <v>43482</v>
      </c>
      <c r="C162" s="13">
        <v>24</v>
      </c>
      <c r="D162" s="13" t="s">
        <v>2470</v>
      </c>
      <c r="E162" s="32" t="s">
        <v>144</v>
      </c>
      <c r="F162" s="4">
        <v>49020</v>
      </c>
      <c r="G162" s="86" t="s">
        <v>2471</v>
      </c>
      <c r="H162" s="211"/>
      <c r="I162" s="326"/>
      <c r="K162" s="62"/>
    </row>
    <row r="163" spans="1:19" hidden="1" x14ac:dyDescent="0.25">
      <c r="A163" s="61" t="s">
        <v>460</v>
      </c>
      <c r="B163" s="14">
        <v>43482</v>
      </c>
      <c r="C163" s="13">
        <v>25</v>
      </c>
      <c r="D163" s="13" t="s">
        <v>2472</v>
      </c>
      <c r="E163" s="32" t="s">
        <v>144</v>
      </c>
      <c r="F163" s="4">
        <v>35590</v>
      </c>
      <c r="G163" s="86" t="s">
        <v>2473</v>
      </c>
      <c r="H163" s="211"/>
      <c r="I163" s="326"/>
      <c r="K163" s="62"/>
    </row>
    <row r="164" spans="1:19" hidden="1" x14ac:dyDescent="0.25">
      <c r="A164" s="61" t="s">
        <v>460</v>
      </c>
      <c r="B164" s="14">
        <v>43482</v>
      </c>
      <c r="C164" s="13">
        <v>26</v>
      </c>
      <c r="D164" s="13" t="s">
        <v>2474</v>
      </c>
      <c r="E164" s="32" t="s">
        <v>144</v>
      </c>
      <c r="F164" s="4">
        <v>40656</v>
      </c>
      <c r="G164" s="86" t="s">
        <v>2475</v>
      </c>
      <c r="H164" s="211"/>
      <c r="I164" s="326"/>
      <c r="K164" s="62"/>
    </row>
    <row r="165" spans="1:19" s="97" customFormat="1" hidden="1" x14ac:dyDescent="0.25">
      <c r="A165" s="32" t="s">
        <v>442</v>
      </c>
      <c r="B165" s="14">
        <v>43482</v>
      </c>
      <c r="C165" s="13">
        <v>83</v>
      </c>
      <c r="D165" s="13" t="s">
        <v>3056</v>
      </c>
      <c r="E165" s="13" t="s">
        <v>494</v>
      </c>
      <c r="F165" s="37">
        <v>384400</v>
      </c>
      <c r="G165" s="29" t="s">
        <v>3070</v>
      </c>
      <c r="H165" s="14">
        <v>43465</v>
      </c>
      <c r="I165" s="4" t="s">
        <v>3057</v>
      </c>
      <c r="J165" s="22"/>
      <c r="K165" s="76"/>
      <c r="L165" s="134"/>
    </row>
    <row r="166" spans="1:19" s="97" customFormat="1" hidden="1" x14ac:dyDescent="0.25">
      <c r="A166" s="32" t="s">
        <v>311</v>
      </c>
      <c r="B166" s="14">
        <v>43483</v>
      </c>
      <c r="C166" s="13">
        <v>18</v>
      </c>
      <c r="D166" s="13" t="s">
        <v>3056</v>
      </c>
      <c r="E166" s="13" t="s">
        <v>408</v>
      </c>
      <c r="F166" s="37">
        <v>21700</v>
      </c>
      <c r="G166" s="29" t="s">
        <v>3058</v>
      </c>
      <c r="H166" s="14">
        <v>43465</v>
      </c>
      <c r="I166" s="4" t="s">
        <v>3057</v>
      </c>
      <c r="J166" s="22"/>
      <c r="K166" s="76"/>
      <c r="L166" s="134"/>
    </row>
    <row r="167" spans="1:19" s="115" customFormat="1" ht="15.6" hidden="1" x14ac:dyDescent="0.25">
      <c r="A167" s="13" t="s">
        <v>311</v>
      </c>
      <c r="B167" s="14">
        <v>43483</v>
      </c>
      <c r="C167" s="13">
        <v>19</v>
      </c>
      <c r="D167" s="13" t="s">
        <v>873</v>
      </c>
      <c r="E167" s="13" t="s">
        <v>408</v>
      </c>
      <c r="F167" s="37">
        <v>712744.19</v>
      </c>
      <c r="G167" s="13" t="s">
        <v>2783</v>
      </c>
      <c r="H167" s="126">
        <v>43445</v>
      </c>
      <c r="I167" s="29" t="s">
        <v>875</v>
      </c>
      <c r="J167" s="385"/>
      <c r="K167" s="116"/>
      <c r="L167" s="116"/>
      <c r="M167" s="116"/>
      <c r="N167" s="116"/>
      <c r="O167" s="117"/>
      <c r="P167" s="117"/>
      <c r="Q167" s="117"/>
      <c r="R167" s="117"/>
      <c r="S167" s="117"/>
    </row>
    <row r="168" spans="1:19" s="2" customFormat="1" hidden="1" x14ac:dyDescent="0.25">
      <c r="A168" s="13" t="s">
        <v>6</v>
      </c>
      <c r="B168" s="14">
        <v>43483</v>
      </c>
      <c r="C168" s="13">
        <v>26</v>
      </c>
      <c r="D168" s="32" t="s">
        <v>3019</v>
      </c>
      <c r="E168" s="13" t="s">
        <v>183</v>
      </c>
      <c r="F168" s="299">
        <f>381.89*75.633</f>
        <v>28883.486369999999</v>
      </c>
      <c r="G168" s="29" t="s">
        <v>3108</v>
      </c>
      <c r="H168" s="14">
        <v>43476</v>
      </c>
      <c r="I168" s="4" t="s">
        <v>3109</v>
      </c>
      <c r="J168" s="341"/>
      <c r="K168" s="31"/>
      <c r="L168" s="31"/>
      <c r="M168" s="31"/>
      <c r="N168" s="31"/>
      <c r="O168" s="34"/>
      <c r="P168" s="34"/>
      <c r="Q168" s="34"/>
      <c r="R168" s="34"/>
      <c r="S168" s="34"/>
    </row>
    <row r="169" spans="1:19" s="2" customFormat="1" hidden="1" x14ac:dyDescent="0.25">
      <c r="A169" s="13" t="s">
        <v>6</v>
      </c>
      <c r="B169" s="14">
        <v>43483</v>
      </c>
      <c r="C169" s="13">
        <v>27</v>
      </c>
      <c r="D169" s="32" t="s">
        <v>3019</v>
      </c>
      <c r="E169" s="13" t="s">
        <v>183</v>
      </c>
      <c r="F169" s="299">
        <f>189.26*75.633</f>
        <v>14314.301579999999</v>
      </c>
      <c r="G169" s="29" t="s">
        <v>3106</v>
      </c>
      <c r="H169" s="14">
        <v>43480</v>
      </c>
      <c r="I169" s="4" t="s">
        <v>3107</v>
      </c>
      <c r="J169" s="341"/>
      <c r="K169" s="31"/>
      <c r="L169" s="31"/>
      <c r="M169" s="31"/>
      <c r="N169" s="31"/>
      <c r="O169" s="34"/>
      <c r="P169" s="34"/>
      <c r="Q169" s="34"/>
      <c r="R169" s="34"/>
      <c r="S169" s="34"/>
    </row>
    <row r="170" spans="1:19" s="2" customFormat="1" hidden="1" x14ac:dyDescent="0.25">
      <c r="A170" s="13" t="s">
        <v>6</v>
      </c>
      <c r="B170" s="14">
        <v>43483</v>
      </c>
      <c r="C170" s="13">
        <v>28</v>
      </c>
      <c r="D170" s="32" t="s">
        <v>530</v>
      </c>
      <c r="E170" s="13" t="s">
        <v>183</v>
      </c>
      <c r="F170" s="4">
        <v>13600</v>
      </c>
      <c r="G170" s="29" t="s">
        <v>3260</v>
      </c>
      <c r="H170" s="14">
        <v>43443</v>
      </c>
      <c r="I170" s="4" t="s">
        <v>165</v>
      </c>
      <c r="J170" s="341"/>
      <c r="K170" s="31"/>
      <c r="L170" s="31"/>
      <c r="M170" s="31"/>
      <c r="N170" s="31"/>
      <c r="O170" s="34"/>
      <c r="P170" s="34"/>
      <c r="Q170" s="34"/>
      <c r="R170" s="34"/>
      <c r="S170" s="34"/>
    </row>
    <row r="171" spans="1:19" s="2" customFormat="1" hidden="1" x14ac:dyDescent="0.25">
      <c r="A171" s="13" t="s">
        <v>6</v>
      </c>
      <c r="B171" s="14">
        <v>43483</v>
      </c>
      <c r="C171" s="13">
        <v>28</v>
      </c>
      <c r="D171" s="32" t="s">
        <v>530</v>
      </c>
      <c r="E171" s="13" t="s">
        <v>183</v>
      </c>
      <c r="F171" s="4">
        <v>13600</v>
      </c>
      <c r="G171" s="29" t="s">
        <v>3259</v>
      </c>
      <c r="H171" s="14">
        <v>43440</v>
      </c>
      <c r="I171" s="4" t="s">
        <v>165</v>
      </c>
      <c r="J171" s="341"/>
      <c r="K171" s="31"/>
      <c r="L171" s="31"/>
      <c r="M171" s="31"/>
      <c r="N171" s="31"/>
      <c r="O171" s="34"/>
      <c r="P171" s="34"/>
      <c r="Q171" s="34"/>
      <c r="R171" s="34"/>
      <c r="S171" s="34"/>
    </row>
    <row r="172" spans="1:19" s="97" customFormat="1" hidden="1" x14ac:dyDescent="0.25">
      <c r="A172" s="13" t="s">
        <v>6</v>
      </c>
      <c r="B172" s="14">
        <v>43483</v>
      </c>
      <c r="C172" s="67">
        <v>29</v>
      </c>
      <c r="D172" s="13" t="s">
        <v>2050</v>
      </c>
      <c r="E172" s="13" t="s">
        <v>183</v>
      </c>
      <c r="F172" s="4">
        <v>10000</v>
      </c>
      <c r="G172" s="29" t="s">
        <v>1164</v>
      </c>
      <c r="H172" s="14">
        <v>43444</v>
      </c>
      <c r="I172" s="4" t="s">
        <v>1251</v>
      </c>
      <c r="J172" s="22" t="s">
        <v>327</v>
      </c>
      <c r="K172" s="22"/>
      <c r="L172" s="134"/>
    </row>
    <row r="173" spans="1:19" s="2" customFormat="1" hidden="1" x14ac:dyDescent="0.25">
      <c r="A173" s="61" t="s">
        <v>6</v>
      </c>
      <c r="B173" s="14">
        <v>43483</v>
      </c>
      <c r="C173" s="13">
        <v>30</v>
      </c>
      <c r="D173" s="32" t="s">
        <v>3014</v>
      </c>
      <c r="E173" s="13" t="s">
        <v>183</v>
      </c>
      <c r="F173" s="4">
        <v>25800</v>
      </c>
      <c r="G173" s="29" t="s">
        <v>3015</v>
      </c>
      <c r="H173" s="14">
        <v>43480</v>
      </c>
      <c r="I173" s="4" t="s">
        <v>3016</v>
      </c>
      <c r="J173" s="341"/>
      <c r="K173" s="31"/>
      <c r="L173" s="31"/>
      <c r="M173" s="31"/>
      <c r="N173" s="31"/>
      <c r="O173" s="34"/>
      <c r="P173" s="34"/>
      <c r="Q173" s="34"/>
      <c r="R173" s="34"/>
      <c r="S173" s="34"/>
    </row>
    <row r="174" spans="1:19" s="2" customFormat="1" hidden="1" x14ac:dyDescent="0.25">
      <c r="A174" s="61" t="s">
        <v>6</v>
      </c>
      <c r="B174" s="14">
        <v>43483</v>
      </c>
      <c r="C174" s="13">
        <v>31</v>
      </c>
      <c r="D174" s="32" t="s">
        <v>3017</v>
      </c>
      <c r="E174" s="13" t="s">
        <v>183</v>
      </c>
      <c r="F174" s="4">
        <v>4800</v>
      </c>
      <c r="G174" s="29" t="s">
        <v>1299</v>
      </c>
      <c r="H174" s="14">
        <v>43465</v>
      </c>
      <c r="I174" s="4" t="s">
        <v>3018</v>
      </c>
      <c r="J174" s="341"/>
      <c r="K174" s="31"/>
      <c r="L174" s="31"/>
      <c r="M174" s="31"/>
      <c r="N174" s="31"/>
      <c r="O174" s="34"/>
      <c r="P174" s="34"/>
      <c r="Q174" s="34"/>
      <c r="R174" s="34"/>
      <c r="S174" s="34"/>
    </row>
    <row r="175" spans="1:19" s="2" customFormat="1" ht="15" hidden="1" customHeight="1" x14ac:dyDescent="0.25">
      <c r="A175" s="13" t="s">
        <v>6</v>
      </c>
      <c r="B175" s="14">
        <v>43483</v>
      </c>
      <c r="C175" s="13">
        <v>32</v>
      </c>
      <c r="D175" s="13" t="s">
        <v>3103</v>
      </c>
      <c r="E175" s="13" t="s">
        <v>183</v>
      </c>
      <c r="F175" s="4">
        <v>4600</v>
      </c>
      <c r="G175" s="29" t="s">
        <v>3104</v>
      </c>
      <c r="H175" s="14">
        <v>43481</v>
      </c>
      <c r="I175" s="4" t="s">
        <v>3105</v>
      </c>
      <c r="J175" s="341"/>
      <c r="K175" s="31"/>
      <c r="L175" s="31"/>
      <c r="M175" s="31"/>
      <c r="N175" s="31"/>
      <c r="O175" s="34"/>
      <c r="P175" s="34"/>
      <c r="Q175" s="34"/>
      <c r="R175" s="34"/>
      <c r="S175" s="34"/>
    </row>
    <row r="176" spans="1:19" s="2" customFormat="1" ht="15" hidden="1" customHeight="1" x14ac:dyDescent="0.25">
      <c r="A176" s="13" t="s">
        <v>6</v>
      </c>
      <c r="B176" s="14">
        <v>43483</v>
      </c>
      <c r="C176" s="13">
        <v>33</v>
      </c>
      <c r="D176" s="13" t="s">
        <v>1591</v>
      </c>
      <c r="E176" s="13" t="s">
        <v>183</v>
      </c>
      <c r="F176" s="4">
        <v>102954</v>
      </c>
      <c r="G176" s="29" t="s">
        <v>1304</v>
      </c>
      <c r="H176" s="14">
        <v>43476</v>
      </c>
      <c r="I176" s="4" t="s">
        <v>3020</v>
      </c>
      <c r="J176" s="341"/>
      <c r="K176" s="31"/>
      <c r="L176" s="31"/>
      <c r="M176" s="31"/>
      <c r="N176" s="31"/>
      <c r="O176" s="34"/>
      <c r="P176" s="34"/>
      <c r="Q176" s="34"/>
      <c r="R176" s="34"/>
      <c r="S176" s="34"/>
    </row>
    <row r="177" spans="1:19" s="2" customFormat="1" hidden="1" x14ac:dyDescent="0.25">
      <c r="A177" s="13" t="s">
        <v>6</v>
      </c>
      <c r="B177" s="14">
        <v>43483</v>
      </c>
      <c r="C177" s="13">
        <v>34</v>
      </c>
      <c r="D177" s="13" t="s">
        <v>2949</v>
      </c>
      <c r="E177" s="13" t="s">
        <v>183</v>
      </c>
      <c r="F177" s="4">
        <f>153440-76720</f>
        <v>76720</v>
      </c>
      <c r="G177" s="29" t="s">
        <v>1126</v>
      </c>
      <c r="H177" s="14">
        <v>43418</v>
      </c>
      <c r="I177" s="4" t="s">
        <v>246</v>
      </c>
      <c r="J177" s="341"/>
      <c r="K177" s="31"/>
      <c r="L177" s="31"/>
      <c r="M177" s="31"/>
      <c r="N177" s="31"/>
      <c r="O177" s="34"/>
      <c r="P177" s="34"/>
      <c r="Q177" s="34"/>
      <c r="R177" s="34"/>
      <c r="S177" s="34"/>
    </row>
    <row r="178" spans="1:19" s="2" customFormat="1" ht="15" hidden="1" customHeight="1" x14ac:dyDescent="0.25">
      <c r="A178" s="13" t="s">
        <v>6</v>
      </c>
      <c r="B178" s="14">
        <v>43483</v>
      </c>
      <c r="C178" s="13">
        <v>35</v>
      </c>
      <c r="D178" s="13" t="s">
        <v>3100</v>
      </c>
      <c r="E178" s="13" t="s">
        <v>183</v>
      </c>
      <c r="F178" s="4">
        <v>13655</v>
      </c>
      <c r="G178" s="29" t="s">
        <v>3101</v>
      </c>
      <c r="H178" s="14">
        <v>43481</v>
      </c>
      <c r="I178" s="4" t="s">
        <v>3102</v>
      </c>
      <c r="J178" s="341"/>
      <c r="K178" s="31"/>
      <c r="L178" s="31"/>
      <c r="M178" s="31"/>
      <c r="N178" s="31"/>
      <c r="O178" s="34"/>
      <c r="P178" s="34"/>
      <c r="Q178" s="34"/>
      <c r="R178" s="34"/>
      <c r="S178" s="34"/>
    </row>
    <row r="179" spans="1:19" s="2" customFormat="1" hidden="1" x14ac:dyDescent="0.25">
      <c r="A179" s="13" t="s">
        <v>6</v>
      </c>
      <c r="B179" s="14">
        <v>43483</v>
      </c>
      <c r="C179" s="13">
        <v>36</v>
      </c>
      <c r="D179" s="13" t="s">
        <v>743</v>
      </c>
      <c r="E179" s="13" t="s">
        <v>183</v>
      </c>
      <c r="F179" s="4">
        <v>99937.5</v>
      </c>
      <c r="G179" s="29" t="s">
        <v>2441</v>
      </c>
      <c r="H179" s="14">
        <v>43444</v>
      </c>
      <c r="I179" s="4" t="s">
        <v>2951</v>
      </c>
      <c r="J179" s="341"/>
      <c r="K179" s="31"/>
      <c r="L179" s="31"/>
      <c r="M179" s="31"/>
      <c r="N179" s="31"/>
      <c r="O179" s="34"/>
      <c r="P179" s="34"/>
      <c r="Q179" s="34"/>
      <c r="R179" s="34"/>
      <c r="S179" s="34"/>
    </row>
    <row r="180" spans="1:19" hidden="1" x14ac:dyDescent="0.25">
      <c r="A180" s="61" t="s">
        <v>460</v>
      </c>
      <c r="B180" s="14">
        <v>43483</v>
      </c>
      <c r="C180" s="13">
        <v>12</v>
      </c>
      <c r="D180" s="14" t="s">
        <v>3082</v>
      </c>
      <c r="E180" s="32" t="s">
        <v>483</v>
      </c>
      <c r="F180" s="4">
        <v>1271</v>
      </c>
      <c r="G180" s="86" t="s">
        <v>3083</v>
      </c>
      <c r="H180" s="211"/>
      <c r="I180" s="326"/>
      <c r="K180" s="62"/>
    </row>
    <row r="181" spans="1:19" hidden="1" x14ac:dyDescent="0.25">
      <c r="A181" s="61" t="s">
        <v>460</v>
      </c>
      <c r="B181" s="14">
        <v>43483</v>
      </c>
      <c r="C181" s="13">
        <v>13</v>
      </c>
      <c r="D181" s="13" t="s">
        <v>2855</v>
      </c>
      <c r="E181" s="13" t="s">
        <v>483</v>
      </c>
      <c r="F181" s="256">
        <v>29990</v>
      </c>
      <c r="G181" s="69" t="s">
        <v>2856</v>
      </c>
      <c r="H181" s="14"/>
      <c r="I181" s="261"/>
      <c r="J181" s="169"/>
    </row>
    <row r="182" spans="1:19" hidden="1" x14ac:dyDescent="0.25">
      <c r="A182" s="13" t="s">
        <v>184</v>
      </c>
      <c r="B182" s="14">
        <v>43483</v>
      </c>
      <c r="C182" s="13">
        <v>33</v>
      </c>
      <c r="D182" s="32" t="s">
        <v>747</v>
      </c>
      <c r="E182" s="32" t="s">
        <v>1121</v>
      </c>
      <c r="F182" s="4">
        <v>308994</v>
      </c>
      <c r="G182" s="28" t="s">
        <v>2868</v>
      </c>
      <c r="H182" s="14">
        <v>43463</v>
      </c>
      <c r="I182" s="4" t="s">
        <v>2867</v>
      </c>
      <c r="J182" s="76" t="s">
        <v>239</v>
      </c>
    </row>
    <row r="183" spans="1:19" ht="15" hidden="1" customHeight="1" x14ac:dyDescent="0.25">
      <c r="A183" s="13" t="s">
        <v>184</v>
      </c>
      <c r="B183" s="14">
        <v>43483</v>
      </c>
      <c r="C183" s="13">
        <v>33</v>
      </c>
      <c r="D183" s="32" t="s">
        <v>747</v>
      </c>
      <c r="E183" s="32" t="s">
        <v>1121</v>
      </c>
      <c r="F183" s="4">
        <v>306419</v>
      </c>
      <c r="G183" s="28" t="s">
        <v>2870</v>
      </c>
      <c r="H183" s="14">
        <v>43463</v>
      </c>
      <c r="I183" s="4" t="s">
        <v>2871</v>
      </c>
      <c r="J183" s="76" t="s">
        <v>239</v>
      </c>
    </row>
    <row r="184" spans="1:19" ht="15" hidden="1" customHeight="1" x14ac:dyDescent="0.25">
      <c r="A184" s="13" t="s">
        <v>184</v>
      </c>
      <c r="B184" s="14">
        <v>43483</v>
      </c>
      <c r="C184" s="13">
        <v>33</v>
      </c>
      <c r="D184" s="32" t="s">
        <v>747</v>
      </c>
      <c r="E184" s="32" t="s">
        <v>1121</v>
      </c>
      <c r="F184" s="4">
        <v>157335</v>
      </c>
      <c r="G184" s="28" t="s">
        <v>2872</v>
      </c>
      <c r="H184" s="14">
        <v>43463</v>
      </c>
      <c r="I184" s="4" t="s">
        <v>363</v>
      </c>
      <c r="J184" s="76" t="s">
        <v>239</v>
      </c>
    </row>
    <row r="185" spans="1:19" ht="15" hidden="1" customHeight="1" x14ac:dyDescent="0.25">
      <c r="A185" s="13" t="s">
        <v>184</v>
      </c>
      <c r="B185" s="14">
        <v>43483</v>
      </c>
      <c r="C185" s="13">
        <v>33</v>
      </c>
      <c r="D185" s="32" t="s">
        <v>747</v>
      </c>
      <c r="E185" s="32" t="s">
        <v>1121</v>
      </c>
      <c r="F185" s="4">
        <v>106952</v>
      </c>
      <c r="G185" s="28" t="s">
        <v>2873</v>
      </c>
      <c r="H185" s="14">
        <v>43463</v>
      </c>
      <c r="I185" s="4" t="s">
        <v>322</v>
      </c>
      <c r="J185" s="76" t="s">
        <v>239</v>
      </c>
    </row>
    <row r="186" spans="1:19" ht="15" hidden="1" customHeight="1" x14ac:dyDescent="0.25">
      <c r="A186" s="13" t="s">
        <v>184</v>
      </c>
      <c r="B186" s="14">
        <v>43483</v>
      </c>
      <c r="C186" s="13">
        <v>34</v>
      </c>
      <c r="D186" s="32" t="s">
        <v>747</v>
      </c>
      <c r="E186" s="32" t="s">
        <v>1121</v>
      </c>
      <c r="F186" s="4">
        <v>33201</v>
      </c>
      <c r="G186" s="28" t="s">
        <v>2874</v>
      </c>
      <c r="H186" s="14">
        <v>43463</v>
      </c>
      <c r="I186" s="4" t="s">
        <v>658</v>
      </c>
      <c r="J186" s="76" t="s">
        <v>239</v>
      </c>
    </row>
    <row r="187" spans="1:19" ht="15" hidden="1" customHeight="1" x14ac:dyDescent="0.25">
      <c r="A187" s="13" t="s">
        <v>184</v>
      </c>
      <c r="B187" s="14">
        <v>43483</v>
      </c>
      <c r="C187" s="13">
        <v>34</v>
      </c>
      <c r="D187" s="32" t="s">
        <v>747</v>
      </c>
      <c r="E187" s="32" t="s">
        <v>1121</v>
      </c>
      <c r="F187" s="4">
        <v>23647</v>
      </c>
      <c r="G187" s="28" t="s">
        <v>2875</v>
      </c>
      <c r="H187" s="14">
        <v>43463</v>
      </c>
      <c r="I187" s="4" t="s">
        <v>1139</v>
      </c>
      <c r="J187" s="76" t="s">
        <v>239</v>
      </c>
    </row>
    <row r="188" spans="1:19" ht="15" hidden="1" customHeight="1" x14ac:dyDescent="0.25">
      <c r="A188" s="13" t="s">
        <v>184</v>
      </c>
      <c r="B188" s="14">
        <v>43483</v>
      </c>
      <c r="C188" s="13">
        <v>34</v>
      </c>
      <c r="D188" s="32" t="s">
        <v>747</v>
      </c>
      <c r="E188" s="32" t="s">
        <v>1121</v>
      </c>
      <c r="F188" s="4">
        <v>51548</v>
      </c>
      <c r="G188" s="28" t="s">
        <v>2876</v>
      </c>
      <c r="H188" s="14">
        <v>43463</v>
      </c>
      <c r="I188" s="4" t="s">
        <v>748</v>
      </c>
      <c r="J188" s="76" t="s">
        <v>239</v>
      </c>
    </row>
    <row r="189" spans="1:19" ht="15" hidden="1" customHeight="1" x14ac:dyDescent="0.25">
      <c r="A189" s="13" t="s">
        <v>184</v>
      </c>
      <c r="B189" s="14">
        <v>43483</v>
      </c>
      <c r="C189" s="13">
        <v>35</v>
      </c>
      <c r="D189" s="32" t="s">
        <v>747</v>
      </c>
      <c r="E189" s="32" t="s">
        <v>1121</v>
      </c>
      <c r="F189" s="4">
        <v>47996</v>
      </c>
      <c r="G189" s="28" t="s">
        <v>2877</v>
      </c>
      <c r="H189" s="14">
        <v>43463</v>
      </c>
      <c r="I189" s="4" t="s">
        <v>357</v>
      </c>
      <c r="J189" s="76" t="s">
        <v>239</v>
      </c>
    </row>
    <row r="190" spans="1:19" ht="15" hidden="1" customHeight="1" x14ac:dyDescent="0.25">
      <c r="A190" s="13" t="s">
        <v>184</v>
      </c>
      <c r="B190" s="14">
        <v>43483</v>
      </c>
      <c r="C190" s="13">
        <v>35</v>
      </c>
      <c r="D190" s="32" t="s">
        <v>747</v>
      </c>
      <c r="E190" s="32" t="s">
        <v>1121</v>
      </c>
      <c r="F190" s="4">
        <v>23721</v>
      </c>
      <c r="G190" s="28" t="s">
        <v>2878</v>
      </c>
      <c r="H190" s="14">
        <v>43463</v>
      </c>
      <c r="I190" s="4" t="s">
        <v>492</v>
      </c>
      <c r="J190" s="76" t="s">
        <v>239</v>
      </c>
    </row>
    <row r="191" spans="1:19" ht="15" hidden="1" customHeight="1" x14ac:dyDescent="0.25">
      <c r="A191" s="13" t="s">
        <v>184</v>
      </c>
      <c r="B191" s="14">
        <v>43483</v>
      </c>
      <c r="C191" s="13">
        <v>35</v>
      </c>
      <c r="D191" s="32" t="s">
        <v>747</v>
      </c>
      <c r="E191" s="32" t="s">
        <v>1121</v>
      </c>
      <c r="F191" s="4">
        <v>42037</v>
      </c>
      <c r="G191" s="28" t="s">
        <v>2879</v>
      </c>
      <c r="H191" s="14">
        <v>43463</v>
      </c>
      <c r="I191" s="28">
        <v>78</v>
      </c>
      <c r="J191" s="76" t="s">
        <v>239</v>
      </c>
    </row>
    <row r="192" spans="1:19" ht="15" hidden="1" customHeight="1" x14ac:dyDescent="0.25">
      <c r="A192" s="13" t="s">
        <v>184</v>
      </c>
      <c r="B192" s="14">
        <v>43483</v>
      </c>
      <c r="C192" s="13">
        <v>35</v>
      </c>
      <c r="D192" s="32" t="s">
        <v>747</v>
      </c>
      <c r="E192" s="32" t="s">
        <v>1121</v>
      </c>
      <c r="F192" s="4">
        <v>31333</v>
      </c>
      <c r="G192" s="28" t="s">
        <v>2880</v>
      </c>
      <c r="H192" s="14">
        <v>43463</v>
      </c>
      <c r="I192" s="4" t="s">
        <v>749</v>
      </c>
      <c r="J192" s="76" t="s">
        <v>239</v>
      </c>
    </row>
    <row r="193" spans="1:19" ht="15" hidden="1" customHeight="1" x14ac:dyDescent="0.25">
      <c r="A193" s="13" t="s">
        <v>184</v>
      </c>
      <c r="B193" s="14">
        <v>43483</v>
      </c>
      <c r="C193" s="13">
        <v>36</v>
      </c>
      <c r="D193" s="13" t="s">
        <v>348</v>
      </c>
      <c r="E193" s="32" t="s">
        <v>1121</v>
      </c>
      <c r="F193" s="4">
        <f>1266486.37</f>
        <v>1266486.3700000001</v>
      </c>
      <c r="G193" s="28" t="s">
        <v>2026</v>
      </c>
      <c r="H193" s="14">
        <v>43463</v>
      </c>
      <c r="I193" s="4" t="s">
        <v>1124</v>
      </c>
      <c r="J193" s="76" t="s">
        <v>239</v>
      </c>
    </row>
    <row r="194" spans="1:19" s="129" customFormat="1" hidden="1" x14ac:dyDescent="0.25">
      <c r="A194" s="13" t="s">
        <v>151</v>
      </c>
      <c r="B194" s="14">
        <v>43483</v>
      </c>
      <c r="C194" s="28" t="s">
        <v>27</v>
      </c>
      <c r="D194" s="13" t="s">
        <v>1846</v>
      </c>
      <c r="E194" s="13" t="s">
        <v>1121</v>
      </c>
      <c r="F194" s="37">
        <v>85320</v>
      </c>
      <c r="G194" s="28" t="s">
        <v>3080</v>
      </c>
      <c r="H194" s="14">
        <v>43481</v>
      </c>
      <c r="I194" s="4" t="s">
        <v>3081</v>
      </c>
      <c r="J194" s="133"/>
      <c r="K194" s="275"/>
    </row>
    <row r="195" spans="1:19" s="129" customFormat="1" hidden="1" x14ac:dyDescent="0.25">
      <c r="A195" s="13" t="s">
        <v>151</v>
      </c>
      <c r="B195" s="14">
        <v>43483</v>
      </c>
      <c r="C195" s="28" t="s">
        <v>145</v>
      </c>
      <c r="D195" s="13" t="s">
        <v>3110</v>
      </c>
      <c r="E195" s="13" t="s">
        <v>1121</v>
      </c>
      <c r="F195" s="37">
        <v>28810</v>
      </c>
      <c r="G195" s="28" t="s">
        <v>86</v>
      </c>
      <c r="H195" s="14">
        <v>43475</v>
      </c>
      <c r="I195" s="4" t="s">
        <v>3111</v>
      </c>
      <c r="J195" s="133"/>
      <c r="K195" s="275"/>
    </row>
    <row r="196" spans="1:19" s="62" customFormat="1" ht="15" hidden="1" customHeight="1" x14ac:dyDescent="0.25">
      <c r="A196" s="13" t="s">
        <v>151</v>
      </c>
      <c r="B196" s="14">
        <v>43483</v>
      </c>
      <c r="C196" s="28" t="s">
        <v>7</v>
      </c>
      <c r="D196" s="13" t="s">
        <v>1555</v>
      </c>
      <c r="E196" s="32" t="s">
        <v>1121</v>
      </c>
      <c r="F196" s="37">
        <v>8677.31</v>
      </c>
      <c r="G196" s="29" t="s">
        <v>2885</v>
      </c>
      <c r="H196" s="14">
        <v>43465</v>
      </c>
      <c r="I196" s="4" t="s">
        <v>118</v>
      </c>
      <c r="J196" s="71" t="s">
        <v>2886</v>
      </c>
      <c r="O196" s="35"/>
      <c r="P196" s="35"/>
      <c r="Q196" s="35"/>
      <c r="R196" s="35"/>
      <c r="S196" s="35"/>
    </row>
    <row r="197" spans="1:19" s="62" customFormat="1" ht="15" hidden="1" customHeight="1" x14ac:dyDescent="0.25">
      <c r="A197" s="13" t="s">
        <v>151</v>
      </c>
      <c r="B197" s="14">
        <v>43483</v>
      </c>
      <c r="C197" s="28" t="s">
        <v>71</v>
      </c>
      <c r="D197" s="13" t="s">
        <v>1555</v>
      </c>
      <c r="E197" s="32" t="s">
        <v>1121</v>
      </c>
      <c r="F197" s="37">
        <v>47100</v>
      </c>
      <c r="G197" s="29" t="s">
        <v>2887</v>
      </c>
      <c r="H197" s="14">
        <v>43466</v>
      </c>
      <c r="I197" s="4" t="s">
        <v>118</v>
      </c>
      <c r="J197" s="71" t="s">
        <v>239</v>
      </c>
      <c r="O197" s="35"/>
      <c r="P197" s="35"/>
      <c r="Q197" s="35"/>
      <c r="R197" s="35"/>
      <c r="S197" s="35"/>
    </row>
    <row r="198" spans="1:19" ht="13.8" hidden="1" customHeight="1" x14ac:dyDescent="0.25">
      <c r="A198" s="32" t="s">
        <v>151</v>
      </c>
      <c r="B198" s="14">
        <v>43483</v>
      </c>
      <c r="C198" s="67" t="s">
        <v>3286</v>
      </c>
      <c r="D198" s="32" t="s">
        <v>116</v>
      </c>
      <c r="E198" s="32" t="s">
        <v>1121</v>
      </c>
      <c r="F198" s="4">
        <f>113.87+1003.2</f>
        <v>1117.0700000000002</v>
      </c>
      <c r="G198" s="28" t="s">
        <v>2793</v>
      </c>
      <c r="H198" s="14">
        <v>43465</v>
      </c>
      <c r="I198" s="4" t="s">
        <v>118</v>
      </c>
      <c r="J198" s="170"/>
      <c r="K198" s="167"/>
      <c r="L198" s="35"/>
    </row>
    <row r="199" spans="1:19" s="97" customFormat="1" hidden="1" x14ac:dyDescent="0.25">
      <c r="A199" s="32" t="s">
        <v>639</v>
      </c>
      <c r="B199" s="14">
        <v>43483</v>
      </c>
      <c r="C199" s="13" t="s">
        <v>3287</v>
      </c>
      <c r="D199" s="13" t="s">
        <v>3056</v>
      </c>
      <c r="E199" s="13" t="s">
        <v>547</v>
      </c>
      <c r="F199" s="37">
        <v>152300</v>
      </c>
      <c r="G199" s="29" t="s">
        <v>3071</v>
      </c>
      <c r="H199" s="14">
        <v>43465</v>
      </c>
      <c r="I199" s="4" t="s">
        <v>3057</v>
      </c>
      <c r="J199" s="358"/>
      <c r="K199" s="76"/>
      <c r="L199" s="134"/>
    </row>
    <row r="200" spans="1:19" s="97" customFormat="1" hidden="1" x14ac:dyDescent="0.25">
      <c r="A200" s="13" t="s">
        <v>310</v>
      </c>
      <c r="B200" s="14">
        <v>43483</v>
      </c>
      <c r="C200" s="13">
        <v>15</v>
      </c>
      <c r="D200" s="13" t="s">
        <v>3056</v>
      </c>
      <c r="E200" s="13" t="s">
        <v>314</v>
      </c>
      <c r="F200" s="37">
        <v>11400</v>
      </c>
      <c r="G200" s="29" t="s">
        <v>3069</v>
      </c>
      <c r="H200" s="14">
        <v>43465</v>
      </c>
      <c r="I200" s="4" t="s">
        <v>3057</v>
      </c>
      <c r="J200" s="22"/>
      <c r="K200" s="76"/>
      <c r="L200" s="134"/>
    </row>
    <row r="201" spans="1:19" s="97" customFormat="1" hidden="1" x14ac:dyDescent="0.25">
      <c r="A201" s="32" t="s">
        <v>455</v>
      </c>
      <c r="B201" s="14">
        <v>43483</v>
      </c>
      <c r="C201" s="13">
        <v>46</v>
      </c>
      <c r="D201" s="13" t="s">
        <v>3056</v>
      </c>
      <c r="E201" s="13" t="s">
        <v>440</v>
      </c>
      <c r="F201" s="37">
        <v>128000</v>
      </c>
      <c r="G201" s="29" t="s">
        <v>3063</v>
      </c>
      <c r="H201" s="14">
        <v>43465</v>
      </c>
      <c r="I201" s="4" t="s">
        <v>3057</v>
      </c>
      <c r="J201" s="22"/>
      <c r="K201" s="76"/>
      <c r="L201" s="134"/>
    </row>
    <row r="202" spans="1:19" hidden="1" x14ac:dyDescent="0.25">
      <c r="A202" s="68" t="s">
        <v>455</v>
      </c>
      <c r="B202" s="14">
        <v>43483</v>
      </c>
      <c r="C202" s="13">
        <v>47</v>
      </c>
      <c r="D202" s="32" t="s">
        <v>485</v>
      </c>
      <c r="E202" s="32" t="s">
        <v>440</v>
      </c>
      <c r="F202" s="4">
        <v>24228.560000000001</v>
      </c>
      <c r="G202" s="29" t="s">
        <v>3246</v>
      </c>
      <c r="H202" s="14">
        <v>43475</v>
      </c>
      <c r="I202" s="41" t="s">
        <v>546</v>
      </c>
      <c r="J202" s="22" t="s">
        <v>327</v>
      </c>
      <c r="K202" s="22"/>
      <c r="L202" s="63"/>
      <c r="M202" s="62"/>
    </row>
    <row r="203" spans="1:19" ht="15" hidden="1" customHeight="1" x14ac:dyDescent="0.25">
      <c r="A203" s="68" t="s">
        <v>174</v>
      </c>
      <c r="B203" s="14">
        <v>43483</v>
      </c>
      <c r="C203" s="67">
        <v>5</v>
      </c>
      <c r="D203" s="32" t="s">
        <v>156</v>
      </c>
      <c r="E203" s="32" t="s">
        <v>178</v>
      </c>
      <c r="F203" s="4">
        <v>158853.10999999999</v>
      </c>
      <c r="G203" s="28" t="s">
        <v>3003</v>
      </c>
      <c r="H203" s="14">
        <v>43438</v>
      </c>
      <c r="I203" s="4" t="s">
        <v>752</v>
      </c>
      <c r="J203" s="166" t="s">
        <v>323</v>
      </c>
      <c r="K203" s="167"/>
      <c r="L203" s="35"/>
    </row>
    <row r="204" spans="1:19" ht="15" hidden="1" customHeight="1" x14ac:dyDescent="0.25">
      <c r="A204" s="68" t="s">
        <v>206</v>
      </c>
      <c r="B204" s="14">
        <v>43483</v>
      </c>
      <c r="C204" s="67">
        <v>6</v>
      </c>
      <c r="D204" s="32" t="s">
        <v>156</v>
      </c>
      <c r="E204" s="32" t="s">
        <v>178</v>
      </c>
      <c r="F204" s="4">
        <v>525026.28</v>
      </c>
      <c r="G204" s="28" t="s">
        <v>3004</v>
      </c>
      <c r="H204" s="14">
        <v>43438</v>
      </c>
      <c r="I204" s="4" t="s">
        <v>362</v>
      </c>
      <c r="J204" s="166" t="s">
        <v>323</v>
      </c>
      <c r="K204" s="167"/>
      <c r="L204" s="35"/>
    </row>
    <row r="205" spans="1:19" hidden="1" x14ac:dyDescent="0.25">
      <c r="A205" s="13" t="s">
        <v>35</v>
      </c>
      <c r="B205" s="14">
        <v>43483</v>
      </c>
      <c r="C205" s="13">
        <v>115</v>
      </c>
      <c r="D205" s="13" t="s">
        <v>210</v>
      </c>
      <c r="E205" s="13" t="s">
        <v>75</v>
      </c>
      <c r="F205" s="37">
        <v>17242.84</v>
      </c>
      <c r="G205" s="29" t="s">
        <v>3247</v>
      </c>
      <c r="H205" s="14">
        <v>43475</v>
      </c>
      <c r="I205" s="4" t="s">
        <v>1728</v>
      </c>
      <c r="J205" s="22" t="s">
        <v>327</v>
      </c>
    </row>
    <row r="206" spans="1:19" ht="13.95" hidden="1" customHeight="1" x14ac:dyDescent="0.25">
      <c r="A206" s="13" t="s">
        <v>28</v>
      </c>
      <c r="B206" s="14">
        <v>43483</v>
      </c>
      <c r="C206" s="13">
        <v>3</v>
      </c>
      <c r="D206" s="32" t="s">
        <v>241</v>
      </c>
      <c r="E206" s="32" t="s">
        <v>110</v>
      </c>
      <c r="F206" s="4">
        <v>120000</v>
      </c>
      <c r="G206" s="69" t="s">
        <v>465</v>
      </c>
      <c r="H206" s="14"/>
      <c r="I206" s="41" t="s">
        <v>466</v>
      </c>
      <c r="K206" s="62"/>
    </row>
    <row r="207" spans="1:19" ht="27.6" hidden="1" x14ac:dyDescent="0.25">
      <c r="A207" s="13" t="s">
        <v>55</v>
      </c>
      <c r="B207" s="14">
        <v>43483</v>
      </c>
      <c r="C207" s="13">
        <v>39</v>
      </c>
      <c r="D207" s="32" t="s">
        <v>285</v>
      </c>
      <c r="E207" s="32" t="s">
        <v>1427</v>
      </c>
      <c r="F207" s="4">
        <v>5000000</v>
      </c>
      <c r="G207" s="69" t="s">
        <v>954</v>
      </c>
      <c r="H207" s="14"/>
      <c r="I207" s="41" t="s">
        <v>955</v>
      </c>
      <c r="K207" s="62"/>
    </row>
    <row r="208" spans="1:19" hidden="1" x14ac:dyDescent="0.25">
      <c r="A208" s="13" t="s">
        <v>55</v>
      </c>
      <c r="B208" s="14">
        <v>43483</v>
      </c>
      <c r="C208" s="13">
        <v>40</v>
      </c>
      <c r="D208" s="32" t="s">
        <v>1980</v>
      </c>
      <c r="E208" s="32" t="s">
        <v>130</v>
      </c>
      <c r="F208" s="4">
        <v>810000</v>
      </c>
      <c r="G208" s="69" t="s">
        <v>1981</v>
      </c>
      <c r="H208" s="14"/>
      <c r="I208" s="41" t="s">
        <v>270</v>
      </c>
      <c r="K208" s="62"/>
    </row>
    <row r="209" spans="1:11" ht="27.6" hidden="1" customHeight="1" x14ac:dyDescent="0.25">
      <c r="A209" s="61" t="s">
        <v>35</v>
      </c>
      <c r="B209" s="14">
        <v>43483</v>
      </c>
      <c r="C209" s="13">
        <v>41</v>
      </c>
      <c r="D209" s="32" t="s">
        <v>1113</v>
      </c>
      <c r="E209" s="32" t="s">
        <v>130</v>
      </c>
      <c r="F209" s="4">
        <v>2000000</v>
      </c>
      <c r="G209" s="86" t="s">
        <v>1114</v>
      </c>
      <c r="H209" s="211"/>
      <c r="I209" s="4" t="s">
        <v>315</v>
      </c>
      <c r="J209" s="21"/>
      <c r="K209" s="228"/>
    </row>
    <row r="210" spans="1:11" hidden="1" x14ac:dyDescent="0.25">
      <c r="A210" s="13" t="s">
        <v>455</v>
      </c>
      <c r="B210" s="14">
        <v>43483</v>
      </c>
      <c r="C210" s="13">
        <v>42</v>
      </c>
      <c r="D210" s="13" t="s">
        <v>1430</v>
      </c>
      <c r="E210" s="13" t="s">
        <v>130</v>
      </c>
      <c r="F210" s="37">
        <f>108540-5720</f>
        <v>102820</v>
      </c>
      <c r="G210" s="29" t="s">
        <v>2264</v>
      </c>
      <c r="H210" s="14">
        <v>43434</v>
      </c>
      <c r="I210" s="4" t="s">
        <v>182</v>
      </c>
    </row>
    <row r="211" spans="1:11" hidden="1" x14ac:dyDescent="0.25">
      <c r="A211" s="32" t="s">
        <v>310</v>
      </c>
      <c r="B211" s="14">
        <v>43483</v>
      </c>
      <c r="C211" s="13">
        <v>42</v>
      </c>
      <c r="D211" s="13" t="s">
        <v>1430</v>
      </c>
      <c r="E211" s="13" t="s">
        <v>130</v>
      </c>
      <c r="F211" s="4">
        <v>93800</v>
      </c>
      <c r="G211" s="28" t="s">
        <v>2265</v>
      </c>
      <c r="H211" s="14">
        <v>43434</v>
      </c>
      <c r="I211" s="4" t="s">
        <v>182</v>
      </c>
    </row>
    <row r="212" spans="1:11" hidden="1" x14ac:dyDescent="0.25">
      <c r="A212" s="32" t="s">
        <v>261</v>
      </c>
      <c r="B212" s="14">
        <v>43483</v>
      </c>
      <c r="C212" s="13">
        <v>42</v>
      </c>
      <c r="D212" s="13" t="s">
        <v>1430</v>
      </c>
      <c r="E212" s="13" t="s">
        <v>130</v>
      </c>
      <c r="F212" s="4">
        <v>90450</v>
      </c>
      <c r="G212" s="28" t="s">
        <v>2266</v>
      </c>
      <c r="H212" s="14">
        <v>43434</v>
      </c>
      <c r="I212" s="4" t="s">
        <v>182</v>
      </c>
    </row>
    <row r="213" spans="1:11" hidden="1" x14ac:dyDescent="0.25">
      <c r="A213" s="32" t="s">
        <v>956</v>
      </c>
      <c r="B213" s="14">
        <v>43483</v>
      </c>
      <c r="C213" s="13">
        <v>42</v>
      </c>
      <c r="D213" s="13" t="s">
        <v>1430</v>
      </c>
      <c r="E213" s="13" t="s">
        <v>130</v>
      </c>
      <c r="F213" s="4">
        <v>72360</v>
      </c>
      <c r="G213" s="28" t="s">
        <v>2267</v>
      </c>
      <c r="H213" s="14">
        <v>43434</v>
      </c>
      <c r="I213" s="4" t="s">
        <v>182</v>
      </c>
    </row>
    <row r="214" spans="1:11" hidden="1" x14ac:dyDescent="0.25">
      <c r="A214" s="32" t="s">
        <v>188</v>
      </c>
      <c r="B214" s="14">
        <v>43483</v>
      </c>
      <c r="C214" s="13">
        <v>42</v>
      </c>
      <c r="D214" s="13" t="s">
        <v>1430</v>
      </c>
      <c r="E214" s="13" t="s">
        <v>130</v>
      </c>
      <c r="F214" s="4">
        <v>36180</v>
      </c>
      <c r="G214" s="28" t="s">
        <v>2268</v>
      </c>
      <c r="H214" s="14">
        <v>43434</v>
      </c>
      <c r="I214" s="4" t="s">
        <v>182</v>
      </c>
    </row>
    <row r="215" spans="1:11" hidden="1" x14ac:dyDescent="0.25">
      <c r="A215" s="32" t="s">
        <v>1316</v>
      </c>
      <c r="B215" s="14">
        <v>43483</v>
      </c>
      <c r="C215" s="13">
        <v>42</v>
      </c>
      <c r="D215" s="13" t="s">
        <v>1430</v>
      </c>
      <c r="E215" s="13" t="s">
        <v>130</v>
      </c>
      <c r="F215" s="4">
        <v>36180</v>
      </c>
      <c r="G215" s="28" t="s">
        <v>2269</v>
      </c>
      <c r="H215" s="14">
        <v>43434</v>
      </c>
      <c r="I215" s="4" t="s">
        <v>182</v>
      </c>
    </row>
    <row r="216" spans="1:11" hidden="1" x14ac:dyDescent="0.25">
      <c r="A216" s="61" t="s">
        <v>455</v>
      </c>
      <c r="B216" s="14">
        <v>43483</v>
      </c>
      <c r="C216" s="13">
        <v>42</v>
      </c>
      <c r="D216" s="13" t="s">
        <v>1430</v>
      </c>
      <c r="E216" s="13" t="s">
        <v>130</v>
      </c>
      <c r="F216" s="37">
        <v>18090</v>
      </c>
      <c r="G216" s="29" t="s">
        <v>3124</v>
      </c>
      <c r="H216" s="14">
        <v>43463</v>
      </c>
      <c r="I216" s="4" t="s">
        <v>182</v>
      </c>
    </row>
    <row r="217" spans="1:11" hidden="1" x14ac:dyDescent="0.25">
      <c r="A217" s="32" t="s">
        <v>310</v>
      </c>
      <c r="B217" s="14">
        <v>43483</v>
      </c>
      <c r="C217" s="13">
        <v>42</v>
      </c>
      <c r="D217" s="13" t="s">
        <v>1430</v>
      </c>
      <c r="E217" s="13" t="s">
        <v>130</v>
      </c>
      <c r="F217" s="4">
        <v>54270</v>
      </c>
      <c r="G217" s="28" t="s">
        <v>3125</v>
      </c>
      <c r="H217" s="14">
        <v>43463</v>
      </c>
      <c r="I217" s="4" t="s">
        <v>182</v>
      </c>
    </row>
    <row r="218" spans="1:11" hidden="1" x14ac:dyDescent="0.25">
      <c r="A218" s="61" t="s">
        <v>956</v>
      </c>
      <c r="B218" s="14">
        <v>43483</v>
      </c>
      <c r="C218" s="13">
        <v>43</v>
      </c>
      <c r="D218" s="13" t="s">
        <v>971</v>
      </c>
      <c r="E218" s="13" t="s">
        <v>130</v>
      </c>
      <c r="F218" s="37">
        <v>107200</v>
      </c>
      <c r="G218" s="29" t="s">
        <v>858</v>
      </c>
      <c r="H218" s="14">
        <v>43404</v>
      </c>
      <c r="I218" s="4" t="s">
        <v>182</v>
      </c>
    </row>
    <row r="219" spans="1:11" hidden="1" x14ac:dyDescent="0.25">
      <c r="A219" s="61" t="s">
        <v>442</v>
      </c>
      <c r="B219" s="14">
        <v>43483</v>
      </c>
      <c r="C219" s="13">
        <v>43</v>
      </c>
      <c r="D219" s="13" t="s">
        <v>971</v>
      </c>
      <c r="E219" s="13" t="s">
        <v>130</v>
      </c>
      <c r="F219" s="37">
        <v>189610</v>
      </c>
      <c r="G219" s="29" t="s">
        <v>1271</v>
      </c>
      <c r="H219" s="14">
        <v>43434</v>
      </c>
      <c r="I219" s="4" t="s">
        <v>182</v>
      </c>
    </row>
    <row r="220" spans="1:11" hidden="1" x14ac:dyDescent="0.25">
      <c r="A220" s="61" t="s">
        <v>358</v>
      </c>
      <c r="B220" s="14">
        <v>43483</v>
      </c>
      <c r="C220" s="13">
        <v>43</v>
      </c>
      <c r="D220" s="13" t="s">
        <v>971</v>
      </c>
      <c r="E220" s="13" t="s">
        <v>130</v>
      </c>
      <c r="F220" s="37">
        <v>36180</v>
      </c>
      <c r="G220" s="29" t="s">
        <v>132</v>
      </c>
      <c r="H220" s="14">
        <v>43434</v>
      </c>
      <c r="I220" s="4" t="s">
        <v>182</v>
      </c>
    </row>
    <row r="221" spans="1:11" hidden="1" x14ac:dyDescent="0.25">
      <c r="A221" s="61" t="s">
        <v>55</v>
      </c>
      <c r="B221" s="14">
        <v>43483</v>
      </c>
      <c r="C221" s="13">
        <v>43</v>
      </c>
      <c r="D221" s="13" t="s">
        <v>971</v>
      </c>
      <c r="E221" s="13" t="s">
        <v>130</v>
      </c>
      <c r="F221" s="37">
        <v>90450</v>
      </c>
      <c r="G221" s="29" t="s">
        <v>1549</v>
      </c>
      <c r="H221" s="14">
        <v>43434</v>
      </c>
      <c r="I221" s="4" t="s">
        <v>182</v>
      </c>
    </row>
    <row r="222" spans="1:11" hidden="1" x14ac:dyDescent="0.25">
      <c r="A222" s="61" t="s">
        <v>55</v>
      </c>
      <c r="B222" s="14">
        <v>43483</v>
      </c>
      <c r="C222" s="13">
        <v>43</v>
      </c>
      <c r="D222" s="13" t="s">
        <v>971</v>
      </c>
      <c r="E222" s="13" t="s">
        <v>130</v>
      </c>
      <c r="F222" s="37">
        <v>54270</v>
      </c>
      <c r="G222" s="29" t="s">
        <v>725</v>
      </c>
      <c r="H222" s="14">
        <v>43460</v>
      </c>
      <c r="I222" s="4" t="s">
        <v>182</v>
      </c>
    </row>
    <row r="223" spans="1:11" hidden="1" x14ac:dyDescent="0.25">
      <c r="A223" s="61" t="s">
        <v>358</v>
      </c>
      <c r="B223" s="14">
        <v>43483</v>
      </c>
      <c r="C223" s="13">
        <v>43</v>
      </c>
      <c r="D223" s="13" t="s">
        <v>971</v>
      </c>
      <c r="E223" s="13" t="s">
        <v>130</v>
      </c>
      <c r="F223" s="37">
        <v>18090</v>
      </c>
      <c r="G223" s="29" t="s">
        <v>161</v>
      </c>
      <c r="H223" s="14">
        <v>43460</v>
      </c>
      <c r="I223" s="4" t="s">
        <v>182</v>
      </c>
    </row>
    <row r="224" spans="1:11" ht="13.95" hidden="1" customHeight="1" x14ac:dyDescent="0.25">
      <c r="A224" s="68" t="s">
        <v>358</v>
      </c>
      <c r="B224" s="14">
        <v>43483</v>
      </c>
      <c r="C224" s="13">
        <v>26</v>
      </c>
      <c r="D224" s="32" t="s">
        <v>1077</v>
      </c>
      <c r="E224" s="32" t="s">
        <v>38</v>
      </c>
      <c r="F224" s="4">
        <v>4000000</v>
      </c>
      <c r="G224" s="86" t="s">
        <v>410</v>
      </c>
      <c r="H224" s="211"/>
      <c r="I224" s="208" t="s">
        <v>581</v>
      </c>
      <c r="J224" s="21"/>
      <c r="K224" s="228"/>
    </row>
    <row r="225" spans="1:19" ht="13.95" hidden="1" customHeight="1" x14ac:dyDescent="0.25">
      <c r="A225" s="32" t="s">
        <v>35</v>
      </c>
      <c r="B225" s="14">
        <v>43483</v>
      </c>
      <c r="C225" s="13">
        <v>55</v>
      </c>
      <c r="D225" s="32" t="s">
        <v>39</v>
      </c>
      <c r="E225" s="32" t="s">
        <v>963</v>
      </c>
      <c r="F225" s="4">
        <v>5000000</v>
      </c>
      <c r="G225" s="86" t="s">
        <v>1019</v>
      </c>
      <c r="H225" s="211"/>
      <c r="I225" s="41" t="s">
        <v>97</v>
      </c>
      <c r="J225" s="21"/>
      <c r="K225" s="228"/>
    </row>
    <row r="226" spans="1:19" ht="13.95" hidden="1" customHeight="1" x14ac:dyDescent="0.25">
      <c r="A226" s="13" t="s">
        <v>107</v>
      </c>
      <c r="B226" s="14">
        <v>43483</v>
      </c>
      <c r="C226" s="13">
        <v>54</v>
      </c>
      <c r="D226" s="32" t="s">
        <v>241</v>
      </c>
      <c r="E226" s="32" t="s">
        <v>963</v>
      </c>
      <c r="F226" s="4">
        <v>308246.46000000002</v>
      </c>
      <c r="G226" s="69" t="s">
        <v>1020</v>
      </c>
      <c r="H226" s="14"/>
      <c r="I226" s="41" t="s">
        <v>417</v>
      </c>
      <c r="K226" s="62"/>
    </row>
    <row r="227" spans="1:19" hidden="1" x14ac:dyDescent="0.25">
      <c r="A227" s="61" t="s">
        <v>1972</v>
      </c>
      <c r="B227" s="14">
        <v>43483</v>
      </c>
      <c r="C227" s="13">
        <v>53</v>
      </c>
      <c r="D227" s="13" t="s">
        <v>149</v>
      </c>
      <c r="E227" s="13" t="s">
        <v>60</v>
      </c>
      <c r="F227" s="37">
        <v>7000</v>
      </c>
      <c r="G227" s="29" t="s">
        <v>2116</v>
      </c>
      <c r="H227" s="14">
        <v>43434</v>
      </c>
      <c r="I227" s="4" t="s">
        <v>1079</v>
      </c>
    </row>
    <row r="228" spans="1:19" s="115" customFormat="1" ht="15.6" hidden="1" x14ac:dyDescent="0.25">
      <c r="A228" s="61" t="s">
        <v>651</v>
      </c>
      <c r="B228" s="14">
        <v>43483</v>
      </c>
      <c r="C228" s="13">
        <v>25</v>
      </c>
      <c r="D228" s="13" t="s">
        <v>813</v>
      </c>
      <c r="E228" s="13" t="s">
        <v>547</v>
      </c>
      <c r="F228" s="37">
        <v>725800</v>
      </c>
      <c r="G228" s="29" t="s">
        <v>810</v>
      </c>
      <c r="H228" s="14">
        <v>42340</v>
      </c>
      <c r="I228" s="41" t="s">
        <v>1560</v>
      </c>
      <c r="J228" s="258"/>
      <c r="K228" s="116"/>
      <c r="L228" s="116"/>
      <c r="M228" s="116"/>
      <c r="N228" s="116"/>
      <c r="O228" s="117"/>
      <c r="P228" s="117"/>
      <c r="Q228" s="117"/>
      <c r="R228" s="117"/>
      <c r="S228" s="117"/>
    </row>
    <row r="229" spans="1:19" ht="27.6" hidden="1" x14ac:dyDescent="0.25">
      <c r="A229" s="68" t="s">
        <v>151</v>
      </c>
      <c r="B229" s="14">
        <v>43483</v>
      </c>
      <c r="C229" s="13">
        <v>12</v>
      </c>
      <c r="D229" s="32" t="s">
        <v>2899</v>
      </c>
      <c r="E229" s="32" t="s">
        <v>22</v>
      </c>
      <c r="F229" s="4">
        <v>56000</v>
      </c>
      <c r="G229" s="210" t="s">
        <v>3288</v>
      </c>
      <c r="H229" s="211">
        <v>43475</v>
      </c>
      <c r="I229" s="208" t="s">
        <v>3289</v>
      </c>
      <c r="J229" s="21"/>
      <c r="K229" s="228"/>
    </row>
    <row r="230" spans="1:19" hidden="1" x14ac:dyDescent="0.25">
      <c r="A230" s="68" t="s">
        <v>151</v>
      </c>
      <c r="B230" s="14">
        <v>43483</v>
      </c>
      <c r="C230" s="13">
        <v>6</v>
      </c>
      <c r="D230" s="32" t="s">
        <v>1180</v>
      </c>
      <c r="E230" s="32" t="s">
        <v>2941</v>
      </c>
      <c r="F230" s="4">
        <v>14300</v>
      </c>
      <c r="G230" s="210" t="s">
        <v>3290</v>
      </c>
      <c r="H230" s="211"/>
      <c r="I230" s="208" t="s">
        <v>1525</v>
      </c>
      <c r="J230" s="21"/>
      <c r="K230" s="228"/>
    </row>
    <row r="231" spans="1:19" ht="27.6" hidden="1" x14ac:dyDescent="0.25">
      <c r="A231" s="32" t="s">
        <v>2020</v>
      </c>
      <c r="B231" s="14">
        <v>43483</v>
      </c>
      <c r="C231" s="13">
        <v>47</v>
      </c>
      <c r="D231" s="32" t="s">
        <v>392</v>
      </c>
      <c r="E231" s="32" t="s">
        <v>3309</v>
      </c>
      <c r="F231" s="4">
        <v>1443383.37</v>
      </c>
      <c r="G231" s="28" t="s">
        <v>2997</v>
      </c>
      <c r="H231" s="14">
        <v>43479</v>
      </c>
      <c r="I231" s="41" t="s">
        <v>620</v>
      </c>
      <c r="J231" s="35" t="s">
        <v>327</v>
      </c>
      <c r="K231" s="167"/>
      <c r="L231" s="35"/>
    </row>
    <row r="232" spans="1:19" ht="27.6" hidden="1" x14ac:dyDescent="0.25">
      <c r="A232" s="32" t="s">
        <v>261</v>
      </c>
      <c r="B232" s="164">
        <v>43486</v>
      </c>
      <c r="C232" s="13">
        <v>86</v>
      </c>
      <c r="D232" s="13" t="s">
        <v>1135</v>
      </c>
      <c r="E232" s="32" t="s">
        <v>2432</v>
      </c>
      <c r="F232" s="4">
        <v>994762.33</v>
      </c>
      <c r="G232" s="28" t="s">
        <v>3264</v>
      </c>
      <c r="H232" s="14">
        <v>43435</v>
      </c>
      <c r="I232" s="4" t="s">
        <v>3265</v>
      </c>
      <c r="J232" s="22" t="s">
        <v>3266</v>
      </c>
      <c r="K232" s="246"/>
    </row>
    <row r="233" spans="1:19" ht="13.95" hidden="1" customHeight="1" x14ac:dyDescent="0.25">
      <c r="A233" s="13" t="s">
        <v>956</v>
      </c>
      <c r="B233" s="14">
        <v>43486</v>
      </c>
      <c r="C233" s="13">
        <v>33</v>
      </c>
      <c r="D233" s="32" t="s">
        <v>1982</v>
      </c>
      <c r="E233" s="32" t="s">
        <v>481</v>
      </c>
      <c r="F233" s="4">
        <v>762033</v>
      </c>
      <c r="G233" s="69" t="s">
        <v>1983</v>
      </c>
      <c r="H233" s="14"/>
      <c r="I233" s="41" t="s">
        <v>1984</v>
      </c>
      <c r="K233" s="62"/>
    </row>
    <row r="234" spans="1:19" s="97" customFormat="1" hidden="1" x14ac:dyDescent="0.25">
      <c r="A234" s="61" t="s">
        <v>956</v>
      </c>
      <c r="B234" s="14">
        <v>43486</v>
      </c>
      <c r="C234" s="13">
        <v>34</v>
      </c>
      <c r="D234" s="13" t="s">
        <v>280</v>
      </c>
      <c r="E234" s="13" t="s">
        <v>481</v>
      </c>
      <c r="F234" s="37">
        <v>27984.2</v>
      </c>
      <c r="G234" s="29" t="s">
        <v>1233</v>
      </c>
      <c r="H234" s="14">
        <v>43445</v>
      </c>
      <c r="I234" s="4" t="s">
        <v>2582</v>
      </c>
      <c r="J234" s="133"/>
      <c r="K234" s="22"/>
      <c r="L234" s="134"/>
    </row>
    <row r="235" spans="1:19" s="97" customFormat="1" hidden="1" x14ac:dyDescent="0.25">
      <c r="A235" s="13" t="s">
        <v>956</v>
      </c>
      <c r="B235" s="14">
        <v>43486</v>
      </c>
      <c r="C235" s="13">
        <v>36</v>
      </c>
      <c r="D235" s="13" t="s">
        <v>72</v>
      </c>
      <c r="E235" s="13" t="s">
        <v>481</v>
      </c>
      <c r="F235" s="37">
        <v>26481.1</v>
      </c>
      <c r="G235" s="29" t="s">
        <v>2295</v>
      </c>
      <c r="H235" s="14">
        <v>43432</v>
      </c>
      <c r="I235" s="4" t="s">
        <v>2296</v>
      </c>
      <c r="J235" s="133"/>
      <c r="K235" s="22"/>
      <c r="L235" s="134"/>
    </row>
    <row r="236" spans="1:19" s="97" customFormat="1" hidden="1" x14ac:dyDescent="0.25">
      <c r="A236" s="32" t="s">
        <v>956</v>
      </c>
      <c r="B236" s="14">
        <v>43486</v>
      </c>
      <c r="C236" s="13">
        <v>36</v>
      </c>
      <c r="D236" s="13" t="s">
        <v>72</v>
      </c>
      <c r="E236" s="13" t="s">
        <v>481</v>
      </c>
      <c r="F236" s="4">
        <v>13822.49</v>
      </c>
      <c r="G236" s="28" t="s">
        <v>2297</v>
      </c>
      <c r="H236" s="14">
        <v>43439</v>
      </c>
      <c r="I236" s="4" t="s">
        <v>2298</v>
      </c>
      <c r="J236" s="133"/>
      <c r="K236" s="22"/>
      <c r="L236" s="134"/>
    </row>
    <row r="237" spans="1:19" hidden="1" x14ac:dyDescent="0.25">
      <c r="A237" s="61" t="s">
        <v>956</v>
      </c>
      <c r="B237" s="14">
        <v>43486</v>
      </c>
      <c r="C237" s="13">
        <v>35</v>
      </c>
      <c r="D237" s="13" t="s">
        <v>149</v>
      </c>
      <c r="E237" s="13" t="s">
        <v>481</v>
      </c>
      <c r="F237" s="37">
        <v>7000</v>
      </c>
      <c r="G237" s="29" t="s">
        <v>1966</v>
      </c>
      <c r="H237" s="14">
        <v>43404</v>
      </c>
      <c r="I237" s="4" t="s">
        <v>1063</v>
      </c>
    </row>
    <row r="238" spans="1:19" hidden="1" x14ac:dyDescent="0.25">
      <c r="A238" s="61" t="s">
        <v>956</v>
      </c>
      <c r="B238" s="14">
        <v>43486</v>
      </c>
      <c r="C238" s="13">
        <v>35</v>
      </c>
      <c r="D238" s="13" t="s">
        <v>149</v>
      </c>
      <c r="E238" s="13" t="s">
        <v>481</v>
      </c>
      <c r="F238" s="37">
        <v>7000</v>
      </c>
      <c r="G238" s="29" t="s">
        <v>2527</v>
      </c>
      <c r="H238" s="14">
        <v>43434</v>
      </c>
      <c r="I238" s="4" t="s">
        <v>1079</v>
      </c>
    </row>
    <row r="239" spans="1:19" hidden="1" x14ac:dyDescent="0.25">
      <c r="A239" s="13" t="s">
        <v>103</v>
      </c>
      <c r="B239" s="14">
        <v>43486</v>
      </c>
      <c r="C239" s="13">
        <v>46</v>
      </c>
      <c r="D239" s="13" t="s">
        <v>414</v>
      </c>
      <c r="E239" s="13" t="s">
        <v>62</v>
      </c>
      <c r="F239" s="37">
        <v>7800</v>
      </c>
      <c r="G239" s="29" t="s">
        <v>2531</v>
      </c>
      <c r="H239" s="14">
        <v>43424</v>
      </c>
      <c r="I239" s="4" t="s">
        <v>2532</v>
      </c>
    </row>
    <row r="240" spans="1:19" s="2" customFormat="1" hidden="1" x14ac:dyDescent="0.25">
      <c r="A240" s="61" t="s">
        <v>103</v>
      </c>
      <c r="B240" s="14">
        <v>43486</v>
      </c>
      <c r="C240" s="13">
        <v>46</v>
      </c>
      <c r="D240" s="13" t="s">
        <v>414</v>
      </c>
      <c r="E240" s="13" t="s">
        <v>62</v>
      </c>
      <c r="F240" s="37">
        <v>55000</v>
      </c>
      <c r="G240" s="29" t="s">
        <v>803</v>
      </c>
      <c r="H240" s="14">
        <v>43445</v>
      </c>
      <c r="I240" s="4" t="s">
        <v>2277</v>
      </c>
      <c r="J240" s="121"/>
      <c r="K240" s="5"/>
    </row>
    <row r="241" spans="1:12" ht="13.95" hidden="1" customHeight="1" x14ac:dyDescent="0.25">
      <c r="A241" s="32" t="s">
        <v>534</v>
      </c>
      <c r="B241" s="14">
        <v>43486</v>
      </c>
      <c r="C241" s="13">
        <v>45</v>
      </c>
      <c r="D241" s="32" t="s">
        <v>470</v>
      </c>
      <c r="E241" s="32" t="s">
        <v>62</v>
      </c>
      <c r="F241" s="4">
        <v>2683973</v>
      </c>
      <c r="G241" s="86" t="s">
        <v>471</v>
      </c>
      <c r="H241" s="211"/>
      <c r="I241" s="208" t="s">
        <v>672</v>
      </c>
      <c r="J241" s="21"/>
      <c r="K241" s="228"/>
    </row>
    <row r="242" spans="1:12" ht="14.1" hidden="1" customHeight="1" x14ac:dyDescent="0.25">
      <c r="A242" s="32" t="s">
        <v>534</v>
      </c>
      <c r="B242" s="14">
        <v>43486</v>
      </c>
      <c r="C242" s="13">
        <v>53</v>
      </c>
      <c r="D242" s="32" t="s">
        <v>626</v>
      </c>
      <c r="E242" s="32" t="s">
        <v>62</v>
      </c>
      <c r="F242" s="4">
        <v>502400</v>
      </c>
      <c r="G242" s="86" t="s">
        <v>625</v>
      </c>
      <c r="H242" s="211"/>
      <c r="I242" s="208" t="s">
        <v>427</v>
      </c>
      <c r="J242" s="21"/>
      <c r="K242" s="228"/>
    </row>
    <row r="243" spans="1:12" ht="15" hidden="1" customHeight="1" x14ac:dyDescent="0.25">
      <c r="A243" s="32" t="s">
        <v>91</v>
      </c>
      <c r="B243" s="14">
        <v>43486</v>
      </c>
      <c r="C243" s="13">
        <v>27</v>
      </c>
      <c r="D243" s="32" t="s">
        <v>385</v>
      </c>
      <c r="E243" s="32" t="s">
        <v>62</v>
      </c>
      <c r="F243" s="4">
        <v>1007970.8800000008</v>
      </c>
      <c r="G243" s="86" t="s">
        <v>498</v>
      </c>
      <c r="H243" s="211"/>
      <c r="I243" s="84" t="s">
        <v>101</v>
      </c>
      <c r="K243" s="62"/>
    </row>
    <row r="244" spans="1:12" ht="13.95" hidden="1" customHeight="1" x14ac:dyDescent="0.25">
      <c r="A244" s="13" t="s">
        <v>442</v>
      </c>
      <c r="B244" s="14">
        <v>43486</v>
      </c>
      <c r="C244" s="13">
        <v>28</v>
      </c>
      <c r="D244" s="32" t="s">
        <v>194</v>
      </c>
      <c r="E244" s="32" t="s">
        <v>62</v>
      </c>
      <c r="F244" s="4">
        <v>2000000</v>
      </c>
      <c r="G244" s="69" t="s">
        <v>924</v>
      </c>
      <c r="H244" s="14"/>
      <c r="I244" s="41" t="s">
        <v>789</v>
      </c>
      <c r="J244" s="21"/>
      <c r="K244" s="228"/>
    </row>
    <row r="245" spans="1:12" s="97" customFormat="1" hidden="1" x14ac:dyDescent="0.25">
      <c r="A245" s="13" t="s">
        <v>160</v>
      </c>
      <c r="B245" s="14">
        <v>43486</v>
      </c>
      <c r="C245" s="13">
        <v>57</v>
      </c>
      <c r="D245" s="13" t="s">
        <v>590</v>
      </c>
      <c r="E245" s="13" t="s">
        <v>62</v>
      </c>
      <c r="F245" s="4">
        <v>2000000</v>
      </c>
      <c r="G245" s="29" t="s">
        <v>1197</v>
      </c>
      <c r="H245" s="14">
        <v>41572</v>
      </c>
      <c r="I245" s="4" t="s">
        <v>159</v>
      </c>
      <c r="J245" s="133"/>
      <c r="K245" s="22"/>
      <c r="L245" s="134"/>
    </row>
    <row r="246" spans="1:12" s="97" customFormat="1" hidden="1" x14ac:dyDescent="0.25">
      <c r="A246" s="61" t="s">
        <v>442</v>
      </c>
      <c r="B246" s="14">
        <v>43486</v>
      </c>
      <c r="C246" s="13">
        <v>41</v>
      </c>
      <c r="D246" s="13" t="s">
        <v>2697</v>
      </c>
      <c r="E246" s="13" t="s">
        <v>62</v>
      </c>
      <c r="F246" s="37">
        <v>882988.8</v>
      </c>
      <c r="G246" s="29" t="s">
        <v>2698</v>
      </c>
      <c r="H246" s="14">
        <v>43444</v>
      </c>
      <c r="I246" s="4" t="s">
        <v>1825</v>
      </c>
      <c r="J246" s="133"/>
      <c r="K246" s="22"/>
      <c r="L246" s="134"/>
    </row>
    <row r="247" spans="1:12" s="97" customFormat="1" hidden="1" x14ac:dyDescent="0.25">
      <c r="A247" s="61" t="s">
        <v>358</v>
      </c>
      <c r="B247" s="14">
        <v>43486</v>
      </c>
      <c r="C247" s="13">
        <v>41</v>
      </c>
      <c r="D247" s="13" t="s">
        <v>2697</v>
      </c>
      <c r="E247" s="13" t="s">
        <v>62</v>
      </c>
      <c r="F247" s="37">
        <v>283232</v>
      </c>
      <c r="G247" s="29" t="s">
        <v>2699</v>
      </c>
      <c r="H247" s="14">
        <v>43444</v>
      </c>
      <c r="I247" s="4" t="s">
        <v>1244</v>
      </c>
      <c r="J247" s="133"/>
      <c r="K247" s="22"/>
      <c r="L247" s="134"/>
    </row>
    <row r="248" spans="1:12" s="97" customFormat="1" hidden="1" x14ac:dyDescent="0.25">
      <c r="A248" s="14" t="s">
        <v>91</v>
      </c>
      <c r="B248" s="14">
        <v>43486</v>
      </c>
      <c r="C248" s="13">
        <v>55</v>
      </c>
      <c r="D248" s="13" t="s">
        <v>157</v>
      </c>
      <c r="E248" s="13" t="s">
        <v>62</v>
      </c>
      <c r="F248" s="37">
        <v>398731.6</v>
      </c>
      <c r="G248" s="210" t="s">
        <v>2166</v>
      </c>
      <c r="H248" s="211">
        <v>43405</v>
      </c>
      <c r="I248" s="4" t="s">
        <v>305</v>
      </c>
      <c r="J248" s="133"/>
      <c r="K248" s="22"/>
      <c r="L248" s="134"/>
    </row>
    <row r="249" spans="1:12" s="97" customFormat="1" hidden="1" x14ac:dyDescent="0.25">
      <c r="A249" s="61" t="s">
        <v>91</v>
      </c>
      <c r="B249" s="14">
        <v>43486</v>
      </c>
      <c r="C249" s="13">
        <v>55</v>
      </c>
      <c r="D249" s="13" t="s">
        <v>157</v>
      </c>
      <c r="E249" s="13" t="s">
        <v>62</v>
      </c>
      <c r="F249" s="37">
        <v>433690</v>
      </c>
      <c r="G249" s="210" t="s">
        <v>2167</v>
      </c>
      <c r="H249" s="211">
        <v>43412</v>
      </c>
      <c r="I249" s="4" t="s">
        <v>305</v>
      </c>
      <c r="J249" s="133"/>
      <c r="K249" s="22"/>
      <c r="L249" s="134"/>
    </row>
    <row r="250" spans="1:12" s="97" customFormat="1" hidden="1" x14ac:dyDescent="0.25">
      <c r="A250" s="14" t="s">
        <v>91</v>
      </c>
      <c r="B250" s="14">
        <v>43486</v>
      </c>
      <c r="C250" s="13">
        <v>55</v>
      </c>
      <c r="D250" s="13" t="s">
        <v>157</v>
      </c>
      <c r="E250" s="13" t="s">
        <v>62</v>
      </c>
      <c r="F250" s="37">
        <v>424950.4</v>
      </c>
      <c r="G250" s="210" t="s">
        <v>2168</v>
      </c>
      <c r="H250" s="211">
        <v>43418</v>
      </c>
      <c r="I250" s="4" t="s">
        <v>305</v>
      </c>
      <c r="J250" s="133"/>
      <c r="K250" s="22"/>
      <c r="L250" s="134"/>
    </row>
    <row r="251" spans="1:12" s="97" customFormat="1" hidden="1" x14ac:dyDescent="0.25">
      <c r="A251" s="13" t="s">
        <v>442</v>
      </c>
      <c r="B251" s="14">
        <v>43486</v>
      </c>
      <c r="C251" s="13">
        <v>58</v>
      </c>
      <c r="D251" s="13" t="s">
        <v>740</v>
      </c>
      <c r="E251" s="13" t="s">
        <v>62</v>
      </c>
      <c r="F251" s="37">
        <v>115000</v>
      </c>
      <c r="G251" s="29" t="s">
        <v>1900</v>
      </c>
      <c r="H251" s="14">
        <v>43333</v>
      </c>
      <c r="I251" s="4" t="s">
        <v>338</v>
      </c>
      <c r="J251" s="133"/>
      <c r="K251" s="22"/>
      <c r="L251" s="134"/>
    </row>
    <row r="252" spans="1:12" s="97" customFormat="1" hidden="1" x14ac:dyDescent="0.25">
      <c r="A252" s="13" t="s">
        <v>92</v>
      </c>
      <c r="B252" s="14">
        <v>43486</v>
      </c>
      <c r="C252" s="13">
        <v>58</v>
      </c>
      <c r="D252" s="13" t="s">
        <v>740</v>
      </c>
      <c r="E252" s="13" t="s">
        <v>62</v>
      </c>
      <c r="F252" s="37">
        <v>77250</v>
      </c>
      <c r="G252" s="29" t="s">
        <v>1901</v>
      </c>
      <c r="H252" s="14">
        <v>43333</v>
      </c>
      <c r="I252" s="4" t="s">
        <v>245</v>
      </c>
      <c r="J252" s="133"/>
      <c r="K252" s="22"/>
      <c r="L252" s="134"/>
    </row>
    <row r="253" spans="1:12" s="97" customFormat="1" hidden="1" x14ac:dyDescent="0.25">
      <c r="A253" s="13" t="s">
        <v>442</v>
      </c>
      <c r="B253" s="14">
        <v>43486</v>
      </c>
      <c r="C253" s="13">
        <v>58</v>
      </c>
      <c r="D253" s="13" t="s">
        <v>740</v>
      </c>
      <c r="E253" s="13" t="s">
        <v>62</v>
      </c>
      <c r="F253" s="37">
        <v>38200</v>
      </c>
      <c r="G253" s="29" t="s">
        <v>1904</v>
      </c>
      <c r="H253" s="14">
        <v>43340</v>
      </c>
      <c r="I253" s="4" t="s">
        <v>1905</v>
      </c>
      <c r="J253" s="133"/>
      <c r="K253" s="22"/>
      <c r="L253" s="134"/>
    </row>
    <row r="254" spans="1:12" s="97" customFormat="1" hidden="1" x14ac:dyDescent="0.25">
      <c r="A254" s="211" t="s">
        <v>442</v>
      </c>
      <c r="B254" s="14">
        <v>43486</v>
      </c>
      <c r="C254" s="13">
        <v>58</v>
      </c>
      <c r="D254" s="13" t="s">
        <v>740</v>
      </c>
      <c r="E254" s="218" t="s">
        <v>62</v>
      </c>
      <c r="F254" s="224">
        <v>117000</v>
      </c>
      <c r="G254" s="70" t="s">
        <v>1989</v>
      </c>
      <c r="H254" s="211">
        <v>43353</v>
      </c>
      <c r="I254" s="4" t="s">
        <v>693</v>
      </c>
      <c r="J254" s="133"/>
      <c r="K254" s="22"/>
      <c r="L254" s="134"/>
    </row>
    <row r="255" spans="1:12" s="97" customFormat="1" hidden="1" x14ac:dyDescent="0.25">
      <c r="A255" s="211" t="s">
        <v>442</v>
      </c>
      <c r="B255" s="14">
        <v>43486</v>
      </c>
      <c r="C255" s="13">
        <v>58</v>
      </c>
      <c r="D255" s="13" t="s">
        <v>740</v>
      </c>
      <c r="E255" s="218" t="s">
        <v>62</v>
      </c>
      <c r="F255" s="224">
        <v>115000</v>
      </c>
      <c r="G255" s="70" t="s">
        <v>1992</v>
      </c>
      <c r="H255" s="211">
        <v>43353</v>
      </c>
      <c r="I255" s="4" t="s">
        <v>1587</v>
      </c>
      <c r="J255" s="133"/>
      <c r="K255" s="22"/>
      <c r="L255" s="134"/>
    </row>
    <row r="256" spans="1:12" s="97" customFormat="1" hidden="1" x14ac:dyDescent="0.25">
      <c r="A256" s="13" t="s">
        <v>92</v>
      </c>
      <c r="B256" s="14">
        <v>43486</v>
      </c>
      <c r="C256" s="13">
        <v>58</v>
      </c>
      <c r="D256" s="13" t="s">
        <v>740</v>
      </c>
      <c r="E256" s="13" t="s">
        <v>62</v>
      </c>
      <c r="F256" s="37">
        <v>53400</v>
      </c>
      <c r="G256" s="29" t="s">
        <v>1993</v>
      </c>
      <c r="H256" s="14">
        <v>43353</v>
      </c>
      <c r="I256" s="4" t="s">
        <v>938</v>
      </c>
      <c r="J256" s="133"/>
      <c r="K256" s="22"/>
      <c r="L256" s="134"/>
    </row>
    <row r="257" spans="1:12" s="97" customFormat="1" hidden="1" x14ac:dyDescent="0.25">
      <c r="A257" s="13" t="s">
        <v>358</v>
      </c>
      <c r="B257" s="14">
        <v>43486</v>
      </c>
      <c r="C257" s="13">
        <v>58</v>
      </c>
      <c r="D257" s="13" t="s">
        <v>740</v>
      </c>
      <c r="E257" s="13" t="s">
        <v>62</v>
      </c>
      <c r="F257" s="37">
        <v>32500</v>
      </c>
      <c r="G257" s="29" t="s">
        <v>1994</v>
      </c>
      <c r="H257" s="14">
        <v>43353</v>
      </c>
      <c r="I257" s="4" t="s">
        <v>1064</v>
      </c>
      <c r="J257" s="133"/>
      <c r="K257" s="22"/>
      <c r="L257" s="134"/>
    </row>
    <row r="258" spans="1:12" s="97" customFormat="1" hidden="1" x14ac:dyDescent="0.25">
      <c r="A258" s="13" t="s">
        <v>442</v>
      </c>
      <c r="B258" s="14">
        <v>43486</v>
      </c>
      <c r="C258" s="13">
        <v>58</v>
      </c>
      <c r="D258" s="13" t="s">
        <v>740</v>
      </c>
      <c r="E258" s="13" t="s">
        <v>62</v>
      </c>
      <c r="F258" s="37">
        <v>10000</v>
      </c>
      <c r="G258" s="29" t="s">
        <v>2119</v>
      </c>
      <c r="H258" s="14">
        <v>43370</v>
      </c>
      <c r="I258" s="4" t="s">
        <v>2120</v>
      </c>
      <c r="J258" s="133"/>
      <c r="K258" s="22"/>
      <c r="L258" s="134"/>
    </row>
    <row r="259" spans="1:12" s="97" customFormat="1" hidden="1" x14ac:dyDescent="0.25">
      <c r="A259" s="61" t="s">
        <v>91</v>
      </c>
      <c r="B259" s="14">
        <v>43486</v>
      </c>
      <c r="C259" s="13">
        <v>58</v>
      </c>
      <c r="D259" s="13" t="s">
        <v>740</v>
      </c>
      <c r="E259" s="13" t="s">
        <v>62</v>
      </c>
      <c r="F259" s="37">
        <v>15750</v>
      </c>
      <c r="G259" s="210" t="s">
        <v>2121</v>
      </c>
      <c r="H259" s="211">
        <v>43371</v>
      </c>
      <c r="I259" s="4" t="s">
        <v>2122</v>
      </c>
      <c r="J259" s="133"/>
      <c r="K259" s="22"/>
      <c r="L259" s="134"/>
    </row>
    <row r="260" spans="1:12" s="97" customFormat="1" hidden="1" x14ac:dyDescent="0.25">
      <c r="A260" s="61" t="s">
        <v>442</v>
      </c>
      <c r="B260" s="14">
        <v>43486</v>
      </c>
      <c r="C260" s="13">
        <v>43</v>
      </c>
      <c r="D260" s="13" t="s">
        <v>869</v>
      </c>
      <c r="E260" s="13" t="s">
        <v>62</v>
      </c>
      <c r="F260" s="37">
        <v>160655.62</v>
      </c>
      <c r="G260" s="29" t="s">
        <v>2312</v>
      </c>
      <c r="H260" s="14">
        <v>43427</v>
      </c>
      <c r="I260" s="4" t="s">
        <v>572</v>
      </c>
      <c r="J260" s="133"/>
      <c r="K260" s="22"/>
      <c r="L260" s="134"/>
    </row>
    <row r="261" spans="1:12" s="97" customFormat="1" hidden="1" x14ac:dyDescent="0.25">
      <c r="A261" s="61" t="s">
        <v>358</v>
      </c>
      <c r="B261" s="14">
        <v>43486</v>
      </c>
      <c r="C261" s="13">
        <v>43</v>
      </c>
      <c r="D261" s="13" t="s">
        <v>869</v>
      </c>
      <c r="E261" s="13" t="s">
        <v>62</v>
      </c>
      <c r="F261" s="37">
        <v>35748.519999999997</v>
      </c>
      <c r="G261" s="29" t="s">
        <v>2313</v>
      </c>
      <c r="H261" s="14">
        <v>43432</v>
      </c>
      <c r="I261" s="4" t="s">
        <v>572</v>
      </c>
      <c r="J261" s="133"/>
      <c r="K261" s="22"/>
      <c r="L261" s="134"/>
    </row>
    <row r="262" spans="1:12" s="97" customFormat="1" hidden="1" x14ac:dyDescent="0.25">
      <c r="A262" s="61" t="s">
        <v>442</v>
      </c>
      <c r="B262" s="14">
        <v>43486</v>
      </c>
      <c r="C262" s="13">
        <v>47</v>
      </c>
      <c r="D262" s="13" t="s">
        <v>1032</v>
      </c>
      <c r="E262" s="13" t="s">
        <v>62</v>
      </c>
      <c r="F262" s="37">
        <v>30450</v>
      </c>
      <c r="G262" s="210" t="s">
        <v>2417</v>
      </c>
      <c r="H262" s="211">
        <v>43426</v>
      </c>
      <c r="I262" s="4" t="s">
        <v>142</v>
      </c>
      <c r="J262" s="133"/>
      <c r="K262" s="22"/>
      <c r="L262" s="134"/>
    </row>
    <row r="263" spans="1:12" s="97" customFormat="1" hidden="1" x14ac:dyDescent="0.25">
      <c r="A263" s="61" t="s">
        <v>442</v>
      </c>
      <c r="B263" s="14">
        <v>43486</v>
      </c>
      <c r="C263" s="13">
        <v>47</v>
      </c>
      <c r="D263" s="13" t="s">
        <v>1032</v>
      </c>
      <c r="E263" s="13" t="s">
        <v>62</v>
      </c>
      <c r="F263" s="37">
        <v>65100</v>
      </c>
      <c r="G263" s="210" t="s">
        <v>2418</v>
      </c>
      <c r="H263" s="211">
        <v>43426</v>
      </c>
      <c r="I263" s="4" t="s">
        <v>142</v>
      </c>
      <c r="J263" s="133"/>
      <c r="K263" s="22"/>
      <c r="L263" s="134"/>
    </row>
    <row r="264" spans="1:12" s="97" customFormat="1" hidden="1" x14ac:dyDescent="0.25">
      <c r="A264" s="61" t="s">
        <v>91</v>
      </c>
      <c r="B264" s="14">
        <v>43486</v>
      </c>
      <c r="C264" s="13">
        <v>47</v>
      </c>
      <c r="D264" s="13" t="s">
        <v>1032</v>
      </c>
      <c r="E264" s="13" t="s">
        <v>62</v>
      </c>
      <c r="F264" s="37">
        <v>27300</v>
      </c>
      <c r="G264" s="210" t="s">
        <v>2419</v>
      </c>
      <c r="H264" s="211">
        <v>43426</v>
      </c>
      <c r="I264" s="4" t="s">
        <v>142</v>
      </c>
      <c r="J264" s="133"/>
      <c r="K264" s="22"/>
      <c r="L264" s="134"/>
    </row>
    <row r="265" spans="1:12" s="97" customFormat="1" hidden="1" x14ac:dyDescent="0.25">
      <c r="A265" s="61" t="s">
        <v>103</v>
      </c>
      <c r="B265" s="14">
        <v>43486</v>
      </c>
      <c r="C265" s="13">
        <v>47</v>
      </c>
      <c r="D265" s="13" t="s">
        <v>1032</v>
      </c>
      <c r="E265" s="13" t="s">
        <v>62</v>
      </c>
      <c r="F265" s="37">
        <v>90950</v>
      </c>
      <c r="G265" s="29" t="s">
        <v>2421</v>
      </c>
      <c r="H265" s="14">
        <v>43440</v>
      </c>
      <c r="I265" s="4" t="s">
        <v>142</v>
      </c>
      <c r="J265" s="133"/>
      <c r="K265" s="22"/>
      <c r="L265" s="134"/>
    </row>
    <row r="266" spans="1:12" s="97" customFormat="1" hidden="1" x14ac:dyDescent="0.25">
      <c r="A266" s="61" t="s">
        <v>442</v>
      </c>
      <c r="B266" s="14">
        <v>43486</v>
      </c>
      <c r="C266" s="13">
        <v>29</v>
      </c>
      <c r="D266" s="13" t="s">
        <v>100</v>
      </c>
      <c r="E266" s="13" t="s">
        <v>62</v>
      </c>
      <c r="F266" s="37">
        <v>34104.17</v>
      </c>
      <c r="G266" s="210" t="s">
        <v>1008</v>
      </c>
      <c r="H266" s="211">
        <v>43446</v>
      </c>
      <c r="I266" s="4" t="s">
        <v>572</v>
      </c>
      <c r="J266" s="133"/>
      <c r="K266" s="22"/>
      <c r="L266" s="134"/>
    </row>
    <row r="267" spans="1:12" s="97" customFormat="1" hidden="1" x14ac:dyDescent="0.25">
      <c r="A267" s="13" t="s">
        <v>91</v>
      </c>
      <c r="B267" s="14">
        <v>43486</v>
      </c>
      <c r="C267" s="13">
        <v>52</v>
      </c>
      <c r="D267" s="13" t="s">
        <v>1065</v>
      </c>
      <c r="E267" s="13" t="s">
        <v>62</v>
      </c>
      <c r="F267" s="37">
        <v>3737.17</v>
      </c>
      <c r="G267" s="210" t="s">
        <v>2139</v>
      </c>
      <c r="H267" s="211">
        <v>43418</v>
      </c>
      <c r="I267" s="4" t="s">
        <v>2140</v>
      </c>
      <c r="J267" s="133"/>
      <c r="K267" s="22"/>
      <c r="L267" s="134"/>
    </row>
    <row r="268" spans="1:12" s="97" customFormat="1" hidden="1" x14ac:dyDescent="0.25">
      <c r="A268" s="61" t="s">
        <v>442</v>
      </c>
      <c r="B268" s="14">
        <v>43486</v>
      </c>
      <c r="C268" s="13">
        <v>52</v>
      </c>
      <c r="D268" s="13" t="s">
        <v>1065</v>
      </c>
      <c r="E268" s="13" t="s">
        <v>62</v>
      </c>
      <c r="F268" s="37">
        <v>14600.5</v>
      </c>
      <c r="G268" s="29" t="s">
        <v>1598</v>
      </c>
      <c r="H268" s="14">
        <v>43427</v>
      </c>
      <c r="I268" s="4" t="s">
        <v>2234</v>
      </c>
      <c r="J268" s="133"/>
      <c r="K268" s="22"/>
      <c r="L268" s="134"/>
    </row>
    <row r="269" spans="1:12" s="97" customFormat="1" hidden="1" x14ac:dyDescent="0.25">
      <c r="A269" s="61" t="s">
        <v>92</v>
      </c>
      <c r="B269" s="14">
        <v>43486</v>
      </c>
      <c r="C269" s="13">
        <v>52</v>
      </c>
      <c r="D269" s="13" t="s">
        <v>1065</v>
      </c>
      <c r="E269" s="13" t="s">
        <v>62</v>
      </c>
      <c r="F269" s="37">
        <v>19690.54</v>
      </c>
      <c r="G269" s="29" t="s">
        <v>1707</v>
      </c>
      <c r="H269" s="14">
        <v>43431</v>
      </c>
      <c r="I269" s="4" t="s">
        <v>2310</v>
      </c>
      <c r="J269" s="133"/>
      <c r="K269" s="22"/>
      <c r="L269" s="134"/>
    </row>
    <row r="270" spans="1:12" s="97" customFormat="1" hidden="1" x14ac:dyDescent="0.25">
      <c r="A270" s="61" t="s">
        <v>92</v>
      </c>
      <c r="B270" s="14">
        <v>43486</v>
      </c>
      <c r="C270" s="13">
        <v>52</v>
      </c>
      <c r="D270" s="13" t="s">
        <v>1065</v>
      </c>
      <c r="E270" s="13" t="s">
        <v>62</v>
      </c>
      <c r="F270" s="37">
        <v>6726</v>
      </c>
      <c r="G270" s="29" t="s">
        <v>1185</v>
      </c>
      <c r="H270" s="14">
        <v>43432</v>
      </c>
      <c r="I270" s="4" t="s">
        <v>1511</v>
      </c>
      <c r="J270" s="133"/>
      <c r="K270" s="22"/>
      <c r="L270" s="134"/>
    </row>
    <row r="271" spans="1:12" s="97" customFormat="1" hidden="1" x14ac:dyDescent="0.25">
      <c r="A271" s="61" t="s">
        <v>91</v>
      </c>
      <c r="B271" s="14">
        <v>43486</v>
      </c>
      <c r="C271" s="13">
        <v>52</v>
      </c>
      <c r="D271" s="13" t="s">
        <v>1065</v>
      </c>
      <c r="E271" s="13" t="s">
        <v>62</v>
      </c>
      <c r="F271" s="37">
        <v>18397.740000000002</v>
      </c>
      <c r="G271" s="210" t="s">
        <v>1399</v>
      </c>
      <c r="H271" s="211">
        <v>43440</v>
      </c>
      <c r="I271" s="4" t="s">
        <v>2411</v>
      </c>
      <c r="J271" s="133"/>
      <c r="K271" s="22"/>
      <c r="L271" s="134"/>
    </row>
    <row r="272" spans="1:12" s="97" customFormat="1" hidden="1" x14ac:dyDescent="0.25">
      <c r="A272" s="13" t="s">
        <v>92</v>
      </c>
      <c r="B272" s="14">
        <v>43486</v>
      </c>
      <c r="C272" s="13">
        <v>52</v>
      </c>
      <c r="D272" s="13" t="s">
        <v>1065</v>
      </c>
      <c r="E272" s="13" t="s">
        <v>62</v>
      </c>
      <c r="F272" s="37">
        <v>13874.87</v>
      </c>
      <c r="G272" s="29" t="s">
        <v>1600</v>
      </c>
      <c r="H272" s="14">
        <v>43445</v>
      </c>
      <c r="I272" s="4" t="s">
        <v>2413</v>
      </c>
      <c r="J272" s="133"/>
      <c r="K272" s="22"/>
      <c r="L272" s="134"/>
    </row>
    <row r="273" spans="1:12" s="97" customFormat="1" hidden="1" x14ac:dyDescent="0.25">
      <c r="A273" s="61" t="s">
        <v>358</v>
      </c>
      <c r="B273" s="14">
        <v>43486</v>
      </c>
      <c r="C273" s="13">
        <v>52</v>
      </c>
      <c r="D273" s="13" t="s">
        <v>1065</v>
      </c>
      <c r="E273" s="13" t="s">
        <v>62</v>
      </c>
      <c r="F273" s="37">
        <v>2400.83</v>
      </c>
      <c r="G273" s="210" t="s">
        <v>1719</v>
      </c>
      <c r="H273" s="14">
        <v>43445</v>
      </c>
      <c r="I273" s="4" t="s">
        <v>2414</v>
      </c>
      <c r="J273" s="133"/>
      <c r="K273" s="22"/>
      <c r="L273" s="134"/>
    </row>
    <row r="274" spans="1:12" s="97" customFormat="1" hidden="1" x14ac:dyDescent="0.25">
      <c r="A274" s="61" t="s">
        <v>442</v>
      </c>
      <c r="B274" s="14">
        <v>43486</v>
      </c>
      <c r="C274" s="13">
        <v>52</v>
      </c>
      <c r="D274" s="13" t="s">
        <v>1065</v>
      </c>
      <c r="E274" s="13" t="s">
        <v>62</v>
      </c>
      <c r="F274" s="37">
        <v>60843.7</v>
      </c>
      <c r="G274" s="29" t="s">
        <v>1465</v>
      </c>
      <c r="H274" s="14">
        <v>43446</v>
      </c>
      <c r="I274" s="4" t="s">
        <v>2416</v>
      </c>
      <c r="J274" s="133"/>
      <c r="K274" s="22"/>
      <c r="L274" s="134"/>
    </row>
    <row r="275" spans="1:12" s="97" customFormat="1" hidden="1" x14ac:dyDescent="0.25">
      <c r="A275" s="61" t="s">
        <v>91</v>
      </c>
      <c r="B275" s="14">
        <v>43486</v>
      </c>
      <c r="C275" s="13">
        <v>52</v>
      </c>
      <c r="D275" s="13" t="s">
        <v>1065</v>
      </c>
      <c r="E275" s="13" t="s">
        <v>62</v>
      </c>
      <c r="F275" s="37">
        <v>55207.92</v>
      </c>
      <c r="G275" s="210" t="s">
        <v>1159</v>
      </c>
      <c r="H275" s="211">
        <v>43447</v>
      </c>
      <c r="I275" s="4" t="s">
        <v>2584</v>
      </c>
      <c r="J275" s="133"/>
      <c r="K275" s="22"/>
      <c r="L275" s="134"/>
    </row>
    <row r="276" spans="1:12" s="97" customFormat="1" hidden="1" x14ac:dyDescent="0.25">
      <c r="A276" s="61" t="s">
        <v>442</v>
      </c>
      <c r="B276" s="14">
        <v>43486</v>
      </c>
      <c r="C276" s="13">
        <v>30</v>
      </c>
      <c r="D276" s="13" t="s">
        <v>868</v>
      </c>
      <c r="E276" s="13" t="s">
        <v>62</v>
      </c>
      <c r="F276" s="37">
        <v>8797</v>
      </c>
      <c r="G276" s="29" t="s">
        <v>2309</v>
      </c>
      <c r="H276" s="14">
        <v>43439</v>
      </c>
      <c r="I276" s="4" t="s">
        <v>1494</v>
      </c>
      <c r="J276" s="133"/>
      <c r="K276" s="22"/>
      <c r="L276" s="134"/>
    </row>
    <row r="277" spans="1:12" s="97" customFormat="1" hidden="1" x14ac:dyDescent="0.25">
      <c r="A277" s="61" t="s">
        <v>358</v>
      </c>
      <c r="B277" s="14">
        <v>43486</v>
      </c>
      <c r="C277" s="13">
        <v>51</v>
      </c>
      <c r="D277" s="13" t="s">
        <v>280</v>
      </c>
      <c r="E277" s="13" t="s">
        <v>62</v>
      </c>
      <c r="F277" s="37">
        <v>42064</v>
      </c>
      <c r="G277" s="29" t="s">
        <v>1390</v>
      </c>
      <c r="H277" s="14">
        <v>43427</v>
      </c>
      <c r="I277" s="4" t="s">
        <v>2308</v>
      </c>
      <c r="J277" s="133"/>
      <c r="K277" s="22"/>
      <c r="L277" s="134"/>
    </row>
    <row r="278" spans="1:12" s="97" customFormat="1" hidden="1" x14ac:dyDescent="0.25">
      <c r="A278" s="61" t="s">
        <v>442</v>
      </c>
      <c r="B278" s="14">
        <v>43486</v>
      </c>
      <c r="C278" s="13">
        <v>51</v>
      </c>
      <c r="D278" s="13" t="s">
        <v>280</v>
      </c>
      <c r="E278" s="13" t="s">
        <v>62</v>
      </c>
      <c r="F278" s="37">
        <v>140319.16</v>
      </c>
      <c r="G278" s="29" t="s">
        <v>430</v>
      </c>
      <c r="H278" s="14">
        <v>43432</v>
      </c>
      <c r="I278" s="4" t="s">
        <v>268</v>
      </c>
      <c r="J278" s="133"/>
      <c r="K278" s="22"/>
      <c r="L278" s="134"/>
    </row>
    <row r="279" spans="1:12" s="97" customFormat="1" hidden="1" x14ac:dyDescent="0.25">
      <c r="A279" s="32" t="s">
        <v>442</v>
      </c>
      <c r="B279" s="14">
        <v>43486</v>
      </c>
      <c r="C279" s="13">
        <v>51</v>
      </c>
      <c r="D279" s="13" t="s">
        <v>280</v>
      </c>
      <c r="E279" s="13" t="s">
        <v>62</v>
      </c>
      <c r="F279" s="37">
        <v>52250</v>
      </c>
      <c r="G279" s="29" t="s">
        <v>2405</v>
      </c>
      <c r="H279" s="14">
        <v>43439</v>
      </c>
      <c r="I279" s="4" t="s">
        <v>2406</v>
      </c>
      <c r="J279" s="133"/>
      <c r="K279" s="22"/>
      <c r="L279" s="134"/>
    </row>
    <row r="280" spans="1:12" s="97" customFormat="1" hidden="1" x14ac:dyDescent="0.25">
      <c r="A280" s="61" t="s">
        <v>442</v>
      </c>
      <c r="B280" s="14">
        <v>43486</v>
      </c>
      <c r="C280" s="13">
        <v>51</v>
      </c>
      <c r="D280" s="13" t="s">
        <v>280</v>
      </c>
      <c r="E280" s="13" t="s">
        <v>62</v>
      </c>
      <c r="F280" s="37">
        <v>59280</v>
      </c>
      <c r="G280" s="29" t="s">
        <v>715</v>
      </c>
      <c r="H280" s="14">
        <v>43445</v>
      </c>
      <c r="I280" s="4" t="s">
        <v>2583</v>
      </c>
      <c r="J280" s="133"/>
      <c r="K280" s="22"/>
      <c r="L280" s="134"/>
    </row>
    <row r="281" spans="1:12" s="97" customFormat="1" hidden="1" x14ac:dyDescent="0.25">
      <c r="A281" s="61" t="s">
        <v>442</v>
      </c>
      <c r="B281" s="14">
        <v>43486</v>
      </c>
      <c r="C281" s="13">
        <v>48</v>
      </c>
      <c r="D281" s="13" t="s">
        <v>814</v>
      </c>
      <c r="E281" s="13" t="s">
        <v>62</v>
      </c>
      <c r="F281" s="37">
        <v>87155</v>
      </c>
      <c r="G281" s="29" t="s">
        <v>2232</v>
      </c>
      <c r="H281" s="14">
        <v>43427</v>
      </c>
      <c r="I281" s="4" t="s">
        <v>2233</v>
      </c>
      <c r="J281" s="133"/>
      <c r="K281" s="22"/>
      <c r="L281" s="134"/>
    </row>
    <row r="282" spans="1:12" s="97" customFormat="1" hidden="1" x14ac:dyDescent="0.25">
      <c r="A282" s="61" t="s">
        <v>442</v>
      </c>
      <c r="B282" s="14">
        <v>43486</v>
      </c>
      <c r="C282" s="13">
        <v>48</v>
      </c>
      <c r="D282" s="13" t="s">
        <v>814</v>
      </c>
      <c r="E282" s="13" t="s">
        <v>62</v>
      </c>
      <c r="F282" s="37">
        <v>127400</v>
      </c>
      <c r="G282" s="29" t="s">
        <v>2305</v>
      </c>
      <c r="H282" s="14">
        <v>43432</v>
      </c>
      <c r="I282" s="4" t="s">
        <v>1906</v>
      </c>
      <c r="J282" s="133"/>
      <c r="K282" s="22"/>
      <c r="L282" s="134"/>
    </row>
    <row r="283" spans="1:12" s="97" customFormat="1" hidden="1" x14ac:dyDescent="0.25">
      <c r="A283" s="61" t="s">
        <v>442</v>
      </c>
      <c r="B283" s="14">
        <v>43486</v>
      </c>
      <c r="C283" s="13">
        <v>48</v>
      </c>
      <c r="D283" s="13" t="s">
        <v>814</v>
      </c>
      <c r="E283" s="13" t="s">
        <v>62</v>
      </c>
      <c r="F283" s="37">
        <v>22244</v>
      </c>
      <c r="G283" s="29" t="s">
        <v>2306</v>
      </c>
      <c r="H283" s="14">
        <v>43433</v>
      </c>
      <c r="I283" s="4" t="s">
        <v>1810</v>
      </c>
      <c r="J283" s="133"/>
      <c r="K283" s="22"/>
      <c r="L283" s="134"/>
    </row>
    <row r="284" spans="1:12" s="97" customFormat="1" hidden="1" x14ac:dyDescent="0.25">
      <c r="A284" s="32" t="s">
        <v>358</v>
      </c>
      <c r="B284" s="14">
        <v>43486</v>
      </c>
      <c r="C284" s="13">
        <v>39</v>
      </c>
      <c r="D284" s="13" t="s">
        <v>304</v>
      </c>
      <c r="E284" s="13" t="s">
        <v>62</v>
      </c>
      <c r="F284" s="4">
        <v>50504</v>
      </c>
      <c r="G284" s="28" t="s">
        <v>2299</v>
      </c>
      <c r="H284" s="14">
        <v>43431</v>
      </c>
      <c r="I284" s="4" t="s">
        <v>2300</v>
      </c>
      <c r="J284" s="133"/>
      <c r="K284" s="22"/>
      <c r="L284" s="134"/>
    </row>
    <row r="285" spans="1:12" s="97" customFormat="1" hidden="1" x14ac:dyDescent="0.25">
      <c r="A285" s="32" t="s">
        <v>91</v>
      </c>
      <c r="B285" s="14">
        <v>43486</v>
      </c>
      <c r="C285" s="13">
        <v>39</v>
      </c>
      <c r="D285" s="13" t="s">
        <v>304</v>
      </c>
      <c r="E285" s="13" t="s">
        <v>62</v>
      </c>
      <c r="F285" s="4">
        <v>43261.8</v>
      </c>
      <c r="G285" s="28" t="s">
        <v>2301</v>
      </c>
      <c r="H285" s="14">
        <v>43432</v>
      </c>
      <c r="I285" s="4" t="s">
        <v>2302</v>
      </c>
      <c r="J285" s="133"/>
      <c r="K285" s="22"/>
      <c r="L285" s="134"/>
    </row>
    <row r="286" spans="1:12" s="97" customFormat="1" hidden="1" x14ac:dyDescent="0.25">
      <c r="A286" s="32" t="s">
        <v>442</v>
      </c>
      <c r="B286" s="14">
        <v>43486</v>
      </c>
      <c r="C286" s="13">
        <v>39</v>
      </c>
      <c r="D286" s="13" t="s">
        <v>304</v>
      </c>
      <c r="E286" s="13" t="s">
        <v>62</v>
      </c>
      <c r="F286" s="4">
        <v>109584.05</v>
      </c>
      <c r="G286" s="28" t="s">
        <v>2303</v>
      </c>
      <c r="H286" s="14">
        <v>43432</v>
      </c>
      <c r="I286" s="4" t="s">
        <v>2304</v>
      </c>
      <c r="J286" s="133"/>
      <c r="K286" s="22"/>
      <c r="L286" s="134"/>
    </row>
    <row r="287" spans="1:12" s="97" customFormat="1" hidden="1" x14ac:dyDescent="0.25">
      <c r="A287" s="13" t="s">
        <v>358</v>
      </c>
      <c r="B287" s="14">
        <v>43486</v>
      </c>
      <c r="C287" s="13">
        <v>31</v>
      </c>
      <c r="D287" s="13" t="s">
        <v>72</v>
      </c>
      <c r="E287" s="13" t="s">
        <v>62</v>
      </c>
      <c r="F287" s="37">
        <v>71563.100000000006</v>
      </c>
      <c r="G287" s="29" t="s">
        <v>2293</v>
      </c>
      <c r="H287" s="14">
        <v>43432</v>
      </c>
      <c r="I287" s="4" t="s">
        <v>2294</v>
      </c>
      <c r="J287" s="133"/>
      <c r="K287" s="22"/>
      <c r="L287" s="134"/>
    </row>
    <row r="288" spans="1:12" s="97" customFormat="1" hidden="1" x14ac:dyDescent="0.25">
      <c r="A288" s="61" t="s">
        <v>442</v>
      </c>
      <c r="B288" s="14">
        <v>43486</v>
      </c>
      <c r="C288" s="13">
        <v>32</v>
      </c>
      <c r="D288" s="13" t="s">
        <v>203</v>
      </c>
      <c r="E288" s="13" t="s">
        <v>62</v>
      </c>
      <c r="F288" s="37">
        <v>169078</v>
      </c>
      <c r="G288" s="210" t="s">
        <v>2231</v>
      </c>
      <c r="H288" s="14">
        <v>43427</v>
      </c>
      <c r="I288" s="4" t="s">
        <v>951</v>
      </c>
      <c r="J288" s="133"/>
      <c r="K288" s="22"/>
      <c r="L288" s="134"/>
    </row>
    <row r="289" spans="1:19" s="97" customFormat="1" hidden="1" x14ac:dyDescent="0.25">
      <c r="A289" s="14" t="s">
        <v>91</v>
      </c>
      <c r="B289" s="14">
        <v>43486</v>
      </c>
      <c r="C289" s="13">
        <v>55</v>
      </c>
      <c r="D289" s="13" t="s">
        <v>157</v>
      </c>
      <c r="E289" s="13" t="s">
        <v>62</v>
      </c>
      <c r="F289" s="37">
        <v>328672</v>
      </c>
      <c r="G289" s="210" t="s">
        <v>2179</v>
      </c>
      <c r="H289" s="211">
        <v>43411</v>
      </c>
      <c r="I289" s="4" t="s">
        <v>2000</v>
      </c>
      <c r="J289" s="133"/>
      <c r="K289" s="22"/>
      <c r="L289" s="134"/>
    </row>
    <row r="290" spans="1:19" s="97" customFormat="1" hidden="1" x14ac:dyDescent="0.25">
      <c r="A290" s="61" t="s">
        <v>91</v>
      </c>
      <c r="B290" s="14">
        <v>43486</v>
      </c>
      <c r="C290" s="13">
        <v>55</v>
      </c>
      <c r="D290" s="13" t="s">
        <v>157</v>
      </c>
      <c r="E290" s="13" t="s">
        <v>62</v>
      </c>
      <c r="F290" s="37">
        <v>96545.75</v>
      </c>
      <c r="G290" s="29" t="s">
        <v>2136</v>
      </c>
      <c r="H290" s="14">
        <v>43418</v>
      </c>
      <c r="I290" s="4" t="s">
        <v>2137</v>
      </c>
      <c r="J290" s="133"/>
      <c r="K290" s="22"/>
      <c r="L290" s="134"/>
    </row>
    <row r="291" spans="1:19" s="97" customFormat="1" hidden="1" x14ac:dyDescent="0.25">
      <c r="A291" s="13" t="s">
        <v>442</v>
      </c>
      <c r="B291" s="14">
        <v>43486</v>
      </c>
      <c r="C291" s="13">
        <v>55</v>
      </c>
      <c r="D291" s="13" t="s">
        <v>157</v>
      </c>
      <c r="E291" s="13" t="s">
        <v>62</v>
      </c>
      <c r="F291" s="37">
        <v>22993.22</v>
      </c>
      <c r="G291" s="210" t="s">
        <v>2180</v>
      </c>
      <c r="H291" s="211">
        <v>43419</v>
      </c>
      <c r="I291" s="4" t="s">
        <v>2181</v>
      </c>
      <c r="J291" s="133"/>
      <c r="K291" s="22"/>
      <c r="L291" s="134"/>
    </row>
    <row r="292" spans="1:19" s="97" customFormat="1" hidden="1" x14ac:dyDescent="0.25">
      <c r="A292" s="61" t="s">
        <v>91</v>
      </c>
      <c r="B292" s="14">
        <v>43486</v>
      </c>
      <c r="C292" s="13">
        <v>55</v>
      </c>
      <c r="D292" s="13" t="s">
        <v>157</v>
      </c>
      <c r="E292" s="13" t="s">
        <v>62</v>
      </c>
      <c r="F292" s="37">
        <v>36434</v>
      </c>
      <c r="G292" s="29" t="s">
        <v>2399</v>
      </c>
      <c r="H292" s="14">
        <v>43444</v>
      </c>
      <c r="I292" s="4" t="s">
        <v>2400</v>
      </c>
      <c r="J292" s="133"/>
      <c r="K292" s="22"/>
      <c r="L292" s="134"/>
    </row>
    <row r="293" spans="1:19" s="97" customFormat="1" hidden="1" x14ac:dyDescent="0.25">
      <c r="A293" s="13" t="s">
        <v>92</v>
      </c>
      <c r="B293" s="14">
        <v>43486</v>
      </c>
      <c r="C293" s="13">
        <v>40</v>
      </c>
      <c r="D293" s="13" t="s">
        <v>70</v>
      </c>
      <c r="E293" s="13" t="s">
        <v>62</v>
      </c>
      <c r="F293" s="4">
        <v>37850</v>
      </c>
      <c r="G293" s="28" t="s">
        <v>2290</v>
      </c>
      <c r="H293" s="14">
        <v>43431</v>
      </c>
      <c r="I293" s="4" t="s">
        <v>2291</v>
      </c>
      <c r="J293" s="133"/>
      <c r="K293" s="22"/>
      <c r="L293" s="134"/>
    </row>
    <row r="294" spans="1:19" s="97" customFormat="1" hidden="1" x14ac:dyDescent="0.25">
      <c r="A294" s="61" t="s">
        <v>91</v>
      </c>
      <c r="B294" s="14">
        <v>43486</v>
      </c>
      <c r="C294" s="13">
        <v>40</v>
      </c>
      <c r="D294" s="13" t="s">
        <v>70</v>
      </c>
      <c r="E294" s="13" t="s">
        <v>62</v>
      </c>
      <c r="F294" s="37">
        <v>55500</v>
      </c>
      <c r="G294" s="29" t="s">
        <v>2292</v>
      </c>
      <c r="H294" s="14">
        <v>43438</v>
      </c>
      <c r="I294" s="4" t="s">
        <v>1381</v>
      </c>
      <c r="J294" s="133"/>
      <c r="K294" s="22"/>
      <c r="L294" s="134"/>
    </row>
    <row r="295" spans="1:19" s="97" customFormat="1" hidden="1" x14ac:dyDescent="0.25">
      <c r="A295" s="61" t="s">
        <v>442</v>
      </c>
      <c r="B295" s="14">
        <v>43486</v>
      </c>
      <c r="C295" s="13">
        <v>33</v>
      </c>
      <c r="D295" s="13" t="s">
        <v>666</v>
      </c>
      <c r="E295" s="13" t="s">
        <v>62</v>
      </c>
      <c r="F295" s="37">
        <v>69100</v>
      </c>
      <c r="G295" s="210" t="s">
        <v>582</v>
      </c>
      <c r="H295" s="211">
        <v>43446</v>
      </c>
      <c r="I295" s="4" t="s">
        <v>1240</v>
      </c>
      <c r="J295" s="133"/>
      <c r="K295" s="22"/>
      <c r="L295" s="134"/>
    </row>
    <row r="296" spans="1:19" s="97" customFormat="1" hidden="1" x14ac:dyDescent="0.25">
      <c r="A296" s="61" t="s">
        <v>1236</v>
      </c>
      <c r="B296" s="14">
        <v>43486</v>
      </c>
      <c r="C296" s="13">
        <v>50</v>
      </c>
      <c r="D296" s="13" t="s">
        <v>516</v>
      </c>
      <c r="E296" s="13" t="s">
        <v>62</v>
      </c>
      <c r="F296" s="37">
        <v>12500</v>
      </c>
      <c r="G296" s="29" t="s">
        <v>2281</v>
      </c>
      <c r="H296" s="14">
        <v>43430</v>
      </c>
      <c r="I296" s="4" t="s">
        <v>2282</v>
      </c>
      <c r="J296" s="133"/>
      <c r="K296" s="22"/>
      <c r="L296" s="134"/>
    </row>
    <row r="297" spans="1:19" s="97" customFormat="1" hidden="1" x14ac:dyDescent="0.25">
      <c r="A297" s="61" t="s">
        <v>442</v>
      </c>
      <c r="B297" s="14">
        <v>43486</v>
      </c>
      <c r="C297" s="13">
        <v>50</v>
      </c>
      <c r="D297" s="13" t="s">
        <v>516</v>
      </c>
      <c r="E297" s="13" t="s">
        <v>62</v>
      </c>
      <c r="F297" s="37">
        <v>13128.68</v>
      </c>
      <c r="G297" s="29" t="s">
        <v>2283</v>
      </c>
      <c r="H297" s="14">
        <v>43432</v>
      </c>
      <c r="I297" s="4" t="s">
        <v>2284</v>
      </c>
      <c r="J297" s="133"/>
      <c r="K297" s="22"/>
      <c r="L297" s="134"/>
    </row>
    <row r="298" spans="1:19" s="97" customFormat="1" hidden="1" x14ac:dyDescent="0.25">
      <c r="A298" s="61" t="s">
        <v>91</v>
      </c>
      <c r="B298" s="14">
        <v>43486</v>
      </c>
      <c r="C298" s="13">
        <v>50</v>
      </c>
      <c r="D298" s="13" t="s">
        <v>516</v>
      </c>
      <c r="E298" s="13" t="s">
        <v>62</v>
      </c>
      <c r="F298" s="37">
        <v>24862.9</v>
      </c>
      <c r="G298" s="29" t="s">
        <v>2285</v>
      </c>
      <c r="H298" s="14">
        <v>43434</v>
      </c>
      <c r="I298" s="4" t="s">
        <v>2286</v>
      </c>
      <c r="J298" s="133"/>
      <c r="K298" s="22"/>
      <c r="L298" s="134"/>
    </row>
    <row r="299" spans="1:19" s="97" customFormat="1" hidden="1" x14ac:dyDescent="0.25">
      <c r="A299" s="32" t="s">
        <v>91</v>
      </c>
      <c r="B299" s="14">
        <v>43486</v>
      </c>
      <c r="C299" s="13">
        <v>50</v>
      </c>
      <c r="D299" s="13" t="s">
        <v>516</v>
      </c>
      <c r="E299" s="13" t="s">
        <v>62</v>
      </c>
      <c r="F299" s="4">
        <v>18543</v>
      </c>
      <c r="G299" s="28" t="s">
        <v>2287</v>
      </c>
      <c r="H299" s="14">
        <v>43438</v>
      </c>
      <c r="I299" s="4" t="s">
        <v>126</v>
      </c>
      <c r="J299" s="133"/>
      <c r="K299" s="22"/>
      <c r="L299" s="134"/>
    </row>
    <row r="300" spans="1:19" s="97" customFormat="1" hidden="1" x14ac:dyDescent="0.25">
      <c r="A300" s="32" t="s">
        <v>55</v>
      </c>
      <c r="B300" s="14">
        <v>43486</v>
      </c>
      <c r="C300" s="13">
        <v>50</v>
      </c>
      <c r="D300" s="13" t="s">
        <v>516</v>
      </c>
      <c r="E300" s="13" t="s">
        <v>62</v>
      </c>
      <c r="F300" s="4">
        <v>171135.68</v>
      </c>
      <c r="G300" s="28" t="s">
        <v>2288</v>
      </c>
      <c r="H300" s="14">
        <v>43439</v>
      </c>
      <c r="I300" s="4" t="s">
        <v>2289</v>
      </c>
      <c r="J300" s="133"/>
      <c r="K300" s="22"/>
      <c r="L300" s="134"/>
    </row>
    <row r="301" spans="1:19" s="97" customFormat="1" hidden="1" x14ac:dyDescent="0.25">
      <c r="A301" s="61" t="s">
        <v>358</v>
      </c>
      <c r="B301" s="14">
        <v>43486</v>
      </c>
      <c r="C301" s="13">
        <v>50</v>
      </c>
      <c r="D301" s="13" t="s">
        <v>516</v>
      </c>
      <c r="E301" s="13" t="s">
        <v>62</v>
      </c>
      <c r="F301" s="37">
        <v>88502.51</v>
      </c>
      <c r="G301" s="210" t="s">
        <v>2394</v>
      </c>
      <c r="H301" s="211">
        <v>43440</v>
      </c>
      <c r="I301" s="4" t="s">
        <v>2395</v>
      </c>
      <c r="J301" s="133"/>
      <c r="K301" s="22"/>
      <c r="L301" s="134"/>
    </row>
    <row r="302" spans="1:19" s="62" customFormat="1" ht="15" hidden="1" customHeight="1" x14ac:dyDescent="0.25">
      <c r="A302" s="13" t="s">
        <v>358</v>
      </c>
      <c r="B302" s="14">
        <v>43486</v>
      </c>
      <c r="C302" s="28" t="s">
        <v>3184</v>
      </c>
      <c r="D302" s="13" t="s">
        <v>1555</v>
      </c>
      <c r="E302" s="32" t="s">
        <v>62</v>
      </c>
      <c r="F302" s="37">
        <v>14400</v>
      </c>
      <c r="G302" s="29" t="s">
        <v>2888</v>
      </c>
      <c r="H302" s="14">
        <v>43466</v>
      </c>
      <c r="I302" s="4" t="s">
        <v>118</v>
      </c>
      <c r="J302" s="71" t="s">
        <v>239</v>
      </c>
      <c r="O302" s="35"/>
      <c r="P302" s="35"/>
      <c r="Q302" s="35"/>
      <c r="R302" s="35"/>
      <c r="S302" s="35"/>
    </row>
    <row r="303" spans="1:19" hidden="1" x14ac:dyDescent="0.25">
      <c r="A303" s="61" t="s">
        <v>442</v>
      </c>
      <c r="B303" s="14">
        <v>43486</v>
      </c>
      <c r="C303" s="13">
        <v>35</v>
      </c>
      <c r="D303" s="13" t="s">
        <v>381</v>
      </c>
      <c r="E303" s="13" t="s">
        <v>62</v>
      </c>
      <c r="F303" s="37">
        <v>9500</v>
      </c>
      <c r="G303" s="210" t="s">
        <v>54</v>
      </c>
      <c r="H303" s="211">
        <v>43446</v>
      </c>
      <c r="I303" s="4" t="s">
        <v>441</v>
      </c>
      <c r="J303" s="128"/>
    </row>
    <row r="304" spans="1:19" hidden="1" x14ac:dyDescent="0.25">
      <c r="A304" s="61" t="s">
        <v>92</v>
      </c>
      <c r="B304" s="14">
        <v>43486</v>
      </c>
      <c r="C304" s="13">
        <v>44</v>
      </c>
      <c r="D304" s="13" t="s">
        <v>1739</v>
      </c>
      <c r="E304" s="13" t="s">
        <v>62</v>
      </c>
      <c r="F304" s="37">
        <v>240000</v>
      </c>
      <c r="G304" s="29" t="s">
        <v>3198</v>
      </c>
      <c r="H304" s="14">
        <v>43447</v>
      </c>
      <c r="I304" s="4" t="s">
        <v>1315</v>
      </c>
      <c r="J304" s="128"/>
    </row>
    <row r="305" spans="1:10" hidden="1" x14ac:dyDescent="0.25">
      <c r="A305" s="61" t="s">
        <v>92</v>
      </c>
      <c r="B305" s="14">
        <v>43486</v>
      </c>
      <c r="C305" s="13">
        <v>44</v>
      </c>
      <c r="D305" s="13" t="s">
        <v>1739</v>
      </c>
      <c r="E305" s="13" t="s">
        <v>62</v>
      </c>
      <c r="F305" s="37">
        <v>148400</v>
      </c>
      <c r="G305" s="29" t="s">
        <v>3199</v>
      </c>
      <c r="H305" s="14">
        <v>43458</v>
      </c>
      <c r="I305" s="4" t="s">
        <v>3200</v>
      </c>
      <c r="J305" s="128"/>
    </row>
    <row r="306" spans="1:10" hidden="1" x14ac:dyDescent="0.25">
      <c r="A306" s="61" t="s">
        <v>1566</v>
      </c>
      <c r="B306" s="14">
        <v>43486</v>
      </c>
      <c r="C306" s="13">
        <v>54</v>
      </c>
      <c r="D306" s="13" t="s">
        <v>515</v>
      </c>
      <c r="E306" s="13" t="s">
        <v>62</v>
      </c>
      <c r="F306" s="37">
        <v>100000</v>
      </c>
      <c r="G306" s="29" t="s">
        <v>1146</v>
      </c>
      <c r="H306" s="14">
        <v>43449</v>
      </c>
      <c r="I306" s="4" t="s">
        <v>164</v>
      </c>
    </row>
    <row r="307" spans="1:10" hidden="1" x14ac:dyDescent="0.25">
      <c r="A307" s="61" t="s">
        <v>92</v>
      </c>
      <c r="B307" s="14">
        <v>43486</v>
      </c>
      <c r="C307" s="13">
        <v>56</v>
      </c>
      <c r="D307" s="13" t="s">
        <v>282</v>
      </c>
      <c r="E307" s="13" t="s">
        <v>62</v>
      </c>
      <c r="F307" s="37">
        <v>16100</v>
      </c>
      <c r="G307" s="29" t="s">
        <v>2259</v>
      </c>
      <c r="H307" s="14">
        <v>43434</v>
      </c>
      <c r="I307" s="4" t="s">
        <v>283</v>
      </c>
    </row>
    <row r="308" spans="1:10" hidden="1" x14ac:dyDescent="0.25">
      <c r="A308" s="32" t="s">
        <v>442</v>
      </c>
      <c r="B308" s="14">
        <v>43486</v>
      </c>
      <c r="C308" s="13">
        <v>56</v>
      </c>
      <c r="D308" s="13" t="s">
        <v>282</v>
      </c>
      <c r="E308" s="13" t="s">
        <v>62</v>
      </c>
      <c r="F308" s="4">
        <v>27300</v>
      </c>
      <c r="G308" s="28" t="s">
        <v>2260</v>
      </c>
      <c r="H308" s="14">
        <v>43434</v>
      </c>
      <c r="I308" s="4" t="s">
        <v>283</v>
      </c>
    </row>
    <row r="309" spans="1:10" hidden="1" x14ac:dyDescent="0.25">
      <c r="A309" s="32" t="s">
        <v>358</v>
      </c>
      <c r="B309" s="14">
        <v>43486</v>
      </c>
      <c r="C309" s="13">
        <v>56</v>
      </c>
      <c r="D309" s="13" t="s">
        <v>282</v>
      </c>
      <c r="E309" s="13" t="s">
        <v>62</v>
      </c>
      <c r="F309" s="4">
        <v>5600</v>
      </c>
      <c r="G309" s="28" t="s">
        <v>2261</v>
      </c>
      <c r="H309" s="14">
        <v>43434</v>
      </c>
      <c r="I309" s="4" t="s">
        <v>283</v>
      </c>
    </row>
    <row r="310" spans="1:10" hidden="1" x14ac:dyDescent="0.25">
      <c r="A310" s="32" t="s">
        <v>55</v>
      </c>
      <c r="B310" s="14">
        <v>43486</v>
      </c>
      <c r="C310" s="13">
        <v>56</v>
      </c>
      <c r="D310" s="13" t="s">
        <v>282</v>
      </c>
      <c r="E310" s="13" t="s">
        <v>62</v>
      </c>
      <c r="F310" s="4">
        <v>700</v>
      </c>
      <c r="G310" s="28" t="s">
        <v>2262</v>
      </c>
      <c r="H310" s="14">
        <v>43434</v>
      </c>
      <c r="I310" s="4" t="s">
        <v>283</v>
      </c>
    </row>
    <row r="311" spans="1:10" hidden="1" x14ac:dyDescent="0.25">
      <c r="A311" s="13" t="s">
        <v>91</v>
      </c>
      <c r="B311" s="14">
        <v>43486</v>
      </c>
      <c r="C311" s="13">
        <v>56</v>
      </c>
      <c r="D311" s="13" t="s">
        <v>282</v>
      </c>
      <c r="E311" s="13" t="s">
        <v>62</v>
      </c>
      <c r="F311" s="4">
        <v>9800</v>
      </c>
      <c r="G311" s="28" t="s">
        <v>2263</v>
      </c>
      <c r="H311" s="14">
        <v>43434</v>
      </c>
      <c r="I311" s="4" t="s">
        <v>283</v>
      </c>
    </row>
    <row r="312" spans="1:10" hidden="1" x14ac:dyDescent="0.25">
      <c r="A312" s="32" t="s">
        <v>92</v>
      </c>
      <c r="B312" s="14">
        <v>43486</v>
      </c>
      <c r="C312" s="13">
        <v>56</v>
      </c>
      <c r="D312" s="13" t="s">
        <v>282</v>
      </c>
      <c r="E312" s="13" t="s">
        <v>62</v>
      </c>
      <c r="F312" s="4">
        <v>8400</v>
      </c>
      <c r="G312" s="28" t="s">
        <v>2372</v>
      </c>
      <c r="H312" s="14">
        <v>43440</v>
      </c>
      <c r="I312" s="4" t="s">
        <v>283</v>
      </c>
    </row>
    <row r="313" spans="1:10" hidden="1" x14ac:dyDescent="0.25">
      <c r="A313" s="61" t="s">
        <v>442</v>
      </c>
      <c r="B313" s="14">
        <v>43486</v>
      </c>
      <c r="C313" s="13">
        <v>56</v>
      </c>
      <c r="D313" s="13" t="s">
        <v>282</v>
      </c>
      <c r="E313" s="13" t="s">
        <v>62</v>
      </c>
      <c r="F313" s="37">
        <v>11200</v>
      </c>
      <c r="G313" s="29" t="s">
        <v>2373</v>
      </c>
      <c r="H313" s="14">
        <v>43440</v>
      </c>
      <c r="I313" s="4" t="s">
        <v>283</v>
      </c>
    </row>
    <row r="314" spans="1:10" hidden="1" x14ac:dyDescent="0.25">
      <c r="A314" s="61" t="s">
        <v>358</v>
      </c>
      <c r="B314" s="14">
        <v>43486</v>
      </c>
      <c r="C314" s="13">
        <v>56</v>
      </c>
      <c r="D314" s="13" t="s">
        <v>282</v>
      </c>
      <c r="E314" s="13" t="s">
        <v>62</v>
      </c>
      <c r="F314" s="37">
        <v>2800</v>
      </c>
      <c r="G314" s="29" t="s">
        <v>2374</v>
      </c>
      <c r="H314" s="14">
        <v>43440</v>
      </c>
      <c r="I314" s="4" t="s">
        <v>283</v>
      </c>
    </row>
    <row r="315" spans="1:10" hidden="1" x14ac:dyDescent="0.25">
      <c r="A315" s="61" t="s">
        <v>55</v>
      </c>
      <c r="B315" s="14">
        <v>43486</v>
      </c>
      <c r="C315" s="13">
        <v>56</v>
      </c>
      <c r="D315" s="13" t="s">
        <v>282</v>
      </c>
      <c r="E315" s="13" t="s">
        <v>62</v>
      </c>
      <c r="F315" s="37">
        <v>700</v>
      </c>
      <c r="G315" s="29" t="s">
        <v>2375</v>
      </c>
      <c r="H315" s="14">
        <v>43440</v>
      </c>
      <c r="I315" s="4" t="s">
        <v>283</v>
      </c>
    </row>
    <row r="316" spans="1:10" hidden="1" x14ac:dyDescent="0.25">
      <c r="A316" s="13" t="s">
        <v>91</v>
      </c>
      <c r="B316" s="14">
        <v>43486</v>
      </c>
      <c r="C316" s="13">
        <v>56</v>
      </c>
      <c r="D316" s="13" t="s">
        <v>282</v>
      </c>
      <c r="E316" s="13" t="s">
        <v>62</v>
      </c>
      <c r="F316" s="37">
        <v>1400</v>
      </c>
      <c r="G316" s="29" t="s">
        <v>2376</v>
      </c>
      <c r="H316" s="14">
        <v>43440</v>
      </c>
      <c r="I316" s="4" t="s">
        <v>283</v>
      </c>
    </row>
    <row r="317" spans="1:10" hidden="1" x14ac:dyDescent="0.25">
      <c r="A317" s="61" t="s">
        <v>1350</v>
      </c>
      <c r="B317" s="14">
        <v>43486</v>
      </c>
      <c r="C317" s="13">
        <v>36</v>
      </c>
      <c r="D317" s="13" t="s">
        <v>1395</v>
      </c>
      <c r="E317" s="13" t="s">
        <v>62</v>
      </c>
      <c r="F317" s="37">
        <v>45600</v>
      </c>
      <c r="G317" s="29" t="s">
        <v>3136</v>
      </c>
      <c r="H317" s="14">
        <v>43462</v>
      </c>
      <c r="I317" s="4" t="s">
        <v>3135</v>
      </c>
    </row>
    <row r="318" spans="1:10" hidden="1" x14ac:dyDescent="0.25">
      <c r="A318" s="61" t="s">
        <v>442</v>
      </c>
      <c r="B318" s="14">
        <v>43486</v>
      </c>
      <c r="C318" s="13">
        <v>49</v>
      </c>
      <c r="D318" s="13" t="s">
        <v>29</v>
      </c>
      <c r="E318" s="13" t="s">
        <v>62</v>
      </c>
      <c r="F318" s="37">
        <v>407750</v>
      </c>
      <c r="G318" s="29" t="s">
        <v>1267</v>
      </c>
      <c r="H318" s="14">
        <v>43404</v>
      </c>
      <c r="I318" s="4" t="s">
        <v>511</v>
      </c>
    </row>
    <row r="319" spans="1:10" hidden="1" x14ac:dyDescent="0.25">
      <c r="A319" s="13" t="s">
        <v>1566</v>
      </c>
      <c r="B319" s="14">
        <v>43486</v>
      </c>
      <c r="C319" s="13">
        <v>49</v>
      </c>
      <c r="D319" s="13" t="s">
        <v>29</v>
      </c>
      <c r="E319" s="13" t="s">
        <v>62</v>
      </c>
      <c r="F319" s="37">
        <v>124100</v>
      </c>
      <c r="G319" s="29" t="s">
        <v>2152</v>
      </c>
      <c r="H319" s="14">
        <v>43404</v>
      </c>
      <c r="I319" s="4" t="s">
        <v>95</v>
      </c>
    </row>
    <row r="320" spans="1:10" hidden="1" x14ac:dyDescent="0.25">
      <c r="A320" s="13" t="s">
        <v>1566</v>
      </c>
      <c r="B320" s="14">
        <v>43486</v>
      </c>
      <c r="C320" s="13">
        <v>49</v>
      </c>
      <c r="D320" s="13" t="s">
        <v>29</v>
      </c>
      <c r="E320" s="13" t="s">
        <v>62</v>
      </c>
      <c r="F320" s="4">
        <v>266900</v>
      </c>
      <c r="G320" s="28" t="s">
        <v>1599</v>
      </c>
      <c r="H320" s="14">
        <v>43423</v>
      </c>
      <c r="I320" s="4" t="s">
        <v>95</v>
      </c>
    </row>
    <row r="321" spans="1:12" hidden="1" x14ac:dyDescent="0.25">
      <c r="A321" s="61" t="s">
        <v>103</v>
      </c>
      <c r="B321" s="14">
        <v>43486</v>
      </c>
      <c r="C321" s="13">
        <v>37</v>
      </c>
      <c r="D321" s="13" t="s">
        <v>2047</v>
      </c>
      <c r="E321" s="13" t="s">
        <v>62</v>
      </c>
      <c r="F321" s="37">
        <v>10200</v>
      </c>
      <c r="G321" s="29" t="s">
        <v>1884</v>
      </c>
      <c r="H321" s="14">
        <v>43451</v>
      </c>
      <c r="I321" s="4" t="s">
        <v>95</v>
      </c>
    </row>
    <row r="322" spans="1:12" hidden="1" x14ac:dyDescent="0.25">
      <c r="A322" s="61" t="s">
        <v>442</v>
      </c>
      <c r="B322" s="14">
        <v>43486</v>
      </c>
      <c r="C322" s="13">
        <v>38</v>
      </c>
      <c r="D322" s="13" t="s">
        <v>692</v>
      </c>
      <c r="E322" s="13" t="s">
        <v>62</v>
      </c>
      <c r="F322" s="37">
        <v>132000</v>
      </c>
      <c r="G322" s="210" t="s">
        <v>1711</v>
      </c>
      <c r="H322" s="211">
        <v>43409</v>
      </c>
      <c r="I322" s="4" t="s">
        <v>419</v>
      </c>
    </row>
    <row r="323" spans="1:12" hidden="1" x14ac:dyDescent="0.25">
      <c r="A323" s="61" t="s">
        <v>103</v>
      </c>
      <c r="B323" s="14">
        <v>43486</v>
      </c>
      <c r="C323" s="13">
        <v>42</v>
      </c>
      <c r="D323" s="13" t="s">
        <v>862</v>
      </c>
      <c r="E323" s="13" t="s">
        <v>62</v>
      </c>
      <c r="F323" s="37">
        <v>16250</v>
      </c>
      <c r="G323" s="29" t="s">
        <v>2382</v>
      </c>
      <c r="H323" s="14">
        <v>43426</v>
      </c>
      <c r="I323" s="4" t="s">
        <v>354</v>
      </c>
    </row>
    <row r="324" spans="1:12" hidden="1" x14ac:dyDescent="0.25">
      <c r="A324" s="32" t="s">
        <v>442</v>
      </c>
      <c r="B324" s="14">
        <v>43486</v>
      </c>
      <c r="C324" s="13">
        <v>42</v>
      </c>
      <c r="D324" s="13" t="s">
        <v>862</v>
      </c>
      <c r="E324" s="13" t="s">
        <v>62</v>
      </c>
      <c r="F324" s="4">
        <v>10000</v>
      </c>
      <c r="G324" s="28" t="s">
        <v>2678</v>
      </c>
      <c r="H324" s="14">
        <v>43434</v>
      </c>
      <c r="I324" s="4" t="s">
        <v>81</v>
      </c>
    </row>
    <row r="325" spans="1:12" ht="27.6" hidden="1" customHeight="1" x14ac:dyDescent="0.25">
      <c r="A325" s="13" t="s">
        <v>261</v>
      </c>
      <c r="B325" s="14">
        <v>43486</v>
      </c>
      <c r="C325" s="13">
        <v>29</v>
      </c>
      <c r="D325" s="32" t="s">
        <v>228</v>
      </c>
      <c r="E325" s="32" t="s">
        <v>808</v>
      </c>
      <c r="F325" s="4">
        <v>1000000</v>
      </c>
      <c r="G325" s="86" t="s">
        <v>1273</v>
      </c>
      <c r="H325" s="14"/>
      <c r="I325" s="41" t="s">
        <v>229</v>
      </c>
      <c r="J325" s="21"/>
      <c r="K325" s="228"/>
    </row>
    <row r="326" spans="1:12" ht="13.95" hidden="1" customHeight="1" x14ac:dyDescent="0.25">
      <c r="A326" s="61" t="s">
        <v>261</v>
      </c>
      <c r="B326" s="14">
        <v>43486</v>
      </c>
      <c r="C326" s="13">
        <v>30</v>
      </c>
      <c r="D326" s="32" t="s">
        <v>588</v>
      </c>
      <c r="E326" s="32" t="s">
        <v>808</v>
      </c>
      <c r="F326" s="4">
        <v>1000000</v>
      </c>
      <c r="G326" s="86" t="s">
        <v>1122</v>
      </c>
      <c r="H326" s="211"/>
      <c r="I326" s="4" t="s">
        <v>20</v>
      </c>
      <c r="J326" s="21"/>
      <c r="K326" s="228"/>
    </row>
    <row r="327" spans="1:12" hidden="1" x14ac:dyDescent="0.25">
      <c r="A327" s="32" t="s">
        <v>1149</v>
      </c>
      <c r="B327" s="14">
        <v>43486</v>
      </c>
      <c r="C327" s="13">
        <v>31</v>
      </c>
      <c r="D327" s="32" t="s">
        <v>1179</v>
      </c>
      <c r="E327" s="32" t="s">
        <v>808</v>
      </c>
      <c r="F327" s="4">
        <v>2485670</v>
      </c>
      <c r="G327" s="86" t="s">
        <v>2190</v>
      </c>
      <c r="H327" s="211"/>
      <c r="I327" s="4" t="s">
        <v>24</v>
      </c>
      <c r="J327" s="21"/>
      <c r="K327" s="228"/>
    </row>
    <row r="328" spans="1:12" s="62" customFormat="1" ht="15" hidden="1" customHeight="1" x14ac:dyDescent="0.25">
      <c r="A328" s="13" t="s">
        <v>8</v>
      </c>
      <c r="B328" s="14">
        <v>43486</v>
      </c>
      <c r="C328" s="13">
        <v>32</v>
      </c>
      <c r="D328" s="13" t="s">
        <v>1765</v>
      </c>
      <c r="E328" s="13" t="s">
        <v>808</v>
      </c>
      <c r="F328" s="37">
        <v>2046259</v>
      </c>
      <c r="G328" s="69" t="s">
        <v>1766</v>
      </c>
      <c r="H328" s="14"/>
      <c r="I328" s="4" t="s">
        <v>1204</v>
      </c>
      <c r="J328" s="71"/>
    </row>
    <row r="329" spans="1:12" s="97" customFormat="1" hidden="1" x14ac:dyDescent="0.25">
      <c r="A329" s="13" t="s">
        <v>1149</v>
      </c>
      <c r="B329" s="14">
        <v>43486</v>
      </c>
      <c r="C329" s="13">
        <v>33</v>
      </c>
      <c r="D329" s="13" t="s">
        <v>1353</v>
      </c>
      <c r="E329" s="13" t="s">
        <v>808</v>
      </c>
      <c r="F329" s="37">
        <v>12548</v>
      </c>
      <c r="G329" s="29" t="s">
        <v>1083</v>
      </c>
      <c r="H329" s="14">
        <v>43451</v>
      </c>
      <c r="I329" s="4" t="s">
        <v>1497</v>
      </c>
      <c r="J329" s="133"/>
      <c r="K329" s="22"/>
      <c r="L329" s="134"/>
    </row>
    <row r="330" spans="1:12" s="97" customFormat="1" hidden="1" x14ac:dyDescent="0.25">
      <c r="A330" s="61" t="s">
        <v>1148</v>
      </c>
      <c r="B330" s="14">
        <v>43486</v>
      </c>
      <c r="C330" s="13">
        <v>34</v>
      </c>
      <c r="D330" s="13" t="s">
        <v>2142</v>
      </c>
      <c r="E330" s="13" t="s">
        <v>808</v>
      </c>
      <c r="F330" s="37">
        <v>90000</v>
      </c>
      <c r="G330" s="210" t="s">
        <v>1454</v>
      </c>
      <c r="H330" s="211">
        <v>43451</v>
      </c>
      <c r="I330" s="4" t="s">
        <v>718</v>
      </c>
      <c r="J330" s="133"/>
      <c r="K330" s="22"/>
      <c r="L330" s="134"/>
    </row>
    <row r="331" spans="1:12" s="97" customFormat="1" hidden="1" x14ac:dyDescent="0.25">
      <c r="A331" s="61" t="s">
        <v>1147</v>
      </c>
      <c r="B331" s="14">
        <v>43486</v>
      </c>
      <c r="C331" s="13">
        <v>35</v>
      </c>
      <c r="D331" s="13" t="s">
        <v>1065</v>
      </c>
      <c r="E331" s="13" t="s">
        <v>808</v>
      </c>
      <c r="F331" s="37">
        <v>20183.61</v>
      </c>
      <c r="G331" s="210" t="s">
        <v>2393</v>
      </c>
      <c r="H331" s="14">
        <v>43440</v>
      </c>
      <c r="I331" s="4" t="s">
        <v>2412</v>
      </c>
      <c r="J331" s="133"/>
      <c r="K331" s="22"/>
      <c r="L331" s="134"/>
    </row>
    <row r="332" spans="1:12" s="97" customFormat="1" hidden="1" x14ac:dyDescent="0.25">
      <c r="A332" s="13" t="s">
        <v>188</v>
      </c>
      <c r="B332" s="14">
        <v>43486</v>
      </c>
      <c r="C332" s="13">
        <v>36</v>
      </c>
      <c r="D332" s="13" t="s">
        <v>280</v>
      </c>
      <c r="E332" s="13" t="s">
        <v>808</v>
      </c>
      <c r="F332" s="37">
        <v>19871</v>
      </c>
      <c r="G332" s="29" t="s">
        <v>1496</v>
      </c>
      <c r="H332" s="14">
        <v>43441</v>
      </c>
      <c r="I332" s="4" t="s">
        <v>2407</v>
      </c>
      <c r="J332" s="133"/>
      <c r="K332" s="22"/>
      <c r="L332" s="134"/>
    </row>
    <row r="333" spans="1:12" s="97" customFormat="1" hidden="1" x14ac:dyDescent="0.25">
      <c r="A333" s="13" t="s">
        <v>261</v>
      </c>
      <c r="B333" s="14">
        <v>43486</v>
      </c>
      <c r="C333" s="13">
        <v>36</v>
      </c>
      <c r="D333" s="13" t="s">
        <v>280</v>
      </c>
      <c r="E333" s="13" t="s">
        <v>808</v>
      </c>
      <c r="F333" s="37">
        <v>28057</v>
      </c>
      <c r="G333" s="29" t="s">
        <v>1486</v>
      </c>
      <c r="H333" s="14">
        <v>43445</v>
      </c>
      <c r="I333" s="4" t="s">
        <v>2408</v>
      </c>
      <c r="J333" s="133"/>
      <c r="K333" s="22"/>
      <c r="L333" s="134"/>
    </row>
    <row r="334" spans="1:12" s="97" customFormat="1" hidden="1" x14ac:dyDescent="0.25">
      <c r="A334" s="61" t="s">
        <v>188</v>
      </c>
      <c r="B334" s="14">
        <v>43486</v>
      </c>
      <c r="C334" s="13">
        <v>37</v>
      </c>
      <c r="D334" s="13" t="s">
        <v>157</v>
      </c>
      <c r="E334" s="13" t="s">
        <v>808</v>
      </c>
      <c r="F334" s="37">
        <v>6766.41</v>
      </c>
      <c r="G334" s="29" t="s">
        <v>2401</v>
      </c>
      <c r="H334" s="14">
        <v>43446</v>
      </c>
      <c r="I334" s="4" t="s">
        <v>1922</v>
      </c>
      <c r="J334" s="133"/>
      <c r="K334" s="22"/>
      <c r="L334" s="134"/>
    </row>
    <row r="335" spans="1:12" s="97" customFormat="1" hidden="1" x14ac:dyDescent="0.25">
      <c r="A335" s="13" t="s">
        <v>1148</v>
      </c>
      <c r="B335" s="14">
        <v>43486</v>
      </c>
      <c r="C335" s="13">
        <v>38</v>
      </c>
      <c r="D335" s="13" t="s">
        <v>666</v>
      </c>
      <c r="E335" s="13" t="s">
        <v>808</v>
      </c>
      <c r="F335" s="37">
        <v>10000</v>
      </c>
      <c r="G335" s="29" t="s">
        <v>2742</v>
      </c>
      <c r="H335" s="14">
        <v>43451</v>
      </c>
      <c r="I335" s="4" t="s">
        <v>2743</v>
      </c>
      <c r="J335" s="133"/>
      <c r="K335" s="22"/>
      <c r="L335" s="134"/>
    </row>
    <row r="336" spans="1:12" s="97" customFormat="1" hidden="1" x14ac:dyDescent="0.25">
      <c r="A336" s="32" t="s">
        <v>1149</v>
      </c>
      <c r="B336" s="14">
        <v>43486</v>
      </c>
      <c r="C336" s="13">
        <v>38</v>
      </c>
      <c r="D336" s="13" t="s">
        <v>666</v>
      </c>
      <c r="E336" s="13" t="s">
        <v>808</v>
      </c>
      <c r="F336" s="37">
        <v>12625</v>
      </c>
      <c r="G336" s="29" t="s">
        <v>2255</v>
      </c>
      <c r="H336" s="14">
        <v>43451</v>
      </c>
      <c r="I336" s="4" t="s">
        <v>266</v>
      </c>
      <c r="J336" s="133"/>
      <c r="K336" s="22"/>
      <c r="L336" s="134"/>
    </row>
    <row r="337" spans="1:10" hidden="1" x14ac:dyDescent="0.25">
      <c r="A337" s="61" t="s">
        <v>659</v>
      </c>
      <c r="B337" s="14">
        <v>43486</v>
      </c>
      <c r="C337" s="13">
        <v>39</v>
      </c>
      <c r="D337" s="13" t="s">
        <v>3250</v>
      </c>
      <c r="E337" s="13" t="s">
        <v>808</v>
      </c>
      <c r="F337" s="37">
        <v>214000</v>
      </c>
      <c r="G337" s="210" t="s">
        <v>299</v>
      </c>
      <c r="H337" s="211">
        <v>43479</v>
      </c>
      <c r="I337" s="4" t="s">
        <v>3251</v>
      </c>
      <c r="J337" s="128"/>
    </row>
    <row r="338" spans="1:10" hidden="1" x14ac:dyDescent="0.25">
      <c r="A338" s="61" t="s">
        <v>261</v>
      </c>
      <c r="B338" s="14">
        <v>43486</v>
      </c>
      <c r="C338" s="13">
        <v>40</v>
      </c>
      <c r="D338" s="13" t="s">
        <v>447</v>
      </c>
      <c r="E338" s="13" t="s">
        <v>808</v>
      </c>
      <c r="F338" s="37">
        <v>147000</v>
      </c>
      <c r="G338" s="29" t="s">
        <v>1334</v>
      </c>
      <c r="H338" s="14">
        <v>43444</v>
      </c>
      <c r="I338" s="4" t="s">
        <v>1237</v>
      </c>
      <c r="J338" s="128"/>
    </row>
    <row r="339" spans="1:10" hidden="1" x14ac:dyDescent="0.25">
      <c r="A339" s="61" t="s">
        <v>107</v>
      </c>
      <c r="B339" s="14">
        <v>43486</v>
      </c>
      <c r="C339" s="13">
        <v>41</v>
      </c>
      <c r="D339" s="13" t="s">
        <v>148</v>
      </c>
      <c r="E339" s="13" t="s">
        <v>808</v>
      </c>
      <c r="F339" s="37">
        <v>61750</v>
      </c>
      <c r="G339" s="29" t="s">
        <v>1108</v>
      </c>
      <c r="H339" s="14">
        <v>43412</v>
      </c>
      <c r="I339" s="4" t="s">
        <v>713</v>
      </c>
    </row>
    <row r="340" spans="1:10" ht="41.4" hidden="1" x14ac:dyDescent="0.25">
      <c r="A340" s="61" t="s">
        <v>2087</v>
      </c>
      <c r="B340" s="14">
        <v>43486</v>
      </c>
      <c r="C340" s="13">
        <v>42</v>
      </c>
      <c r="D340" s="13" t="s">
        <v>447</v>
      </c>
      <c r="E340" s="13" t="s">
        <v>808</v>
      </c>
      <c r="F340" s="37">
        <f>168300-100000</f>
        <v>68300</v>
      </c>
      <c r="G340" s="210" t="s">
        <v>347</v>
      </c>
      <c r="H340" s="211">
        <v>43404</v>
      </c>
      <c r="I340" s="4" t="s">
        <v>95</v>
      </c>
    </row>
    <row r="341" spans="1:10" ht="27.6" hidden="1" x14ac:dyDescent="0.25">
      <c r="A341" s="13" t="s">
        <v>2046</v>
      </c>
      <c r="B341" s="14">
        <v>43486</v>
      </c>
      <c r="C341" s="13">
        <v>43</v>
      </c>
      <c r="D341" s="13" t="s">
        <v>1431</v>
      </c>
      <c r="E341" s="13" t="s">
        <v>808</v>
      </c>
      <c r="F341" s="37">
        <v>216937.5</v>
      </c>
      <c r="G341" s="29" t="s">
        <v>2112</v>
      </c>
      <c r="H341" s="14">
        <v>43402</v>
      </c>
      <c r="I341" s="4" t="s">
        <v>1061</v>
      </c>
    </row>
    <row r="342" spans="1:10" ht="27.6" hidden="1" x14ac:dyDescent="0.25">
      <c r="A342" s="13" t="s">
        <v>2046</v>
      </c>
      <c r="B342" s="14">
        <v>43486</v>
      </c>
      <c r="C342" s="13">
        <v>43</v>
      </c>
      <c r="D342" s="13" t="s">
        <v>1431</v>
      </c>
      <c r="E342" s="13" t="s">
        <v>808</v>
      </c>
      <c r="F342" s="37">
        <v>115500</v>
      </c>
      <c r="G342" s="29" t="s">
        <v>2113</v>
      </c>
      <c r="H342" s="14">
        <v>43404</v>
      </c>
      <c r="I342" s="4" t="s">
        <v>1061</v>
      </c>
    </row>
    <row r="343" spans="1:10" hidden="1" x14ac:dyDescent="0.25">
      <c r="A343" s="61" t="s">
        <v>1148</v>
      </c>
      <c r="B343" s="14">
        <v>43486</v>
      </c>
      <c r="C343" s="13">
        <v>44</v>
      </c>
      <c r="D343" s="13" t="s">
        <v>1395</v>
      </c>
      <c r="E343" s="13" t="s">
        <v>808</v>
      </c>
      <c r="F343" s="37">
        <v>38000</v>
      </c>
      <c r="G343" s="29" t="s">
        <v>2669</v>
      </c>
      <c r="H343" s="14">
        <v>43451</v>
      </c>
      <c r="I343" s="4" t="s">
        <v>2670</v>
      </c>
    </row>
    <row r="344" spans="1:10" hidden="1" x14ac:dyDescent="0.25">
      <c r="A344" s="61" t="s">
        <v>1148</v>
      </c>
      <c r="B344" s="14">
        <v>43486</v>
      </c>
      <c r="C344" s="13">
        <v>44</v>
      </c>
      <c r="D344" s="13" t="s">
        <v>1395</v>
      </c>
      <c r="E344" s="13" t="s">
        <v>808</v>
      </c>
      <c r="F344" s="37">
        <v>19400</v>
      </c>
      <c r="G344" s="29" t="s">
        <v>1302</v>
      </c>
      <c r="H344" s="14">
        <v>43458</v>
      </c>
      <c r="I344" s="4" t="s">
        <v>2671</v>
      </c>
    </row>
    <row r="345" spans="1:10" hidden="1" x14ac:dyDescent="0.25">
      <c r="A345" s="32" t="s">
        <v>1149</v>
      </c>
      <c r="B345" s="14">
        <v>43486</v>
      </c>
      <c r="C345" s="13">
        <v>44</v>
      </c>
      <c r="D345" s="13" t="s">
        <v>1395</v>
      </c>
      <c r="E345" s="13" t="s">
        <v>808</v>
      </c>
      <c r="F345" s="4">
        <v>45600</v>
      </c>
      <c r="G345" s="28" t="s">
        <v>3130</v>
      </c>
      <c r="H345" s="14">
        <v>43461</v>
      </c>
      <c r="I345" s="4" t="s">
        <v>3131</v>
      </c>
    </row>
    <row r="346" spans="1:10" hidden="1" x14ac:dyDescent="0.25">
      <c r="A346" s="61" t="s">
        <v>1149</v>
      </c>
      <c r="B346" s="14">
        <v>43486</v>
      </c>
      <c r="C346" s="13">
        <v>44</v>
      </c>
      <c r="D346" s="13" t="s">
        <v>1395</v>
      </c>
      <c r="E346" s="13" t="s">
        <v>808</v>
      </c>
      <c r="F346" s="37">
        <v>49400</v>
      </c>
      <c r="G346" s="29" t="s">
        <v>3132</v>
      </c>
      <c r="H346" s="14">
        <v>43461</v>
      </c>
      <c r="I346" s="4" t="s">
        <v>3133</v>
      </c>
    </row>
    <row r="347" spans="1:10" hidden="1" x14ac:dyDescent="0.25">
      <c r="A347" s="61" t="s">
        <v>1148</v>
      </c>
      <c r="B347" s="14">
        <v>43486</v>
      </c>
      <c r="C347" s="13">
        <v>44</v>
      </c>
      <c r="D347" s="13" t="s">
        <v>1395</v>
      </c>
      <c r="E347" s="13" t="s">
        <v>808</v>
      </c>
      <c r="F347" s="37">
        <v>19400</v>
      </c>
      <c r="G347" s="29" t="s">
        <v>3137</v>
      </c>
      <c r="H347" s="14">
        <v>43463</v>
      </c>
      <c r="I347" s="4" t="s">
        <v>3138</v>
      </c>
    </row>
    <row r="348" spans="1:10" ht="41.4" hidden="1" x14ac:dyDescent="0.25">
      <c r="A348" s="61" t="s">
        <v>2270</v>
      </c>
      <c r="B348" s="14">
        <v>43486</v>
      </c>
      <c r="C348" s="13">
        <v>45</v>
      </c>
      <c r="D348" s="13" t="s">
        <v>80</v>
      </c>
      <c r="E348" s="13" t="s">
        <v>808</v>
      </c>
      <c r="F348" s="37">
        <v>150000</v>
      </c>
      <c r="G348" s="29" t="s">
        <v>2271</v>
      </c>
      <c r="H348" s="14">
        <v>43434</v>
      </c>
      <c r="I348" s="4" t="s">
        <v>2157</v>
      </c>
    </row>
    <row r="349" spans="1:10" hidden="1" x14ac:dyDescent="0.25">
      <c r="A349" s="61" t="s">
        <v>1148</v>
      </c>
      <c r="B349" s="14">
        <v>43486</v>
      </c>
      <c r="C349" s="13">
        <v>46</v>
      </c>
      <c r="D349" s="13" t="s">
        <v>29</v>
      </c>
      <c r="E349" s="13" t="s">
        <v>808</v>
      </c>
      <c r="F349" s="37">
        <v>117750</v>
      </c>
      <c r="G349" s="210" t="s">
        <v>2161</v>
      </c>
      <c r="H349" s="211">
        <v>43413</v>
      </c>
      <c r="I349" s="4" t="s">
        <v>87</v>
      </c>
    </row>
    <row r="350" spans="1:10" hidden="1" x14ac:dyDescent="0.25">
      <c r="A350" s="32" t="s">
        <v>1148</v>
      </c>
      <c r="B350" s="14">
        <v>43486</v>
      </c>
      <c r="C350" s="13">
        <v>46</v>
      </c>
      <c r="D350" s="13" t="s">
        <v>29</v>
      </c>
      <c r="E350" s="13" t="s">
        <v>808</v>
      </c>
      <c r="F350" s="4">
        <v>89775</v>
      </c>
      <c r="G350" s="28" t="s">
        <v>953</v>
      </c>
      <c r="H350" s="14">
        <v>43414</v>
      </c>
      <c r="I350" s="4" t="s">
        <v>1061</v>
      </c>
    </row>
    <row r="351" spans="1:10" hidden="1" x14ac:dyDescent="0.25">
      <c r="A351" s="61" t="s">
        <v>1147</v>
      </c>
      <c r="B351" s="14">
        <v>43486</v>
      </c>
      <c r="C351" s="13">
        <v>47</v>
      </c>
      <c r="D351" s="13" t="s">
        <v>764</v>
      </c>
      <c r="E351" s="13" t="s">
        <v>808</v>
      </c>
      <c r="F351" s="37">
        <f>515562.5-350000</f>
        <v>165562.5</v>
      </c>
      <c r="G351" s="29" t="s">
        <v>1333</v>
      </c>
      <c r="H351" s="14">
        <v>43433</v>
      </c>
      <c r="I351" s="4" t="s">
        <v>511</v>
      </c>
    </row>
    <row r="352" spans="1:10" ht="27.6" hidden="1" x14ac:dyDescent="0.25">
      <c r="A352" s="61" t="s">
        <v>2276</v>
      </c>
      <c r="B352" s="14">
        <v>43486</v>
      </c>
      <c r="C352" s="13">
        <v>48</v>
      </c>
      <c r="D352" s="13" t="s">
        <v>1985</v>
      </c>
      <c r="E352" s="13" t="s">
        <v>808</v>
      </c>
      <c r="F352" s="37">
        <v>62550</v>
      </c>
      <c r="G352" s="29" t="s">
        <v>1272</v>
      </c>
      <c r="H352" s="14">
        <v>43434</v>
      </c>
      <c r="I352" s="4" t="s">
        <v>122</v>
      </c>
    </row>
    <row r="353" spans="1:12" hidden="1" x14ac:dyDescent="0.25">
      <c r="A353" s="32" t="s">
        <v>261</v>
      </c>
      <c r="B353" s="14">
        <v>43486</v>
      </c>
      <c r="C353" s="13">
        <v>49</v>
      </c>
      <c r="D353" s="13" t="s">
        <v>1688</v>
      </c>
      <c r="E353" s="13" t="s">
        <v>808</v>
      </c>
      <c r="F353" s="4">
        <v>8496</v>
      </c>
      <c r="G353" s="28" t="s">
        <v>2675</v>
      </c>
      <c r="H353" s="14">
        <v>43446</v>
      </c>
      <c r="I353" s="4" t="s">
        <v>2676</v>
      </c>
    </row>
    <row r="354" spans="1:12" hidden="1" x14ac:dyDescent="0.25">
      <c r="A354" s="13" t="s">
        <v>1148</v>
      </c>
      <c r="B354" s="14">
        <v>43486</v>
      </c>
      <c r="C354" s="13">
        <v>50</v>
      </c>
      <c r="D354" s="13" t="s">
        <v>2115</v>
      </c>
      <c r="E354" s="13" t="s">
        <v>808</v>
      </c>
      <c r="F354" s="37">
        <v>41600</v>
      </c>
      <c r="G354" s="210" t="s">
        <v>320</v>
      </c>
      <c r="H354" s="211">
        <v>43404</v>
      </c>
      <c r="I354" s="4" t="s">
        <v>164</v>
      </c>
    </row>
    <row r="355" spans="1:12" hidden="1" x14ac:dyDescent="0.25">
      <c r="A355" s="13" t="s">
        <v>2162</v>
      </c>
      <c r="B355" s="14">
        <v>43486</v>
      </c>
      <c r="C355" s="13">
        <v>50</v>
      </c>
      <c r="D355" s="13" t="s">
        <v>2115</v>
      </c>
      <c r="E355" s="13" t="s">
        <v>808</v>
      </c>
      <c r="F355" s="37">
        <v>101375</v>
      </c>
      <c r="G355" s="29" t="s">
        <v>730</v>
      </c>
      <c r="H355" s="14">
        <v>43404</v>
      </c>
      <c r="I355" s="4" t="s">
        <v>2163</v>
      </c>
    </row>
    <row r="356" spans="1:12" hidden="1" x14ac:dyDescent="0.25">
      <c r="A356" s="68" t="s">
        <v>659</v>
      </c>
      <c r="B356" s="14">
        <v>43486</v>
      </c>
      <c r="C356" s="127">
        <v>7</v>
      </c>
      <c r="D356" s="32" t="s">
        <v>1555</v>
      </c>
      <c r="E356" s="32" t="s">
        <v>691</v>
      </c>
      <c r="F356" s="4">
        <v>8400</v>
      </c>
      <c r="G356" s="29" t="s">
        <v>2976</v>
      </c>
      <c r="H356" s="14">
        <v>43466</v>
      </c>
      <c r="I356" s="208" t="s">
        <v>2977</v>
      </c>
      <c r="J356" s="21"/>
      <c r="K356" s="228"/>
    </row>
    <row r="357" spans="1:12" hidden="1" x14ac:dyDescent="0.25">
      <c r="A357" s="13" t="s">
        <v>637</v>
      </c>
      <c r="B357" s="14">
        <v>43486</v>
      </c>
      <c r="C357" s="28" t="s">
        <v>2955</v>
      </c>
      <c r="D357" s="32" t="s">
        <v>432</v>
      </c>
      <c r="E357" s="32" t="s">
        <v>691</v>
      </c>
      <c r="F357" s="4">
        <v>59888</v>
      </c>
      <c r="G357" s="69" t="s">
        <v>3256</v>
      </c>
      <c r="H357" s="14"/>
      <c r="I357" s="4" t="s">
        <v>433</v>
      </c>
      <c r="J357" s="21"/>
      <c r="K357" s="228"/>
    </row>
    <row r="358" spans="1:12" hidden="1" x14ac:dyDescent="0.25">
      <c r="A358" s="32" t="s">
        <v>1350</v>
      </c>
      <c r="B358" s="14">
        <v>43486</v>
      </c>
      <c r="C358" s="13">
        <v>9</v>
      </c>
      <c r="D358" s="32" t="s">
        <v>825</v>
      </c>
      <c r="E358" s="13" t="s">
        <v>691</v>
      </c>
      <c r="F358" s="4">
        <v>200000</v>
      </c>
      <c r="G358" s="29" t="s">
        <v>1643</v>
      </c>
      <c r="H358" s="211"/>
      <c r="I358" s="4" t="s">
        <v>82</v>
      </c>
      <c r="J358" s="228"/>
      <c r="K358" s="228"/>
    </row>
    <row r="359" spans="1:12" hidden="1" x14ac:dyDescent="0.25">
      <c r="A359" s="32" t="s">
        <v>151</v>
      </c>
      <c r="B359" s="14">
        <v>43486</v>
      </c>
      <c r="C359" s="13">
        <v>10</v>
      </c>
      <c r="D359" s="32" t="s">
        <v>3254</v>
      </c>
      <c r="E359" s="13" t="s">
        <v>691</v>
      </c>
      <c r="F359" s="4">
        <v>24360.35</v>
      </c>
      <c r="G359" s="29" t="s">
        <v>3255</v>
      </c>
      <c r="H359" s="14">
        <v>43482</v>
      </c>
      <c r="I359" s="4" t="s">
        <v>3523</v>
      </c>
      <c r="J359" s="228"/>
      <c r="K359" s="228"/>
    </row>
    <row r="360" spans="1:12" hidden="1" x14ac:dyDescent="0.25">
      <c r="A360" s="68" t="s">
        <v>1350</v>
      </c>
      <c r="B360" s="14">
        <v>43486</v>
      </c>
      <c r="C360" s="67">
        <v>11</v>
      </c>
      <c r="D360" s="32" t="s">
        <v>1005</v>
      </c>
      <c r="E360" s="13" t="s">
        <v>691</v>
      </c>
      <c r="F360" s="4">
        <v>13800</v>
      </c>
      <c r="G360" s="67" t="s">
        <v>2763</v>
      </c>
      <c r="H360" s="14">
        <v>43445</v>
      </c>
      <c r="I360" s="4" t="s">
        <v>909</v>
      </c>
      <c r="J360" s="21"/>
      <c r="K360" s="228"/>
    </row>
    <row r="361" spans="1:12" hidden="1" x14ac:dyDescent="0.25">
      <c r="A361" s="68" t="s">
        <v>1350</v>
      </c>
      <c r="B361" s="14">
        <v>43486</v>
      </c>
      <c r="C361" s="127">
        <v>12</v>
      </c>
      <c r="D361" s="32" t="s">
        <v>1228</v>
      </c>
      <c r="E361" s="32" t="s">
        <v>691</v>
      </c>
      <c r="F361" s="4">
        <f>476800-159300-100000</f>
        <v>217500</v>
      </c>
      <c r="G361" s="29" t="s">
        <v>2056</v>
      </c>
      <c r="H361" s="14">
        <v>43363</v>
      </c>
      <c r="I361" s="208" t="s">
        <v>1786</v>
      </c>
      <c r="J361" s="21"/>
      <c r="K361" s="228"/>
    </row>
    <row r="362" spans="1:12" hidden="1" x14ac:dyDescent="0.25">
      <c r="A362" s="68" t="s">
        <v>1081</v>
      </c>
      <c r="B362" s="14">
        <v>43486</v>
      </c>
      <c r="C362" s="127">
        <v>13</v>
      </c>
      <c r="D362" s="32" t="s">
        <v>1228</v>
      </c>
      <c r="E362" s="32" t="s">
        <v>691</v>
      </c>
      <c r="F362" s="4">
        <v>50500</v>
      </c>
      <c r="G362" s="29" t="s">
        <v>2055</v>
      </c>
      <c r="H362" s="14">
        <v>43398</v>
      </c>
      <c r="I362" s="208" t="s">
        <v>1786</v>
      </c>
      <c r="J362" s="21"/>
      <c r="K362" s="228"/>
    </row>
    <row r="363" spans="1:12" hidden="1" x14ac:dyDescent="0.25">
      <c r="A363" s="68" t="s">
        <v>637</v>
      </c>
      <c r="B363" s="14">
        <v>43486</v>
      </c>
      <c r="C363" s="127">
        <v>14</v>
      </c>
      <c r="D363" s="32" t="s">
        <v>1228</v>
      </c>
      <c r="E363" s="32" t="s">
        <v>691</v>
      </c>
      <c r="F363" s="4">
        <v>117000</v>
      </c>
      <c r="G363" s="29" t="s">
        <v>2095</v>
      </c>
      <c r="H363" s="14">
        <v>43399</v>
      </c>
      <c r="I363" s="208" t="s">
        <v>1786</v>
      </c>
      <c r="J363" s="21"/>
      <c r="K363" s="228"/>
    </row>
    <row r="364" spans="1:12" s="97" customFormat="1" hidden="1" x14ac:dyDescent="0.25">
      <c r="A364" s="13" t="s">
        <v>660</v>
      </c>
      <c r="B364" s="14">
        <v>43486</v>
      </c>
      <c r="C364" s="13">
        <v>15</v>
      </c>
      <c r="D364" s="13" t="s">
        <v>1065</v>
      </c>
      <c r="E364" s="13" t="s">
        <v>691</v>
      </c>
      <c r="F364" s="37">
        <v>25086.799999999999</v>
      </c>
      <c r="G364" s="29" t="s">
        <v>1603</v>
      </c>
      <c r="H364" s="14">
        <v>43446</v>
      </c>
      <c r="I364" s="4" t="s">
        <v>2415</v>
      </c>
      <c r="J364" s="133"/>
      <c r="K364" s="22"/>
      <c r="L364" s="134"/>
    </row>
    <row r="365" spans="1:12" s="97" customFormat="1" hidden="1" x14ac:dyDescent="0.25">
      <c r="A365" s="61" t="s">
        <v>1350</v>
      </c>
      <c r="B365" s="14">
        <v>43486</v>
      </c>
      <c r="C365" s="13">
        <v>16</v>
      </c>
      <c r="D365" s="13" t="s">
        <v>868</v>
      </c>
      <c r="E365" s="13" t="s">
        <v>691</v>
      </c>
      <c r="F365" s="37">
        <v>2132.8000000000002</v>
      </c>
      <c r="G365" s="210" t="s">
        <v>2409</v>
      </c>
      <c r="H365" s="211">
        <v>43440</v>
      </c>
      <c r="I365" s="4" t="s">
        <v>1352</v>
      </c>
      <c r="J365" s="133"/>
      <c r="K365" s="22"/>
      <c r="L365" s="134"/>
    </row>
    <row r="366" spans="1:12" s="97" customFormat="1" hidden="1" x14ac:dyDescent="0.25">
      <c r="A366" s="61" t="s">
        <v>637</v>
      </c>
      <c r="B366" s="14">
        <v>43486</v>
      </c>
      <c r="C366" s="13">
        <v>16</v>
      </c>
      <c r="D366" s="13" t="s">
        <v>868</v>
      </c>
      <c r="E366" s="13" t="s">
        <v>691</v>
      </c>
      <c r="F366" s="37">
        <v>9600</v>
      </c>
      <c r="G366" s="210" t="s">
        <v>2410</v>
      </c>
      <c r="H366" s="211">
        <v>43445</v>
      </c>
      <c r="I366" s="4" t="s">
        <v>345</v>
      </c>
      <c r="J366" s="133"/>
      <c r="K366" s="22"/>
      <c r="L366" s="134"/>
    </row>
    <row r="367" spans="1:12" s="97" customFormat="1" hidden="1" x14ac:dyDescent="0.25">
      <c r="A367" s="61" t="s">
        <v>659</v>
      </c>
      <c r="B367" s="14">
        <v>43486</v>
      </c>
      <c r="C367" s="13">
        <v>17</v>
      </c>
      <c r="D367" s="13" t="s">
        <v>814</v>
      </c>
      <c r="E367" s="13" t="s">
        <v>691</v>
      </c>
      <c r="F367" s="37">
        <v>62619.32</v>
      </c>
      <c r="G367" s="29" t="s">
        <v>2307</v>
      </c>
      <c r="H367" s="14">
        <v>43439</v>
      </c>
      <c r="I367" s="4" t="s">
        <v>2070</v>
      </c>
      <c r="J367" s="133"/>
      <c r="K367" s="22"/>
      <c r="L367" s="134"/>
    </row>
    <row r="368" spans="1:12" s="97" customFormat="1" hidden="1" x14ac:dyDescent="0.25">
      <c r="A368" s="32" t="s">
        <v>1350</v>
      </c>
      <c r="B368" s="14">
        <v>43486</v>
      </c>
      <c r="C368" s="13">
        <v>18</v>
      </c>
      <c r="D368" s="13" t="s">
        <v>2830</v>
      </c>
      <c r="E368" s="13" t="s">
        <v>691</v>
      </c>
      <c r="F368" s="4">
        <v>18000</v>
      </c>
      <c r="G368" s="28" t="s">
        <v>2831</v>
      </c>
      <c r="H368" s="14">
        <v>43453</v>
      </c>
      <c r="I368" s="4" t="s">
        <v>2832</v>
      </c>
      <c r="J368" s="133"/>
      <c r="K368" s="22"/>
      <c r="L368" s="134"/>
    </row>
    <row r="369" spans="1:12" s="97" customFormat="1" hidden="1" x14ac:dyDescent="0.25">
      <c r="A369" s="61" t="s">
        <v>659</v>
      </c>
      <c r="B369" s="14">
        <v>43486</v>
      </c>
      <c r="C369" s="13">
        <v>19</v>
      </c>
      <c r="D369" s="13" t="s">
        <v>666</v>
      </c>
      <c r="E369" s="13" t="s">
        <v>691</v>
      </c>
      <c r="F369" s="37">
        <v>15480</v>
      </c>
      <c r="G369" s="29" t="s">
        <v>867</v>
      </c>
      <c r="H369" s="14">
        <v>43444</v>
      </c>
      <c r="I369" s="4" t="s">
        <v>815</v>
      </c>
      <c r="J369" s="133"/>
      <c r="K369" s="22"/>
      <c r="L369" s="134"/>
    </row>
    <row r="370" spans="1:12" hidden="1" x14ac:dyDescent="0.25">
      <c r="A370" s="61" t="s">
        <v>660</v>
      </c>
      <c r="B370" s="14">
        <v>43486</v>
      </c>
      <c r="C370" s="13">
        <v>20</v>
      </c>
      <c r="D370" s="13" t="s">
        <v>381</v>
      </c>
      <c r="E370" s="13" t="s">
        <v>691</v>
      </c>
      <c r="F370" s="37">
        <v>16000</v>
      </c>
      <c r="G370" s="210" t="s">
        <v>52</v>
      </c>
      <c r="H370" s="211">
        <v>43425</v>
      </c>
      <c r="I370" s="4" t="s">
        <v>2226</v>
      </c>
      <c r="J370" s="128"/>
    </row>
    <row r="371" spans="1:12" hidden="1" x14ac:dyDescent="0.25">
      <c r="A371" s="13" t="s">
        <v>637</v>
      </c>
      <c r="B371" s="14">
        <v>43486</v>
      </c>
      <c r="C371" s="13">
        <v>21</v>
      </c>
      <c r="D371" s="13" t="s">
        <v>447</v>
      </c>
      <c r="E371" s="13" t="s">
        <v>691</v>
      </c>
      <c r="F371" s="37">
        <v>30500</v>
      </c>
      <c r="G371" s="29" t="s">
        <v>1436</v>
      </c>
      <c r="H371" s="14">
        <v>43439</v>
      </c>
      <c r="I371" s="4" t="s">
        <v>1328</v>
      </c>
      <c r="J371" s="128"/>
    </row>
    <row r="372" spans="1:12" hidden="1" x14ac:dyDescent="0.25">
      <c r="A372" s="61" t="s">
        <v>659</v>
      </c>
      <c r="B372" s="14">
        <v>43486</v>
      </c>
      <c r="C372" s="13">
        <v>22</v>
      </c>
      <c r="D372" s="13" t="s">
        <v>1348</v>
      </c>
      <c r="E372" s="13" t="s">
        <v>691</v>
      </c>
      <c r="F372" s="37">
        <v>149100</v>
      </c>
      <c r="G372" s="210" t="s">
        <v>2533</v>
      </c>
      <c r="H372" s="211">
        <v>43442</v>
      </c>
      <c r="I372" s="4" t="s">
        <v>1237</v>
      </c>
      <c r="J372" s="128"/>
    </row>
    <row r="373" spans="1:12" hidden="1" x14ac:dyDescent="0.25">
      <c r="A373" s="61" t="s">
        <v>659</v>
      </c>
      <c r="B373" s="14">
        <v>43486</v>
      </c>
      <c r="C373" s="13">
        <v>23</v>
      </c>
      <c r="D373" s="13" t="s">
        <v>1513</v>
      </c>
      <c r="E373" s="13" t="s">
        <v>691</v>
      </c>
      <c r="F373" s="37">
        <v>149700</v>
      </c>
      <c r="G373" s="210" t="s">
        <v>26</v>
      </c>
      <c r="H373" s="211">
        <v>43434</v>
      </c>
      <c r="I373" s="4" t="s">
        <v>1237</v>
      </c>
      <c r="J373" s="128"/>
    </row>
    <row r="374" spans="1:12" hidden="1" x14ac:dyDescent="0.25">
      <c r="A374" s="32" t="s">
        <v>659</v>
      </c>
      <c r="B374" s="14">
        <v>43486</v>
      </c>
      <c r="C374" s="13">
        <v>23</v>
      </c>
      <c r="D374" s="13" t="s">
        <v>1513</v>
      </c>
      <c r="E374" s="13" t="s">
        <v>691</v>
      </c>
      <c r="F374" s="4">
        <v>149700</v>
      </c>
      <c r="G374" s="28" t="s">
        <v>1155</v>
      </c>
      <c r="H374" s="14">
        <v>43451</v>
      </c>
      <c r="I374" s="4" t="s">
        <v>1237</v>
      </c>
      <c r="J374" s="128"/>
    </row>
    <row r="375" spans="1:12" hidden="1" x14ac:dyDescent="0.25">
      <c r="A375" s="61" t="s">
        <v>1350</v>
      </c>
      <c r="B375" s="14">
        <v>43486</v>
      </c>
      <c r="C375" s="13">
        <v>24</v>
      </c>
      <c r="D375" s="13" t="s">
        <v>944</v>
      </c>
      <c r="E375" s="13" t="s">
        <v>691</v>
      </c>
      <c r="F375" s="37">
        <f>189000</f>
        <v>189000</v>
      </c>
      <c r="G375" s="29" t="s">
        <v>2152</v>
      </c>
      <c r="H375" s="14">
        <v>43404</v>
      </c>
      <c r="I375" s="4" t="s">
        <v>402</v>
      </c>
    </row>
    <row r="376" spans="1:12" hidden="1" x14ac:dyDescent="0.25">
      <c r="A376" s="32" t="s">
        <v>1350</v>
      </c>
      <c r="B376" s="14">
        <v>43486</v>
      </c>
      <c r="C376" s="13">
        <v>25</v>
      </c>
      <c r="D376" s="13" t="s">
        <v>1099</v>
      </c>
      <c r="E376" s="13" t="s">
        <v>691</v>
      </c>
      <c r="F376" s="4">
        <v>49764</v>
      </c>
      <c r="G376" s="28" t="s">
        <v>2043</v>
      </c>
      <c r="H376" s="14">
        <v>43374</v>
      </c>
      <c r="I376" s="4" t="s">
        <v>14</v>
      </c>
    </row>
    <row r="377" spans="1:12" hidden="1" x14ac:dyDescent="0.25">
      <c r="A377" s="61" t="s">
        <v>1350</v>
      </c>
      <c r="B377" s="14">
        <v>43486</v>
      </c>
      <c r="C377" s="13">
        <v>26</v>
      </c>
      <c r="D377" s="13" t="s">
        <v>1395</v>
      </c>
      <c r="E377" s="13" t="s">
        <v>691</v>
      </c>
      <c r="F377" s="37">
        <v>19400</v>
      </c>
      <c r="G377" s="29" t="s">
        <v>2804</v>
      </c>
      <c r="H377" s="14">
        <v>43451</v>
      </c>
      <c r="I377" s="4" t="s">
        <v>2805</v>
      </c>
    </row>
    <row r="378" spans="1:12" hidden="1" x14ac:dyDescent="0.25">
      <c r="A378" s="61" t="s">
        <v>1350</v>
      </c>
      <c r="B378" s="14">
        <v>43486</v>
      </c>
      <c r="C378" s="13">
        <v>26</v>
      </c>
      <c r="D378" s="13" t="s">
        <v>1395</v>
      </c>
      <c r="E378" s="13" t="s">
        <v>691</v>
      </c>
      <c r="F378" s="37">
        <v>45600</v>
      </c>
      <c r="G378" s="29" t="s">
        <v>3134</v>
      </c>
      <c r="H378" s="14">
        <v>43462</v>
      </c>
      <c r="I378" s="4" t="s">
        <v>3135</v>
      </c>
    </row>
    <row r="379" spans="1:12" hidden="1" x14ac:dyDescent="0.25">
      <c r="A379" s="61" t="s">
        <v>1350</v>
      </c>
      <c r="B379" s="14">
        <v>43486</v>
      </c>
      <c r="C379" s="13">
        <v>26</v>
      </c>
      <c r="D379" s="13" t="s">
        <v>1395</v>
      </c>
      <c r="E379" s="13" t="s">
        <v>691</v>
      </c>
      <c r="F379" s="37">
        <v>19400</v>
      </c>
      <c r="G379" s="29" t="s">
        <v>2893</v>
      </c>
      <c r="H379" s="14">
        <v>43474</v>
      </c>
      <c r="I379" s="4" t="s">
        <v>3138</v>
      </c>
    </row>
    <row r="380" spans="1:12" hidden="1" x14ac:dyDescent="0.25">
      <c r="A380" s="32" t="s">
        <v>1350</v>
      </c>
      <c r="B380" s="14">
        <v>43486</v>
      </c>
      <c r="C380" s="13">
        <v>27</v>
      </c>
      <c r="D380" s="13" t="s">
        <v>250</v>
      </c>
      <c r="E380" s="13" t="s">
        <v>691</v>
      </c>
      <c r="F380" s="4">
        <v>108062.5</v>
      </c>
      <c r="G380" s="28" t="s">
        <v>2114</v>
      </c>
      <c r="H380" s="14">
        <v>43404</v>
      </c>
      <c r="I380" s="4" t="s">
        <v>1601</v>
      </c>
    </row>
    <row r="381" spans="1:12" hidden="1" x14ac:dyDescent="0.25">
      <c r="A381" s="13" t="s">
        <v>1350</v>
      </c>
      <c r="B381" s="14">
        <v>43486</v>
      </c>
      <c r="C381" s="13">
        <v>27</v>
      </c>
      <c r="D381" s="13" t="s">
        <v>250</v>
      </c>
      <c r="E381" s="13" t="s">
        <v>691</v>
      </c>
      <c r="F381" s="37">
        <v>17000</v>
      </c>
      <c r="G381" s="29" t="s">
        <v>2220</v>
      </c>
      <c r="H381" s="14">
        <v>43418</v>
      </c>
      <c r="I381" s="4" t="s">
        <v>402</v>
      </c>
    </row>
    <row r="382" spans="1:12" hidden="1" x14ac:dyDescent="0.25">
      <c r="A382" s="61" t="s">
        <v>1350</v>
      </c>
      <c r="B382" s="14">
        <v>43486</v>
      </c>
      <c r="C382" s="13">
        <v>28</v>
      </c>
      <c r="D382" s="13" t="s">
        <v>2047</v>
      </c>
      <c r="E382" s="13" t="s">
        <v>691</v>
      </c>
      <c r="F382" s="37">
        <v>40800</v>
      </c>
      <c r="G382" s="29" t="s">
        <v>2814</v>
      </c>
      <c r="H382" s="14">
        <v>43451</v>
      </c>
      <c r="I382" s="4" t="s">
        <v>95</v>
      </c>
    </row>
    <row r="383" spans="1:12" hidden="1" x14ac:dyDescent="0.25">
      <c r="A383" s="61" t="s">
        <v>637</v>
      </c>
      <c r="B383" s="14">
        <v>43486</v>
      </c>
      <c r="C383" s="13">
        <v>28</v>
      </c>
      <c r="D383" s="13" t="s">
        <v>2047</v>
      </c>
      <c r="E383" s="13" t="s">
        <v>691</v>
      </c>
      <c r="F383" s="37">
        <v>17000</v>
      </c>
      <c r="G383" s="29" t="s">
        <v>2815</v>
      </c>
      <c r="H383" s="14">
        <v>43451</v>
      </c>
      <c r="I383" s="4" t="s">
        <v>95</v>
      </c>
    </row>
    <row r="384" spans="1:12" hidden="1" x14ac:dyDescent="0.25">
      <c r="A384" s="61" t="s">
        <v>151</v>
      </c>
      <c r="B384" s="14">
        <v>43486</v>
      </c>
      <c r="C384" s="13">
        <v>15</v>
      </c>
      <c r="D384" s="13" t="s">
        <v>3310</v>
      </c>
      <c r="E384" s="13" t="s">
        <v>195</v>
      </c>
      <c r="F384" s="37">
        <v>158727.95000000001</v>
      </c>
      <c r="G384" s="29" t="s">
        <v>3311</v>
      </c>
      <c r="H384" s="14">
        <v>43483</v>
      </c>
      <c r="I384" s="4" t="s">
        <v>512</v>
      </c>
    </row>
    <row r="385" spans="1:19" hidden="1" x14ac:dyDescent="0.25">
      <c r="A385" s="61" t="s">
        <v>151</v>
      </c>
      <c r="B385" s="14">
        <v>43486</v>
      </c>
      <c r="C385" s="13">
        <v>48</v>
      </c>
      <c r="D385" s="13" t="s">
        <v>2905</v>
      </c>
      <c r="E385" s="13" t="s">
        <v>1121</v>
      </c>
      <c r="F385" s="37">
        <v>50000</v>
      </c>
      <c r="G385" s="29" t="s">
        <v>458</v>
      </c>
      <c r="H385" s="14">
        <v>43486</v>
      </c>
      <c r="I385" s="4" t="s">
        <v>1525</v>
      </c>
    </row>
    <row r="386" spans="1:19" hidden="1" x14ac:dyDescent="0.25">
      <c r="A386" s="61" t="s">
        <v>6</v>
      </c>
      <c r="B386" s="14">
        <v>43486</v>
      </c>
      <c r="C386" s="13">
        <v>37</v>
      </c>
      <c r="D386" s="13" t="s">
        <v>3312</v>
      </c>
      <c r="E386" s="13" t="s">
        <v>183</v>
      </c>
      <c r="F386" s="37">
        <v>72166.2</v>
      </c>
      <c r="G386" s="29" t="s">
        <v>1384</v>
      </c>
      <c r="H386" s="14">
        <v>43482</v>
      </c>
      <c r="I386" s="4" t="s">
        <v>187</v>
      </c>
    </row>
    <row r="387" spans="1:19" hidden="1" x14ac:dyDescent="0.25">
      <c r="A387" s="61" t="s">
        <v>741</v>
      </c>
      <c r="B387" s="14">
        <v>43486</v>
      </c>
      <c r="C387" s="13">
        <v>37</v>
      </c>
      <c r="D387" s="13" t="s">
        <v>1513</v>
      </c>
      <c r="E387" s="13" t="s">
        <v>434</v>
      </c>
      <c r="F387" s="37">
        <v>317200</v>
      </c>
      <c r="G387" s="29" t="s">
        <v>71</v>
      </c>
      <c r="H387" s="14">
        <v>43424</v>
      </c>
      <c r="I387" s="4" t="s">
        <v>2197</v>
      </c>
      <c r="J387" s="128"/>
    </row>
    <row r="388" spans="1:19" s="2" customFormat="1" hidden="1" x14ac:dyDescent="0.25">
      <c r="A388" s="13" t="s">
        <v>741</v>
      </c>
      <c r="B388" s="14">
        <v>43486</v>
      </c>
      <c r="C388" s="13">
        <v>38</v>
      </c>
      <c r="D388" s="13" t="s">
        <v>2005</v>
      </c>
      <c r="E388" s="13" t="s">
        <v>434</v>
      </c>
      <c r="F388" s="37">
        <v>120000</v>
      </c>
      <c r="G388" s="29" t="s">
        <v>2006</v>
      </c>
      <c r="H388" s="14">
        <v>43382</v>
      </c>
      <c r="I388" s="4" t="s">
        <v>517</v>
      </c>
      <c r="J388" s="121"/>
      <c r="K388" s="5"/>
    </row>
    <row r="389" spans="1:19" hidden="1" x14ac:dyDescent="0.25">
      <c r="A389" s="61" t="s">
        <v>741</v>
      </c>
      <c r="B389" s="14">
        <v>43486</v>
      </c>
      <c r="C389" s="13">
        <v>39</v>
      </c>
      <c r="D389" s="13" t="s">
        <v>3183</v>
      </c>
      <c r="E389" s="13" t="s">
        <v>434</v>
      </c>
      <c r="F389" s="37">
        <v>8200</v>
      </c>
      <c r="G389" s="29" t="s">
        <v>3184</v>
      </c>
      <c r="H389" s="14">
        <v>43479</v>
      </c>
      <c r="I389" s="4" t="s">
        <v>3185</v>
      </c>
      <c r="J389" s="128"/>
    </row>
    <row r="390" spans="1:19" hidden="1" x14ac:dyDescent="0.25">
      <c r="A390" s="68" t="s">
        <v>637</v>
      </c>
      <c r="B390" s="242">
        <v>43487</v>
      </c>
      <c r="C390" s="13" t="s">
        <v>3338</v>
      </c>
      <c r="D390" s="32" t="s">
        <v>837</v>
      </c>
      <c r="E390" s="32" t="s">
        <v>691</v>
      </c>
      <c r="F390" s="4">
        <f>408068+400484-500000</f>
        <v>308552</v>
      </c>
      <c r="G390" s="210" t="s">
        <v>207</v>
      </c>
      <c r="H390" s="211"/>
      <c r="I390" s="208" t="s">
        <v>838</v>
      </c>
      <c r="J390" s="228"/>
      <c r="K390" s="228"/>
    </row>
    <row r="391" spans="1:19" ht="27.6" hidden="1" x14ac:dyDescent="0.25">
      <c r="A391" s="32" t="s">
        <v>2020</v>
      </c>
      <c r="B391" s="14">
        <v>43487</v>
      </c>
      <c r="C391" s="13">
        <v>53</v>
      </c>
      <c r="D391" s="32" t="s">
        <v>392</v>
      </c>
      <c r="E391" s="32" t="s">
        <v>3309</v>
      </c>
      <c r="F391" s="4">
        <f>3255768.88-1443383.37</f>
        <v>1812385.5099999998</v>
      </c>
      <c r="G391" s="28" t="s">
        <v>2997</v>
      </c>
      <c r="H391" s="14">
        <v>43479</v>
      </c>
      <c r="I391" s="41" t="s">
        <v>620</v>
      </c>
      <c r="J391" s="35" t="s">
        <v>327</v>
      </c>
      <c r="K391" s="167"/>
      <c r="L391" s="35"/>
    </row>
    <row r="392" spans="1:19" ht="16.5" hidden="1" customHeight="1" x14ac:dyDescent="0.25">
      <c r="A392" s="13" t="s">
        <v>184</v>
      </c>
      <c r="B392" s="14">
        <v>43487</v>
      </c>
      <c r="C392" s="67">
        <v>50</v>
      </c>
      <c r="D392" s="32" t="s">
        <v>189</v>
      </c>
      <c r="E392" s="32" t="s">
        <v>1121</v>
      </c>
      <c r="F392" s="4">
        <v>231000</v>
      </c>
      <c r="G392" s="28" t="s">
        <v>2955</v>
      </c>
      <c r="H392" s="14">
        <v>43474</v>
      </c>
      <c r="I392" s="4" t="s">
        <v>1069</v>
      </c>
      <c r="J392" s="263" t="s">
        <v>2970</v>
      </c>
      <c r="K392" s="63"/>
      <c r="L392" s="62"/>
    </row>
    <row r="393" spans="1:19" s="129" customFormat="1" ht="41.4" hidden="1" x14ac:dyDescent="0.25">
      <c r="A393" s="13" t="s">
        <v>151</v>
      </c>
      <c r="B393" s="14">
        <v>43487</v>
      </c>
      <c r="C393" s="28" t="s">
        <v>3339</v>
      </c>
      <c r="D393" s="13" t="s">
        <v>711</v>
      </c>
      <c r="E393" s="32" t="s">
        <v>1121</v>
      </c>
      <c r="F393" s="37">
        <f>4050+6150+800+3700+800+1100+1450+3650+2800+4600</f>
        <v>29100</v>
      </c>
      <c r="G393" s="28" t="s">
        <v>3282</v>
      </c>
      <c r="H393" s="28" t="s">
        <v>3283</v>
      </c>
      <c r="I393" s="4" t="s">
        <v>712</v>
      </c>
      <c r="J393" s="170"/>
      <c r="K393" s="136"/>
    </row>
    <row r="394" spans="1:19" s="129" customFormat="1" hidden="1" x14ac:dyDescent="0.25">
      <c r="A394" s="13" t="s">
        <v>151</v>
      </c>
      <c r="B394" s="14">
        <v>43487</v>
      </c>
      <c r="C394" s="28" t="s">
        <v>301</v>
      </c>
      <c r="D394" s="13" t="s">
        <v>2889</v>
      </c>
      <c r="E394" s="13" t="s">
        <v>144</v>
      </c>
      <c r="F394" s="37">
        <v>40000</v>
      </c>
      <c r="G394" s="28" t="s">
        <v>2890</v>
      </c>
      <c r="H394" s="14">
        <v>43474</v>
      </c>
      <c r="I394" s="4" t="s">
        <v>2891</v>
      </c>
      <c r="J394" s="133"/>
      <c r="K394" s="275"/>
    </row>
    <row r="395" spans="1:19" hidden="1" x14ac:dyDescent="0.25">
      <c r="A395" s="32" t="s">
        <v>151</v>
      </c>
      <c r="B395" s="14">
        <v>43487</v>
      </c>
      <c r="C395" s="13">
        <v>13</v>
      </c>
      <c r="D395" s="13" t="s">
        <v>223</v>
      </c>
      <c r="E395" s="32" t="s">
        <v>22</v>
      </c>
      <c r="F395" s="4">
        <v>25600</v>
      </c>
      <c r="G395" s="28" t="s">
        <v>1384</v>
      </c>
      <c r="H395" s="14">
        <v>43424</v>
      </c>
      <c r="I395" s="4" t="s">
        <v>3072</v>
      </c>
      <c r="J395" s="76"/>
      <c r="K395" s="246"/>
    </row>
    <row r="396" spans="1:19" hidden="1" x14ac:dyDescent="0.25">
      <c r="A396" s="32" t="s">
        <v>151</v>
      </c>
      <c r="B396" s="14">
        <v>43487</v>
      </c>
      <c r="C396" s="13">
        <v>13</v>
      </c>
      <c r="D396" s="13" t="s">
        <v>223</v>
      </c>
      <c r="E396" s="32" t="s">
        <v>22</v>
      </c>
      <c r="F396" s="4">
        <v>25820</v>
      </c>
      <c r="G396" s="28" t="s">
        <v>1379</v>
      </c>
      <c r="H396" s="14">
        <v>43418</v>
      </c>
      <c r="I396" s="4" t="s">
        <v>3072</v>
      </c>
      <c r="J396" s="76"/>
      <c r="K396" s="246"/>
    </row>
    <row r="397" spans="1:19" hidden="1" x14ac:dyDescent="0.25">
      <c r="A397" s="32" t="s">
        <v>151</v>
      </c>
      <c r="B397" s="14">
        <v>43487</v>
      </c>
      <c r="C397" s="13">
        <v>13</v>
      </c>
      <c r="D397" s="13" t="s">
        <v>223</v>
      </c>
      <c r="E397" s="32" t="s">
        <v>22</v>
      </c>
      <c r="F397" s="4">
        <v>24940</v>
      </c>
      <c r="G397" s="28" t="s">
        <v>1247</v>
      </c>
      <c r="H397" s="14">
        <v>43446</v>
      </c>
      <c r="I397" s="4" t="s">
        <v>3072</v>
      </c>
      <c r="J397" s="76"/>
      <c r="K397" s="246"/>
    </row>
    <row r="398" spans="1:19" ht="27.6" hidden="1" x14ac:dyDescent="0.25">
      <c r="A398" s="32" t="s">
        <v>129</v>
      </c>
      <c r="B398" s="14">
        <v>43487</v>
      </c>
      <c r="C398" s="67">
        <v>168</v>
      </c>
      <c r="D398" s="32" t="s">
        <v>373</v>
      </c>
      <c r="E398" s="32" t="s">
        <v>1427</v>
      </c>
      <c r="F398" s="4">
        <f>1253088.08</f>
        <v>1253088.08</v>
      </c>
      <c r="G398" s="28" t="s">
        <v>1405</v>
      </c>
      <c r="H398" s="14">
        <v>43152</v>
      </c>
      <c r="I398" s="4" t="s">
        <v>362</v>
      </c>
      <c r="J398" s="166" t="s">
        <v>327</v>
      </c>
      <c r="K398" s="167"/>
      <c r="L398" s="35"/>
    </row>
    <row r="399" spans="1:19" s="115" customFormat="1" ht="15.6" hidden="1" x14ac:dyDescent="0.25">
      <c r="A399" s="13" t="s">
        <v>638</v>
      </c>
      <c r="B399" s="14">
        <v>43487</v>
      </c>
      <c r="C399" s="13">
        <v>58</v>
      </c>
      <c r="D399" s="13" t="s">
        <v>873</v>
      </c>
      <c r="E399" s="13" t="s">
        <v>547</v>
      </c>
      <c r="F399" s="37">
        <v>800000</v>
      </c>
      <c r="G399" s="13" t="s">
        <v>874</v>
      </c>
      <c r="H399" s="126">
        <v>43376</v>
      </c>
      <c r="I399" s="29" t="s">
        <v>875</v>
      </c>
      <c r="K399" s="116"/>
      <c r="L399" s="116"/>
      <c r="M399" s="116"/>
      <c r="N399" s="116"/>
      <c r="O399" s="117"/>
      <c r="P399" s="117"/>
      <c r="Q399" s="117"/>
      <c r="R399" s="117"/>
      <c r="S399" s="117"/>
    </row>
    <row r="400" spans="1:19" s="62" customFormat="1" ht="15" hidden="1" customHeight="1" x14ac:dyDescent="0.25">
      <c r="A400" s="13" t="s">
        <v>125</v>
      </c>
      <c r="B400" s="14">
        <v>43487</v>
      </c>
      <c r="C400" s="13">
        <v>57</v>
      </c>
      <c r="D400" s="13" t="s">
        <v>156</v>
      </c>
      <c r="E400" s="13" t="s">
        <v>547</v>
      </c>
      <c r="F400" s="37">
        <v>5026.3900000000003</v>
      </c>
      <c r="G400" s="29" t="s">
        <v>2914</v>
      </c>
      <c r="H400" s="14">
        <v>43474</v>
      </c>
      <c r="I400" s="4" t="s">
        <v>1561</v>
      </c>
      <c r="J400" s="357" t="s">
        <v>327</v>
      </c>
      <c r="O400" s="35"/>
      <c r="P400" s="35"/>
      <c r="Q400" s="35"/>
      <c r="R400" s="35"/>
      <c r="S400" s="35"/>
    </row>
    <row r="401" spans="1:12" ht="15" hidden="1" customHeight="1" x14ac:dyDescent="0.25">
      <c r="A401" s="68" t="s">
        <v>206</v>
      </c>
      <c r="B401" s="14">
        <v>43487</v>
      </c>
      <c r="C401" s="13">
        <v>9</v>
      </c>
      <c r="D401" s="32" t="s">
        <v>281</v>
      </c>
      <c r="E401" s="32" t="s">
        <v>178</v>
      </c>
      <c r="F401" s="4">
        <v>14570.2</v>
      </c>
      <c r="G401" s="29" t="s">
        <v>2992</v>
      </c>
      <c r="H401" s="14">
        <v>43479</v>
      </c>
      <c r="I401" s="41" t="s">
        <v>362</v>
      </c>
      <c r="J401" s="35" t="s">
        <v>327</v>
      </c>
      <c r="K401" s="35"/>
      <c r="L401" s="35"/>
    </row>
    <row r="402" spans="1:12" ht="15" hidden="1" customHeight="1" x14ac:dyDescent="0.25">
      <c r="A402" s="68" t="s">
        <v>206</v>
      </c>
      <c r="B402" s="14">
        <v>43487</v>
      </c>
      <c r="C402" s="13">
        <v>10</v>
      </c>
      <c r="D402" s="32" t="s">
        <v>281</v>
      </c>
      <c r="E402" s="32" t="s">
        <v>178</v>
      </c>
      <c r="F402" s="4">
        <v>17900</v>
      </c>
      <c r="G402" s="29" t="s">
        <v>2487</v>
      </c>
      <c r="H402" s="14">
        <v>43446</v>
      </c>
      <c r="I402" s="41" t="s">
        <v>847</v>
      </c>
      <c r="J402" s="35" t="s">
        <v>239</v>
      </c>
      <c r="K402" s="35"/>
      <c r="L402" s="35"/>
    </row>
    <row r="403" spans="1:12" hidden="1" x14ac:dyDescent="0.25">
      <c r="A403" s="68" t="s">
        <v>174</v>
      </c>
      <c r="B403" s="14">
        <v>43487</v>
      </c>
      <c r="C403" s="13">
        <v>7</v>
      </c>
      <c r="D403" s="32" t="s">
        <v>1135</v>
      </c>
      <c r="E403" s="32" t="s">
        <v>178</v>
      </c>
      <c r="F403" s="4">
        <v>18741.599999999999</v>
      </c>
      <c r="G403" s="210" t="s">
        <v>3295</v>
      </c>
      <c r="H403" s="211">
        <v>43483</v>
      </c>
      <c r="I403" s="208" t="s">
        <v>3296</v>
      </c>
      <c r="J403" s="21"/>
      <c r="K403" s="228"/>
    </row>
    <row r="404" spans="1:12" ht="13.8" hidden="1" customHeight="1" x14ac:dyDescent="0.25">
      <c r="A404" s="68" t="s">
        <v>174</v>
      </c>
      <c r="B404" s="14">
        <v>43487</v>
      </c>
      <c r="C404" s="13">
        <v>8</v>
      </c>
      <c r="D404" s="32" t="s">
        <v>1135</v>
      </c>
      <c r="E404" s="32" t="s">
        <v>178</v>
      </c>
      <c r="F404" s="4">
        <v>5250</v>
      </c>
      <c r="G404" s="210" t="s">
        <v>3297</v>
      </c>
      <c r="H404" s="211">
        <v>43483</v>
      </c>
      <c r="I404" s="208" t="s">
        <v>2246</v>
      </c>
      <c r="J404" s="21"/>
      <c r="K404" s="228"/>
    </row>
    <row r="405" spans="1:12" ht="27.6" hidden="1" x14ac:dyDescent="0.25">
      <c r="A405" s="13" t="s">
        <v>8</v>
      </c>
      <c r="B405" s="14">
        <v>43487</v>
      </c>
      <c r="C405" s="13">
        <v>119</v>
      </c>
      <c r="D405" s="13" t="s">
        <v>2974</v>
      </c>
      <c r="E405" s="13" t="s">
        <v>130</v>
      </c>
      <c r="F405" s="37">
        <v>929</v>
      </c>
      <c r="G405" s="210"/>
      <c r="H405" s="14"/>
      <c r="I405" s="4" t="s">
        <v>2975</v>
      </c>
    </row>
    <row r="406" spans="1:12" ht="27.6" hidden="1" x14ac:dyDescent="0.25">
      <c r="A406" s="13" t="s">
        <v>8</v>
      </c>
      <c r="B406" s="14">
        <v>43487</v>
      </c>
      <c r="C406" s="13">
        <v>120</v>
      </c>
      <c r="D406" s="13" t="s">
        <v>2974</v>
      </c>
      <c r="E406" s="13" t="s">
        <v>130</v>
      </c>
      <c r="F406" s="37">
        <v>89</v>
      </c>
      <c r="G406" s="210"/>
      <c r="H406" s="14"/>
      <c r="I406" s="4" t="s">
        <v>2975</v>
      </c>
    </row>
    <row r="407" spans="1:12" ht="27.6" hidden="1" x14ac:dyDescent="0.25">
      <c r="A407" s="13" t="s">
        <v>35</v>
      </c>
      <c r="B407" s="14">
        <v>43487</v>
      </c>
      <c r="C407" s="13">
        <v>121</v>
      </c>
      <c r="D407" s="13" t="s">
        <v>2974</v>
      </c>
      <c r="E407" s="13" t="s">
        <v>130</v>
      </c>
      <c r="F407" s="37">
        <v>682</v>
      </c>
      <c r="G407" s="210"/>
      <c r="H407" s="14"/>
      <c r="I407" s="4" t="s">
        <v>2975</v>
      </c>
    </row>
    <row r="408" spans="1:12" ht="27.6" hidden="1" x14ac:dyDescent="0.25">
      <c r="A408" s="13" t="s">
        <v>213</v>
      </c>
      <c r="B408" s="14">
        <v>43487</v>
      </c>
      <c r="C408" s="13">
        <v>122</v>
      </c>
      <c r="D408" s="13" t="s">
        <v>2974</v>
      </c>
      <c r="E408" s="13" t="s">
        <v>130</v>
      </c>
      <c r="F408" s="37">
        <v>331</v>
      </c>
      <c r="G408" s="210"/>
      <c r="H408" s="14"/>
      <c r="I408" s="4" t="s">
        <v>2975</v>
      </c>
    </row>
    <row r="409" spans="1:12" ht="27.6" hidden="1" x14ac:dyDescent="0.25">
      <c r="A409" s="13" t="s">
        <v>213</v>
      </c>
      <c r="B409" s="14">
        <v>43487</v>
      </c>
      <c r="C409" s="13">
        <v>123</v>
      </c>
      <c r="D409" s="13" t="s">
        <v>2974</v>
      </c>
      <c r="E409" s="13" t="s">
        <v>130</v>
      </c>
      <c r="F409" s="37">
        <v>115</v>
      </c>
      <c r="G409" s="210"/>
      <c r="H409" s="14"/>
      <c r="I409" s="4" t="s">
        <v>2975</v>
      </c>
    </row>
    <row r="410" spans="1:12" ht="27.6" hidden="1" x14ac:dyDescent="0.25">
      <c r="A410" s="13" t="s">
        <v>1147</v>
      </c>
      <c r="B410" s="14">
        <v>43487</v>
      </c>
      <c r="C410" s="13">
        <v>124</v>
      </c>
      <c r="D410" s="13" t="s">
        <v>2974</v>
      </c>
      <c r="E410" s="13" t="s">
        <v>130</v>
      </c>
      <c r="F410" s="37">
        <v>1161</v>
      </c>
      <c r="G410" s="210"/>
      <c r="H410" s="14"/>
      <c r="I410" s="4" t="s">
        <v>2975</v>
      </c>
    </row>
    <row r="411" spans="1:12" ht="27.6" hidden="1" x14ac:dyDescent="0.25">
      <c r="A411" s="13" t="s">
        <v>1147</v>
      </c>
      <c r="B411" s="14">
        <v>43487</v>
      </c>
      <c r="C411" s="13">
        <v>125</v>
      </c>
      <c r="D411" s="13" t="s">
        <v>2974</v>
      </c>
      <c r="E411" s="13" t="s">
        <v>130</v>
      </c>
      <c r="F411" s="37">
        <v>230</v>
      </c>
      <c r="G411" s="210"/>
      <c r="H411" s="14"/>
      <c r="I411" s="4" t="s">
        <v>2975</v>
      </c>
    </row>
    <row r="412" spans="1:12" ht="27.6" hidden="1" x14ac:dyDescent="0.25">
      <c r="A412" s="13" t="s">
        <v>1148</v>
      </c>
      <c r="B412" s="14">
        <v>43487</v>
      </c>
      <c r="C412" s="13">
        <v>126</v>
      </c>
      <c r="D412" s="13" t="s">
        <v>2974</v>
      </c>
      <c r="E412" s="13" t="s">
        <v>130</v>
      </c>
      <c r="F412" s="37">
        <v>332</v>
      </c>
      <c r="G412" s="210"/>
      <c r="H412" s="14"/>
      <c r="I412" s="4" t="s">
        <v>2975</v>
      </c>
    </row>
    <row r="413" spans="1:12" ht="27.6" hidden="1" x14ac:dyDescent="0.25">
      <c r="A413" s="13" t="s">
        <v>1148</v>
      </c>
      <c r="B413" s="14">
        <v>43487</v>
      </c>
      <c r="C413" s="13">
        <v>127</v>
      </c>
      <c r="D413" s="13" t="s">
        <v>2974</v>
      </c>
      <c r="E413" s="13" t="s">
        <v>130</v>
      </c>
      <c r="F413" s="37">
        <v>382</v>
      </c>
      <c r="G413" s="210"/>
      <c r="H413" s="14"/>
      <c r="I413" s="4" t="s">
        <v>2975</v>
      </c>
    </row>
    <row r="414" spans="1:12" ht="27.6" hidden="1" x14ac:dyDescent="0.25">
      <c r="A414" s="13" t="s">
        <v>1149</v>
      </c>
      <c r="B414" s="14">
        <v>43487</v>
      </c>
      <c r="C414" s="13">
        <v>128</v>
      </c>
      <c r="D414" s="13" t="s">
        <v>2974</v>
      </c>
      <c r="E414" s="13" t="s">
        <v>130</v>
      </c>
      <c r="F414" s="37">
        <v>818</v>
      </c>
      <c r="G414" s="210"/>
      <c r="H414" s="14"/>
      <c r="I414" s="4" t="s">
        <v>2975</v>
      </c>
    </row>
    <row r="415" spans="1:12" ht="27.6" hidden="1" x14ac:dyDescent="0.25">
      <c r="A415" s="13" t="s">
        <v>1149</v>
      </c>
      <c r="B415" s="14">
        <v>43487</v>
      </c>
      <c r="C415" s="13">
        <v>129</v>
      </c>
      <c r="D415" s="13" t="s">
        <v>2974</v>
      </c>
      <c r="E415" s="13" t="s">
        <v>130</v>
      </c>
      <c r="F415" s="37">
        <v>251</v>
      </c>
      <c r="G415" s="210"/>
      <c r="H415" s="14"/>
      <c r="I415" s="4" t="s">
        <v>2975</v>
      </c>
    </row>
    <row r="416" spans="1:12" ht="27.6" hidden="1" x14ac:dyDescent="0.25">
      <c r="A416" s="13" t="s">
        <v>261</v>
      </c>
      <c r="B416" s="14">
        <v>43487</v>
      </c>
      <c r="C416" s="13">
        <v>130</v>
      </c>
      <c r="D416" s="13" t="s">
        <v>2974</v>
      </c>
      <c r="E416" s="13" t="s">
        <v>130</v>
      </c>
      <c r="F416" s="37">
        <v>8950</v>
      </c>
      <c r="G416" s="210"/>
      <c r="H416" s="14"/>
      <c r="I416" s="4" t="s">
        <v>2975</v>
      </c>
    </row>
    <row r="417" spans="1:9" ht="27.6" hidden="1" x14ac:dyDescent="0.25">
      <c r="A417" s="13" t="s">
        <v>660</v>
      </c>
      <c r="B417" s="14">
        <v>43487</v>
      </c>
      <c r="C417" s="13">
        <v>131</v>
      </c>
      <c r="D417" s="13" t="s">
        <v>2974</v>
      </c>
      <c r="E417" s="13" t="s">
        <v>130</v>
      </c>
      <c r="F417" s="37">
        <v>23932</v>
      </c>
      <c r="G417" s="29"/>
      <c r="H417" s="14"/>
      <c r="I417" s="4" t="s">
        <v>2975</v>
      </c>
    </row>
    <row r="418" spans="1:9" ht="27.6" hidden="1" x14ac:dyDescent="0.25">
      <c r="A418" s="13" t="s">
        <v>659</v>
      </c>
      <c r="B418" s="14">
        <v>43487</v>
      </c>
      <c r="C418" s="13">
        <v>132</v>
      </c>
      <c r="D418" s="13" t="s">
        <v>2974</v>
      </c>
      <c r="E418" s="13" t="s">
        <v>130</v>
      </c>
      <c r="F418" s="37">
        <v>9927</v>
      </c>
      <c r="G418" s="29"/>
      <c r="H418" s="14"/>
      <c r="I418" s="4" t="s">
        <v>2975</v>
      </c>
    </row>
    <row r="419" spans="1:9" ht="27.6" hidden="1" x14ac:dyDescent="0.25">
      <c r="A419" s="13" t="s">
        <v>455</v>
      </c>
      <c r="B419" s="14">
        <v>43487</v>
      </c>
      <c r="C419" s="13">
        <v>133</v>
      </c>
      <c r="D419" s="13" t="s">
        <v>2974</v>
      </c>
      <c r="E419" s="13" t="s">
        <v>130</v>
      </c>
      <c r="F419" s="37">
        <v>6010</v>
      </c>
      <c r="G419" s="210"/>
      <c r="H419" s="14"/>
      <c r="I419" s="4" t="s">
        <v>2975</v>
      </c>
    </row>
    <row r="420" spans="1:9" ht="27.6" hidden="1" x14ac:dyDescent="0.25">
      <c r="A420" s="13" t="s">
        <v>1422</v>
      </c>
      <c r="B420" s="14">
        <v>43487</v>
      </c>
      <c r="C420" s="13">
        <v>134</v>
      </c>
      <c r="D420" s="13" t="s">
        <v>2974</v>
      </c>
      <c r="E420" s="13" t="s">
        <v>130</v>
      </c>
      <c r="F420" s="37">
        <v>717</v>
      </c>
      <c r="G420" s="210"/>
      <c r="H420" s="14"/>
      <c r="I420" s="4" t="s">
        <v>2975</v>
      </c>
    </row>
    <row r="421" spans="1:9" ht="27.6" hidden="1" x14ac:dyDescent="0.25">
      <c r="A421" s="13" t="s">
        <v>1422</v>
      </c>
      <c r="B421" s="14">
        <v>43487</v>
      </c>
      <c r="C421" s="13">
        <v>135</v>
      </c>
      <c r="D421" s="13" t="s">
        <v>2974</v>
      </c>
      <c r="E421" s="13" t="s">
        <v>130</v>
      </c>
      <c r="F421" s="37">
        <v>5</v>
      </c>
      <c r="G421" s="210"/>
      <c r="H421" s="14"/>
      <c r="I421" s="4" t="s">
        <v>2975</v>
      </c>
    </row>
    <row r="422" spans="1:9" ht="27.6" hidden="1" x14ac:dyDescent="0.25">
      <c r="A422" s="13" t="s">
        <v>637</v>
      </c>
      <c r="B422" s="14">
        <v>43487</v>
      </c>
      <c r="C422" s="13">
        <v>136</v>
      </c>
      <c r="D422" s="13" t="s">
        <v>2974</v>
      </c>
      <c r="E422" s="13" t="s">
        <v>130</v>
      </c>
      <c r="F422" s="37">
        <v>5770</v>
      </c>
      <c r="G422" s="29"/>
      <c r="H422" s="14"/>
      <c r="I422" s="4" t="s">
        <v>2975</v>
      </c>
    </row>
    <row r="423" spans="1:9" ht="27.6" hidden="1" x14ac:dyDescent="0.25">
      <c r="A423" s="13" t="s">
        <v>637</v>
      </c>
      <c r="B423" s="14">
        <v>43487</v>
      </c>
      <c r="C423" s="13">
        <v>137</v>
      </c>
      <c r="D423" s="13" t="s">
        <v>2974</v>
      </c>
      <c r="E423" s="13" t="s">
        <v>130</v>
      </c>
      <c r="F423" s="37">
        <v>956</v>
      </c>
      <c r="G423" s="29"/>
      <c r="H423" s="14"/>
      <c r="I423" s="4" t="s">
        <v>2975</v>
      </c>
    </row>
    <row r="424" spans="1:9" ht="27.6" hidden="1" x14ac:dyDescent="0.25">
      <c r="A424" s="13" t="s">
        <v>1316</v>
      </c>
      <c r="B424" s="14">
        <v>43487</v>
      </c>
      <c r="C424" s="13">
        <v>138</v>
      </c>
      <c r="D424" s="13" t="s">
        <v>2974</v>
      </c>
      <c r="E424" s="13" t="s">
        <v>130</v>
      </c>
      <c r="F424" s="37">
        <v>4334</v>
      </c>
      <c r="G424" s="29"/>
      <c r="H424" s="14"/>
      <c r="I424" s="4" t="s">
        <v>2975</v>
      </c>
    </row>
    <row r="425" spans="1:9" ht="27.6" hidden="1" x14ac:dyDescent="0.25">
      <c r="A425" s="13" t="s">
        <v>1316</v>
      </c>
      <c r="B425" s="14">
        <v>43487</v>
      </c>
      <c r="C425" s="13">
        <v>139</v>
      </c>
      <c r="D425" s="13" t="s">
        <v>2974</v>
      </c>
      <c r="E425" s="13" t="s">
        <v>130</v>
      </c>
      <c r="F425" s="37">
        <v>956</v>
      </c>
      <c r="G425" s="29"/>
      <c r="H425" s="14"/>
      <c r="I425" s="4" t="s">
        <v>2975</v>
      </c>
    </row>
    <row r="426" spans="1:9" ht="27.6" hidden="1" x14ac:dyDescent="0.25">
      <c r="A426" s="13" t="s">
        <v>1350</v>
      </c>
      <c r="B426" s="14">
        <v>43487</v>
      </c>
      <c r="C426" s="13">
        <v>140</v>
      </c>
      <c r="D426" s="13" t="s">
        <v>2974</v>
      </c>
      <c r="E426" s="13" t="s">
        <v>130</v>
      </c>
      <c r="F426" s="37">
        <v>3048</v>
      </c>
      <c r="G426" s="29"/>
      <c r="H426" s="14"/>
      <c r="I426" s="4" t="s">
        <v>2975</v>
      </c>
    </row>
    <row r="427" spans="1:9" ht="27.6" hidden="1" x14ac:dyDescent="0.25">
      <c r="A427" s="13" t="s">
        <v>1972</v>
      </c>
      <c r="B427" s="14">
        <v>43487</v>
      </c>
      <c r="C427" s="13">
        <v>141</v>
      </c>
      <c r="D427" s="13" t="s">
        <v>2974</v>
      </c>
      <c r="E427" s="13" t="s">
        <v>130</v>
      </c>
      <c r="F427" s="37">
        <v>2046</v>
      </c>
      <c r="G427" s="29"/>
      <c r="H427" s="14"/>
      <c r="I427" s="4" t="s">
        <v>2975</v>
      </c>
    </row>
    <row r="428" spans="1:9" ht="27.6" hidden="1" x14ac:dyDescent="0.25">
      <c r="A428" s="13" t="s">
        <v>90</v>
      </c>
      <c r="B428" s="14">
        <v>43487</v>
      </c>
      <c r="C428" s="13">
        <v>142</v>
      </c>
      <c r="D428" s="13" t="s">
        <v>2974</v>
      </c>
      <c r="E428" s="13" t="s">
        <v>130</v>
      </c>
      <c r="F428" s="37">
        <v>1371</v>
      </c>
      <c r="G428" s="210"/>
      <c r="H428" s="14"/>
      <c r="I428" s="4" t="s">
        <v>2975</v>
      </c>
    </row>
    <row r="429" spans="1:9" ht="27.6" hidden="1" x14ac:dyDescent="0.25">
      <c r="A429" s="13" t="s">
        <v>90</v>
      </c>
      <c r="B429" s="14">
        <v>43487</v>
      </c>
      <c r="C429" s="13">
        <v>143</v>
      </c>
      <c r="D429" s="13" t="s">
        <v>2974</v>
      </c>
      <c r="E429" s="13" t="s">
        <v>130</v>
      </c>
      <c r="F429" s="37">
        <v>172</v>
      </c>
      <c r="G429" s="210"/>
      <c r="H429" s="14"/>
      <c r="I429" s="4" t="s">
        <v>2975</v>
      </c>
    </row>
    <row r="430" spans="1:9" ht="27.6" hidden="1" x14ac:dyDescent="0.25">
      <c r="A430" s="13" t="s">
        <v>310</v>
      </c>
      <c r="B430" s="14">
        <v>43487</v>
      </c>
      <c r="C430" s="13">
        <v>144</v>
      </c>
      <c r="D430" s="13" t="s">
        <v>2974</v>
      </c>
      <c r="E430" s="13" t="s">
        <v>130</v>
      </c>
      <c r="F430" s="37">
        <v>2913</v>
      </c>
      <c r="G430" s="210"/>
      <c r="H430" s="14"/>
      <c r="I430" s="4" t="s">
        <v>2975</v>
      </c>
    </row>
    <row r="431" spans="1:9" ht="27.6" hidden="1" x14ac:dyDescent="0.25">
      <c r="A431" s="13" t="s">
        <v>310</v>
      </c>
      <c r="B431" s="14">
        <v>43487</v>
      </c>
      <c r="C431" s="13">
        <v>145</v>
      </c>
      <c r="D431" s="13" t="s">
        <v>2974</v>
      </c>
      <c r="E431" s="13" t="s">
        <v>130</v>
      </c>
      <c r="F431" s="37">
        <v>239</v>
      </c>
      <c r="G431" s="210"/>
      <c r="H431" s="14"/>
      <c r="I431" s="4" t="s">
        <v>2975</v>
      </c>
    </row>
    <row r="432" spans="1:9" ht="27.6" hidden="1" x14ac:dyDescent="0.25">
      <c r="A432" s="13" t="s">
        <v>311</v>
      </c>
      <c r="B432" s="14">
        <v>43487</v>
      </c>
      <c r="C432" s="13">
        <v>146</v>
      </c>
      <c r="D432" s="13" t="s">
        <v>2974</v>
      </c>
      <c r="E432" s="13" t="s">
        <v>130</v>
      </c>
      <c r="F432" s="37">
        <v>23813</v>
      </c>
      <c r="G432" s="210"/>
      <c r="H432" s="14"/>
      <c r="I432" s="4" t="s">
        <v>2975</v>
      </c>
    </row>
    <row r="433" spans="1:9" ht="27.6" hidden="1" x14ac:dyDescent="0.25">
      <c r="A433" s="13" t="s">
        <v>311</v>
      </c>
      <c r="B433" s="14">
        <v>43487</v>
      </c>
      <c r="C433" s="13">
        <v>147</v>
      </c>
      <c r="D433" s="13" t="s">
        <v>2974</v>
      </c>
      <c r="E433" s="13" t="s">
        <v>130</v>
      </c>
      <c r="F433" s="37">
        <v>245</v>
      </c>
      <c r="G433" s="210"/>
      <c r="H433" s="14"/>
      <c r="I433" s="4" t="s">
        <v>2975</v>
      </c>
    </row>
    <row r="434" spans="1:9" ht="27.6" hidden="1" x14ac:dyDescent="0.25">
      <c r="A434" s="13" t="s">
        <v>188</v>
      </c>
      <c r="B434" s="14">
        <v>43487</v>
      </c>
      <c r="C434" s="13">
        <v>148</v>
      </c>
      <c r="D434" s="13" t="s">
        <v>2974</v>
      </c>
      <c r="E434" s="13" t="s">
        <v>130</v>
      </c>
      <c r="F434" s="37">
        <v>3167</v>
      </c>
      <c r="G434" s="210"/>
      <c r="H434" s="14"/>
      <c r="I434" s="4" t="s">
        <v>2975</v>
      </c>
    </row>
    <row r="435" spans="1:9" ht="27.6" hidden="1" x14ac:dyDescent="0.25">
      <c r="A435" s="13" t="s">
        <v>442</v>
      </c>
      <c r="B435" s="14">
        <v>43487</v>
      </c>
      <c r="C435" s="13">
        <v>149</v>
      </c>
      <c r="D435" s="13" t="s">
        <v>2974</v>
      </c>
      <c r="E435" s="13" t="s">
        <v>130</v>
      </c>
      <c r="F435" s="37">
        <v>6242</v>
      </c>
      <c r="G435" s="210"/>
      <c r="H435" s="14"/>
      <c r="I435" s="4" t="s">
        <v>2975</v>
      </c>
    </row>
    <row r="436" spans="1:9" ht="27.6" hidden="1" x14ac:dyDescent="0.25">
      <c r="A436" s="13" t="s">
        <v>442</v>
      </c>
      <c r="B436" s="14">
        <v>43487</v>
      </c>
      <c r="C436" s="13">
        <v>150</v>
      </c>
      <c r="D436" s="13" t="s">
        <v>2974</v>
      </c>
      <c r="E436" s="13" t="s">
        <v>130</v>
      </c>
      <c r="F436" s="37">
        <v>3822</v>
      </c>
      <c r="G436" s="210"/>
      <c r="H436" s="14"/>
      <c r="I436" s="4" t="s">
        <v>2975</v>
      </c>
    </row>
    <row r="437" spans="1:9" ht="27.6" hidden="1" x14ac:dyDescent="0.25">
      <c r="A437" s="13" t="s">
        <v>442</v>
      </c>
      <c r="B437" s="14">
        <v>43487</v>
      </c>
      <c r="C437" s="13">
        <v>151</v>
      </c>
      <c r="D437" s="13" t="s">
        <v>2974</v>
      </c>
      <c r="E437" s="13" t="s">
        <v>130</v>
      </c>
      <c r="F437" s="37">
        <v>3163</v>
      </c>
      <c r="G437" s="210"/>
      <c r="H437" s="14"/>
      <c r="I437" s="4" t="s">
        <v>2975</v>
      </c>
    </row>
    <row r="438" spans="1:9" ht="27.6" hidden="1" x14ac:dyDescent="0.25">
      <c r="A438" s="13" t="s">
        <v>442</v>
      </c>
      <c r="B438" s="14">
        <v>43487</v>
      </c>
      <c r="C438" s="13">
        <v>152</v>
      </c>
      <c r="D438" s="13" t="s">
        <v>2974</v>
      </c>
      <c r="E438" s="13" t="s">
        <v>130</v>
      </c>
      <c r="F438" s="37">
        <v>1929</v>
      </c>
      <c r="G438" s="210"/>
      <c r="H438" s="14"/>
      <c r="I438" s="4" t="s">
        <v>2975</v>
      </c>
    </row>
    <row r="439" spans="1:9" ht="27.6" hidden="1" x14ac:dyDescent="0.25">
      <c r="A439" s="13" t="s">
        <v>442</v>
      </c>
      <c r="B439" s="14">
        <v>43487</v>
      </c>
      <c r="C439" s="13">
        <v>153</v>
      </c>
      <c r="D439" s="13" t="s">
        <v>2974</v>
      </c>
      <c r="E439" s="13" t="s">
        <v>130</v>
      </c>
      <c r="F439" s="37">
        <v>3082</v>
      </c>
      <c r="G439" s="210"/>
      <c r="H439" s="14"/>
      <c r="I439" s="4" t="s">
        <v>2975</v>
      </c>
    </row>
    <row r="440" spans="1:9" ht="27.6" hidden="1" x14ac:dyDescent="0.25">
      <c r="A440" s="13" t="s">
        <v>442</v>
      </c>
      <c r="B440" s="14">
        <v>43487</v>
      </c>
      <c r="C440" s="13">
        <v>154</v>
      </c>
      <c r="D440" s="13" t="s">
        <v>2974</v>
      </c>
      <c r="E440" s="13" t="s">
        <v>130</v>
      </c>
      <c r="F440" s="37">
        <v>2294</v>
      </c>
      <c r="G440" s="210"/>
      <c r="H440" s="14"/>
      <c r="I440" s="4" t="s">
        <v>2975</v>
      </c>
    </row>
    <row r="441" spans="1:9" ht="27.6" hidden="1" x14ac:dyDescent="0.25">
      <c r="A441" s="13" t="s">
        <v>358</v>
      </c>
      <c r="B441" s="14">
        <v>43487</v>
      </c>
      <c r="C441" s="13">
        <v>155</v>
      </c>
      <c r="D441" s="13" t="s">
        <v>2974</v>
      </c>
      <c r="E441" s="13" t="s">
        <v>130</v>
      </c>
      <c r="F441" s="37">
        <v>9144</v>
      </c>
      <c r="G441" s="210"/>
      <c r="H441" s="14"/>
      <c r="I441" s="4" t="s">
        <v>2975</v>
      </c>
    </row>
    <row r="442" spans="1:9" ht="27.6" hidden="1" x14ac:dyDescent="0.25">
      <c r="A442" s="13" t="s">
        <v>358</v>
      </c>
      <c r="B442" s="14">
        <v>43487</v>
      </c>
      <c r="C442" s="13">
        <v>156</v>
      </c>
      <c r="D442" s="13" t="s">
        <v>2974</v>
      </c>
      <c r="E442" s="13" t="s">
        <v>130</v>
      </c>
      <c r="F442" s="37">
        <v>779</v>
      </c>
      <c r="G442" s="210"/>
      <c r="H442" s="14"/>
      <c r="I442" s="4" t="s">
        <v>2975</v>
      </c>
    </row>
    <row r="443" spans="1:9" ht="27.6" hidden="1" x14ac:dyDescent="0.25">
      <c r="A443" s="13" t="s">
        <v>55</v>
      </c>
      <c r="B443" s="14">
        <v>43487</v>
      </c>
      <c r="C443" s="13">
        <v>157</v>
      </c>
      <c r="D443" s="13" t="s">
        <v>2974</v>
      </c>
      <c r="E443" s="13" t="s">
        <v>130</v>
      </c>
      <c r="F443" s="37">
        <v>5021</v>
      </c>
      <c r="G443" s="210"/>
      <c r="H443" s="14"/>
      <c r="I443" s="4" t="s">
        <v>2975</v>
      </c>
    </row>
    <row r="444" spans="1:9" ht="27.6" hidden="1" x14ac:dyDescent="0.25">
      <c r="A444" s="13" t="s">
        <v>55</v>
      </c>
      <c r="B444" s="14">
        <v>43487</v>
      </c>
      <c r="C444" s="13">
        <v>158</v>
      </c>
      <c r="D444" s="13" t="s">
        <v>2974</v>
      </c>
      <c r="E444" s="13" t="s">
        <v>130</v>
      </c>
      <c r="F444" s="37">
        <v>787</v>
      </c>
      <c r="G444" s="210"/>
      <c r="H444" s="14"/>
      <c r="I444" s="4" t="s">
        <v>2975</v>
      </c>
    </row>
    <row r="445" spans="1:9" ht="27.6" hidden="1" x14ac:dyDescent="0.25">
      <c r="A445" s="13" t="s">
        <v>91</v>
      </c>
      <c r="B445" s="14">
        <v>43487</v>
      </c>
      <c r="C445" s="13">
        <v>159</v>
      </c>
      <c r="D445" s="13" t="s">
        <v>2974</v>
      </c>
      <c r="E445" s="13" t="s">
        <v>130</v>
      </c>
      <c r="F445" s="37">
        <v>6920</v>
      </c>
      <c r="G445" s="210"/>
      <c r="H445" s="14"/>
      <c r="I445" s="4" t="s">
        <v>2975</v>
      </c>
    </row>
    <row r="446" spans="1:9" ht="27.6" hidden="1" x14ac:dyDescent="0.25">
      <c r="A446" s="13" t="s">
        <v>91</v>
      </c>
      <c r="B446" s="14">
        <v>43487</v>
      </c>
      <c r="C446" s="13">
        <v>160</v>
      </c>
      <c r="D446" s="13" t="s">
        <v>2974</v>
      </c>
      <c r="E446" s="13" t="s">
        <v>130</v>
      </c>
      <c r="F446" s="37">
        <v>1043</v>
      </c>
      <c r="G446" s="210"/>
      <c r="H446" s="14"/>
      <c r="I446" s="4" t="s">
        <v>2975</v>
      </c>
    </row>
    <row r="447" spans="1:9" ht="27.6" hidden="1" x14ac:dyDescent="0.25">
      <c r="A447" s="13" t="s">
        <v>92</v>
      </c>
      <c r="B447" s="14">
        <v>43487</v>
      </c>
      <c r="C447" s="13">
        <v>161</v>
      </c>
      <c r="D447" s="13" t="s">
        <v>2974</v>
      </c>
      <c r="E447" s="13" t="s">
        <v>130</v>
      </c>
      <c r="F447" s="37">
        <v>8511</v>
      </c>
      <c r="G447" s="210"/>
      <c r="H447" s="14"/>
      <c r="I447" s="4" t="s">
        <v>2975</v>
      </c>
    </row>
    <row r="448" spans="1:9" ht="27.6" hidden="1" x14ac:dyDescent="0.25">
      <c r="A448" s="13" t="s">
        <v>92</v>
      </c>
      <c r="B448" s="14">
        <v>43487</v>
      </c>
      <c r="C448" s="13">
        <v>162</v>
      </c>
      <c r="D448" s="13" t="s">
        <v>2974</v>
      </c>
      <c r="E448" s="13" t="s">
        <v>130</v>
      </c>
      <c r="F448" s="37">
        <v>1243</v>
      </c>
      <c r="G448" s="210"/>
      <c r="H448" s="14"/>
      <c r="I448" s="4" t="s">
        <v>2975</v>
      </c>
    </row>
    <row r="449" spans="1:19" ht="27.6" hidden="1" x14ac:dyDescent="0.25">
      <c r="A449" s="13" t="s">
        <v>505</v>
      </c>
      <c r="B449" s="14">
        <v>43487</v>
      </c>
      <c r="C449" s="13">
        <v>163</v>
      </c>
      <c r="D449" s="13" t="s">
        <v>2974</v>
      </c>
      <c r="E449" s="13" t="s">
        <v>130</v>
      </c>
      <c r="F449" s="37">
        <v>1176</v>
      </c>
      <c r="G449" s="210"/>
      <c r="H449" s="14"/>
      <c r="I449" s="4" t="s">
        <v>2975</v>
      </c>
    </row>
    <row r="450" spans="1:19" ht="27.6" hidden="1" x14ac:dyDescent="0.25">
      <c r="A450" s="13" t="s">
        <v>505</v>
      </c>
      <c r="B450" s="14">
        <v>43487</v>
      </c>
      <c r="C450" s="13">
        <v>164</v>
      </c>
      <c r="D450" s="13" t="s">
        <v>2974</v>
      </c>
      <c r="E450" s="13" t="s">
        <v>130</v>
      </c>
      <c r="F450" s="37">
        <v>573</v>
      </c>
      <c r="G450" s="29"/>
      <c r="H450" s="14"/>
      <c r="I450" s="4" t="s">
        <v>2975</v>
      </c>
    </row>
    <row r="451" spans="1:19" s="129" customFormat="1" ht="27.6" hidden="1" x14ac:dyDescent="0.25">
      <c r="A451" s="13" t="s">
        <v>151</v>
      </c>
      <c r="B451" s="14">
        <v>43487</v>
      </c>
      <c r="C451" s="28" t="s">
        <v>139</v>
      </c>
      <c r="D451" s="13" t="s">
        <v>3097</v>
      </c>
      <c r="E451" s="13" t="s">
        <v>130</v>
      </c>
      <c r="F451" s="37">
        <v>18480</v>
      </c>
      <c r="G451" s="28" t="s">
        <v>3098</v>
      </c>
      <c r="H451" s="14">
        <v>43439</v>
      </c>
      <c r="I451" s="4" t="s">
        <v>3099</v>
      </c>
      <c r="J451" s="133"/>
      <c r="K451" s="275"/>
    </row>
    <row r="452" spans="1:19" ht="13.95" hidden="1" customHeight="1" x14ac:dyDescent="0.25">
      <c r="A452" s="68" t="s">
        <v>639</v>
      </c>
      <c r="B452" s="14">
        <v>43487</v>
      </c>
      <c r="C452" s="13">
        <v>62</v>
      </c>
      <c r="D452" s="32" t="s">
        <v>905</v>
      </c>
      <c r="E452" s="32" t="s">
        <v>60</v>
      </c>
      <c r="F452" s="4">
        <v>1000000</v>
      </c>
      <c r="G452" s="86" t="s">
        <v>1120</v>
      </c>
      <c r="H452" s="211"/>
      <c r="I452" s="208" t="s">
        <v>1119</v>
      </c>
      <c r="J452" s="21"/>
      <c r="K452" s="228"/>
    </row>
    <row r="453" spans="1:19" s="129" customFormat="1" hidden="1" x14ac:dyDescent="0.25">
      <c r="A453" s="13" t="s">
        <v>1148</v>
      </c>
      <c r="B453" s="14">
        <v>43487</v>
      </c>
      <c r="C453" s="28" t="s">
        <v>201</v>
      </c>
      <c r="D453" s="13" t="s">
        <v>2439</v>
      </c>
      <c r="E453" s="13" t="s">
        <v>808</v>
      </c>
      <c r="F453" s="37">
        <v>66880</v>
      </c>
      <c r="G453" s="28" t="s">
        <v>1402</v>
      </c>
      <c r="H453" s="14">
        <v>43486</v>
      </c>
      <c r="I453" s="4" t="s">
        <v>3294</v>
      </c>
      <c r="J453" s="133"/>
      <c r="K453" s="275"/>
    </row>
    <row r="454" spans="1:19" s="129" customFormat="1" hidden="1" x14ac:dyDescent="0.25">
      <c r="A454" s="13" t="s">
        <v>495</v>
      </c>
      <c r="B454" s="14">
        <v>43487</v>
      </c>
      <c r="C454" s="28" t="s">
        <v>25</v>
      </c>
      <c r="D454" s="13" t="s">
        <v>1254</v>
      </c>
      <c r="E454" s="13" t="s">
        <v>808</v>
      </c>
      <c r="F454" s="37">
        <v>1190</v>
      </c>
      <c r="G454" s="28" t="s">
        <v>3307</v>
      </c>
      <c r="H454" s="14">
        <v>43486</v>
      </c>
      <c r="I454" s="4" t="s">
        <v>3308</v>
      </c>
      <c r="J454" s="133"/>
      <c r="K454" s="275"/>
    </row>
    <row r="455" spans="1:19" hidden="1" x14ac:dyDescent="0.25">
      <c r="A455" s="13" t="s">
        <v>637</v>
      </c>
      <c r="B455" s="126">
        <v>43487</v>
      </c>
      <c r="C455" s="13">
        <v>29</v>
      </c>
      <c r="D455" s="13" t="s">
        <v>1552</v>
      </c>
      <c r="E455" s="13" t="s">
        <v>691</v>
      </c>
      <c r="F455" s="37">
        <v>500000</v>
      </c>
      <c r="G455" s="29" t="s">
        <v>1553</v>
      </c>
      <c r="H455" s="14"/>
      <c r="I455" s="208" t="s">
        <v>1554</v>
      </c>
      <c r="J455" s="62"/>
      <c r="K455" s="62"/>
      <c r="L455" s="35"/>
      <c r="M455" s="35"/>
      <c r="N455" s="35"/>
      <c r="O455" s="35"/>
      <c r="P455" s="35"/>
    </row>
    <row r="456" spans="1:19" hidden="1" x14ac:dyDescent="0.25">
      <c r="A456" s="13" t="s">
        <v>637</v>
      </c>
      <c r="B456" s="126">
        <v>43487</v>
      </c>
      <c r="C456" s="13">
        <v>30</v>
      </c>
      <c r="D456" s="13" t="s">
        <v>1539</v>
      </c>
      <c r="E456" s="13" t="s">
        <v>691</v>
      </c>
      <c r="F456" s="37">
        <v>500000</v>
      </c>
      <c r="G456" s="29" t="s">
        <v>1540</v>
      </c>
      <c r="H456" s="14"/>
      <c r="I456" s="208" t="s">
        <v>1418</v>
      </c>
      <c r="J456" s="62"/>
      <c r="K456" s="62"/>
      <c r="L456" s="35"/>
      <c r="M456" s="35"/>
      <c r="N456" s="35"/>
      <c r="O456" s="35"/>
      <c r="P456" s="35"/>
    </row>
    <row r="457" spans="1:19" ht="13.8" hidden="1" customHeight="1" x14ac:dyDescent="0.25">
      <c r="A457" s="32" t="s">
        <v>668</v>
      </c>
      <c r="B457" s="14">
        <v>43487</v>
      </c>
      <c r="C457" s="13">
        <v>61</v>
      </c>
      <c r="D457" s="32" t="s">
        <v>669</v>
      </c>
      <c r="E457" s="32" t="s">
        <v>62</v>
      </c>
      <c r="F457" s="4">
        <v>3700000</v>
      </c>
      <c r="G457" s="86" t="s">
        <v>670</v>
      </c>
      <c r="H457" s="211"/>
      <c r="I457" s="208" t="s">
        <v>673</v>
      </c>
      <c r="J457" s="21"/>
      <c r="K457" s="228"/>
    </row>
    <row r="458" spans="1:19" ht="13.95" hidden="1" customHeight="1" x14ac:dyDescent="0.25">
      <c r="A458" s="32" t="s">
        <v>536</v>
      </c>
      <c r="B458" s="14">
        <v>43487</v>
      </c>
      <c r="C458" s="13">
        <v>62</v>
      </c>
      <c r="D458" s="32" t="s">
        <v>669</v>
      </c>
      <c r="E458" s="32" t="s">
        <v>62</v>
      </c>
      <c r="F458" s="4">
        <v>1400000</v>
      </c>
      <c r="G458" s="86" t="s">
        <v>674</v>
      </c>
      <c r="H458" s="211"/>
      <c r="I458" s="208" t="s">
        <v>675</v>
      </c>
      <c r="J458" s="21"/>
      <c r="K458" s="228"/>
    </row>
    <row r="459" spans="1:19" ht="14.4" hidden="1" customHeight="1" x14ac:dyDescent="0.25">
      <c r="A459" s="32" t="s">
        <v>527</v>
      </c>
      <c r="B459" s="14">
        <v>43487</v>
      </c>
      <c r="C459" s="13">
        <v>65</v>
      </c>
      <c r="D459" s="32" t="s">
        <v>669</v>
      </c>
      <c r="E459" s="32" t="s">
        <v>62</v>
      </c>
      <c r="F459" s="4">
        <v>4900000</v>
      </c>
      <c r="G459" s="86" t="s">
        <v>677</v>
      </c>
      <c r="H459" s="211"/>
      <c r="I459" s="208" t="s">
        <v>676</v>
      </c>
      <c r="J459" s="21"/>
      <c r="K459" s="228"/>
    </row>
    <row r="460" spans="1:19" ht="13.95" hidden="1" customHeight="1" x14ac:dyDescent="0.25">
      <c r="A460" s="32" t="s">
        <v>550</v>
      </c>
      <c r="B460" s="14">
        <v>43487</v>
      </c>
      <c r="C460" s="13">
        <v>67</v>
      </c>
      <c r="D460" s="32" t="s">
        <v>452</v>
      </c>
      <c r="E460" s="32" t="s">
        <v>62</v>
      </c>
      <c r="F460" s="4">
        <v>10000000</v>
      </c>
      <c r="G460" s="86" t="s">
        <v>453</v>
      </c>
      <c r="H460" s="211"/>
      <c r="I460" s="208" t="s">
        <v>671</v>
      </c>
      <c r="J460" s="21"/>
      <c r="K460" s="228"/>
    </row>
    <row r="461" spans="1:19" ht="16.2" hidden="1" customHeight="1" x14ac:dyDescent="0.25">
      <c r="A461" s="68" t="s">
        <v>1286</v>
      </c>
      <c r="B461" s="14">
        <v>43487</v>
      </c>
      <c r="C461" s="13">
        <v>64</v>
      </c>
      <c r="D461" s="13" t="s">
        <v>456</v>
      </c>
      <c r="E461" s="32" t="s">
        <v>62</v>
      </c>
      <c r="F461" s="4">
        <v>2000000</v>
      </c>
      <c r="G461" s="86" t="s">
        <v>1735</v>
      </c>
      <c r="H461" s="14"/>
      <c r="I461" s="4" t="s">
        <v>237</v>
      </c>
      <c r="J461" s="71"/>
      <c r="K461" s="62"/>
      <c r="L461" s="62"/>
    </row>
    <row r="462" spans="1:19" ht="13.95" hidden="1" customHeight="1" x14ac:dyDescent="0.25">
      <c r="A462" s="61" t="s">
        <v>91</v>
      </c>
      <c r="B462" s="14">
        <v>43487</v>
      </c>
      <c r="C462" s="13">
        <v>63</v>
      </c>
      <c r="D462" s="13" t="s">
        <v>1029</v>
      </c>
      <c r="E462" s="32" t="s">
        <v>62</v>
      </c>
      <c r="F462" s="4">
        <v>2000000</v>
      </c>
      <c r="G462" s="86" t="s">
        <v>786</v>
      </c>
      <c r="H462" s="211"/>
      <c r="I462" s="4" t="s">
        <v>20</v>
      </c>
      <c r="J462" s="21"/>
      <c r="K462" s="228"/>
    </row>
    <row r="463" spans="1:19" ht="13.95" hidden="1" customHeight="1" x14ac:dyDescent="0.25">
      <c r="A463" s="61" t="s">
        <v>91</v>
      </c>
      <c r="B463" s="14">
        <v>43487</v>
      </c>
      <c r="C463" s="13">
        <v>66</v>
      </c>
      <c r="D463" s="13" t="s">
        <v>3301</v>
      </c>
      <c r="E463" s="32" t="s">
        <v>62</v>
      </c>
      <c r="F463" s="4">
        <v>1045000</v>
      </c>
      <c r="G463" s="86" t="s">
        <v>3302</v>
      </c>
      <c r="H463" s="211"/>
      <c r="I463" s="4" t="s">
        <v>3303</v>
      </c>
      <c r="J463" s="21"/>
      <c r="K463" s="228"/>
    </row>
    <row r="464" spans="1:19" hidden="1" x14ac:dyDescent="0.25">
      <c r="A464" s="32" t="s">
        <v>151</v>
      </c>
      <c r="B464" s="14">
        <v>43487</v>
      </c>
      <c r="C464" s="13">
        <v>57</v>
      </c>
      <c r="D464" s="32" t="s">
        <v>1888</v>
      </c>
      <c r="E464" s="32" t="s">
        <v>808</v>
      </c>
      <c r="F464" s="4">
        <v>3080</v>
      </c>
      <c r="G464" s="13">
        <v>84</v>
      </c>
      <c r="H464" s="14">
        <v>43483</v>
      </c>
      <c r="I464" s="4" t="s">
        <v>3329</v>
      </c>
      <c r="K464" s="62"/>
      <c r="L464" s="62"/>
      <c r="M464" s="62"/>
      <c r="N464" s="62"/>
      <c r="O464" s="35"/>
      <c r="P464" s="35"/>
      <c r="Q464" s="35"/>
      <c r="R464" s="35"/>
      <c r="S464" s="35"/>
    </row>
    <row r="465" spans="1:19" ht="15" hidden="1" customHeight="1" x14ac:dyDescent="0.25">
      <c r="A465" s="32" t="s">
        <v>310</v>
      </c>
      <c r="B465" s="14">
        <v>43487</v>
      </c>
      <c r="C465" s="13">
        <v>26</v>
      </c>
      <c r="D465" s="32" t="s">
        <v>281</v>
      </c>
      <c r="E465" s="32" t="s">
        <v>314</v>
      </c>
      <c r="F465" s="4">
        <v>3763.58</v>
      </c>
      <c r="G465" s="29" t="s">
        <v>2984</v>
      </c>
      <c r="H465" s="14">
        <v>43475</v>
      </c>
      <c r="I465" s="41" t="s">
        <v>1747</v>
      </c>
      <c r="J465" s="35"/>
      <c r="K465" s="35"/>
      <c r="L465" s="35"/>
    </row>
    <row r="466" spans="1:19" ht="27.6" hidden="1" x14ac:dyDescent="0.25">
      <c r="A466" s="61" t="s">
        <v>460</v>
      </c>
      <c r="B466" s="14">
        <v>43487</v>
      </c>
      <c r="C466" s="13">
        <v>210</v>
      </c>
      <c r="D466" s="14" t="s">
        <v>2206</v>
      </c>
      <c r="E466" s="32" t="s">
        <v>2058</v>
      </c>
      <c r="F466" s="4">
        <v>96280</v>
      </c>
      <c r="G466" s="86" t="s">
        <v>2207</v>
      </c>
      <c r="H466" s="211"/>
      <c r="I466" s="326"/>
      <c r="K466" s="62"/>
    </row>
    <row r="467" spans="1:19" ht="27.6" hidden="1" x14ac:dyDescent="0.25">
      <c r="A467" s="61" t="s">
        <v>460</v>
      </c>
      <c r="B467" s="14">
        <v>43487</v>
      </c>
      <c r="C467" s="13">
        <v>211</v>
      </c>
      <c r="D467" s="14" t="s">
        <v>2204</v>
      </c>
      <c r="E467" s="32" t="s">
        <v>2058</v>
      </c>
      <c r="F467" s="4">
        <v>104720</v>
      </c>
      <c r="G467" s="86" t="s">
        <v>2205</v>
      </c>
      <c r="H467" s="211"/>
      <c r="I467" s="326"/>
      <c r="K467" s="62"/>
    </row>
    <row r="468" spans="1:19" ht="27.6" hidden="1" x14ac:dyDescent="0.25">
      <c r="A468" s="32" t="s">
        <v>212</v>
      </c>
      <c r="B468" s="14">
        <v>43488</v>
      </c>
      <c r="C468" s="13">
        <v>542</v>
      </c>
      <c r="D468" s="32" t="s">
        <v>212</v>
      </c>
      <c r="E468" s="32" t="s">
        <v>3374</v>
      </c>
      <c r="F468" s="4">
        <v>3000000</v>
      </c>
      <c r="G468" s="28" t="s">
        <v>3304</v>
      </c>
      <c r="H468" s="14">
        <v>41823</v>
      </c>
      <c r="I468" s="41" t="s">
        <v>277</v>
      </c>
      <c r="K468" s="389"/>
      <c r="L468" s="388"/>
    </row>
    <row r="469" spans="1:19" ht="27.6" hidden="1" x14ac:dyDescent="0.25">
      <c r="A469" s="13" t="s">
        <v>35</v>
      </c>
      <c r="B469" s="14">
        <v>43488</v>
      </c>
      <c r="C469" s="13">
        <v>539</v>
      </c>
      <c r="D469" s="13" t="s">
        <v>3269</v>
      </c>
      <c r="E469" s="13" t="s">
        <v>3340</v>
      </c>
      <c r="F469" s="37">
        <v>200000</v>
      </c>
      <c r="G469" s="29" t="s">
        <v>3341</v>
      </c>
      <c r="H469" s="14">
        <v>43399</v>
      </c>
      <c r="I469" s="4" t="s">
        <v>1150</v>
      </c>
      <c r="J469" s="358"/>
    </row>
    <row r="470" spans="1:19" hidden="1" x14ac:dyDescent="0.25">
      <c r="A470" s="13" t="s">
        <v>637</v>
      </c>
      <c r="B470" s="126">
        <v>43488</v>
      </c>
      <c r="C470" s="13">
        <v>31</v>
      </c>
      <c r="D470" s="13" t="s">
        <v>588</v>
      </c>
      <c r="E470" s="13" t="s">
        <v>691</v>
      </c>
      <c r="F470" s="37">
        <v>500000</v>
      </c>
      <c r="G470" s="29" t="s">
        <v>744</v>
      </c>
      <c r="H470" s="14"/>
      <c r="I470" s="4" t="s">
        <v>82</v>
      </c>
      <c r="J470" s="62"/>
      <c r="K470" s="62"/>
      <c r="L470" s="35"/>
      <c r="M470" s="35"/>
      <c r="N470" s="35"/>
      <c r="O470" s="35"/>
      <c r="P470" s="35"/>
    </row>
    <row r="471" spans="1:19" hidden="1" x14ac:dyDescent="0.25">
      <c r="A471" s="13" t="s">
        <v>637</v>
      </c>
      <c r="B471" s="126">
        <v>43488</v>
      </c>
      <c r="C471" s="13">
        <v>32</v>
      </c>
      <c r="D471" s="13" t="s">
        <v>1789</v>
      </c>
      <c r="E471" s="13" t="s">
        <v>691</v>
      </c>
      <c r="F471" s="37">
        <v>500000</v>
      </c>
      <c r="G471" s="29" t="s">
        <v>1791</v>
      </c>
      <c r="H471" s="14"/>
      <c r="I471" s="4" t="s">
        <v>1790</v>
      </c>
      <c r="J471" s="62"/>
      <c r="K471" s="62"/>
      <c r="L471" s="35"/>
      <c r="M471" s="35"/>
      <c r="N471" s="35"/>
      <c r="O471" s="35"/>
      <c r="P471" s="35"/>
    </row>
    <row r="472" spans="1:19" ht="27.6" hidden="1" x14ac:dyDescent="0.25">
      <c r="A472" s="32" t="s">
        <v>2019</v>
      </c>
      <c r="B472" s="14">
        <v>43488</v>
      </c>
      <c r="C472" s="13">
        <v>57</v>
      </c>
      <c r="D472" s="32" t="s">
        <v>392</v>
      </c>
      <c r="E472" s="32" t="s">
        <v>3309</v>
      </c>
      <c r="F472" s="4">
        <v>4320137.9000000004</v>
      </c>
      <c r="G472" s="28" t="s">
        <v>2996</v>
      </c>
      <c r="H472" s="14">
        <v>43479</v>
      </c>
      <c r="I472" s="41" t="s">
        <v>621</v>
      </c>
      <c r="J472" s="35" t="s">
        <v>327</v>
      </c>
      <c r="K472" s="167"/>
      <c r="L472" s="35"/>
    </row>
    <row r="473" spans="1:19" ht="13.95" hidden="1" customHeight="1" x14ac:dyDescent="0.25">
      <c r="A473" s="68" t="s">
        <v>209</v>
      </c>
      <c r="B473" s="14">
        <v>43488</v>
      </c>
      <c r="C473" s="13">
        <v>10</v>
      </c>
      <c r="D473" s="32" t="s">
        <v>1664</v>
      </c>
      <c r="E473" s="32" t="s">
        <v>134</v>
      </c>
      <c r="F473" s="4">
        <v>1897000</v>
      </c>
      <c r="G473" s="86" t="s">
        <v>3306</v>
      </c>
      <c r="H473" s="211"/>
      <c r="I473" s="208" t="s">
        <v>3305</v>
      </c>
      <c r="J473" s="21"/>
      <c r="K473" s="228"/>
    </row>
    <row r="474" spans="1:19" ht="13.95" hidden="1" customHeight="1" x14ac:dyDescent="0.25">
      <c r="A474" s="68" t="s">
        <v>1165</v>
      </c>
      <c r="B474" s="14">
        <v>43488</v>
      </c>
      <c r="C474" s="13">
        <v>72</v>
      </c>
      <c r="D474" s="32" t="s">
        <v>2759</v>
      </c>
      <c r="E474" s="32" t="s">
        <v>62</v>
      </c>
      <c r="F474" s="4">
        <v>6800000</v>
      </c>
      <c r="G474" s="86" t="s">
        <v>2608</v>
      </c>
      <c r="H474" s="211"/>
      <c r="I474" s="84" t="s">
        <v>23</v>
      </c>
      <c r="J474" s="21"/>
      <c r="K474" s="228"/>
    </row>
    <row r="475" spans="1:19" s="115" customFormat="1" ht="15" hidden="1" customHeight="1" x14ac:dyDescent="0.25">
      <c r="A475" s="13" t="s">
        <v>92</v>
      </c>
      <c r="B475" s="14">
        <v>43488</v>
      </c>
      <c r="C475" s="13">
        <v>327</v>
      </c>
      <c r="D475" s="13" t="s">
        <v>873</v>
      </c>
      <c r="E475" s="13" t="s">
        <v>140</v>
      </c>
      <c r="F475" s="37">
        <f>4198357.94-1500000</f>
        <v>2698357.9400000004</v>
      </c>
      <c r="G475" s="13" t="s">
        <v>874</v>
      </c>
      <c r="H475" s="126">
        <v>43413</v>
      </c>
      <c r="I475" s="29" t="s">
        <v>875</v>
      </c>
      <c r="K475" s="116"/>
      <c r="L475" s="116"/>
      <c r="M475" s="116"/>
      <c r="N475" s="116"/>
      <c r="O475" s="117"/>
      <c r="P475" s="117"/>
      <c r="Q475" s="117"/>
      <c r="R475" s="117"/>
      <c r="S475" s="117"/>
    </row>
    <row r="476" spans="1:19" s="62" customFormat="1" ht="27.6" hidden="1" x14ac:dyDescent="0.25">
      <c r="A476" s="13" t="s">
        <v>261</v>
      </c>
      <c r="B476" s="14">
        <v>43488</v>
      </c>
      <c r="C476" s="13">
        <v>58</v>
      </c>
      <c r="D476" s="13" t="s">
        <v>745</v>
      </c>
      <c r="E476" s="13" t="s">
        <v>3309</v>
      </c>
      <c r="F476" s="37">
        <v>1000000</v>
      </c>
      <c r="G476" s="29" t="s">
        <v>1412</v>
      </c>
      <c r="H476" s="14">
        <v>43164</v>
      </c>
      <c r="I476" s="4" t="s">
        <v>484</v>
      </c>
      <c r="J476" s="35"/>
      <c r="O476" s="35"/>
      <c r="P476" s="35"/>
      <c r="Q476" s="35"/>
      <c r="R476" s="35"/>
      <c r="S476" s="35"/>
    </row>
    <row r="477" spans="1:19" s="62" customFormat="1" ht="27.6" hidden="1" x14ac:dyDescent="0.25">
      <c r="A477" s="13" t="s">
        <v>91</v>
      </c>
      <c r="B477" s="14">
        <v>43488</v>
      </c>
      <c r="C477" s="13">
        <v>29</v>
      </c>
      <c r="D477" s="13" t="s">
        <v>745</v>
      </c>
      <c r="E477" s="13" t="s">
        <v>2021</v>
      </c>
      <c r="F477" s="37">
        <v>200000</v>
      </c>
      <c r="G477" s="29" t="s">
        <v>2018</v>
      </c>
      <c r="H477" s="14">
        <v>43377</v>
      </c>
      <c r="I477" s="4" t="s">
        <v>484</v>
      </c>
      <c r="J477" s="35"/>
      <c r="O477" s="35"/>
      <c r="P477" s="35"/>
      <c r="Q477" s="35"/>
      <c r="R477" s="35"/>
      <c r="S477" s="35"/>
    </row>
    <row r="478" spans="1:19" ht="13.95" hidden="1" customHeight="1" x14ac:dyDescent="0.25">
      <c r="A478" s="13" t="s">
        <v>1481</v>
      </c>
      <c r="B478" s="14">
        <v>43488</v>
      </c>
      <c r="C478" s="13">
        <v>169</v>
      </c>
      <c r="D478" s="32" t="s">
        <v>1977</v>
      </c>
      <c r="E478" s="32" t="s">
        <v>130</v>
      </c>
      <c r="F478" s="4">
        <v>1000000</v>
      </c>
      <c r="G478" s="69" t="s">
        <v>1978</v>
      </c>
      <c r="H478" s="14">
        <v>43363</v>
      </c>
      <c r="I478" s="41" t="s">
        <v>1979</v>
      </c>
      <c r="K478" s="62"/>
    </row>
    <row r="479" spans="1:19" s="62" customFormat="1" ht="13.95" hidden="1" customHeight="1" x14ac:dyDescent="0.25">
      <c r="A479" s="13" t="s">
        <v>261</v>
      </c>
      <c r="B479" s="14">
        <v>43488</v>
      </c>
      <c r="C479" s="13">
        <v>170</v>
      </c>
      <c r="D479" s="13" t="s">
        <v>2928</v>
      </c>
      <c r="E479" s="13" t="s">
        <v>130</v>
      </c>
      <c r="F479" s="37">
        <v>305140</v>
      </c>
      <c r="G479" s="29" t="s">
        <v>2929</v>
      </c>
      <c r="H479" s="14">
        <v>43319</v>
      </c>
      <c r="I479" s="4" t="s">
        <v>2930</v>
      </c>
      <c r="J479" s="393" t="s">
        <v>2931</v>
      </c>
      <c r="O479" s="35"/>
      <c r="P479" s="35"/>
      <c r="Q479" s="35"/>
      <c r="R479" s="35"/>
      <c r="S479" s="35"/>
    </row>
    <row r="480" spans="1:19" s="62" customFormat="1" ht="13.95" hidden="1" customHeight="1" x14ac:dyDescent="0.25">
      <c r="A480" s="13" t="s">
        <v>91</v>
      </c>
      <c r="B480" s="14">
        <v>43488</v>
      </c>
      <c r="C480" s="13">
        <v>174</v>
      </c>
      <c r="D480" s="13" t="s">
        <v>267</v>
      </c>
      <c r="E480" s="13" t="s">
        <v>130</v>
      </c>
      <c r="F480" s="37">
        <v>89600</v>
      </c>
      <c r="G480" s="29" t="s">
        <v>99</v>
      </c>
      <c r="H480" s="14">
        <v>43404</v>
      </c>
      <c r="I480" s="4" t="s">
        <v>576</v>
      </c>
      <c r="J480" s="71"/>
      <c r="O480" s="35"/>
      <c r="P480" s="35"/>
      <c r="Q480" s="35"/>
      <c r="R480" s="35"/>
      <c r="S480" s="35"/>
    </row>
    <row r="481" spans="1:19" s="62" customFormat="1" ht="13.95" hidden="1" customHeight="1" x14ac:dyDescent="0.25">
      <c r="A481" s="13" t="s">
        <v>91</v>
      </c>
      <c r="B481" s="14">
        <v>43488</v>
      </c>
      <c r="C481" s="13">
        <v>174</v>
      </c>
      <c r="D481" s="13" t="s">
        <v>267</v>
      </c>
      <c r="E481" s="13" t="s">
        <v>130</v>
      </c>
      <c r="F481" s="37">
        <v>89600</v>
      </c>
      <c r="G481" s="29" t="s">
        <v>18</v>
      </c>
      <c r="H481" s="14">
        <v>43434</v>
      </c>
      <c r="I481" s="4" t="s">
        <v>576</v>
      </c>
      <c r="J481" s="71"/>
      <c r="O481" s="35"/>
      <c r="P481" s="35"/>
      <c r="Q481" s="35"/>
      <c r="R481" s="35"/>
      <c r="S481" s="35"/>
    </row>
    <row r="482" spans="1:19" s="62" customFormat="1" ht="13.95" hidden="1" customHeight="1" x14ac:dyDescent="0.25">
      <c r="A482" s="13" t="s">
        <v>91</v>
      </c>
      <c r="B482" s="14">
        <v>43488</v>
      </c>
      <c r="C482" s="13">
        <v>174</v>
      </c>
      <c r="D482" s="13" t="s">
        <v>267</v>
      </c>
      <c r="E482" s="13" t="s">
        <v>130</v>
      </c>
      <c r="F482" s="37">
        <v>89600</v>
      </c>
      <c r="G482" s="29" t="s">
        <v>3146</v>
      </c>
      <c r="H482" s="14">
        <v>43465</v>
      </c>
      <c r="I482" s="4" t="s">
        <v>576</v>
      </c>
      <c r="J482" s="71"/>
      <c r="O482" s="35"/>
      <c r="P482" s="35"/>
      <c r="Q482" s="35"/>
      <c r="R482" s="35"/>
      <c r="S482" s="35"/>
    </row>
    <row r="483" spans="1:19" s="62" customFormat="1" ht="13.95" hidden="1" customHeight="1" x14ac:dyDescent="0.25">
      <c r="A483" s="13" t="s">
        <v>310</v>
      </c>
      <c r="B483" s="14">
        <v>43488</v>
      </c>
      <c r="C483" s="13">
        <v>175</v>
      </c>
      <c r="D483" s="13" t="s">
        <v>267</v>
      </c>
      <c r="E483" s="13" t="s">
        <v>130</v>
      </c>
      <c r="F483" s="37">
        <v>37100</v>
      </c>
      <c r="G483" s="29" t="s">
        <v>1271</v>
      </c>
      <c r="H483" s="14">
        <v>43404</v>
      </c>
      <c r="I483" s="4" t="s">
        <v>576</v>
      </c>
      <c r="J483" s="71"/>
      <c r="O483" s="35"/>
      <c r="P483" s="35"/>
      <c r="Q483" s="35"/>
      <c r="R483" s="35"/>
      <c r="S483" s="35"/>
    </row>
    <row r="484" spans="1:19" s="62" customFormat="1" ht="13.95" hidden="1" customHeight="1" x14ac:dyDescent="0.25">
      <c r="A484" s="13" t="s">
        <v>310</v>
      </c>
      <c r="B484" s="14">
        <v>43488</v>
      </c>
      <c r="C484" s="13">
        <v>175</v>
      </c>
      <c r="D484" s="13" t="s">
        <v>267</v>
      </c>
      <c r="E484" s="13" t="s">
        <v>130</v>
      </c>
      <c r="F484" s="37">
        <v>37100</v>
      </c>
      <c r="G484" s="29" t="s">
        <v>50</v>
      </c>
      <c r="H484" s="14">
        <v>43434</v>
      </c>
      <c r="I484" s="4" t="s">
        <v>576</v>
      </c>
      <c r="J484" s="71"/>
      <c r="O484" s="35"/>
      <c r="P484" s="35"/>
      <c r="Q484" s="35"/>
      <c r="R484" s="35"/>
      <c r="S484" s="35"/>
    </row>
    <row r="485" spans="1:19" s="62" customFormat="1" ht="13.95" hidden="1" customHeight="1" x14ac:dyDescent="0.25">
      <c r="A485" s="13" t="s">
        <v>310</v>
      </c>
      <c r="B485" s="14">
        <v>43488</v>
      </c>
      <c r="C485" s="13">
        <v>175</v>
      </c>
      <c r="D485" s="13" t="s">
        <v>267</v>
      </c>
      <c r="E485" s="13" t="s">
        <v>130</v>
      </c>
      <c r="F485" s="37">
        <v>37100</v>
      </c>
      <c r="G485" s="29" t="s">
        <v>3280</v>
      </c>
      <c r="H485" s="14">
        <v>43465</v>
      </c>
      <c r="I485" s="4" t="s">
        <v>576</v>
      </c>
      <c r="J485" s="71"/>
      <c r="O485" s="35"/>
      <c r="P485" s="35"/>
      <c r="Q485" s="35"/>
      <c r="R485" s="35"/>
      <c r="S485" s="35"/>
    </row>
    <row r="486" spans="1:19" s="62" customFormat="1" ht="13.95" hidden="1" customHeight="1" x14ac:dyDescent="0.25">
      <c r="A486" s="13" t="s">
        <v>639</v>
      </c>
      <c r="B486" s="14">
        <v>43488</v>
      </c>
      <c r="C486" s="13">
        <v>176</v>
      </c>
      <c r="D486" s="13" t="s">
        <v>267</v>
      </c>
      <c r="E486" s="13" t="s">
        <v>130</v>
      </c>
      <c r="F486" s="37">
        <v>19600</v>
      </c>
      <c r="G486" s="29" t="s">
        <v>558</v>
      </c>
      <c r="H486" s="14">
        <v>43404</v>
      </c>
      <c r="I486" s="4" t="s">
        <v>576</v>
      </c>
      <c r="J486" s="71"/>
      <c r="O486" s="35"/>
      <c r="P486" s="35"/>
      <c r="Q486" s="35"/>
      <c r="R486" s="35"/>
      <c r="S486" s="35"/>
    </row>
    <row r="487" spans="1:19" ht="13.95" hidden="1" customHeight="1" x14ac:dyDescent="0.25">
      <c r="A487" s="68" t="s">
        <v>1651</v>
      </c>
      <c r="B487" s="14">
        <v>43488</v>
      </c>
      <c r="C487" s="13">
        <v>171</v>
      </c>
      <c r="D487" s="32" t="s">
        <v>1151</v>
      </c>
      <c r="E487" s="32" t="s">
        <v>130</v>
      </c>
      <c r="F487" s="4">
        <v>2000000</v>
      </c>
      <c r="G487" s="86" t="s">
        <v>1652</v>
      </c>
      <c r="H487" s="14"/>
      <c r="I487" s="41" t="s">
        <v>1653</v>
      </c>
      <c r="K487" s="62"/>
    </row>
    <row r="488" spans="1:19" ht="13.95" hidden="1" customHeight="1" x14ac:dyDescent="0.25">
      <c r="A488" s="68" t="s">
        <v>188</v>
      </c>
      <c r="B488" s="14">
        <v>43488</v>
      </c>
      <c r="C488" s="13">
        <v>172</v>
      </c>
      <c r="D488" s="32" t="s">
        <v>438</v>
      </c>
      <c r="E488" s="32" t="s">
        <v>130</v>
      </c>
      <c r="F488" s="4">
        <v>529831.16999999993</v>
      </c>
      <c r="G488" s="86" t="s">
        <v>1839</v>
      </c>
      <c r="H488" s="211"/>
      <c r="I488" s="84" t="s">
        <v>1834</v>
      </c>
      <c r="J488" s="21"/>
      <c r="K488" s="228"/>
    </row>
    <row r="489" spans="1:19" ht="13.95" hidden="1" customHeight="1" x14ac:dyDescent="0.25">
      <c r="A489" s="32" t="s">
        <v>90</v>
      </c>
      <c r="B489" s="14">
        <v>43488</v>
      </c>
      <c r="C489" s="13">
        <v>173</v>
      </c>
      <c r="D489" s="13" t="s">
        <v>34</v>
      </c>
      <c r="E489" s="32" t="s">
        <v>130</v>
      </c>
      <c r="F489" s="4">
        <v>1072500</v>
      </c>
      <c r="G489" s="86" t="s">
        <v>2022</v>
      </c>
      <c r="H489" s="14"/>
      <c r="I489" s="4" t="s">
        <v>315</v>
      </c>
      <c r="J489" s="21"/>
      <c r="K489" s="228"/>
    </row>
    <row r="490" spans="1:19" ht="13.95" hidden="1" customHeight="1" x14ac:dyDescent="0.25">
      <c r="A490" s="68" t="s">
        <v>91</v>
      </c>
      <c r="B490" s="14">
        <v>43488</v>
      </c>
      <c r="C490" s="13">
        <v>74</v>
      </c>
      <c r="D490" s="32" t="s">
        <v>1664</v>
      </c>
      <c r="E490" s="32" t="s">
        <v>62</v>
      </c>
      <c r="F490" s="4">
        <v>1897000</v>
      </c>
      <c r="G490" s="86" t="s">
        <v>912</v>
      </c>
      <c r="H490" s="211"/>
      <c r="I490" s="208" t="s">
        <v>16</v>
      </c>
      <c r="J490" s="21"/>
      <c r="K490" s="228"/>
    </row>
    <row r="491" spans="1:19" ht="13.95" hidden="1" customHeight="1" x14ac:dyDescent="0.25">
      <c r="A491" s="13" t="s">
        <v>358</v>
      </c>
      <c r="B491" s="14">
        <v>43488</v>
      </c>
      <c r="C491" s="13">
        <v>79</v>
      </c>
      <c r="D491" s="32" t="s">
        <v>391</v>
      </c>
      <c r="E491" s="32" t="s">
        <v>62</v>
      </c>
      <c r="F491" s="4">
        <v>1285775.95</v>
      </c>
      <c r="G491" s="69" t="s">
        <v>1868</v>
      </c>
      <c r="H491" s="14"/>
      <c r="I491" s="41" t="s">
        <v>1869</v>
      </c>
      <c r="K491" s="62"/>
    </row>
    <row r="492" spans="1:19" ht="13.95" hidden="1" customHeight="1" x14ac:dyDescent="0.25">
      <c r="A492" s="13" t="s">
        <v>1291</v>
      </c>
      <c r="B492" s="14">
        <v>43488</v>
      </c>
      <c r="C492" s="13">
        <v>80</v>
      </c>
      <c r="D492" s="32" t="s">
        <v>391</v>
      </c>
      <c r="E492" s="32" t="s">
        <v>62</v>
      </c>
      <c r="F492" s="4">
        <v>215000</v>
      </c>
      <c r="G492" s="69" t="s">
        <v>1585</v>
      </c>
      <c r="H492" s="14"/>
      <c r="I492" s="41" t="s">
        <v>252</v>
      </c>
      <c r="K492" s="62"/>
    </row>
    <row r="493" spans="1:19" ht="13.95" hidden="1" customHeight="1" x14ac:dyDescent="0.25">
      <c r="A493" s="32" t="s">
        <v>91</v>
      </c>
      <c r="B493" s="14">
        <v>43488</v>
      </c>
      <c r="C493" s="13">
        <v>76</v>
      </c>
      <c r="D493" s="32" t="s">
        <v>732</v>
      </c>
      <c r="E493" s="32" t="s">
        <v>62</v>
      </c>
      <c r="F493" s="4">
        <v>254234.2</v>
      </c>
      <c r="G493" s="174" t="s">
        <v>2599</v>
      </c>
      <c r="H493" s="14"/>
      <c r="I493" s="41" t="s">
        <v>2600</v>
      </c>
      <c r="K493" s="62"/>
    </row>
    <row r="494" spans="1:19" ht="13.95" hidden="1" customHeight="1" x14ac:dyDescent="0.25">
      <c r="A494" s="61" t="s">
        <v>442</v>
      </c>
      <c r="B494" s="14">
        <v>43488</v>
      </c>
      <c r="C494" s="13">
        <v>77</v>
      </c>
      <c r="D494" s="13" t="s">
        <v>432</v>
      </c>
      <c r="E494" s="32" t="s">
        <v>62</v>
      </c>
      <c r="F494" s="4">
        <v>1053928.29</v>
      </c>
      <c r="G494" s="86" t="s">
        <v>1939</v>
      </c>
      <c r="H494" s="211"/>
      <c r="I494" s="4" t="s">
        <v>788</v>
      </c>
      <c r="J494" s="21"/>
      <c r="K494" s="228"/>
    </row>
    <row r="495" spans="1:19" ht="13.95" hidden="1" customHeight="1" x14ac:dyDescent="0.25">
      <c r="A495" s="61" t="s">
        <v>442</v>
      </c>
      <c r="B495" s="14">
        <v>43488</v>
      </c>
      <c r="C495" s="13">
        <v>75</v>
      </c>
      <c r="D495" s="13" t="s">
        <v>432</v>
      </c>
      <c r="E495" s="32" t="s">
        <v>62</v>
      </c>
      <c r="F495" s="4">
        <v>19820</v>
      </c>
      <c r="G495" s="86" t="s">
        <v>2195</v>
      </c>
      <c r="H495" s="211"/>
      <c r="I495" s="4" t="s">
        <v>2196</v>
      </c>
      <c r="J495" s="21"/>
      <c r="K495" s="228"/>
    </row>
    <row r="496" spans="1:19" hidden="1" x14ac:dyDescent="0.25">
      <c r="A496" s="68" t="s">
        <v>358</v>
      </c>
      <c r="B496" s="14">
        <v>43488</v>
      </c>
      <c r="C496" s="13">
        <v>78</v>
      </c>
      <c r="D496" s="32" t="s">
        <v>420</v>
      </c>
      <c r="E496" s="32" t="s">
        <v>62</v>
      </c>
      <c r="F496" s="4">
        <v>165000</v>
      </c>
      <c r="G496" s="86" t="s">
        <v>1774</v>
      </c>
      <c r="H496" s="211"/>
      <c r="I496" s="208" t="s">
        <v>1775</v>
      </c>
      <c r="J496" s="21"/>
      <c r="K496" s="228"/>
    </row>
    <row r="497" spans="1:19" ht="13.95" hidden="1" customHeight="1" x14ac:dyDescent="0.25">
      <c r="A497" s="68" t="s">
        <v>92</v>
      </c>
      <c r="B497" s="14">
        <v>43488</v>
      </c>
      <c r="C497" s="13">
        <v>73</v>
      </c>
      <c r="D497" s="32" t="s">
        <v>438</v>
      </c>
      <c r="E497" s="32" t="s">
        <v>62</v>
      </c>
      <c r="F497" s="4">
        <v>570000</v>
      </c>
      <c r="G497" s="86" t="s">
        <v>1409</v>
      </c>
      <c r="H497" s="211"/>
      <c r="I497" s="84" t="s">
        <v>1410</v>
      </c>
      <c r="J497" s="21"/>
      <c r="K497" s="228"/>
    </row>
    <row r="498" spans="1:19" ht="13.8" hidden="1" customHeight="1" x14ac:dyDescent="0.25">
      <c r="A498" s="68" t="s">
        <v>213</v>
      </c>
      <c r="B498" s="14">
        <v>43488</v>
      </c>
      <c r="C498" s="13">
        <v>58</v>
      </c>
      <c r="D498" s="32" t="s">
        <v>420</v>
      </c>
      <c r="E498" s="32" t="s">
        <v>808</v>
      </c>
      <c r="F498" s="4">
        <v>290000</v>
      </c>
      <c r="G498" s="86" t="s">
        <v>1218</v>
      </c>
      <c r="H498" s="211"/>
      <c r="I498" s="208" t="s">
        <v>252</v>
      </c>
      <c r="J498" s="21"/>
      <c r="K498" s="228"/>
    </row>
    <row r="499" spans="1:19" ht="13.8" hidden="1" customHeight="1" x14ac:dyDescent="0.25">
      <c r="A499" s="68" t="s">
        <v>188</v>
      </c>
      <c r="B499" s="14">
        <v>43488</v>
      </c>
      <c r="C499" s="13">
        <v>59</v>
      </c>
      <c r="D499" s="32" t="s">
        <v>420</v>
      </c>
      <c r="E499" s="32" t="s">
        <v>808</v>
      </c>
      <c r="F499" s="4">
        <v>545000</v>
      </c>
      <c r="G499" s="86" t="s">
        <v>1595</v>
      </c>
      <c r="H499" s="211"/>
      <c r="I499" s="208" t="s">
        <v>252</v>
      </c>
      <c r="J499" s="21"/>
      <c r="K499" s="228"/>
    </row>
    <row r="500" spans="1:19" ht="13.8" hidden="1" customHeight="1" x14ac:dyDescent="0.25">
      <c r="A500" s="61" t="s">
        <v>261</v>
      </c>
      <c r="B500" s="14">
        <v>43488</v>
      </c>
      <c r="C500" s="13">
        <v>63</v>
      </c>
      <c r="D500" s="13" t="s">
        <v>352</v>
      </c>
      <c r="E500" s="32" t="s">
        <v>808</v>
      </c>
      <c r="F500" s="4">
        <v>1200000</v>
      </c>
      <c r="G500" s="86" t="s">
        <v>1967</v>
      </c>
      <c r="H500" s="211"/>
      <c r="I500" s="4" t="s">
        <v>218</v>
      </c>
      <c r="J500" s="21"/>
      <c r="K500" s="228"/>
    </row>
    <row r="501" spans="1:19" ht="13.95" hidden="1" customHeight="1" x14ac:dyDescent="0.25">
      <c r="A501" s="68" t="s">
        <v>188</v>
      </c>
      <c r="B501" s="14">
        <v>43488</v>
      </c>
      <c r="C501" s="13">
        <v>62</v>
      </c>
      <c r="D501" s="32" t="s">
        <v>438</v>
      </c>
      <c r="E501" s="32" t="s">
        <v>808</v>
      </c>
      <c r="F501" s="4">
        <v>700000</v>
      </c>
      <c r="G501" s="86" t="s">
        <v>1041</v>
      </c>
      <c r="H501" s="211"/>
      <c r="I501" s="84" t="s">
        <v>315</v>
      </c>
      <c r="J501" s="21"/>
      <c r="K501" s="228"/>
    </row>
    <row r="502" spans="1:19" s="62" customFormat="1" ht="15" hidden="1" customHeight="1" x14ac:dyDescent="0.25">
      <c r="A502" s="13" t="s">
        <v>1316</v>
      </c>
      <c r="B502" s="14">
        <v>43488</v>
      </c>
      <c r="C502" s="28" t="s">
        <v>141</v>
      </c>
      <c r="D502" s="13" t="s">
        <v>1555</v>
      </c>
      <c r="E502" s="32" t="s">
        <v>808</v>
      </c>
      <c r="F502" s="37">
        <v>18840</v>
      </c>
      <c r="G502" s="29" t="s">
        <v>3013</v>
      </c>
      <c r="H502" s="14">
        <v>43466</v>
      </c>
      <c r="I502" s="4" t="s">
        <v>118</v>
      </c>
      <c r="J502" s="71" t="s">
        <v>239</v>
      </c>
      <c r="O502" s="35"/>
      <c r="P502" s="35"/>
      <c r="Q502" s="35"/>
      <c r="R502" s="35"/>
      <c r="S502" s="35"/>
    </row>
    <row r="503" spans="1:19" s="62" customFormat="1" ht="15" hidden="1" customHeight="1" x14ac:dyDescent="0.25">
      <c r="A503" s="13" t="s">
        <v>261</v>
      </c>
      <c r="B503" s="14">
        <v>43488</v>
      </c>
      <c r="C503" s="28" t="s">
        <v>2911</v>
      </c>
      <c r="D503" s="13" t="s">
        <v>1555</v>
      </c>
      <c r="E503" s="32" t="s">
        <v>808</v>
      </c>
      <c r="F503" s="37">
        <v>13806</v>
      </c>
      <c r="G503" s="29" t="s">
        <v>3333</v>
      </c>
      <c r="H503" s="14">
        <v>43434</v>
      </c>
      <c r="I503" s="4" t="s">
        <v>118</v>
      </c>
      <c r="J503" s="71" t="s">
        <v>327</v>
      </c>
      <c r="O503" s="35"/>
      <c r="P503" s="35"/>
      <c r="Q503" s="35"/>
      <c r="R503" s="35"/>
      <c r="S503" s="35"/>
    </row>
    <row r="504" spans="1:19" s="62" customFormat="1" ht="15" hidden="1" customHeight="1" x14ac:dyDescent="0.25">
      <c r="A504" s="13" t="s">
        <v>151</v>
      </c>
      <c r="B504" s="14">
        <v>43488</v>
      </c>
      <c r="C504" s="67">
        <v>54</v>
      </c>
      <c r="D504" s="13" t="s">
        <v>43</v>
      </c>
      <c r="E504" s="32" t="s">
        <v>1121</v>
      </c>
      <c r="F504" s="37">
        <v>71672.600000000006</v>
      </c>
      <c r="G504" s="29" t="s">
        <v>2800</v>
      </c>
      <c r="H504" s="14">
        <v>43465</v>
      </c>
      <c r="I504" s="4" t="s">
        <v>3277</v>
      </c>
      <c r="J504" s="71" t="s">
        <v>327</v>
      </c>
      <c r="O504" s="35"/>
      <c r="P504" s="35"/>
      <c r="Q504" s="35"/>
      <c r="R504" s="35"/>
      <c r="S504" s="35"/>
    </row>
    <row r="505" spans="1:19" s="62" customFormat="1" ht="15" hidden="1" customHeight="1" x14ac:dyDescent="0.25">
      <c r="A505" s="13" t="s">
        <v>151</v>
      </c>
      <c r="B505" s="14">
        <v>43488</v>
      </c>
      <c r="C505" s="13">
        <v>55</v>
      </c>
      <c r="D505" s="13" t="s">
        <v>1277</v>
      </c>
      <c r="E505" s="13" t="s">
        <v>1121</v>
      </c>
      <c r="F505" s="37">
        <v>48380</v>
      </c>
      <c r="G505" s="29" t="s">
        <v>3276</v>
      </c>
      <c r="H505" s="14">
        <v>43465</v>
      </c>
      <c r="I505" s="4" t="s">
        <v>3278</v>
      </c>
      <c r="J505" s="71" t="s">
        <v>327</v>
      </c>
      <c r="O505" s="35"/>
      <c r="P505" s="35"/>
      <c r="Q505" s="35"/>
      <c r="R505" s="35"/>
      <c r="S505" s="35"/>
    </row>
    <row r="506" spans="1:19" s="129" customFormat="1" hidden="1" x14ac:dyDescent="0.25">
      <c r="A506" s="13" t="s">
        <v>151</v>
      </c>
      <c r="B506" s="14">
        <v>43488</v>
      </c>
      <c r="C506" s="28" t="s">
        <v>25</v>
      </c>
      <c r="D506" s="13" t="s">
        <v>401</v>
      </c>
      <c r="E506" s="32" t="s">
        <v>1121</v>
      </c>
      <c r="F506" s="37">
        <v>11165.71</v>
      </c>
      <c r="G506" s="28" t="s">
        <v>3323</v>
      </c>
      <c r="H506" s="14">
        <v>43462</v>
      </c>
      <c r="I506" s="4" t="s">
        <v>3322</v>
      </c>
      <c r="J506" s="22"/>
      <c r="K506" s="136"/>
    </row>
    <row r="507" spans="1:19" s="129" customFormat="1" hidden="1" x14ac:dyDescent="0.25">
      <c r="A507" s="13" t="s">
        <v>151</v>
      </c>
      <c r="B507" s="14">
        <v>43488</v>
      </c>
      <c r="C507" s="28" t="s">
        <v>25</v>
      </c>
      <c r="D507" s="13" t="s">
        <v>401</v>
      </c>
      <c r="E507" s="32" t="s">
        <v>1121</v>
      </c>
      <c r="F507" s="37">
        <v>8050</v>
      </c>
      <c r="G507" s="28" t="s">
        <v>3324</v>
      </c>
      <c r="H507" s="14">
        <v>43458</v>
      </c>
      <c r="I507" s="4" t="s">
        <v>3325</v>
      </c>
      <c r="J507" s="22"/>
      <c r="K507" s="136"/>
    </row>
    <row r="508" spans="1:19" hidden="1" x14ac:dyDescent="0.25">
      <c r="A508" s="13" t="s">
        <v>151</v>
      </c>
      <c r="B508" s="14">
        <v>43488</v>
      </c>
      <c r="C508" s="28" t="s">
        <v>3375</v>
      </c>
      <c r="D508" s="13" t="s">
        <v>596</v>
      </c>
      <c r="E508" s="13" t="s">
        <v>22</v>
      </c>
      <c r="F508" s="37">
        <v>7040</v>
      </c>
      <c r="G508" s="29" t="s">
        <v>201</v>
      </c>
      <c r="H508" s="14">
        <v>43486</v>
      </c>
      <c r="I508" s="4" t="s">
        <v>1</v>
      </c>
      <c r="K508" s="260"/>
    </row>
    <row r="509" spans="1:19" s="115" customFormat="1" ht="15.6" hidden="1" x14ac:dyDescent="0.25">
      <c r="A509" s="61" t="s">
        <v>151</v>
      </c>
      <c r="B509" s="14">
        <v>43488</v>
      </c>
      <c r="C509" s="13">
        <v>15</v>
      </c>
      <c r="D509" s="13" t="s">
        <v>372</v>
      </c>
      <c r="E509" s="13" t="s">
        <v>22</v>
      </c>
      <c r="F509" s="37">
        <v>13748.6</v>
      </c>
      <c r="G509" s="210" t="s">
        <v>3320</v>
      </c>
      <c r="H509" s="211">
        <v>43486</v>
      </c>
      <c r="I509" s="41" t="s">
        <v>3321</v>
      </c>
      <c r="J509" s="258"/>
      <c r="K509" s="116"/>
      <c r="L509" s="116"/>
      <c r="M509" s="116"/>
      <c r="N509" s="116"/>
      <c r="O509" s="117"/>
      <c r="P509" s="117"/>
      <c r="Q509" s="117"/>
      <c r="R509" s="117"/>
      <c r="S509" s="117"/>
    </row>
    <row r="510" spans="1:19" hidden="1" x14ac:dyDescent="0.25">
      <c r="A510" s="13" t="s">
        <v>103</v>
      </c>
      <c r="B510" s="14">
        <v>43488</v>
      </c>
      <c r="C510" s="28" t="s">
        <v>2933</v>
      </c>
      <c r="D510" s="13" t="s">
        <v>3360</v>
      </c>
      <c r="E510" s="13" t="s">
        <v>62</v>
      </c>
      <c r="F510" s="37">
        <v>14340</v>
      </c>
      <c r="G510" s="29" t="s">
        <v>2405</v>
      </c>
      <c r="H510" s="14">
        <v>43488</v>
      </c>
      <c r="I510" s="4" t="s">
        <v>3361</v>
      </c>
      <c r="J510" s="128"/>
    </row>
    <row r="511" spans="1:19" hidden="1" x14ac:dyDescent="0.25">
      <c r="A511" s="13" t="s">
        <v>151</v>
      </c>
      <c r="B511" s="14">
        <v>43488</v>
      </c>
      <c r="C511" s="28" t="s">
        <v>2932</v>
      </c>
      <c r="D511" s="13" t="s">
        <v>3352</v>
      </c>
      <c r="E511" s="13" t="s">
        <v>62</v>
      </c>
      <c r="F511" s="37">
        <v>11665</v>
      </c>
      <c r="G511" s="29" t="s">
        <v>3353</v>
      </c>
      <c r="H511" s="14">
        <v>43486</v>
      </c>
      <c r="I511" s="4" t="s">
        <v>3354</v>
      </c>
      <c r="J511" s="128"/>
    </row>
    <row r="512" spans="1:19" hidden="1" x14ac:dyDescent="0.25">
      <c r="A512" s="13" t="s">
        <v>151</v>
      </c>
      <c r="B512" s="14">
        <v>43488</v>
      </c>
      <c r="C512" s="28" t="s">
        <v>2932</v>
      </c>
      <c r="D512" s="13" t="s">
        <v>3352</v>
      </c>
      <c r="E512" s="13" t="s">
        <v>62</v>
      </c>
      <c r="F512" s="37">
        <v>5000</v>
      </c>
      <c r="G512" s="29" t="s">
        <v>3355</v>
      </c>
      <c r="H512" s="14">
        <v>43485</v>
      </c>
      <c r="I512" s="4" t="s">
        <v>3356</v>
      </c>
      <c r="J512" s="128"/>
    </row>
    <row r="513" spans="1:12" ht="13.95" hidden="1" customHeight="1" x14ac:dyDescent="0.25">
      <c r="A513" s="61" t="s">
        <v>956</v>
      </c>
      <c r="B513" s="14">
        <v>43489</v>
      </c>
      <c r="C513" s="13">
        <v>37</v>
      </c>
      <c r="D513" s="13" t="s">
        <v>679</v>
      </c>
      <c r="E513" s="32" t="s">
        <v>481</v>
      </c>
      <c r="F513" s="4">
        <v>2000000</v>
      </c>
      <c r="G513" s="86" t="s">
        <v>1663</v>
      </c>
      <c r="H513" s="211"/>
      <c r="I513" s="4" t="s">
        <v>24</v>
      </c>
      <c r="J513" s="21"/>
      <c r="K513" s="228"/>
    </row>
    <row r="514" spans="1:12" ht="15" hidden="1" customHeight="1" x14ac:dyDescent="0.25">
      <c r="A514" s="68" t="s">
        <v>174</v>
      </c>
      <c r="B514" s="14">
        <v>43489</v>
      </c>
      <c r="C514" s="67">
        <v>11</v>
      </c>
      <c r="D514" s="32" t="s">
        <v>156</v>
      </c>
      <c r="E514" s="32" t="s">
        <v>178</v>
      </c>
      <c r="F514" s="4">
        <v>204916.13</v>
      </c>
      <c r="G514" s="28"/>
      <c r="H514" s="14"/>
      <c r="I514" s="4" t="s">
        <v>752</v>
      </c>
      <c r="J514" s="166" t="s">
        <v>327</v>
      </c>
      <c r="K514" s="167"/>
      <c r="L514" s="35"/>
    </row>
    <row r="515" spans="1:12" hidden="1" x14ac:dyDescent="0.25">
      <c r="A515" s="61" t="s">
        <v>460</v>
      </c>
      <c r="B515" s="14">
        <v>43489</v>
      </c>
      <c r="C515" s="13">
        <v>30</v>
      </c>
      <c r="D515" s="14" t="s">
        <v>2239</v>
      </c>
      <c r="E515" s="32" t="s">
        <v>144</v>
      </c>
      <c r="F515" s="4">
        <v>51168</v>
      </c>
      <c r="G515" s="86" t="s">
        <v>2240</v>
      </c>
      <c r="H515" s="211"/>
      <c r="I515" s="326"/>
      <c r="K515" s="62"/>
    </row>
    <row r="516" spans="1:12" hidden="1" x14ac:dyDescent="0.25">
      <c r="A516" s="61" t="s">
        <v>460</v>
      </c>
      <c r="B516" s="14">
        <v>43489</v>
      </c>
      <c r="C516" s="13">
        <v>31</v>
      </c>
      <c r="D516" s="14" t="s">
        <v>2241</v>
      </c>
      <c r="E516" s="32" t="s">
        <v>144</v>
      </c>
      <c r="F516" s="4">
        <v>90145</v>
      </c>
      <c r="G516" s="86" t="s">
        <v>2242</v>
      </c>
      <c r="H516" s="211"/>
      <c r="I516" s="326"/>
      <c r="K516" s="62"/>
    </row>
    <row r="517" spans="1:12" hidden="1" x14ac:dyDescent="0.25">
      <c r="A517" s="61" t="s">
        <v>460</v>
      </c>
      <c r="B517" s="14">
        <v>43489</v>
      </c>
      <c r="C517" s="13">
        <v>32</v>
      </c>
      <c r="D517" s="14" t="s">
        <v>2243</v>
      </c>
      <c r="E517" s="32" t="s">
        <v>144</v>
      </c>
      <c r="F517" s="4">
        <v>36249</v>
      </c>
      <c r="G517" s="86" t="s">
        <v>2244</v>
      </c>
      <c r="H517" s="211"/>
      <c r="I517" s="326"/>
      <c r="K517" s="62"/>
    </row>
    <row r="518" spans="1:12" hidden="1" x14ac:dyDescent="0.25">
      <c r="A518" s="61" t="s">
        <v>460</v>
      </c>
      <c r="B518" s="14">
        <v>43489</v>
      </c>
      <c r="C518" s="13">
        <v>33</v>
      </c>
      <c r="D518" s="14" t="s">
        <v>2279</v>
      </c>
      <c r="E518" s="32" t="s">
        <v>144</v>
      </c>
      <c r="F518" s="4">
        <v>35558.46</v>
      </c>
      <c r="G518" s="86" t="s">
        <v>2280</v>
      </c>
      <c r="H518" s="211"/>
      <c r="I518" s="326"/>
      <c r="K518" s="62"/>
    </row>
    <row r="519" spans="1:12" ht="16.5" hidden="1" customHeight="1" x14ac:dyDescent="0.25">
      <c r="A519" s="13" t="s">
        <v>184</v>
      </c>
      <c r="B519" s="14">
        <v>43489</v>
      </c>
      <c r="C519" s="67">
        <v>34</v>
      </c>
      <c r="D519" s="32" t="s">
        <v>2147</v>
      </c>
      <c r="E519" s="32" t="s">
        <v>144</v>
      </c>
      <c r="F519" s="4">
        <v>60740.11</v>
      </c>
      <c r="G519" s="28" t="s">
        <v>3212</v>
      </c>
      <c r="H519" s="14">
        <v>43482</v>
      </c>
      <c r="I519" s="4" t="s">
        <v>2148</v>
      </c>
      <c r="J519" s="263"/>
      <c r="K519" s="63"/>
      <c r="L519" s="62"/>
    </row>
    <row r="520" spans="1:12" ht="15" hidden="1" customHeight="1" x14ac:dyDescent="0.25">
      <c r="A520" s="13" t="s">
        <v>184</v>
      </c>
      <c r="B520" s="14">
        <v>43489</v>
      </c>
      <c r="C520" s="13">
        <v>60</v>
      </c>
      <c r="D520" s="13" t="s">
        <v>348</v>
      </c>
      <c r="E520" s="32" t="s">
        <v>1121</v>
      </c>
      <c r="F520" s="4">
        <v>1200000</v>
      </c>
      <c r="G520" s="28" t="s">
        <v>2025</v>
      </c>
      <c r="H520" s="14">
        <v>43463</v>
      </c>
      <c r="I520" s="4" t="s">
        <v>309</v>
      </c>
      <c r="J520" s="76" t="s">
        <v>239</v>
      </c>
    </row>
    <row r="521" spans="1:12" ht="15" hidden="1" customHeight="1" x14ac:dyDescent="0.25">
      <c r="A521" s="13" t="s">
        <v>184</v>
      </c>
      <c r="B521" s="14">
        <v>43489</v>
      </c>
      <c r="C521" s="13">
        <v>61</v>
      </c>
      <c r="D521" s="13" t="s">
        <v>171</v>
      </c>
      <c r="E521" s="32" t="s">
        <v>1121</v>
      </c>
      <c r="F521" s="4">
        <v>500000</v>
      </c>
      <c r="G521" s="28" t="s">
        <v>3372</v>
      </c>
      <c r="H521" s="14">
        <v>43476</v>
      </c>
      <c r="I521" s="4" t="s">
        <v>384</v>
      </c>
      <c r="J521" s="125" t="s">
        <v>3373</v>
      </c>
    </row>
    <row r="522" spans="1:12" hidden="1" x14ac:dyDescent="0.25">
      <c r="A522" s="13" t="s">
        <v>184</v>
      </c>
      <c r="B522" s="14">
        <v>43489</v>
      </c>
      <c r="C522" s="13">
        <v>62</v>
      </c>
      <c r="D522" s="13" t="s">
        <v>1274</v>
      </c>
      <c r="E522" s="13" t="s">
        <v>1121</v>
      </c>
      <c r="F522" s="37">
        <v>18900</v>
      </c>
      <c r="G522" s="29" t="s">
        <v>2861</v>
      </c>
      <c r="H522" s="14">
        <v>43461</v>
      </c>
      <c r="I522" s="4" t="s">
        <v>2862</v>
      </c>
      <c r="J522" s="128"/>
    </row>
    <row r="523" spans="1:12" hidden="1" x14ac:dyDescent="0.25">
      <c r="A523" s="13" t="s">
        <v>184</v>
      </c>
      <c r="B523" s="14">
        <v>43489</v>
      </c>
      <c r="C523" s="13">
        <v>63</v>
      </c>
      <c r="D523" s="13" t="s">
        <v>2340</v>
      </c>
      <c r="E523" s="32" t="s">
        <v>1121</v>
      </c>
      <c r="F523" s="4">
        <v>131760</v>
      </c>
      <c r="G523" s="28" t="s">
        <v>2963</v>
      </c>
      <c r="H523" s="14">
        <v>43474</v>
      </c>
      <c r="I523" s="4" t="s">
        <v>2342</v>
      </c>
      <c r="J523" s="76" t="s">
        <v>2962</v>
      </c>
    </row>
    <row r="524" spans="1:12" hidden="1" x14ac:dyDescent="0.25">
      <c r="A524" s="13" t="s">
        <v>184</v>
      </c>
      <c r="B524" s="14">
        <v>43489</v>
      </c>
      <c r="C524" s="13">
        <v>64</v>
      </c>
      <c r="D524" s="13" t="s">
        <v>897</v>
      </c>
      <c r="E524" s="32" t="s">
        <v>1121</v>
      </c>
      <c r="F524" s="4">
        <v>65280</v>
      </c>
      <c r="G524" s="28" t="s">
        <v>26</v>
      </c>
      <c r="H524" s="14">
        <v>43475</v>
      </c>
      <c r="I524" s="4" t="s">
        <v>2971</v>
      </c>
      <c r="J524" s="76"/>
    </row>
    <row r="525" spans="1:12" hidden="1" x14ac:dyDescent="0.25">
      <c r="A525" s="13" t="s">
        <v>184</v>
      </c>
      <c r="B525" s="14">
        <v>43489</v>
      </c>
      <c r="C525" s="13">
        <v>65</v>
      </c>
      <c r="D525" s="13" t="s">
        <v>812</v>
      </c>
      <c r="E525" s="32" t="s">
        <v>1121</v>
      </c>
      <c r="F525" s="4">
        <v>261000</v>
      </c>
      <c r="G525" s="28" t="s">
        <v>2960</v>
      </c>
      <c r="H525" s="14">
        <v>43435</v>
      </c>
      <c r="I525" s="4" t="s">
        <v>1483</v>
      </c>
      <c r="J525" s="125" t="s">
        <v>327</v>
      </c>
    </row>
    <row r="526" spans="1:12" ht="27.6" hidden="1" x14ac:dyDescent="0.25">
      <c r="A526" s="13" t="s">
        <v>184</v>
      </c>
      <c r="B526" s="14">
        <v>43489</v>
      </c>
      <c r="C526" s="13">
        <v>66</v>
      </c>
      <c r="D526" s="13" t="s">
        <v>377</v>
      </c>
      <c r="E526" s="32" t="s">
        <v>1121</v>
      </c>
      <c r="F526" s="4">
        <v>6000</v>
      </c>
      <c r="G526" s="29" t="s">
        <v>1342</v>
      </c>
      <c r="H526" s="14">
        <v>43460</v>
      </c>
      <c r="I526" s="4" t="s">
        <v>2863</v>
      </c>
      <c r="J526" s="125" t="s">
        <v>2864</v>
      </c>
    </row>
    <row r="527" spans="1:12" ht="27.6" hidden="1" x14ac:dyDescent="0.25">
      <c r="A527" s="13" t="s">
        <v>184</v>
      </c>
      <c r="B527" s="14">
        <v>43489</v>
      </c>
      <c r="C527" s="13">
        <v>67</v>
      </c>
      <c r="D527" s="13" t="s">
        <v>377</v>
      </c>
      <c r="E527" s="32" t="s">
        <v>1121</v>
      </c>
      <c r="F527" s="4">
        <v>11000</v>
      </c>
      <c r="G527" s="29" t="s">
        <v>1495</v>
      </c>
      <c r="H527" s="14">
        <v>43460</v>
      </c>
      <c r="I527" s="4" t="s">
        <v>2863</v>
      </c>
      <c r="J527" s="125" t="s">
        <v>2865</v>
      </c>
    </row>
    <row r="528" spans="1:12" ht="15" hidden="1" customHeight="1" x14ac:dyDescent="0.25">
      <c r="A528" s="13" t="s">
        <v>964</v>
      </c>
      <c r="B528" s="14">
        <v>43489</v>
      </c>
      <c r="C528" s="13">
        <v>68</v>
      </c>
      <c r="D528" s="13" t="s">
        <v>321</v>
      </c>
      <c r="E528" s="32" t="s">
        <v>1121</v>
      </c>
      <c r="F528" s="4">
        <v>40000</v>
      </c>
      <c r="G528" s="28" t="s">
        <v>716</v>
      </c>
      <c r="H528" s="14" t="s">
        <v>2883</v>
      </c>
      <c r="I528" s="4" t="s">
        <v>607</v>
      </c>
      <c r="J528" s="76" t="s">
        <v>2884</v>
      </c>
      <c r="L528" s="76"/>
    </row>
    <row r="529" spans="1:19" ht="27.6" hidden="1" x14ac:dyDescent="0.25">
      <c r="A529" s="32" t="s">
        <v>151</v>
      </c>
      <c r="B529" s="14">
        <v>43489</v>
      </c>
      <c r="C529" s="67">
        <v>69</v>
      </c>
      <c r="D529" s="32" t="s">
        <v>412</v>
      </c>
      <c r="E529" s="13" t="s">
        <v>1121</v>
      </c>
      <c r="F529" s="4">
        <v>96000</v>
      </c>
      <c r="G529" s="13">
        <v>4</v>
      </c>
      <c r="H529" s="14">
        <v>43474</v>
      </c>
      <c r="I529" s="4" t="s">
        <v>2078</v>
      </c>
      <c r="J529" s="22" t="s">
        <v>239</v>
      </c>
      <c r="K529" s="245"/>
    </row>
    <row r="530" spans="1:19" s="115" customFormat="1" ht="15.6" hidden="1" customHeight="1" x14ac:dyDescent="0.25">
      <c r="A530" s="61" t="s">
        <v>455</v>
      </c>
      <c r="B530" s="14">
        <v>43489</v>
      </c>
      <c r="C530" s="13">
        <v>54</v>
      </c>
      <c r="D530" s="13" t="s">
        <v>873</v>
      </c>
      <c r="E530" s="13" t="s">
        <v>440</v>
      </c>
      <c r="F530" s="37">
        <v>1000000</v>
      </c>
      <c r="G530" s="13" t="s">
        <v>874</v>
      </c>
      <c r="H530" s="126">
        <v>43413</v>
      </c>
      <c r="I530" s="29" t="s">
        <v>875</v>
      </c>
      <c r="J530" s="258"/>
      <c r="K530" s="116"/>
      <c r="L530" s="116"/>
      <c r="M530" s="116"/>
      <c r="N530" s="116"/>
      <c r="O530" s="117"/>
      <c r="P530" s="117"/>
      <c r="Q530" s="117"/>
      <c r="R530" s="117"/>
      <c r="S530" s="117"/>
    </row>
    <row r="531" spans="1:19" s="31" customFormat="1" ht="27.6" hidden="1" x14ac:dyDescent="0.25">
      <c r="A531" s="13" t="s">
        <v>1422</v>
      </c>
      <c r="B531" s="14">
        <v>43489</v>
      </c>
      <c r="C531" s="13">
        <v>185</v>
      </c>
      <c r="D531" s="13" t="s">
        <v>1974</v>
      </c>
      <c r="E531" s="32" t="s">
        <v>130</v>
      </c>
      <c r="F531" s="37">
        <v>50000</v>
      </c>
      <c r="G531" s="29" t="s">
        <v>153</v>
      </c>
      <c r="H531" s="14">
        <v>43438</v>
      </c>
      <c r="I531" s="4" t="s">
        <v>1581</v>
      </c>
      <c r="J531" s="34"/>
      <c r="K531" s="389"/>
      <c r="L531" s="388"/>
      <c r="O531" s="34"/>
      <c r="P531" s="34"/>
      <c r="Q531" s="34"/>
      <c r="R531" s="34"/>
      <c r="S531" s="34"/>
    </row>
    <row r="532" spans="1:19" ht="13.95" hidden="1" customHeight="1" x14ac:dyDescent="0.25">
      <c r="A532" s="61" t="s">
        <v>1149</v>
      </c>
      <c r="B532" s="14">
        <v>43489</v>
      </c>
      <c r="C532" s="13">
        <v>186</v>
      </c>
      <c r="D532" s="32" t="s">
        <v>390</v>
      </c>
      <c r="E532" s="32" t="s">
        <v>130</v>
      </c>
      <c r="F532" s="4">
        <v>189000</v>
      </c>
      <c r="G532" s="210" t="s">
        <v>3365</v>
      </c>
      <c r="H532" s="211">
        <v>43481</v>
      </c>
      <c r="I532" s="84" t="s">
        <v>255</v>
      </c>
      <c r="J532" s="21"/>
      <c r="K532" s="389"/>
      <c r="L532" s="388"/>
    </row>
    <row r="533" spans="1:19" ht="27.6" hidden="1" x14ac:dyDescent="0.25">
      <c r="A533" s="68" t="s">
        <v>3369</v>
      </c>
      <c r="B533" s="14">
        <v>43489</v>
      </c>
      <c r="C533" s="13">
        <v>187</v>
      </c>
      <c r="D533" s="32" t="s">
        <v>1805</v>
      </c>
      <c r="E533" s="32" t="s">
        <v>130</v>
      </c>
      <c r="F533" s="4">
        <v>300000</v>
      </c>
      <c r="G533" s="86" t="s">
        <v>3367</v>
      </c>
      <c r="H533" s="211">
        <v>43426</v>
      </c>
      <c r="I533" s="208" t="s">
        <v>3368</v>
      </c>
      <c r="J533" s="21"/>
      <c r="K533" s="228"/>
    </row>
    <row r="534" spans="1:19" hidden="1" x14ac:dyDescent="0.25">
      <c r="A534" s="13" t="s">
        <v>213</v>
      </c>
      <c r="B534" s="14">
        <v>43489</v>
      </c>
      <c r="C534" s="13">
        <v>188</v>
      </c>
      <c r="D534" s="13" t="s">
        <v>1930</v>
      </c>
      <c r="E534" s="13" t="s">
        <v>130</v>
      </c>
      <c r="F534" s="37">
        <v>605643.6</v>
      </c>
      <c r="G534" s="69" t="s">
        <v>3358</v>
      </c>
      <c r="H534" s="14"/>
      <c r="I534" s="4" t="s">
        <v>1676</v>
      </c>
      <c r="J534" s="169"/>
    </row>
    <row r="535" spans="1:19" ht="13.8" hidden="1" customHeight="1" x14ac:dyDescent="0.25">
      <c r="A535" s="68" t="s">
        <v>908</v>
      </c>
      <c r="B535" s="14">
        <v>43489</v>
      </c>
      <c r="C535" s="13">
        <v>245</v>
      </c>
      <c r="D535" s="32" t="s">
        <v>1077</v>
      </c>
      <c r="E535" s="32" t="s">
        <v>38</v>
      </c>
      <c r="F535" s="4">
        <v>2300000</v>
      </c>
      <c r="G535" s="86" t="s">
        <v>591</v>
      </c>
      <c r="H535" s="211"/>
      <c r="I535" s="208" t="s">
        <v>581</v>
      </c>
      <c r="J535" s="21"/>
      <c r="K535" s="228"/>
    </row>
    <row r="536" spans="1:19" s="97" customFormat="1" hidden="1" x14ac:dyDescent="0.25">
      <c r="A536" s="61" t="s">
        <v>92</v>
      </c>
      <c r="B536" s="14">
        <v>43489</v>
      </c>
      <c r="C536" s="13">
        <v>81</v>
      </c>
      <c r="D536" s="13" t="s">
        <v>2697</v>
      </c>
      <c r="E536" s="13" t="s">
        <v>62</v>
      </c>
      <c r="F536" s="37">
        <v>141616</v>
      </c>
      <c r="G536" s="29" t="s">
        <v>2700</v>
      </c>
      <c r="H536" s="14">
        <v>43446</v>
      </c>
      <c r="I536" s="4" t="s">
        <v>1244</v>
      </c>
      <c r="J536" s="133"/>
      <c r="K536" s="22"/>
      <c r="L536" s="134"/>
    </row>
    <row r="537" spans="1:19" s="97" customFormat="1" hidden="1" x14ac:dyDescent="0.25">
      <c r="A537" s="13" t="s">
        <v>442</v>
      </c>
      <c r="B537" s="14">
        <v>43489</v>
      </c>
      <c r="C537" s="13">
        <v>82</v>
      </c>
      <c r="D537" s="13" t="s">
        <v>740</v>
      </c>
      <c r="E537" s="13" t="s">
        <v>62</v>
      </c>
      <c r="F537" s="37">
        <v>157000</v>
      </c>
      <c r="G537" s="29" t="s">
        <v>1986</v>
      </c>
      <c r="H537" s="14">
        <v>43353</v>
      </c>
      <c r="I537" s="4" t="s">
        <v>1331</v>
      </c>
      <c r="J537" s="133"/>
      <c r="K537" s="22"/>
      <c r="L537" s="134"/>
    </row>
    <row r="538" spans="1:19" s="97" customFormat="1" hidden="1" x14ac:dyDescent="0.25">
      <c r="A538" s="61" t="s">
        <v>91</v>
      </c>
      <c r="B538" s="14">
        <v>43489</v>
      </c>
      <c r="C538" s="13">
        <v>83</v>
      </c>
      <c r="D538" s="13" t="s">
        <v>869</v>
      </c>
      <c r="E538" s="13" t="s">
        <v>62</v>
      </c>
      <c r="F538" s="37">
        <v>31747.34</v>
      </c>
      <c r="G538" s="29" t="s">
        <v>2422</v>
      </c>
      <c r="H538" s="14">
        <v>43441</v>
      </c>
      <c r="I538" s="4" t="s">
        <v>572</v>
      </c>
      <c r="J538" s="133"/>
      <c r="K538" s="22"/>
      <c r="L538" s="134"/>
    </row>
    <row r="539" spans="1:19" s="97" customFormat="1" hidden="1" x14ac:dyDescent="0.25">
      <c r="A539" s="61" t="s">
        <v>442</v>
      </c>
      <c r="B539" s="14">
        <v>43489</v>
      </c>
      <c r="C539" s="13">
        <v>83</v>
      </c>
      <c r="D539" s="13" t="s">
        <v>869</v>
      </c>
      <c r="E539" s="13" t="s">
        <v>62</v>
      </c>
      <c r="F539" s="37">
        <f>68297.04-0.02</f>
        <v>68297.01999999999</v>
      </c>
      <c r="G539" s="29" t="s">
        <v>2423</v>
      </c>
      <c r="H539" s="14">
        <v>43441</v>
      </c>
      <c r="I539" s="4" t="s">
        <v>572</v>
      </c>
      <c r="J539" s="133"/>
      <c r="K539" s="22"/>
      <c r="L539" s="134"/>
    </row>
    <row r="540" spans="1:19" s="97" customFormat="1" hidden="1" x14ac:dyDescent="0.25">
      <c r="A540" s="13" t="s">
        <v>91</v>
      </c>
      <c r="B540" s="14">
        <v>43489</v>
      </c>
      <c r="C540" s="13">
        <v>84</v>
      </c>
      <c r="D540" s="13" t="s">
        <v>304</v>
      </c>
      <c r="E540" s="13" t="s">
        <v>62</v>
      </c>
      <c r="F540" s="37">
        <v>30594</v>
      </c>
      <c r="G540" s="29" t="s">
        <v>2402</v>
      </c>
      <c r="H540" s="14">
        <v>43440</v>
      </c>
      <c r="I540" s="4" t="s">
        <v>2403</v>
      </c>
      <c r="J540" s="133"/>
      <c r="K540" s="22"/>
      <c r="L540" s="134"/>
    </row>
    <row r="541" spans="1:19" s="97" customFormat="1" hidden="1" x14ac:dyDescent="0.25">
      <c r="A541" s="61" t="s">
        <v>91</v>
      </c>
      <c r="B541" s="14">
        <v>43489</v>
      </c>
      <c r="C541" s="13">
        <v>84</v>
      </c>
      <c r="D541" s="13" t="s">
        <v>304</v>
      </c>
      <c r="E541" s="13" t="s">
        <v>62</v>
      </c>
      <c r="F541" s="37">
        <v>27240</v>
      </c>
      <c r="G541" s="29" t="s">
        <v>2579</v>
      </c>
      <c r="H541" s="14">
        <v>43440</v>
      </c>
      <c r="I541" s="4" t="s">
        <v>374</v>
      </c>
      <c r="J541" s="133"/>
      <c r="K541" s="22"/>
      <c r="L541" s="134"/>
    </row>
    <row r="542" spans="1:19" ht="13.8" hidden="1" customHeight="1" x14ac:dyDescent="0.25">
      <c r="A542" s="32" t="s">
        <v>442</v>
      </c>
      <c r="B542" s="14">
        <v>43489</v>
      </c>
      <c r="C542" s="13">
        <v>85</v>
      </c>
      <c r="D542" s="32" t="s">
        <v>181</v>
      </c>
      <c r="E542" s="32" t="s">
        <v>62</v>
      </c>
      <c r="F542" s="4">
        <v>105960</v>
      </c>
      <c r="G542" s="29" t="s">
        <v>302</v>
      </c>
      <c r="H542" s="14">
        <v>43480</v>
      </c>
      <c r="I542" s="4" t="s">
        <v>102</v>
      </c>
      <c r="J542" s="21"/>
      <c r="K542" s="228"/>
    </row>
    <row r="543" spans="1:19" s="82" customFormat="1" hidden="1" x14ac:dyDescent="0.25">
      <c r="A543" s="13" t="s">
        <v>442</v>
      </c>
      <c r="B543" s="14">
        <v>43489</v>
      </c>
      <c r="C543" s="13">
        <v>86</v>
      </c>
      <c r="D543" s="13" t="s">
        <v>298</v>
      </c>
      <c r="E543" s="32" t="s">
        <v>62</v>
      </c>
      <c r="F543" s="4">
        <v>12000</v>
      </c>
      <c r="G543" s="29" t="s">
        <v>3363</v>
      </c>
      <c r="H543" s="14">
        <v>43426</v>
      </c>
      <c r="I543" s="13" t="s">
        <v>3364</v>
      </c>
      <c r="J543" s="22"/>
      <c r="K543" s="228"/>
      <c r="L543" s="228"/>
    </row>
    <row r="544" spans="1:19" hidden="1" x14ac:dyDescent="0.25">
      <c r="A544" s="61" t="s">
        <v>442</v>
      </c>
      <c r="B544" s="14">
        <v>43489</v>
      </c>
      <c r="C544" s="13">
        <v>87</v>
      </c>
      <c r="D544" s="13" t="s">
        <v>282</v>
      </c>
      <c r="E544" s="13" t="s">
        <v>62</v>
      </c>
      <c r="F544" s="37">
        <v>18900</v>
      </c>
      <c r="G544" s="29" t="s">
        <v>2512</v>
      </c>
      <c r="H544" s="14">
        <v>43447</v>
      </c>
      <c r="I544" s="4" t="s">
        <v>283</v>
      </c>
    </row>
    <row r="545" spans="1:12" hidden="1" x14ac:dyDescent="0.25">
      <c r="A545" s="32" t="s">
        <v>358</v>
      </c>
      <c r="B545" s="14">
        <v>43489</v>
      </c>
      <c r="C545" s="13">
        <v>87</v>
      </c>
      <c r="D545" s="13" t="s">
        <v>282</v>
      </c>
      <c r="E545" s="13" t="s">
        <v>62</v>
      </c>
      <c r="F545" s="4">
        <v>4200</v>
      </c>
      <c r="G545" s="28" t="s">
        <v>2513</v>
      </c>
      <c r="H545" s="14">
        <v>43447</v>
      </c>
      <c r="I545" s="4" t="s">
        <v>283</v>
      </c>
    </row>
    <row r="546" spans="1:12" hidden="1" x14ac:dyDescent="0.25">
      <c r="A546" s="32" t="s">
        <v>91</v>
      </c>
      <c r="B546" s="14">
        <v>43489</v>
      </c>
      <c r="C546" s="13">
        <v>87</v>
      </c>
      <c r="D546" s="13" t="s">
        <v>282</v>
      </c>
      <c r="E546" s="13" t="s">
        <v>62</v>
      </c>
      <c r="F546" s="4">
        <v>4200</v>
      </c>
      <c r="G546" s="28" t="s">
        <v>2514</v>
      </c>
      <c r="H546" s="14">
        <v>43447</v>
      </c>
      <c r="I546" s="4" t="s">
        <v>283</v>
      </c>
    </row>
    <row r="547" spans="1:12" hidden="1" x14ac:dyDescent="0.25">
      <c r="A547" s="32" t="s">
        <v>92</v>
      </c>
      <c r="B547" s="14">
        <v>43489</v>
      </c>
      <c r="C547" s="13">
        <v>87</v>
      </c>
      <c r="D547" s="13" t="s">
        <v>282</v>
      </c>
      <c r="E547" s="13" t="s">
        <v>62</v>
      </c>
      <c r="F547" s="4">
        <v>7000</v>
      </c>
      <c r="G547" s="28" t="s">
        <v>2515</v>
      </c>
      <c r="H547" s="14">
        <v>43447</v>
      </c>
      <c r="I547" s="4" t="s">
        <v>283</v>
      </c>
    </row>
    <row r="548" spans="1:12" ht="13.8" customHeight="1" x14ac:dyDescent="0.25">
      <c r="A548" s="32" t="s">
        <v>1148</v>
      </c>
      <c r="B548" s="14">
        <v>43489</v>
      </c>
      <c r="C548" s="13">
        <v>65</v>
      </c>
      <c r="D548" s="32" t="s">
        <v>272</v>
      </c>
      <c r="E548" s="32" t="s">
        <v>808</v>
      </c>
      <c r="F548" s="4">
        <v>99000</v>
      </c>
      <c r="G548" s="69" t="s">
        <v>3370</v>
      </c>
      <c r="H548" s="14"/>
      <c r="I548" s="84" t="s">
        <v>3371</v>
      </c>
      <c r="K548" s="62"/>
    </row>
    <row r="549" spans="1:12" ht="15" hidden="1" customHeight="1" x14ac:dyDescent="0.25">
      <c r="A549" s="68" t="s">
        <v>213</v>
      </c>
      <c r="B549" s="14">
        <v>43489</v>
      </c>
      <c r="C549" s="13">
        <v>66</v>
      </c>
      <c r="D549" s="13" t="s">
        <v>507</v>
      </c>
      <c r="E549" s="32" t="s">
        <v>808</v>
      </c>
      <c r="F549" s="4">
        <v>1100000</v>
      </c>
      <c r="G549" s="86" t="s">
        <v>1123</v>
      </c>
      <c r="H549" s="14"/>
      <c r="I549" s="4" t="s">
        <v>237</v>
      </c>
      <c r="J549" s="71"/>
      <c r="K549" s="62"/>
      <c r="L549" s="62"/>
    </row>
    <row r="550" spans="1:12" ht="13.95" hidden="1" customHeight="1" x14ac:dyDescent="0.25">
      <c r="A550" s="61" t="s">
        <v>261</v>
      </c>
      <c r="B550" s="14">
        <v>43489</v>
      </c>
      <c r="C550" s="13">
        <v>67</v>
      </c>
      <c r="D550" s="32" t="s">
        <v>1087</v>
      </c>
      <c r="E550" s="32" t="s">
        <v>808</v>
      </c>
      <c r="F550" s="4">
        <v>267000</v>
      </c>
      <c r="G550" s="86" t="s">
        <v>1088</v>
      </c>
      <c r="H550" s="211"/>
      <c r="I550" s="4" t="s">
        <v>20</v>
      </c>
      <c r="J550" s="21"/>
      <c r="K550" s="228"/>
    </row>
    <row r="551" spans="1:12" ht="13.95" hidden="1" customHeight="1" x14ac:dyDescent="0.25">
      <c r="A551" s="13" t="s">
        <v>261</v>
      </c>
      <c r="B551" s="14">
        <v>43489</v>
      </c>
      <c r="C551" s="13">
        <v>68</v>
      </c>
      <c r="D551" s="32" t="s">
        <v>1087</v>
      </c>
      <c r="E551" s="32" t="s">
        <v>808</v>
      </c>
      <c r="F551" s="4">
        <v>333390.43</v>
      </c>
      <c r="G551" s="69" t="s">
        <v>3498</v>
      </c>
      <c r="H551" s="14"/>
      <c r="I551" s="4" t="s">
        <v>1716</v>
      </c>
      <c r="J551" s="21"/>
      <c r="K551" s="228"/>
    </row>
    <row r="552" spans="1:12" ht="13.95" hidden="1" customHeight="1" x14ac:dyDescent="0.25">
      <c r="A552" s="61" t="s">
        <v>261</v>
      </c>
      <c r="B552" s="14">
        <v>43489</v>
      </c>
      <c r="C552" s="13">
        <v>69</v>
      </c>
      <c r="D552" s="32" t="s">
        <v>1087</v>
      </c>
      <c r="E552" s="32" t="s">
        <v>808</v>
      </c>
      <c r="F552" s="4">
        <v>400000</v>
      </c>
      <c r="G552" s="86" t="s">
        <v>3299</v>
      </c>
      <c r="H552" s="211"/>
      <c r="I552" s="4" t="s">
        <v>3300</v>
      </c>
      <c r="J552" s="21"/>
      <c r="K552" s="228"/>
    </row>
    <row r="553" spans="1:12" ht="13.8" hidden="1" customHeight="1" x14ac:dyDescent="0.25">
      <c r="A553" s="32" t="s">
        <v>1316</v>
      </c>
      <c r="B553" s="14">
        <v>43489</v>
      </c>
      <c r="C553" s="13">
        <v>70</v>
      </c>
      <c r="D553" s="32" t="s">
        <v>1725</v>
      </c>
      <c r="E553" s="32" t="s">
        <v>808</v>
      </c>
      <c r="F553" s="4">
        <v>500000</v>
      </c>
      <c r="G553" s="69" t="s">
        <v>1532</v>
      </c>
      <c r="H553" s="14"/>
      <c r="I553" s="4" t="s">
        <v>24</v>
      </c>
      <c r="J553" s="21"/>
      <c r="K553" s="228"/>
    </row>
    <row r="554" spans="1:12" s="97" customFormat="1" hidden="1" x14ac:dyDescent="0.25">
      <c r="A554" s="68" t="s">
        <v>160</v>
      </c>
      <c r="B554" s="14">
        <v>43489</v>
      </c>
      <c r="C554" s="13">
        <v>71</v>
      </c>
      <c r="D554" s="13" t="s">
        <v>982</v>
      </c>
      <c r="E554" s="13" t="s">
        <v>808</v>
      </c>
      <c r="F554" s="37">
        <v>400000</v>
      </c>
      <c r="G554" s="29" t="s">
        <v>1094</v>
      </c>
      <c r="H554" s="14">
        <v>42992</v>
      </c>
      <c r="I554" s="4" t="s">
        <v>1093</v>
      </c>
      <c r="J554" s="133"/>
      <c r="K554" s="22"/>
      <c r="L554" s="134"/>
    </row>
    <row r="555" spans="1:12" s="97" customFormat="1" hidden="1" x14ac:dyDescent="0.25">
      <c r="A555" s="13" t="s">
        <v>1148</v>
      </c>
      <c r="B555" s="14">
        <v>43489</v>
      </c>
      <c r="C555" s="13">
        <v>72</v>
      </c>
      <c r="D555" s="13" t="s">
        <v>1206</v>
      </c>
      <c r="E555" s="13" t="s">
        <v>808</v>
      </c>
      <c r="F555" s="37">
        <v>810000</v>
      </c>
      <c r="G555" s="29" t="s">
        <v>2552</v>
      </c>
      <c r="H555" s="14">
        <v>43452</v>
      </c>
      <c r="I555" s="4" t="s">
        <v>1741</v>
      </c>
      <c r="J555" s="133"/>
      <c r="K555" s="22"/>
      <c r="L555" s="134"/>
    </row>
    <row r="556" spans="1:12" s="97" customFormat="1" hidden="1" x14ac:dyDescent="0.25">
      <c r="A556" s="13" t="s">
        <v>1148</v>
      </c>
      <c r="B556" s="14">
        <v>43489</v>
      </c>
      <c r="C556" s="13">
        <v>73</v>
      </c>
      <c r="D556" s="13" t="s">
        <v>589</v>
      </c>
      <c r="E556" s="13" t="s">
        <v>808</v>
      </c>
      <c r="F556" s="37">
        <v>793260</v>
      </c>
      <c r="G556" s="29" t="s">
        <v>2229</v>
      </c>
      <c r="H556" s="14">
        <v>43426</v>
      </c>
      <c r="I556" s="4" t="s">
        <v>1349</v>
      </c>
      <c r="J556" s="133"/>
      <c r="K556" s="22"/>
      <c r="L556" s="134"/>
    </row>
    <row r="557" spans="1:12" s="97" customFormat="1" hidden="1" x14ac:dyDescent="0.25">
      <c r="A557" s="61" t="s">
        <v>1148</v>
      </c>
      <c r="B557" s="14">
        <v>43489</v>
      </c>
      <c r="C557" s="13">
        <v>74</v>
      </c>
      <c r="D557" s="13" t="s">
        <v>1082</v>
      </c>
      <c r="E557" s="13" t="s">
        <v>808</v>
      </c>
      <c r="F557" s="37">
        <v>812779.1</v>
      </c>
      <c r="G557" s="29" t="s">
        <v>493</v>
      </c>
      <c r="H557" s="14">
        <v>43452</v>
      </c>
      <c r="I557" s="4" t="s">
        <v>421</v>
      </c>
      <c r="J557" s="133"/>
      <c r="K557" s="22"/>
      <c r="L557" s="134"/>
    </row>
    <row r="558" spans="1:12" s="97" customFormat="1" hidden="1" x14ac:dyDescent="0.25">
      <c r="A558" s="61" t="s">
        <v>1316</v>
      </c>
      <c r="B558" s="14">
        <v>43489</v>
      </c>
      <c r="C558" s="13">
        <v>75</v>
      </c>
      <c r="D558" s="13" t="s">
        <v>1032</v>
      </c>
      <c r="E558" s="13" t="s">
        <v>808</v>
      </c>
      <c r="F558" s="37">
        <v>82950</v>
      </c>
      <c r="G558" s="29" t="s">
        <v>2420</v>
      </c>
      <c r="H558" s="14">
        <v>43437</v>
      </c>
      <c r="I558" s="4" t="s">
        <v>142</v>
      </c>
      <c r="J558" s="133"/>
      <c r="K558" s="22"/>
      <c r="L558" s="134"/>
    </row>
    <row r="559" spans="1:12" s="97" customFormat="1" hidden="1" x14ac:dyDescent="0.25">
      <c r="A559" s="61" t="s">
        <v>1147</v>
      </c>
      <c r="B559" s="14">
        <v>43489</v>
      </c>
      <c r="C559" s="13">
        <v>76</v>
      </c>
      <c r="D559" s="13" t="s">
        <v>280</v>
      </c>
      <c r="E559" s="13" t="s">
        <v>808</v>
      </c>
      <c r="F559" s="37">
        <v>100000</v>
      </c>
      <c r="G559" s="29" t="s">
        <v>1515</v>
      </c>
      <c r="H559" s="14">
        <v>43439</v>
      </c>
      <c r="I559" s="4" t="s">
        <v>2581</v>
      </c>
      <c r="J559" s="133"/>
      <c r="K559" s="22"/>
      <c r="L559" s="134"/>
    </row>
    <row r="560" spans="1:12" s="97" customFormat="1" hidden="1" x14ac:dyDescent="0.25">
      <c r="A560" s="32" t="s">
        <v>1148</v>
      </c>
      <c r="B560" s="14">
        <v>43489</v>
      </c>
      <c r="C560" s="13">
        <v>77</v>
      </c>
      <c r="D560" s="13" t="s">
        <v>814</v>
      </c>
      <c r="E560" s="13" t="s">
        <v>808</v>
      </c>
      <c r="F560" s="4">
        <v>29487.759999999998</v>
      </c>
      <c r="G560" s="28" t="s">
        <v>2404</v>
      </c>
      <c r="H560" s="14">
        <v>43445</v>
      </c>
      <c r="I560" s="4" t="s">
        <v>2070</v>
      </c>
      <c r="J560" s="133"/>
      <c r="K560" s="22"/>
      <c r="L560" s="134"/>
    </row>
    <row r="561" spans="1:19" s="97" customFormat="1" hidden="1" x14ac:dyDescent="0.25">
      <c r="A561" s="61" t="s">
        <v>1147</v>
      </c>
      <c r="B561" s="14">
        <v>43489</v>
      </c>
      <c r="C561" s="13">
        <v>77</v>
      </c>
      <c r="D561" s="13" t="s">
        <v>814</v>
      </c>
      <c r="E561" s="13" t="s">
        <v>808</v>
      </c>
      <c r="F561" s="37">
        <v>23075.200000000001</v>
      </c>
      <c r="G561" s="29" t="s">
        <v>1117</v>
      </c>
      <c r="H561" s="14">
        <v>43447</v>
      </c>
      <c r="I561" s="4" t="s">
        <v>2070</v>
      </c>
      <c r="J561" s="133"/>
      <c r="K561" s="22"/>
      <c r="L561" s="134"/>
    </row>
    <row r="562" spans="1:19" s="97" customFormat="1" hidden="1" x14ac:dyDescent="0.25">
      <c r="A562" s="61" t="s">
        <v>188</v>
      </c>
      <c r="B562" s="14">
        <v>43489</v>
      </c>
      <c r="C562" s="13">
        <v>78</v>
      </c>
      <c r="D562" s="13" t="s">
        <v>72</v>
      </c>
      <c r="E562" s="13" t="s">
        <v>808</v>
      </c>
      <c r="F562" s="37">
        <v>6548.28</v>
      </c>
      <c r="G562" s="29" t="s">
        <v>2575</v>
      </c>
      <c r="H562" s="14">
        <v>43451</v>
      </c>
      <c r="I562" s="4" t="s">
        <v>2576</v>
      </c>
      <c r="J562" s="133"/>
      <c r="K562" s="22"/>
      <c r="L562" s="134"/>
    </row>
    <row r="563" spans="1:19" s="97" customFormat="1" hidden="1" x14ac:dyDescent="0.25">
      <c r="A563" s="61" t="s">
        <v>1316</v>
      </c>
      <c r="B563" s="14">
        <v>43489</v>
      </c>
      <c r="C563" s="13">
        <v>78</v>
      </c>
      <c r="D563" s="13" t="s">
        <v>72</v>
      </c>
      <c r="E563" s="13" t="s">
        <v>808</v>
      </c>
      <c r="F563" s="37">
        <v>42640.89</v>
      </c>
      <c r="G563" s="29" t="s">
        <v>2751</v>
      </c>
      <c r="H563" s="14">
        <v>43458</v>
      </c>
      <c r="I563" s="4" t="s">
        <v>2752</v>
      </c>
      <c r="J563" s="133"/>
      <c r="K563" s="22"/>
      <c r="L563" s="134"/>
    </row>
    <row r="564" spans="1:19" s="97" customFormat="1" hidden="1" x14ac:dyDescent="0.25">
      <c r="A564" s="61" t="s">
        <v>1316</v>
      </c>
      <c r="B564" s="14">
        <v>43489</v>
      </c>
      <c r="C564" s="13">
        <v>79</v>
      </c>
      <c r="D564" s="13" t="s">
        <v>516</v>
      </c>
      <c r="E564" s="13" t="s">
        <v>808</v>
      </c>
      <c r="F564" s="101">
        <f>35085.2-1944.2</f>
        <v>33141</v>
      </c>
      <c r="G564" s="29" t="s">
        <v>2396</v>
      </c>
      <c r="H564" s="14">
        <v>43440</v>
      </c>
      <c r="I564" s="4" t="s">
        <v>2397</v>
      </c>
      <c r="J564" s="133"/>
      <c r="K564" s="22"/>
      <c r="L564" s="134"/>
    </row>
    <row r="565" spans="1:19" s="97" customFormat="1" hidden="1" x14ac:dyDescent="0.25">
      <c r="A565" s="61" t="s">
        <v>1148</v>
      </c>
      <c r="B565" s="14">
        <v>43489</v>
      </c>
      <c r="C565" s="13">
        <v>79</v>
      </c>
      <c r="D565" s="13" t="s">
        <v>516</v>
      </c>
      <c r="E565" s="13" t="s">
        <v>808</v>
      </c>
      <c r="F565" s="37">
        <v>42009.38</v>
      </c>
      <c r="G565" s="29" t="s">
        <v>2569</v>
      </c>
      <c r="H565" s="14">
        <v>43452</v>
      </c>
      <c r="I565" s="4" t="s">
        <v>2570</v>
      </c>
      <c r="J565" s="133"/>
      <c r="K565" s="22"/>
      <c r="L565" s="134"/>
    </row>
    <row r="566" spans="1:19" s="97" customFormat="1" hidden="1" x14ac:dyDescent="0.25">
      <c r="A566" s="61" t="s">
        <v>1148</v>
      </c>
      <c r="B566" s="14">
        <v>43489</v>
      </c>
      <c r="C566" s="13">
        <v>79</v>
      </c>
      <c r="D566" s="13" t="s">
        <v>516</v>
      </c>
      <c r="E566" s="13" t="s">
        <v>808</v>
      </c>
      <c r="F566" s="37">
        <v>889.4</v>
      </c>
      <c r="G566" s="29" t="s">
        <v>2734</v>
      </c>
      <c r="H566" s="14">
        <v>43444</v>
      </c>
      <c r="I566" s="4" t="s">
        <v>2735</v>
      </c>
      <c r="J566" s="133"/>
      <c r="K566" s="22"/>
      <c r="L566" s="134"/>
    </row>
    <row r="567" spans="1:19" s="2" customFormat="1" hidden="1" x14ac:dyDescent="0.25">
      <c r="A567" s="13" t="s">
        <v>1316</v>
      </c>
      <c r="B567" s="14">
        <v>43489</v>
      </c>
      <c r="C567" s="13">
        <v>80</v>
      </c>
      <c r="D567" s="13" t="s">
        <v>1387</v>
      </c>
      <c r="E567" s="13" t="s">
        <v>808</v>
      </c>
      <c r="F567" s="37">
        <v>3120</v>
      </c>
      <c r="G567" s="29" t="s">
        <v>3362</v>
      </c>
      <c r="H567" s="14">
        <v>43488</v>
      </c>
      <c r="I567" s="4" t="s">
        <v>2238</v>
      </c>
      <c r="J567" s="34"/>
      <c r="K567" s="31"/>
      <c r="L567" s="31"/>
      <c r="M567" s="31"/>
      <c r="N567" s="31"/>
      <c r="O567" s="34"/>
      <c r="P567" s="34"/>
      <c r="Q567" s="34"/>
      <c r="R567" s="34"/>
      <c r="S567" s="34"/>
    </row>
    <row r="568" spans="1:19" hidden="1" x14ac:dyDescent="0.25">
      <c r="A568" s="61" t="s">
        <v>1147</v>
      </c>
      <c r="B568" s="14">
        <v>43489</v>
      </c>
      <c r="C568" s="13">
        <v>81</v>
      </c>
      <c r="D568" s="13" t="s">
        <v>515</v>
      </c>
      <c r="E568" s="13" t="s">
        <v>808</v>
      </c>
      <c r="F568" s="37">
        <v>100000</v>
      </c>
      <c r="G568" s="29" t="s">
        <v>173</v>
      </c>
      <c r="H568" s="14">
        <v>43456</v>
      </c>
      <c r="I568" s="4" t="s">
        <v>2661</v>
      </c>
    </row>
    <row r="569" spans="1:19" hidden="1" x14ac:dyDescent="0.25">
      <c r="A569" s="61" t="s">
        <v>1148</v>
      </c>
      <c r="B569" s="14">
        <v>43489</v>
      </c>
      <c r="C569" s="13">
        <v>82</v>
      </c>
      <c r="D569" s="13" t="s">
        <v>1099</v>
      </c>
      <c r="E569" s="13" t="s">
        <v>808</v>
      </c>
      <c r="F569" s="37">
        <v>58272.6</v>
      </c>
      <c r="G569" s="210" t="s">
        <v>2108</v>
      </c>
      <c r="H569" s="211">
        <v>43385</v>
      </c>
      <c r="I569" s="4" t="s">
        <v>461</v>
      </c>
    </row>
    <row r="570" spans="1:19" hidden="1" x14ac:dyDescent="0.25">
      <c r="A570" s="61" t="s">
        <v>1148</v>
      </c>
      <c r="B570" s="14">
        <v>43489</v>
      </c>
      <c r="C570" s="13">
        <v>83</v>
      </c>
      <c r="D570" s="13" t="s">
        <v>447</v>
      </c>
      <c r="E570" s="13" t="s">
        <v>808</v>
      </c>
      <c r="F570" s="37">
        <v>100000</v>
      </c>
      <c r="G570" s="29" t="s">
        <v>1342</v>
      </c>
      <c r="H570" s="14">
        <v>43434</v>
      </c>
      <c r="I570" s="4" t="s">
        <v>95</v>
      </c>
    </row>
    <row r="571" spans="1:19" hidden="1" x14ac:dyDescent="0.25">
      <c r="A571" s="61" t="s">
        <v>261</v>
      </c>
      <c r="B571" s="14">
        <v>43489</v>
      </c>
      <c r="C571" s="13">
        <v>84</v>
      </c>
      <c r="D571" s="13" t="s">
        <v>355</v>
      </c>
      <c r="E571" s="13" t="s">
        <v>808</v>
      </c>
      <c r="F571" s="37">
        <f>325208-100000*2</f>
        <v>125208</v>
      </c>
      <c r="G571" s="210" t="s">
        <v>300</v>
      </c>
      <c r="H571" s="211">
        <v>43343</v>
      </c>
      <c r="I571" s="4" t="s">
        <v>95</v>
      </c>
    </row>
    <row r="572" spans="1:19" hidden="1" x14ac:dyDescent="0.25">
      <c r="A572" s="13" t="s">
        <v>1148</v>
      </c>
      <c r="B572" s="14">
        <v>43489</v>
      </c>
      <c r="C572" s="13">
        <v>85</v>
      </c>
      <c r="D572" s="13" t="s">
        <v>282</v>
      </c>
      <c r="E572" s="13" t="s">
        <v>808</v>
      </c>
      <c r="F572" s="4">
        <v>5600</v>
      </c>
      <c r="G572" s="28" t="s">
        <v>2510</v>
      </c>
      <c r="H572" s="14">
        <v>43447</v>
      </c>
      <c r="I572" s="4" t="s">
        <v>283</v>
      </c>
    </row>
    <row r="573" spans="1:19" hidden="1" x14ac:dyDescent="0.25">
      <c r="A573" s="61" t="s">
        <v>1316</v>
      </c>
      <c r="B573" s="14">
        <v>43489</v>
      </c>
      <c r="C573" s="13">
        <v>85</v>
      </c>
      <c r="D573" s="13" t="s">
        <v>282</v>
      </c>
      <c r="E573" s="13" t="s">
        <v>808</v>
      </c>
      <c r="F573" s="37">
        <v>4900</v>
      </c>
      <c r="G573" s="29" t="s">
        <v>2511</v>
      </c>
      <c r="H573" s="14">
        <v>43447</v>
      </c>
      <c r="I573" s="4" t="s">
        <v>283</v>
      </c>
    </row>
    <row r="574" spans="1:19" hidden="1" x14ac:dyDescent="0.25">
      <c r="A574" s="61" t="s">
        <v>1148</v>
      </c>
      <c r="B574" s="14">
        <v>43489</v>
      </c>
      <c r="C574" s="13">
        <v>85</v>
      </c>
      <c r="D574" s="13" t="s">
        <v>282</v>
      </c>
      <c r="E574" s="13" t="s">
        <v>808</v>
      </c>
      <c r="F574" s="37">
        <v>4900</v>
      </c>
      <c r="G574" s="29" t="s">
        <v>1692</v>
      </c>
      <c r="H574" s="14">
        <v>43454</v>
      </c>
      <c r="I574" s="4" t="s">
        <v>283</v>
      </c>
    </row>
    <row r="575" spans="1:19" hidden="1" x14ac:dyDescent="0.25">
      <c r="A575" s="13" t="s">
        <v>1316</v>
      </c>
      <c r="B575" s="14">
        <v>43489</v>
      </c>
      <c r="C575" s="13">
        <v>85</v>
      </c>
      <c r="D575" s="13" t="s">
        <v>282</v>
      </c>
      <c r="E575" s="13" t="s">
        <v>808</v>
      </c>
      <c r="F575" s="4">
        <v>4900</v>
      </c>
      <c r="G575" s="28" t="s">
        <v>2667</v>
      </c>
      <c r="H575" s="14">
        <v>43454</v>
      </c>
      <c r="I575" s="4" t="s">
        <v>283</v>
      </c>
    </row>
    <row r="576" spans="1:19" hidden="1" x14ac:dyDescent="0.25">
      <c r="A576" s="13" t="s">
        <v>1148</v>
      </c>
      <c r="B576" s="14">
        <v>43489</v>
      </c>
      <c r="C576" s="13">
        <v>85</v>
      </c>
      <c r="D576" s="13" t="s">
        <v>282</v>
      </c>
      <c r="E576" s="13" t="s">
        <v>808</v>
      </c>
      <c r="F576" s="4">
        <v>4200</v>
      </c>
      <c r="G576" s="28" t="s">
        <v>2842</v>
      </c>
      <c r="H576" s="14">
        <v>43465</v>
      </c>
      <c r="I576" s="4" t="s">
        <v>283</v>
      </c>
    </row>
    <row r="577" spans="1:9" hidden="1" x14ac:dyDescent="0.25">
      <c r="A577" s="13" t="s">
        <v>1316</v>
      </c>
      <c r="B577" s="14">
        <v>43489</v>
      </c>
      <c r="C577" s="13">
        <v>85</v>
      </c>
      <c r="D577" s="13" t="s">
        <v>282</v>
      </c>
      <c r="E577" s="13" t="s">
        <v>808</v>
      </c>
      <c r="F577" s="4">
        <v>5600</v>
      </c>
      <c r="G577" s="28" t="s">
        <v>2843</v>
      </c>
      <c r="H577" s="14">
        <v>43465</v>
      </c>
      <c r="I577" s="4" t="s">
        <v>283</v>
      </c>
    </row>
    <row r="578" spans="1:9" hidden="1" x14ac:dyDescent="0.25">
      <c r="A578" s="32" t="s">
        <v>1148</v>
      </c>
      <c r="B578" s="14">
        <v>43489</v>
      </c>
      <c r="C578" s="13">
        <v>86</v>
      </c>
      <c r="D578" s="13" t="s">
        <v>1431</v>
      </c>
      <c r="E578" s="13" t="s">
        <v>808</v>
      </c>
      <c r="F578" s="4">
        <v>105000</v>
      </c>
      <c r="G578" s="28" t="s">
        <v>1266</v>
      </c>
      <c r="H578" s="14">
        <v>43412</v>
      </c>
      <c r="I578" s="4" t="s">
        <v>1061</v>
      </c>
    </row>
    <row r="579" spans="1:9" hidden="1" x14ac:dyDescent="0.25">
      <c r="A579" s="61" t="s">
        <v>1148</v>
      </c>
      <c r="B579" s="14">
        <v>43489</v>
      </c>
      <c r="C579" s="13">
        <v>87</v>
      </c>
      <c r="D579" s="13" t="s">
        <v>1395</v>
      </c>
      <c r="E579" s="13" t="s">
        <v>808</v>
      </c>
      <c r="F579" s="37">
        <v>38000</v>
      </c>
      <c r="G579" s="29" t="s">
        <v>3104</v>
      </c>
      <c r="H579" s="14">
        <v>43474</v>
      </c>
      <c r="I579" s="4" t="s">
        <v>3139</v>
      </c>
    </row>
    <row r="580" spans="1:9" hidden="1" x14ac:dyDescent="0.25">
      <c r="A580" s="61" t="s">
        <v>1316</v>
      </c>
      <c r="B580" s="14">
        <v>43489</v>
      </c>
      <c r="C580" s="13">
        <v>87</v>
      </c>
      <c r="D580" s="13" t="s">
        <v>1395</v>
      </c>
      <c r="E580" s="13" t="s">
        <v>808</v>
      </c>
      <c r="F580" s="37">
        <v>41800</v>
      </c>
      <c r="G580" s="29" t="s">
        <v>1158</v>
      </c>
      <c r="H580" s="14">
        <v>43474</v>
      </c>
      <c r="I580" s="4" t="s">
        <v>3140</v>
      </c>
    </row>
    <row r="581" spans="1:9" ht="41.4" hidden="1" x14ac:dyDescent="0.25">
      <c r="A581" s="61" t="s">
        <v>2270</v>
      </c>
      <c r="B581" s="14">
        <v>43489</v>
      </c>
      <c r="C581" s="13">
        <v>88</v>
      </c>
      <c r="D581" s="13" t="s">
        <v>80</v>
      </c>
      <c r="E581" s="13" t="s">
        <v>808</v>
      </c>
      <c r="F581" s="37">
        <v>150000</v>
      </c>
      <c r="G581" s="29" t="s">
        <v>2271</v>
      </c>
      <c r="H581" s="14">
        <v>43434</v>
      </c>
      <c r="I581" s="4" t="s">
        <v>2157</v>
      </c>
    </row>
    <row r="582" spans="1:9" hidden="1" x14ac:dyDescent="0.25">
      <c r="A582" s="61" t="s">
        <v>1149</v>
      </c>
      <c r="B582" s="14">
        <v>43489</v>
      </c>
      <c r="C582" s="13">
        <v>89</v>
      </c>
      <c r="D582" s="13" t="s">
        <v>250</v>
      </c>
      <c r="E582" s="13" t="s">
        <v>808</v>
      </c>
      <c r="F582" s="37">
        <v>13750</v>
      </c>
      <c r="G582" s="29" t="s">
        <v>2273</v>
      </c>
      <c r="H582" s="14">
        <v>43425</v>
      </c>
      <c r="I582" s="4" t="s">
        <v>337</v>
      </c>
    </row>
    <row r="583" spans="1:9" hidden="1" x14ac:dyDescent="0.25">
      <c r="A583" s="61" t="s">
        <v>1149</v>
      </c>
      <c r="B583" s="14">
        <v>43489</v>
      </c>
      <c r="C583" s="13">
        <v>89</v>
      </c>
      <c r="D583" s="13" t="s">
        <v>250</v>
      </c>
      <c r="E583" s="13" t="s">
        <v>808</v>
      </c>
      <c r="F583" s="37">
        <v>12375</v>
      </c>
      <c r="G583" s="210" t="s">
        <v>2274</v>
      </c>
      <c r="H583" s="211">
        <v>43427</v>
      </c>
      <c r="I583" s="4" t="s">
        <v>337</v>
      </c>
    </row>
    <row r="584" spans="1:9" hidden="1" x14ac:dyDescent="0.25">
      <c r="A584" s="14" t="s">
        <v>1149</v>
      </c>
      <c r="B584" s="14">
        <v>43489</v>
      </c>
      <c r="C584" s="13">
        <v>89</v>
      </c>
      <c r="D584" s="13" t="s">
        <v>250</v>
      </c>
      <c r="E584" s="13" t="s">
        <v>808</v>
      </c>
      <c r="F584" s="37">
        <v>21250</v>
      </c>
      <c r="G584" s="210" t="s">
        <v>2275</v>
      </c>
      <c r="H584" s="211">
        <v>43432</v>
      </c>
      <c r="I584" s="4" t="s">
        <v>402</v>
      </c>
    </row>
    <row r="585" spans="1:9" hidden="1" x14ac:dyDescent="0.25">
      <c r="A585" s="32" t="s">
        <v>1148</v>
      </c>
      <c r="B585" s="14">
        <v>43489</v>
      </c>
      <c r="C585" s="13">
        <v>90</v>
      </c>
      <c r="D585" s="13" t="s">
        <v>29</v>
      </c>
      <c r="E585" s="13" t="s">
        <v>808</v>
      </c>
      <c r="F585" s="4">
        <v>42750</v>
      </c>
      <c r="G585" s="28" t="s">
        <v>1693</v>
      </c>
      <c r="H585" s="14">
        <v>43410</v>
      </c>
      <c r="I585" s="4" t="s">
        <v>1061</v>
      </c>
    </row>
    <row r="586" spans="1:9" hidden="1" x14ac:dyDescent="0.25">
      <c r="A586" s="61" t="s">
        <v>1316</v>
      </c>
      <c r="B586" s="14">
        <v>43489</v>
      </c>
      <c r="C586" s="13">
        <v>90</v>
      </c>
      <c r="D586" s="13" t="s">
        <v>29</v>
      </c>
      <c r="E586" s="13" t="s">
        <v>808</v>
      </c>
      <c r="F586" s="37">
        <v>9000</v>
      </c>
      <c r="G586" s="29" t="s">
        <v>2224</v>
      </c>
      <c r="H586" s="14">
        <v>43423</v>
      </c>
      <c r="I586" s="4" t="s">
        <v>87</v>
      </c>
    </row>
    <row r="587" spans="1:9" hidden="1" x14ac:dyDescent="0.25">
      <c r="A587" s="32" t="s">
        <v>261</v>
      </c>
      <c r="B587" s="14">
        <v>43489</v>
      </c>
      <c r="C587" s="13">
        <v>90</v>
      </c>
      <c r="D587" s="13" t="s">
        <v>29</v>
      </c>
      <c r="E587" s="13" t="s">
        <v>808</v>
      </c>
      <c r="F587" s="4">
        <v>6750</v>
      </c>
      <c r="G587" s="28" t="s">
        <v>3114</v>
      </c>
      <c r="H587" s="14">
        <v>43444</v>
      </c>
      <c r="I587" s="4" t="s">
        <v>87</v>
      </c>
    </row>
    <row r="588" spans="1:9" hidden="1" x14ac:dyDescent="0.25">
      <c r="A588" s="61" t="s">
        <v>1147</v>
      </c>
      <c r="B588" s="14">
        <v>43489</v>
      </c>
      <c r="C588" s="13">
        <v>91</v>
      </c>
      <c r="D588" s="13" t="s">
        <v>764</v>
      </c>
      <c r="E588" s="13" t="s">
        <v>808</v>
      </c>
      <c r="F588" s="37">
        <v>158125</v>
      </c>
      <c r="G588" s="29" t="s">
        <v>1752</v>
      </c>
      <c r="H588" s="14">
        <v>43434</v>
      </c>
      <c r="I588" s="4" t="s">
        <v>511</v>
      </c>
    </row>
    <row r="589" spans="1:9" hidden="1" x14ac:dyDescent="0.25">
      <c r="A589" s="13" t="s">
        <v>1148</v>
      </c>
      <c r="B589" s="14">
        <v>43489</v>
      </c>
      <c r="C589" s="13">
        <v>92</v>
      </c>
      <c r="D589" s="13" t="s">
        <v>692</v>
      </c>
      <c r="E589" s="13" t="s">
        <v>808</v>
      </c>
      <c r="F589" s="37">
        <f>214500-100000</f>
        <v>114500</v>
      </c>
      <c r="G589" s="210" t="s">
        <v>1205</v>
      </c>
      <c r="H589" s="211">
        <v>43409</v>
      </c>
      <c r="I589" s="4" t="s">
        <v>419</v>
      </c>
    </row>
    <row r="590" spans="1:9" hidden="1" x14ac:dyDescent="0.25">
      <c r="A590" s="32" t="s">
        <v>1316</v>
      </c>
      <c r="B590" s="14">
        <v>43489</v>
      </c>
      <c r="C590" s="13">
        <v>93</v>
      </c>
      <c r="D590" s="13" t="s">
        <v>862</v>
      </c>
      <c r="E590" s="13" t="s">
        <v>808</v>
      </c>
      <c r="F590" s="4">
        <v>8750</v>
      </c>
      <c r="G590" s="28" t="s">
        <v>2679</v>
      </c>
      <c r="H590" s="14">
        <v>43434</v>
      </c>
      <c r="I590" s="4" t="s">
        <v>354</v>
      </c>
    </row>
    <row r="591" spans="1:9" hidden="1" x14ac:dyDescent="0.25">
      <c r="A591" s="32" t="s">
        <v>1149</v>
      </c>
      <c r="B591" s="14">
        <v>43489</v>
      </c>
      <c r="C591" s="13">
        <v>93</v>
      </c>
      <c r="D591" s="13" t="s">
        <v>862</v>
      </c>
      <c r="E591" s="13" t="s">
        <v>808</v>
      </c>
      <c r="F591" s="4">
        <v>13750</v>
      </c>
      <c r="G591" s="28" t="s">
        <v>2680</v>
      </c>
      <c r="H591" s="14">
        <v>43439</v>
      </c>
      <c r="I591" s="4" t="s">
        <v>354</v>
      </c>
    </row>
    <row r="592" spans="1:9" hidden="1" x14ac:dyDescent="0.25">
      <c r="A592" s="13" t="s">
        <v>1148</v>
      </c>
      <c r="B592" s="14">
        <v>43489</v>
      </c>
      <c r="C592" s="13">
        <v>93</v>
      </c>
      <c r="D592" s="13" t="s">
        <v>862</v>
      </c>
      <c r="E592" s="13" t="s">
        <v>808</v>
      </c>
      <c r="F592" s="37">
        <v>13750</v>
      </c>
      <c r="G592" s="29" t="s">
        <v>2681</v>
      </c>
      <c r="H592" s="14">
        <v>43440</v>
      </c>
      <c r="I592" s="4" t="s">
        <v>354</v>
      </c>
    </row>
    <row r="593" spans="1:19" hidden="1" x14ac:dyDescent="0.25">
      <c r="A593" s="61" t="s">
        <v>1148</v>
      </c>
      <c r="B593" s="14">
        <v>43489</v>
      </c>
      <c r="C593" s="13">
        <v>94</v>
      </c>
      <c r="D593" s="13" t="s">
        <v>149</v>
      </c>
      <c r="E593" s="13" t="s">
        <v>808</v>
      </c>
      <c r="F593" s="37">
        <v>14000</v>
      </c>
      <c r="G593" s="210" t="s">
        <v>2164</v>
      </c>
      <c r="H593" s="211">
        <v>43404</v>
      </c>
      <c r="I593" s="4" t="s">
        <v>1063</v>
      </c>
    </row>
    <row r="594" spans="1:19" hidden="1" x14ac:dyDescent="0.25">
      <c r="A594" s="61" t="s">
        <v>261</v>
      </c>
      <c r="B594" s="14">
        <v>43489</v>
      </c>
      <c r="C594" s="13">
        <v>94</v>
      </c>
      <c r="D594" s="13" t="s">
        <v>149</v>
      </c>
      <c r="E594" s="13" t="s">
        <v>808</v>
      </c>
      <c r="F594" s="37">
        <v>7000</v>
      </c>
      <c r="G594" s="29" t="s">
        <v>2165</v>
      </c>
      <c r="H594" s="14">
        <v>43404</v>
      </c>
      <c r="I594" s="4" t="s">
        <v>1063</v>
      </c>
    </row>
    <row r="595" spans="1:19" hidden="1" x14ac:dyDescent="0.25">
      <c r="A595" s="61" t="s">
        <v>1148</v>
      </c>
      <c r="B595" s="14">
        <v>43489</v>
      </c>
      <c r="C595" s="13">
        <v>95</v>
      </c>
      <c r="D595" s="13" t="s">
        <v>149</v>
      </c>
      <c r="E595" s="13" t="s">
        <v>808</v>
      </c>
      <c r="F595" s="37">
        <v>14000</v>
      </c>
      <c r="G595" s="29" t="s">
        <v>2523</v>
      </c>
      <c r="H595" s="14">
        <v>43434</v>
      </c>
      <c r="I595" s="4" t="s">
        <v>1079</v>
      </c>
    </row>
    <row r="596" spans="1:19" hidden="1" x14ac:dyDescent="0.25">
      <c r="A596" s="61" t="s">
        <v>261</v>
      </c>
      <c r="B596" s="14">
        <v>43489</v>
      </c>
      <c r="C596" s="13">
        <v>95</v>
      </c>
      <c r="D596" s="13" t="s">
        <v>149</v>
      </c>
      <c r="E596" s="13" t="s">
        <v>808</v>
      </c>
      <c r="F596" s="37">
        <v>7000</v>
      </c>
      <c r="G596" s="29" t="s">
        <v>2524</v>
      </c>
      <c r="H596" s="14">
        <v>43434</v>
      </c>
      <c r="I596" s="4" t="s">
        <v>1079</v>
      </c>
    </row>
    <row r="597" spans="1:19" ht="15" hidden="1" customHeight="1" x14ac:dyDescent="0.25">
      <c r="A597" s="32" t="s">
        <v>455</v>
      </c>
      <c r="B597" s="14">
        <v>43489</v>
      </c>
      <c r="C597" s="13">
        <v>56</v>
      </c>
      <c r="D597" s="32" t="s">
        <v>281</v>
      </c>
      <c r="E597" s="32" t="s">
        <v>440</v>
      </c>
      <c r="F597" s="4">
        <v>299266</v>
      </c>
      <c r="G597" s="29" t="s">
        <v>2481</v>
      </c>
      <c r="H597" s="14">
        <v>43447</v>
      </c>
      <c r="I597" s="41" t="s">
        <v>847</v>
      </c>
      <c r="J597" s="35" t="s">
        <v>239</v>
      </c>
      <c r="K597" s="35"/>
      <c r="L597" s="35"/>
    </row>
    <row r="598" spans="1:19" ht="15" hidden="1" customHeight="1" x14ac:dyDescent="0.25">
      <c r="A598" s="32" t="s">
        <v>310</v>
      </c>
      <c r="B598" s="14">
        <v>43489</v>
      </c>
      <c r="C598" s="13">
        <v>30</v>
      </c>
      <c r="D598" s="32" t="s">
        <v>281</v>
      </c>
      <c r="E598" s="32" t="s">
        <v>314</v>
      </c>
      <c r="F598" s="4">
        <v>235868</v>
      </c>
      <c r="G598" s="29" t="s">
        <v>2485</v>
      </c>
      <c r="H598" s="14">
        <v>43446</v>
      </c>
      <c r="I598" s="41" t="s">
        <v>847</v>
      </c>
      <c r="J598" s="35" t="s">
        <v>239</v>
      </c>
      <c r="K598" s="35"/>
      <c r="L598" s="35"/>
    </row>
    <row r="599" spans="1:19" s="2" customFormat="1" ht="15" hidden="1" customHeight="1" x14ac:dyDescent="0.25">
      <c r="A599" s="13" t="s">
        <v>6</v>
      </c>
      <c r="B599" s="14">
        <v>43489</v>
      </c>
      <c r="C599" s="13">
        <v>39</v>
      </c>
      <c r="D599" s="13" t="s">
        <v>1394</v>
      </c>
      <c r="E599" s="13" t="s">
        <v>183</v>
      </c>
      <c r="F599" s="4">
        <v>109440</v>
      </c>
      <c r="G599" s="29" t="s">
        <v>300</v>
      </c>
      <c r="H599" s="14">
        <v>43483</v>
      </c>
      <c r="I599" s="4" t="s">
        <v>3332</v>
      </c>
      <c r="J599" s="341"/>
      <c r="K599" s="31"/>
      <c r="L599" s="31"/>
      <c r="M599" s="31"/>
      <c r="N599" s="31"/>
      <c r="O599" s="34"/>
      <c r="P599" s="34"/>
      <c r="Q599" s="34"/>
      <c r="R599" s="34"/>
      <c r="S599" s="34"/>
    </row>
    <row r="600" spans="1:19" s="2" customFormat="1" ht="15" hidden="1" customHeight="1" x14ac:dyDescent="0.25">
      <c r="A600" s="13" t="s">
        <v>6</v>
      </c>
      <c r="B600" s="14">
        <v>43489</v>
      </c>
      <c r="C600" s="13">
        <v>40</v>
      </c>
      <c r="D600" s="13" t="s">
        <v>1394</v>
      </c>
      <c r="E600" s="13" t="s">
        <v>183</v>
      </c>
      <c r="F600" s="4">
        <v>154800</v>
      </c>
      <c r="G600" s="29" t="s">
        <v>3375</v>
      </c>
      <c r="H600" s="14">
        <v>43488</v>
      </c>
      <c r="I600" s="4" t="s">
        <v>1562</v>
      </c>
      <c r="J600" s="341"/>
      <c r="K600" s="31"/>
      <c r="L600" s="31"/>
      <c r="M600" s="31"/>
      <c r="N600" s="31"/>
      <c r="O600" s="34"/>
      <c r="P600" s="34"/>
      <c r="Q600" s="34"/>
      <c r="R600" s="34"/>
      <c r="S600" s="34"/>
    </row>
    <row r="601" spans="1:19" s="2" customFormat="1" ht="15" hidden="1" customHeight="1" x14ac:dyDescent="0.25">
      <c r="A601" s="13" t="s">
        <v>6</v>
      </c>
      <c r="B601" s="14">
        <v>43489</v>
      </c>
      <c r="C601" s="13">
        <v>41</v>
      </c>
      <c r="D601" s="32" t="s">
        <v>841</v>
      </c>
      <c r="E601" s="13" t="s">
        <v>183</v>
      </c>
      <c r="F601" s="4">
        <v>10000</v>
      </c>
      <c r="G601" s="29" t="s">
        <v>3291</v>
      </c>
      <c r="H601" s="14">
        <v>43445</v>
      </c>
      <c r="I601" s="4" t="s">
        <v>263</v>
      </c>
      <c r="J601" s="341"/>
      <c r="K601" s="31"/>
      <c r="L601" s="31"/>
      <c r="M601" s="31"/>
      <c r="N601" s="31"/>
      <c r="O601" s="34"/>
      <c r="P601" s="34"/>
      <c r="Q601" s="34"/>
      <c r="R601" s="34"/>
      <c r="S601" s="34"/>
    </row>
    <row r="602" spans="1:19" s="2" customFormat="1" ht="15" hidden="1" customHeight="1" x14ac:dyDescent="0.25">
      <c r="A602" s="13" t="s">
        <v>6</v>
      </c>
      <c r="B602" s="14">
        <v>43489</v>
      </c>
      <c r="C602" s="13">
        <v>41</v>
      </c>
      <c r="D602" s="32" t="s">
        <v>841</v>
      </c>
      <c r="E602" s="13" t="s">
        <v>183</v>
      </c>
      <c r="F602" s="4">
        <v>35000</v>
      </c>
      <c r="G602" s="29" t="s">
        <v>3292</v>
      </c>
      <c r="H602" s="14">
        <v>43459</v>
      </c>
      <c r="I602" s="4" t="s">
        <v>263</v>
      </c>
      <c r="J602" s="341"/>
      <c r="K602" s="31"/>
      <c r="L602" s="31"/>
      <c r="M602" s="31"/>
      <c r="N602" s="31"/>
      <c r="O602" s="34"/>
      <c r="P602" s="34"/>
      <c r="Q602" s="34"/>
      <c r="R602" s="34"/>
      <c r="S602" s="34"/>
    </row>
    <row r="603" spans="1:19" s="2" customFormat="1" ht="15" hidden="1" customHeight="1" x14ac:dyDescent="0.25">
      <c r="A603" s="13" t="s">
        <v>6</v>
      </c>
      <c r="B603" s="14">
        <v>43489</v>
      </c>
      <c r="C603" s="13">
        <v>41</v>
      </c>
      <c r="D603" s="32" t="s">
        <v>841</v>
      </c>
      <c r="E603" s="13" t="s">
        <v>183</v>
      </c>
      <c r="F603" s="4">
        <v>38750</v>
      </c>
      <c r="G603" s="29" t="s">
        <v>3293</v>
      </c>
      <c r="H603" s="14">
        <v>43445</v>
      </c>
      <c r="I603" s="4" t="s">
        <v>263</v>
      </c>
      <c r="J603" s="341"/>
      <c r="K603" s="31"/>
      <c r="L603" s="31"/>
      <c r="M603" s="31"/>
      <c r="N603" s="31"/>
      <c r="O603" s="34"/>
      <c r="P603" s="34"/>
      <c r="Q603" s="34"/>
      <c r="R603" s="34"/>
      <c r="S603" s="34"/>
    </row>
    <row r="604" spans="1:19" s="2" customFormat="1" ht="15" hidden="1" customHeight="1" x14ac:dyDescent="0.25">
      <c r="A604" s="13" t="s">
        <v>6</v>
      </c>
      <c r="B604" s="14">
        <v>43489</v>
      </c>
      <c r="C604" s="13">
        <v>42</v>
      </c>
      <c r="D604" s="32" t="s">
        <v>3455</v>
      </c>
      <c r="E604" s="13" t="s">
        <v>183</v>
      </c>
      <c r="F604" s="4">
        <v>34000</v>
      </c>
      <c r="G604" s="29" t="s">
        <v>2955</v>
      </c>
      <c r="H604" s="14">
        <v>43489</v>
      </c>
      <c r="I604" s="4" t="s">
        <v>3456</v>
      </c>
      <c r="J604" s="341"/>
      <c r="K604" s="31"/>
      <c r="L604" s="31"/>
      <c r="M604" s="31"/>
      <c r="N604" s="31"/>
      <c r="O604" s="34"/>
      <c r="P604" s="34"/>
      <c r="Q604" s="34"/>
      <c r="R604" s="34"/>
      <c r="S604" s="34"/>
    </row>
    <row r="605" spans="1:19" s="115" customFormat="1" ht="15.6" hidden="1" x14ac:dyDescent="0.25">
      <c r="A605" s="61" t="s">
        <v>651</v>
      </c>
      <c r="B605" s="14">
        <v>43489</v>
      </c>
      <c r="C605" s="13">
        <v>62</v>
      </c>
      <c r="D605" s="13" t="s">
        <v>813</v>
      </c>
      <c r="E605" s="13" t="s">
        <v>547</v>
      </c>
      <c r="F605" s="37">
        <v>3000000</v>
      </c>
      <c r="G605" s="29" t="s">
        <v>810</v>
      </c>
      <c r="H605" s="14">
        <v>42340</v>
      </c>
      <c r="I605" s="41" t="s">
        <v>1560</v>
      </c>
      <c r="J605" s="258"/>
      <c r="K605" s="116"/>
      <c r="L605" s="116"/>
      <c r="M605" s="116"/>
      <c r="N605" s="116"/>
      <c r="O605" s="117"/>
      <c r="P605" s="117"/>
      <c r="Q605" s="117"/>
      <c r="R605" s="117"/>
      <c r="S605" s="117"/>
    </row>
    <row r="606" spans="1:19" ht="27.6" hidden="1" x14ac:dyDescent="0.25">
      <c r="A606" s="13" t="s">
        <v>260</v>
      </c>
      <c r="B606" s="242">
        <v>43489</v>
      </c>
      <c r="C606" s="13">
        <v>71</v>
      </c>
      <c r="D606" s="13" t="s">
        <v>1930</v>
      </c>
      <c r="E606" s="13" t="s">
        <v>3309</v>
      </c>
      <c r="F606" s="37">
        <v>394356.39999999991</v>
      </c>
      <c r="G606" s="69" t="s">
        <v>1971</v>
      </c>
      <c r="H606" s="14"/>
      <c r="I606" s="4" t="s">
        <v>1676</v>
      </c>
      <c r="J606" s="169"/>
    </row>
    <row r="607" spans="1:19" ht="27.6" hidden="1" x14ac:dyDescent="0.25">
      <c r="A607" s="32" t="s">
        <v>260</v>
      </c>
      <c r="B607" s="14">
        <v>43489</v>
      </c>
      <c r="C607" s="67">
        <v>50</v>
      </c>
      <c r="D607" s="32" t="s">
        <v>156</v>
      </c>
      <c r="E607" s="32" t="s">
        <v>3555</v>
      </c>
      <c r="F607" s="4">
        <v>692450.93</v>
      </c>
      <c r="G607" s="28" t="s">
        <v>2913</v>
      </c>
      <c r="H607" s="14">
        <v>43474</v>
      </c>
      <c r="I607" s="4" t="s">
        <v>362</v>
      </c>
      <c r="J607" s="166" t="s">
        <v>327</v>
      </c>
      <c r="K607" s="167"/>
      <c r="L607" s="35"/>
    </row>
    <row r="608" spans="1:19" hidden="1" x14ac:dyDescent="0.25">
      <c r="A608" s="61" t="s">
        <v>956</v>
      </c>
      <c r="B608" s="14">
        <v>43490</v>
      </c>
      <c r="C608" s="13">
        <v>38</v>
      </c>
      <c r="D608" s="13" t="s">
        <v>1985</v>
      </c>
      <c r="E608" s="13" t="s">
        <v>481</v>
      </c>
      <c r="F608" s="37">
        <v>14800</v>
      </c>
      <c r="G608" s="29" t="s">
        <v>17</v>
      </c>
      <c r="H608" s="14">
        <v>43434</v>
      </c>
      <c r="I608" s="4" t="s">
        <v>122</v>
      </c>
    </row>
    <row r="609" spans="1:16" hidden="1" x14ac:dyDescent="0.25">
      <c r="A609" s="61" t="s">
        <v>956</v>
      </c>
      <c r="B609" s="14">
        <v>43490</v>
      </c>
      <c r="C609" s="13">
        <v>39</v>
      </c>
      <c r="D609" s="13" t="s">
        <v>692</v>
      </c>
      <c r="E609" s="13" t="s">
        <v>481</v>
      </c>
      <c r="F609" s="37">
        <v>23375</v>
      </c>
      <c r="G609" s="29" t="s">
        <v>1432</v>
      </c>
      <c r="H609" s="14">
        <v>43409</v>
      </c>
      <c r="I609" s="4" t="s">
        <v>419</v>
      </c>
    </row>
    <row r="610" spans="1:16" hidden="1" x14ac:dyDescent="0.25">
      <c r="A610" s="61" t="s">
        <v>956</v>
      </c>
      <c r="B610" s="14">
        <v>43490</v>
      </c>
      <c r="C610" s="13">
        <v>39</v>
      </c>
      <c r="D610" s="13" t="s">
        <v>692</v>
      </c>
      <c r="E610" s="13" t="s">
        <v>481</v>
      </c>
      <c r="F610" s="37">
        <v>33000</v>
      </c>
      <c r="G610" s="210" t="s">
        <v>1795</v>
      </c>
      <c r="H610" s="211">
        <v>43424</v>
      </c>
      <c r="I610" s="4" t="s">
        <v>419</v>
      </c>
    </row>
    <row r="611" spans="1:16" hidden="1" x14ac:dyDescent="0.25">
      <c r="A611" s="61" t="s">
        <v>956</v>
      </c>
      <c r="B611" s="14">
        <v>43490</v>
      </c>
      <c r="C611" s="13">
        <v>40</v>
      </c>
      <c r="D611" s="13" t="s">
        <v>2115</v>
      </c>
      <c r="E611" s="13" t="s">
        <v>481</v>
      </c>
      <c r="F611" s="37">
        <v>161050</v>
      </c>
      <c r="G611" s="210" t="s">
        <v>458</v>
      </c>
      <c r="H611" s="211">
        <v>43396</v>
      </c>
      <c r="I611" s="4" t="s">
        <v>511</v>
      </c>
    </row>
    <row r="612" spans="1:16" hidden="1" x14ac:dyDescent="0.25">
      <c r="A612" s="32" t="s">
        <v>639</v>
      </c>
      <c r="B612" s="126">
        <v>43490</v>
      </c>
      <c r="C612" s="13" t="s">
        <v>3518</v>
      </c>
      <c r="D612" s="32" t="s">
        <v>219</v>
      </c>
      <c r="E612" s="13" t="s">
        <v>691</v>
      </c>
      <c r="F612" s="4">
        <v>1000000</v>
      </c>
      <c r="G612" s="29" t="s">
        <v>1878</v>
      </c>
      <c r="H612" s="211"/>
      <c r="I612" s="4" t="s">
        <v>101</v>
      </c>
      <c r="J612" s="228"/>
      <c r="K612" s="228"/>
    </row>
    <row r="613" spans="1:16" s="97" customFormat="1" hidden="1" x14ac:dyDescent="0.25">
      <c r="A613" s="61" t="s">
        <v>637</v>
      </c>
      <c r="B613" s="126">
        <v>43490</v>
      </c>
      <c r="C613" s="13">
        <v>35</v>
      </c>
      <c r="D613" s="13" t="s">
        <v>2697</v>
      </c>
      <c r="E613" s="13" t="s">
        <v>691</v>
      </c>
      <c r="F613" s="37">
        <v>217824</v>
      </c>
      <c r="G613" s="29" t="s">
        <v>3213</v>
      </c>
      <c r="H613" s="14">
        <v>43455</v>
      </c>
      <c r="I613" s="4" t="s">
        <v>1244</v>
      </c>
      <c r="J613" s="133"/>
      <c r="K613" s="22"/>
      <c r="L613" s="134"/>
    </row>
    <row r="614" spans="1:16" hidden="1" x14ac:dyDescent="0.25">
      <c r="A614" s="68" t="s">
        <v>160</v>
      </c>
      <c r="B614" s="126">
        <v>43490</v>
      </c>
      <c r="C614" s="13">
        <v>36</v>
      </c>
      <c r="D614" s="13" t="s">
        <v>1933</v>
      </c>
      <c r="E614" s="13" t="s">
        <v>691</v>
      </c>
      <c r="F614" s="37">
        <v>500000</v>
      </c>
      <c r="G614" s="29"/>
      <c r="H614" s="14"/>
      <c r="I614" s="4" t="s">
        <v>1825</v>
      </c>
      <c r="J614" s="62"/>
      <c r="K614" s="62"/>
      <c r="L614" s="35"/>
      <c r="M614" s="35"/>
      <c r="N614" s="35"/>
      <c r="O614" s="35"/>
      <c r="P614" s="35"/>
    </row>
    <row r="615" spans="1:16" s="97" customFormat="1" hidden="1" x14ac:dyDescent="0.25">
      <c r="A615" s="61" t="s">
        <v>637</v>
      </c>
      <c r="B615" s="126">
        <v>43490</v>
      </c>
      <c r="C615" s="13">
        <v>37</v>
      </c>
      <c r="D615" s="13" t="s">
        <v>304</v>
      </c>
      <c r="E615" s="13" t="s">
        <v>691</v>
      </c>
      <c r="F615" s="37">
        <v>500000</v>
      </c>
      <c r="G615" s="210" t="s">
        <v>3366</v>
      </c>
      <c r="H615" s="211">
        <v>43452</v>
      </c>
      <c r="I615" s="4" t="s">
        <v>1826</v>
      </c>
      <c r="J615" s="133"/>
      <c r="K615" s="22"/>
      <c r="L615" s="134"/>
    </row>
    <row r="616" spans="1:16" s="97" customFormat="1" hidden="1" x14ac:dyDescent="0.25">
      <c r="A616" s="13" t="s">
        <v>1350</v>
      </c>
      <c r="B616" s="126">
        <v>43490</v>
      </c>
      <c r="C616" s="13">
        <v>38</v>
      </c>
      <c r="D616" s="13" t="s">
        <v>539</v>
      </c>
      <c r="E616" s="13" t="s">
        <v>691</v>
      </c>
      <c r="F616" s="37">
        <v>783384</v>
      </c>
      <c r="G616" s="29" t="s">
        <v>1877</v>
      </c>
      <c r="H616" s="14">
        <v>43448</v>
      </c>
      <c r="I616" s="4" t="s">
        <v>443</v>
      </c>
      <c r="J616" s="133"/>
      <c r="K616" s="22"/>
      <c r="L616" s="134"/>
    </row>
    <row r="617" spans="1:16" s="97" customFormat="1" hidden="1" x14ac:dyDescent="0.25">
      <c r="A617" s="61" t="s">
        <v>1350</v>
      </c>
      <c r="B617" s="126">
        <v>43490</v>
      </c>
      <c r="C617" s="13">
        <v>39</v>
      </c>
      <c r="D617" s="13" t="s">
        <v>276</v>
      </c>
      <c r="E617" s="13" t="s">
        <v>691</v>
      </c>
      <c r="F617" s="37">
        <v>535390</v>
      </c>
      <c r="G617" s="210" t="s">
        <v>4</v>
      </c>
      <c r="H617" s="211">
        <v>43425</v>
      </c>
      <c r="I617" s="4" t="s">
        <v>449</v>
      </c>
      <c r="J617" s="133"/>
      <c r="K617" s="22"/>
      <c r="L617" s="134"/>
    </row>
    <row r="618" spans="1:16" s="97" customFormat="1" hidden="1" x14ac:dyDescent="0.25">
      <c r="A618" s="13" t="s">
        <v>1350</v>
      </c>
      <c r="B618" s="126">
        <v>43490</v>
      </c>
      <c r="C618" s="13">
        <v>40</v>
      </c>
      <c r="D618" s="13" t="s">
        <v>589</v>
      </c>
      <c r="E618" s="13" t="s">
        <v>691</v>
      </c>
      <c r="F618" s="37">
        <v>834000</v>
      </c>
      <c r="G618" s="29" t="s">
        <v>2392</v>
      </c>
      <c r="H618" s="14">
        <v>43444</v>
      </c>
      <c r="I618" s="4" t="s">
        <v>443</v>
      </c>
      <c r="J618" s="133"/>
      <c r="K618" s="22"/>
      <c r="L618" s="134"/>
    </row>
    <row r="619" spans="1:16" s="97" customFormat="1" hidden="1" x14ac:dyDescent="0.25">
      <c r="A619" s="32" t="s">
        <v>659</v>
      </c>
      <c r="B619" s="126">
        <v>43490</v>
      </c>
      <c r="C619" s="13">
        <v>41</v>
      </c>
      <c r="D619" s="13" t="s">
        <v>243</v>
      </c>
      <c r="E619" s="13" t="s">
        <v>691</v>
      </c>
      <c r="F619" s="4">
        <v>515643.18</v>
      </c>
      <c r="G619" s="28" t="s">
        <v>2828</v>
      </c>
      <c r="H619" s="14">
        <v>43430</v>
      </c>
      <c r="I619" s="4" t="s">
        <v>1876</v>
      </c>
      <c r="J619" s="133"/>
      <c r="K619" s="22"/>
      <c r="L619" s="134"/>
    </row>
    <row r="620" spans="1:16" s="97" customFormat="1" hidden="1" x14ac:dyDescent="0.25">
      <c r="A620" s="14" t="s">
        <v>1350</v>
      </c>
      <c r="B620" s="126">
        <v>43490</v>
      </c>
      <c r="C620" s="13">
        <v>42</v>
      </c>
      <c r="D620" s="13" t="s">
        <v>448</v>
      </c>
      <c r="E620" s="13" t="s">
        <v>691</v>
      </c>
      <c r="F620" s="37">
        <v>100000</v>
      </c>
      <c r="G620" s="29" t="s">
        <v>2314</v>
      </c>
      <c r="H620" s="14">
        <v>43418</v>
      </c>
      <c r="I620" s="4" t="s">
        <v>63</v>
      </c>
      <c r="J620" s="133"/>
      <c r="K620" s="22"/>
      <c r="L620" s="134"/>
    </row>
    <row r="621" spans="1:16" s="97" customFormat="1" hidden="1" x14ac:dyDescent="0.25">
      <c r="A621" s="61" t="s">
        <v>1350</v>
      </c>
      <c r="B621" s="126">
        <v>43490</v>
      </c>
      <c r="C621" s="13">
        <v>43</v>
      </c>
      <c r="D621" s="13" t="s">
        <v>1065</v>
      </c>
      <c r="E621" s="13" t="s">
        <v>691</v>
      </c>
      <c r="F621" s="37">
        <v>100000</v>
      </c>
      <c r="G621" s="29" t="s">
        <v>2258</v>
      </c>
      <c r="H621" s="14">
        <v>43451</v>
      </c>
      <c r="I621" s="4" t="s">
        <v>2585</v>
      </c>
      <c r="J621" s="133"/>
      <c r="K621" s="22"/>
      <c r="L621" s="134"/>
    </row>
    <row r="622" spans="1:16" s="97" customFormat="1" hidden="1" x14ac:dyDescent="0.25">
      <c r="A622" s="61" t="s">
        <v>1350</v>
      </c>
      <c r="B622" s="126">
        <v>43490</v>
      </c>
      <c r="C622" s="13">
        <v>44</v>
      </c>
      <c r="D622" s="13" t="s">
        <v>734</v>
      </c>
      <c r="E622" s="13" t="s">
        <v>691</v>
      </c>
      <c r="F622" s="37">
        <v>11520</v>
      </c>
      <c r="G622" s="29" t="s">
        <v>2933</v>
      </c>
      <c r="H622" s="14">
        <v>43475</v>
      </c>
      <c r="I622" s="4" t="s">
        <v>985</v>
      </c>
      <c r="J622" s="133"/>
      <c r="K622" s="22"/>
      <c r="L622" s="134"/>
    </row>
    <row r="623" spans="1:16" s="97" customFormat="1" hidden="1" x14ac:dyDescent="0.25">
      <c r="A623" s="61" t="s">
        <v>1350</v>
      </c>
      <c r="B623" s="126">
        <v>43490</v>
      </c>
      <c r="C623" s="13">
        <v>45</v>
      </c>
      <c r="D623" s="13" t="s">
        <v>72</v>
      </c>
      <c r="E623" s="13" t="s">
        <v>691</v>
      </c>
      <c r="F623" s="101">
        <f>48292.57-0.01</f>
        <v>48292.56</v>
      </c>
      <c r="G623" s="210" t="s">
        <v>2573</v>
      </c>
      <c r="H623" s="211">
        <v>43451</v>
      </c>
      <c r="I623" s="4" t="s">
        <v>2574</v>
      </c>
      <c r="J623" s="133"/>
      <c r="K623" s="22"/>
      <c r="L623" s="134"/>
    </row>
    <row r="624" spans="1:16" s="97" customFormat="1" ht="19.2" hidden="1" customHeight="1" x14ac:dyDescent="0.25">
      <c r="A624" s="13" t="s">
        <v>637</v>
      </c>
      <c r="B624" s="126">
        <v>43490</v>
      </c>
      <c r="C624" s="13">
        <v>46</v>
      </c>
      <c r="D624" s="13" t="s">
        <v>1491</v>
      </c>
      <c r="E624" s="13" t="s">
        <v>691</v>
      </c>
      <c r="F624" s="37">
        <v>100000</v>
      </c>
      <c r="G624" s="29" t="s">
        <v>2649</v>
      </c>
      <c r="H624" s="14">
        <v>43444</v>
      </c>
      <c r="I624" s="4" t="s">
        <v>2650</v>
      </c>
      <c r="J624" s="133"/>
      <c r="K624" s="22"/>
      <c r="L624" s="134"/>
    </row>
    <row r="625" spans="1:19" s="97" customFormat="1" hidden="1" x14ac:dyDescent="0.25">
      <c r="A625" s="61" t="s">
        <v>1350</v>
      </c>
      <c r="B625" s="126">
        <v>43490</v>
      </c>
      <c r="C625" s="13">
        <v>47</v>
      </c>
      <c r="D625" s="13" t="s">
        <v>70</v>
      </c>
      <c r="E625" s="13" t="s">
        <v>691</v>
      </c>
      <c r="F625" s="101">
        <f>88530-1610</f>
        <v>86920</v>
      </c>
      <c r="G625" s="210" t="s">
        <v>1092</v>
      </c>
      <c r="H625" s="211">
        <v>43451</v>
      </c>
      <c r="I625" s="4" t="s">
        <v>1999</v>
      </c>
      <c r="J625" s="133"/>
      <c r="K625" s="22"/>
      <c r="L625" s="134"/>
    </row>
    <row r="626" spans="1:19" s="97" customFormat="1" hidden="1" x14ac:dyDescent="0.25">
      <c r="A626" s="61" t="s">
        <v>1350</v>
      </c>
      <c r="B626" s="126">
        <v>43490</v>
      </c>
      <c r="C626" s="13">
        <v>48</v>
      </c>
      <c r="D626" s="13" t="s">
        <v>516</v>
      </c>
      <c r="E626" s="13" t="s">
        <v>691</v>
      </c>
      <c r="F626" s="37">
        <v>41672.080000000002</v>
      </c>
      <c r="G626" s="210" t="s">
        <v>2568</v>
      </c>
      <c r="H626" s="211">
        <v>43451</v>
      </c>
      <c r="I626" s="4" t="s">
        <v>1161</v>
      </c>
      <c r="J626" s="133"/>
      <c r="K626" s="22"/>
      <c r="L626" s="134"/>
    </row>
    <row r="627" spans="1:19" hidden="1" x14ac:dyDescent="0.25">
      <c r="A627" s="61" t="s">
        <v>1350</v>
      </c>
      <c r="B627" s="126">
        <v>43490</v>
      </c>
      <c r="C627" s="13">
        <v>49</v>
      </c>
      <c r="D627" s="13" t="s">
        <v>944</v>
      </c>
      <c r="E627" s="13" t="s">
        <v>691</v>
      </c>
      <c r="F627" s="37">
        <v>157500</v>
      </c>
      <c r="G627" s="29" t="s">
        <v>1186</v>
      </c>
      <c r="H627" s="14">
        <v>43413</v>
      </c>
      <c r="I627" s="4" t="s">
        <v>402</v>
      </c>
    </row>
    <row r="628" spans="1:19" hidden="1" x14ac:dyDescent="0.25">
      <c r="A628" s="61" t="s">
        <v>2089</v>
      </c>
      <c r="B628" s="126">
        <v>43490</v>
      </c>
      <c r="C628" s="13">
        <v>50</v>
      </c>
      <c r="D628" s="13" t="s">
        <v>282</v>
      </c>
      <c r="E628" s="13" t="s">
        <v>691</v>
      </c>
      <c r="F628" s="37">
        <v>7700</v>
      </c>
      <c r="G628" s="29" t="s">
        <v>2666</v>
      </c>
      <c r="H628" s="14">
        <v>43454</v>
      </c>
      <c r="I628" s="4" t="s">
        <v>283</v>
      </c>
    </row>
    <row r="629" spans="1:19" hidden="1" x14ac:dyDescent="0.25">
      <c r="A629" s="13" t="s">
        <v>637</v>
      </c>
      <c r="B629" s="126">
        <v>43490</v>
      </c>
      <c r="C629" s="13">
        <v>50</v>
      </c>
      <c r="D629" s="13" t="s">
        <v>282</v>
      </c>
      <c r="E629" s="13" t="s">
        <v>691</v>
      </c>
      <c r="F629" s="4">
        <v>14000</v>
      </c>
      <c r="G629" s="28" t="s">
        <v>2844</v>
      </c>
      <c r="H629" s="14">
        <v>43465</v>
      </c>
      <c r="I629" s="4" t="s">
        <v>283</v>
      </c>
    </row>
    <row r="630" spans="1:19" hidden="1" x14ac:dyDescent="0.25">
      <c r="A630" s="13" t="s">
        <v>659</v>
      </c>
      <c r="B630" s="126">
        <v>43490</v>
      </c>
      <c r="C630" s="13">
        <v>50</v>
      </c>
      <c r="D630" s="13" t="s">
        <v>282</v>
      </c>
      <c r="E630" s="13" t="s">
        <v>691</v>
      </c>
      <c r="F630" s="4">
        <v>1400</v>
      </c>
      <c r="G630" s="28" t="s">
        <v>2845</v>
      </c>
      <c r="H630" s="14">
        <v>43465</v>
      </c>
      <c r="I630" s="4" t="s">
        <v>283</v>
      </c>
    </row>
    <row r="631" spans="1:19" hidden="1" x14ac:dyDescent="0.25">
      <c r="A631" s="32" t="s">
        <v>1350</v>
      </c>
      <c r="B631" s="126">
        <v>43490</v>
      </c>
      <c r="C631" s="13">
        <v>51</v>
      </c>
      <c r="D631" s="13" t="s">
        <v>250</v>
      </c>
      <c r="E631" s="13" t="s">
        <v>691</v>
      </c>
      <c r="F631" s="4">
        <v>155562.5</v>
      </c>
      <c r="G631" s="28" t="s">
        <v>2221</v>
      </c>
      <c r="H631" s="14">
        <v>43419</v>
      </c>
      <c r="I631" s="4" t="s">
        <v>1601</v>
      </c>
    </row>
    <row r="632" spans="1:19" hidden="1" x14ac:dyDescent="0.25">
      <c r="A632" s="32" t="s">
        <v>659</v>
      </c>
      <c r="B632" s="126">
        <v>43490</v>
      </c>
      <c r="C632" s="13">
        <v>51</v>
      </c>
      <c r="D632" s="13" t="s">
        <v>250</v>
      </c>
      <c r="E632" s="13" t="s">
        <v>691</v>
      </c>
      <c r="F632" s="4">
        <v>40375</v>
      </c>
      <c r="G632" s="28" t="s">
        <v>2377</v>
      </c>
      <c r="H632" s="14">
        <v>43425</v>
      </c>
      <c r="I632" s="4" t="s">
        <v>402</v>
      </c>
    </row>
    <row r="633" spans="1:19" hidden="1" x14ac:dyDescent="0.25">
      <c r="A633" s="61" t="s">
        <v>660</v>
      </c>
      <c r="B633" s="126">
        <v>43490</v>
      </c>
      <c r="C633" s="13">
        <v>52</v>
      </c>
      <c r="D633" s="13" t="s">
        <v>29</v>
      </c>
      <c r="E633" s="13" t="s">
        <v>691</v>
      </c>
      <c r="F633" s="37">
        <v>142500</v>
      </c>
      <c r="G633" s="29" t="s">
        <v>1744</v>
      </c>
      <c r="H633" s="14">
        <v>43423</v>
      </c>
      <c r="I633" s="4" t="s">
        <v>1061</v>
      </c>
    </row>
    <row r="634" spans="1:19" hidden="1" x14ac:dyDescent="0.25">
      <c r="A634" s="61" t="s">
        <v>1350</v>
      </c>
      <c r="B634" s="126">
        <v>43490</v>
      </c>
      <c r="C634" s="13">
        <v>53</v>
      </c>
      <c r="D634" s="13" t="s">
        <v>2047</v>
      </c>
      <c r="E634" s="13" t="s">
        <v>691</v>
      </c>
      <c r="F634" s="37">
        <v>12750</v>
      </c>
      <c r="G634" s="29" t="s">
        <v>2816</v>
      </c>
      <c r="H634" s="14">
        <v>43458</v>
      </c>
      <c r="I634" s="4" t="s">
        <v>95</v>
      </c>
    </row>
    <row r="635" spans="1:19" ht="15" hidden="1" customHeight="1" x14ac:dyDescent="0.25">
      <c r="A635" s="32" t="s">
        <v>311</v>
      </c>
      <c r="B635" s="14">
        <v>43490</v>
      </c>
      <c r="C635" s="13">
        <v>38</v>
      </c>
      <c r="D635" s="32" t="s">
        <v>281</v>
      </c>
      <c r="E635" s="32" t="s">
        <v>408</v>
      </c>
      <c r="F635" s="4">
        <v>359284</v>
      </c>
      <c r="G635" s="29" t="s">
        <v>2483</v>
      </c>
      <c r="H635" s="14">
        <v>43446</v>
      </c>
      <c r="I635" s="41" t="s">
        <v>847</v>
      </c>
      <c r="J635" s="35" t="s">
        <v>239</v>
      </c>
      <c r="K635" s="35"/>
      <c r="L635" s="35"/>
    </row>
    <row r="636" spans="1:19" ht="15" hidden="1" customHeight="1" x14ac:dyDescent="0.25">
      <c r="A636" s="61" t="s">
        <v>1934</v>
      </c>
      <c r="B636" s="14">
        <v>43490</v>
      </c>
      <c r="C636" s="13">
        <v>73</v>
      </c>
      <c r="D636" s="32" t="s">
        <v>281</v>
      </c>
      <c r="E636" s="32" t="s">
        <v>136</v>
      </c>
      <c r="F636" s="4">
        <v>756704.61</v>
      </c>
      <c r="G636" s="29" t="s">
        <v>2989</v>
      </c>
      <c r="H636" s="14">
        <v>43479</v>
      </c>
      <c r="I636" s="41" t="s">
        <v>362</v>
      </c>
      <c r="J636" s="35" t="s">
        <v>327</v>
      </c>
      <c r="K636" s="35"/>
      <c r="L636" s="35"/>
    </row>
    <row r="637" spans="1:19" ht="15" hidden="1" customHeight="1" x14ac:dyDescent="0.25">
      <c r="A637" s="61" t="s">
        <v>1934</v>
      </c>
      <c r="B637" s="14">
        <v>43490</v>
      </c>
      <c r="C637" s="13">
        <v>74</v>
      </c>
      <c r="D637" s="32" t="s">
        <v>281</v>
      </c>
      <c r="E637" s="32" t="s">
        <v>136</v>
      </c>
      <c r="F637" s="4">
        <v>402472</v>
      </c>
      <c r="G637" s="29" t="s">
        <v>2489</v>
      </c>
      <c r="H637" s="14">
        <v>43446</v>
      </c>
      <c r="I637" s="41" t="s">
        <v>847</v>
      </c>
      <c r="J637" s="35" t="s">
        <v>239</v>
      </c>
      <c r="K637" s="35"/>
      <c r="L637" s="35"/>
    </row>
    <row r="638" spans="1:19" s="115" customFormat="1" ht="15.6" hidden="1" x14ac:dyDescent="0.25">
      <c r="A638" s="32" t="s">
        <v>6</v>
      </c>
      <c r="B638" s="14">
        <v>43490</v>
      </c>
      <c r="C638" s="13">
        <v>44</v>
      </c>
      <c r="D638" s="32" t="s">
        <v>1555</v>
      </c>
      <c r="E638" s="13" t="s">
        <v>183</v>
      </c>
      <c r="F638" s="4">
        <v>153.59</v>
      </c>
      <c r="G638" s="13" t="s">
        <v>3477</v>
      </c>
      <c r="H638" s="14">
        <v>43465</v>
      </c>
      <c r="I638" s="4" t="s">
        <v>118</v>
      </c>
      <c r="J638" s="21" t="s">
        <v>327</v>
      </c>
      <c r="K638" s="116"/>
      <c r="L638" s="116"/>
      <c r="M638" s="116"/>
      <c r="N638" s="116"/>
      <c r="O638" s="117"/>
      <c r="P638" s="117"/>
      <c r="Q638" s="117"/>
      <c r="R638" s="117"/>
      <c r="S638" s="117"/>
    </row>
    <row r="639" spans="1:19" s="115" customFormat="1" ht="15.6" hidden="1" x14ac:dyDescent="0.25">
      <c r="A639" s="32" t="s">
        <v>6</v>
      </c>
      <c r="B639" s="14">
        <v>43490</v>
      </c>
      <c r="C639" s="13">
        <v>45</v>
      </c>
      <c r="D639" s="32" t="s">
        <v>1555</v>
      </c>
      <c r="E639" s="13" t="s">
        <v>183</v>
      </c>
      <c r="F639" s="4">
        <v>2040</v>
      </c>
      <c r="G639" s="13" t="s">
        <v>3478</v>
      </c>
      <c r="H639" s="14">
        <v>43466</v>
      </c>
      <c r="I639" s="4" t="s">
        <v>118</v>
      </c>
      <c r="J639" s="21" t="s">
        <v>239</v>
      </c>
      <c r="K639" s="116"/>
      <c r="L639" s="116"/>
      <c r="M639" s="116"/>
      <c r="N639" s="116"/>
      <c r="O639" s="117"/>
      <c r="P639" s="117"/>
      <c r="Q639" s="117"/>
      <c r="R639" s="117"/>
      <c r="S639" s="117"/>
    </row>
    <row r="640" spans="1:19" ht="13.8" hidden="1" customHeight="1" x14ac:dyDescent="0.25">
      <c r="A640" s="32" t="s">
        <v>198</v>
      </c>
      <c r="B640" s="14">
        <v>43490</v>
      </c>
      <c r="C640" s="67">
        <v>17</v>
      </c>
      <c r="D640" s="32" t="s">
        <v>227</v>
      </c>
      <c r="E640" s="32" t="s">
        <v>195</v>
      </c>
      <c r="F640" s="4">
        <v>15246</v>
      </c>
      <c r="G640" s="28" t="s">
        <v>3011</v>
      </c>
      <c r="H640" s="14">
        <v>43475</v>
      </c>
      <c r="I640" s="4" t="s">
        <v>368</v>
      </c>
      <c r="J640" s="71" t="s">
        <v>3010</v>
      </c>
      <c r="K640" s="246"/>
    </row>
    <row r="641" spans="1:12" ht="13.8" hidden="1" customHeight="1" x14ac:dyDescent="0.25">
      <c r="A641" s="32" t="s">
        <v>198</v>
      </c>
      <c r="B641" s="14">
        <v>43490</v>
      </c>
      <c r="C641" s="13">
        <v>18</v>
      </c>
      <c r="D641" s="32" t="s">
        <v>369</v>
      </c>
      <c r="E641" s="32" t="s">
        <v>195</v>
      </c>
      <c r="F641" s="4">
        <v>7500</v>
      </c>
      <c r="G641" s="13">
        <v>96</v>
      </c>
      <c r="H641" s="14">
        <v>43434</v>
      </c>
      <c r="I641" s="4" t="s">
        <v>328</v>
      </c>
      <c r="J641" s="170" t="s">
        <v>323</v>
      </c>
      <c r="K641" s="246"/>
    </row>
    <row r="642" spans="1:12" ht="13.8" hidden="1" customHeight="1" x14ac:dyDescent="0.25">
      <c r="A642" s="32" t="s">
        <v>198</v>
      </c>
      <c r="B642" s="14">
        <v>43490</v>
      </c>
      <c r="C642" s="13">
        <v>18</v>
      </c>
      <c r="D642" s="32" t="s">
        <v>369</v>
      </c>
      <c r="E642" s="32" t="s">
        <v>195</v>
      </c>
      <c r="F642" s="4">
        <v>7500</v>
      </c>
      <c r="G642" s="13">
        <v>107</v>
      </c>
      <c r="H642" s="14">
        <v>43465</v>
      </c>
      <c r="I642" s="4" t="s">
        <v>328</v>
      </c>
      <c r="J642" s="170" t="s">
        <v>327</v>
      </c>
      <c r="K642" s="246"/>
    </row>
    <row r="643" spans="1:12" s="93" customFormat="1" ht="13.8" hidden="1" customHeight="1" x14ac:dyDescent="0.25">
      <c r="A643" s="32" t="s">
        <v>198</v>
      </c>
      <c r="B643" s="14">
        <v>43490</v>
      </c>
      <c r="C643" s="13">
        <v>19</v>
      </c>
      <c r="D643" s="32" t="s">
        <v>329</v>
      </c>
      <c r="E643" s="32" t="s">
        <v>195</v>
      </c>
      <c r="F643" s="4">
        <v>3500</v>
      </c>
      <c r="G643" s="28" t="s">
        <v>3499</v>
      </c>
      <c r="H643" s="14">
        <v>43463</v>
      </c>
      <c r="I643" s="4" t="s">
        <v>330</v>
      </c>
      <c r="J643" s="170" t="s">
        <v>327</v>
      </c>
      <c r="K643" s="249"/>
    </row>
    <row r="644" spans="1:12" s="93" customFormat="1" ht="13.8" hidden="1" customHeight="1" x14ac:dyDescent="0.25">
      <c r="A644" s="68" t="s">
        <v>198</v>
      </c>
      <c r="B644" s="14">
        <v>43490</v>
      </c>
      <c r="C644" s="13">
        <v>20</v>
      </c>
      <c r="D644" s="32" t="s">
        <v>73</v>
      </c>
      <c r="E644" s="32" t="s">
        <v>195</v>
      </c>
      <c r="F644" s="4">
        <v>4042.5</v>
      </c>
      <c r="G644" s="28" t="s">
        <v>167</v>
      </c>
      <c r="H644" s="14">
        <v>43476</v>
      </c>
      <c r="I644" s="4" t="s">
        <v>332</v>
      </c>
      <c r="J644" s="170" t="s">
        <v>239</v>
      </c>
      <c r="K644" s="249"/>
    </row>
    <row r="645" spans="1:12" s="93" customFormat="1" ht="13.8" hidden="1" customHeight="1" x14ac:dyDescent="0.25">
      <c r="A645" s="68" t="s">
        <v>198</v>
      </c>
      <c r="B645" s="14">
        <v>43490</v>
      </c>
      <c r="C645" s="13">
        <v>21</v>
      </c>
      <c r="D645" s="32" t="s">
        <v>73</v>
      </c>
      <c r="E645" s="32" t="s">
        <v>195</v>
      </c>
      <c r="F645" s="4">
        <v>5197.5</v>
      </c>
      <c r="G645" s="28" t="s">
        <v>11</v>
      </c>
      <c r="H645" s="14">
        <v>43476</v>
      </c>
      <c r="I645" s="4" t="s">
        <v>331</v>
      </c>
      <c r="J645" s="170" t="s">
        <v>239</v>
      </c>
      <c r="K645" s="249"/>
    </row>
    <row r="646" spans="1:12" ht="15" hidden="1" customHeight="1" x14ac:dyDescent="0.25">
      <c r="A646" s="68" t="s">
        <v>198</v>
      </c>
      <c r="B646" s="14">
        <v>43490</v>
      </c>
      <c r="C646" s="13">
        <v>22</v>
      </c>
      <c r="D646" s="32" t="s">
        <v>279</v>
      </c>
      <c r="E646" s="32" t="s">
        <v>195</v>
      </c>
      <c r="F646" s="4">
        <v>11369.21</v>
      </c>
      <c r="G646" s="28" t="s">
        <v>3012</v>
      </c>
      <c r="H646" s="14">
        <v>43465</v>
      </c>
      <c r="I646" s="4" t="s">
        <v>335</v>
      </c>
      <c r="J646" s="170" t="s">
        <v>327</v>
      </c>
      <c r="K646" s="246"/>
    </row>
    <row r="647" spans="1:12" ht="15" hidden="1" customHeight="1" x14ac:dyDescent="0.25">
      <c r="A647" s="68" t="s">
        <v>198</v>
      </c>
      <c r="B647" s="14">
        <v>43490</v>
      </c>
      <c r="C647" s="13">
        <v>23</v>
      </c>
      <c r="D647" s="32" t="s">
        <v>279</v>
      </c>
      <c r="E647" s="32" t="s">
        <v>195</v>
      </c>
      <c r="F647" s="4">
        <v>106389.77</v>
      </c>
      <c r="G647" s="28" t="s">
        <v>3500</v>
      </c>
      <c r="H647" s="14">
        <v>43465</v>
      </c>
      <c r="I647" s="4" t="s">
        <v>333</v>
      </c>
      <c r="J647" s="170" t="s">
        <v>327</v>
      </c>
      <c r="K647" s="246"/>
    </row>
    <row r="648" spans="1:12" hidden="1" x14ac:dyDescent="0.25">
      <c r="A648" s="13" t="s">
        <v>209</v>
      </c>
      <c r="B648" s="14">
        <v>43490</v>
      </c>
      <c r="C648" s="13">
        <v>14</v>
      </c>
      <c r="D648" s="13" t="s">
        <v>210</v>
      </c>
      <c r="E648" s="13" t="s">
        <v>134</v>
      </c>
      <c r="F648" s="37">
        <v>4041.28</v>
      </c>
      <c r="G648" s="67" t="s">
        <v>3457</v>
      </c>
      <c r="H648" s="14">
        <v>43438</v>
      </c>
      <c r="I648" s="4" t="s">
        <v>3458</v>
      </c>
      <c r="J648" s="406"/>
      <c r="K648" s="228"/>
    </row>
    <row r="649" spans="1:12" hidden="1" x14ac:dyDescent="0.25">
      <c r="A649" s="13" t="s">
        <v>209</v>
      </c>
      <c r="B649" s="14">
        <v>43490</v>
      </c>
      <c r="C649" s="13">
        <v>15</v>
      </c>
      <c r="D649" s="13" t="s">
        <v>210</v>
      </c>
      <c r="E649" s="13" t="s">
        <v>134</v>
      </c>
      <c r="F649" s="37">
        <v>26144</v>
      </c>
      <c r="G649" s="67" t="s">
        <v>3459</v>
      </c>
      <c r="H649" s="14" t="s">
        <v>3460</v>
      </c>
      <c r="I649" s="4" t="s">
        <v>3461</v>
      </c>
      <c r="J649" s="384"/>
      <c r="K649" s="228"/>
    </row>
    <row r="650" spans="1:12" hidden="1" x14ac:dyDescent="0.25">
      <c r="A650" s="13" t="s">
        <v>209</v>
      </c>
      <c r="B650" s="14">
        <v>43490</v>
      </c>
      <c r="C650" s="13">
        <v>16</v>
      </c>
      <c r="D650" s="13" t="s">
        <v>210</v>
      </c>
      <c r="E650" s="13" t="s">
        <v>134</v>
      </c>
      <c r="F650" s="37">
        <v>23836.14</v>
      </c>
      <c r="G650" s="67" t="s">
        <v>3491</v>
      </c>
      <c r="H650" s="14">
        <v>43482</v>
      </c>
      <c r="I650" s="4" t="s">
        <v>3492</v>
      </c>
      <c r="J650" s="407"/>
      <c r="K650" s="228"/>
    </row>
    <row r="651" spans="1:12" ht="13.95" hidden="1" customHeight="1" x14ac:dyDescent="0.25">
      <c r="A651" s="68" t="s">
        <v>209</v>
      </c>
      <c r="B651" s="14">
        <v>43490</v>
      </c>
      <c r="C651" s="67">
        <v>17</v>
      </c>
      <c r="D651" s="32" t="s">
        <v>595</v>
      </c>
      <c r="E651" s="32" t="s">
        <v>134</v>
      </c>
      <c r="F651" s="4">
        <v>1000000</v>
      </c>
      <c r="G651" s="28" t="s">
        <v>1600</v>
      </c>
      <c r="H651" s="14">
        <v>43465</v>
      </c>
      <c r="I651" s="41" t="s">
        <v>949</v>
      </c>
      <c r="J651" s="166" t="s">
        <v>327</v>
      </c>
      <c r="K651" s="167"/>
      <c r="L651" s="35"/>
    </row>
    <row r="652" spans="1:12" hidden="1" x14ac:dyDescent="0.25">
      <c r="A652" s="13" t="s">
        <v>151</v>
      </c>
      <c r="B652" s="14">
        <v>43490</v>
      </c>
      <c r="C652" s="13">
        <v>75</v>
      </c>
      <c r="D652" s="13" t="s">
        <v>1212</v>
      </c>
      <c r="E652" s="32" t="s">
        <v>1121</v>
      </c>
      <c r="F652" s="4">
        <v>104312</v>
      </c>
      <c r="G652" s="28" t="s">
        <v>2165</v>
      </c>
      <c r="H652" s="14">
        <v>43490</v>
      </c>
      <c r="I652" s="4" t="s">
        <v>3509</v>
      </c>
      <c r="J652" s="125"/>
    </row>
    <row r="653" spans="1:12" hidden="1" x14ac:dyDescent="0.25">
      <c r="A653" s="13" t="s">
        <v>151</v>
      </c>
      <c r="B653" s="14">
        <v>43490</v>
      </c>
      <c r="C653" s="13">
        <v>76</v>
      </c>
      <c r="D653" s="13" t="s">
        <v>2905</v>
      </c>
      <c r="E653" s="32" t="s">
        <v>1121</v>
      </c>
      <c r="F653" s="4">
        <v>100000</v>
      </c>
      <c r="G653" s="28" t="s">
        <v>728</v>
      </c>
      <c r="H653" s="14">
        <v>43490</v>
      </c>
      <c r="I653" s="4" t="s">
        <v>1525</v>
      </c>
      <c r="J653" s="125"/>
    </row>
    <row r="654" spans="1:12" hidden="1" x14ac:dyDescent="0.25">
      <c r="A654" s="32" t="s">
        <v>151</v>
      </c>
      <c r="B654" s="14">
        <v>43493</v>
      </c>
      <c r="C654" s="67">
        <v>251</v>
      </c>
      <c r="D654" s="32" t="s">
        <v>3520</v>
      </c>
      <c r="E654" s="32" t="s">
        <v>38</v>
      </c>
      <c r="F654" s="4">
        <v>8000</v>
      </c>
      <c r="G654" s="28" t="s">
        <v>3184</v>
      </c>
      <c r="H654" s="14">
        <v>43493</v>
      </c>
      <c r="I654" s="4" t="s">
        <v>1324</v>
      </c>
      <c r="J654" s="166" t="s">
        <v>327</v>
      </c>
      <c r="K654" s="167"/>
      <c r="L654" s="35"/>
    </row>
    <row r="655" spans="1:12" hidden="1" x14ac:dyDescent="0.25">
      <c r="A655" s="32" t="s">
        <v>151</v>
      </c>
      <c r="B655" s="14">
        <v>43493</v>
      </c>
      <c r="C655" s="67">
        <v>252</v>
      </c>
      <c r="D655" s="32" t="s">
        <v>3520</v>
      </c>
      <c r="E655" s="32" t="s">
        <v>38</v>
      </c>
      <c r="F655" s="4">
        <v>16000</v>
      </c>
      <c r="G655" s="28" t="s">
        <v>1398</v>
      </c>
      <c r="H655" s="14">
        <v>43405</v>
      </c>
      <c r="I655" s="4" t="s">
        <v>1324</v>
      </c>
      <c r="J655" s="166" t="s">
        <v>3521</v>
      </c>
      <c r="K655" s="167"/>
      <c r="L655" s="35"/>
    </row>
    <row r="656" spans="1:12" hidden="1" x14ac:dyDescent="0.25">
      <c r="A656" s="32" t="s">
        <v>151</v>
      </c>
      <c r="B656" s="14">
        <v>43493</v>
      </c>
      <c r="C656" s="67">
        <v>92</v>
      </c>
      <c r="D656" s="32" t="s">
        <v>3520</v>
      </c>
      <c r="E656" s="32" t="s">
        <v>62</v>
      </c>
      <c r="F656" s="4">
        <v>8000</v>
      </c>
      <c r="G656" s="28" t="s">
        <v>3362</v>
      </c>
      <c r="H656" s="14">
        <v>43493</v>
      </c>
      <c r="I656" s="4" t="s">
        <v>1324</v>
      </c>
      <c r="J656" s="166" t="s">
        <v>327</v>
      </c>
      <c r="K656" s="167"/>
      <c r="L656" s="35"/>
    </row>
    <row r="657" spans="1:19" hidden="1" x14ac:dyDescent="0.25">
      <c r="A657" s="32" t="s">
        <v>151</v>
      </c>
      <c r="B657" s="14">
        <v>43493</v>
      </c>
      <c r="C657" s="67">
        <v>93</v>
      </c>
      <c r="D657" s="32" t="s">
        <v>3520</v>
      </c>
      <c r="E657" s="32" t="s">
        <v>62</v>
      </c>
      <c r="F657" s="4">
        <v>16000</v>
      </c>
      <c r="G657" s="28" t="s">
        <v>3522</v>
      </c>
      <c r="H657" s="14">
        <v>43405</v>
      </c>
      <c r="I657" s="4" t="s">
        <v>1324</v>
      </c>
      <c r="J657" s="166" t="s">
        <v>3521</v>
      </c>
      <c r="K657" s="167"/>
      <c r="L657" s="35"/>
    </row>
    <row r="658" spans="1:19" hidden="1" x14ac:dyDescent="0.25">
      <c r="A658" s="32" t="s">
        <v>151</v>
      </c>
      <c r="B658" s="14">
        <v>43493</v>
      </c>
      <c r="C658" s="67">
        <v>16</v>
      </c>
      <c r="D658" s="32" t="s">
        <v>3528</v>
      </c>
      <c r="E658" s="32" t="s">
        <v>22</v>
      </c>
      <c r="F658" s="4">
        <v>58914</v>
      </c>
      <c r="G658" s="28" t="s">
        <v>3529</v>
      </c>
      <c r="H658" s="14">
        <v>43490</v>
      </c>
      <c r="I658" s="4" t="s">
        <v>3532</v>
      </c>
      <c r="J658" s="166"/>
      <c r="K658" s="167"/>
      <c r="L658" s="35"/>
    </row>
    <row r="659" spans="1:19" s="115" customFormat="1" ht="15.6" hidden="1" x14ac:dyDescent="0.25">
      <c r="A659" s="61" t="s">
        <v>651</v>
      </c>
      <c r="B659" s="14">
        <v>43493</v>
      </c>
      <c r="C659" s="13">
        <v>71</v>
      </c>
      <c r="D659" s="13" t="s">
        <v>813</v>
      </c>
      <c r="E659" s="13" t="s">
        <v>547</v>
      </c>
      <c r="F659" s="37">
        <v>4947378</v>
      </c>
      <c r="G659" s="29" t="s">
        <v>810</v>
      </c>
      <c r="H659" s="14">
        <v>42340</v>
      </c>
      <c r="I659" s="41" t="s">
        <v>1560</v>
      </c>
      <c r="J659" s="258"/>
      <c r="K659" s="116"/>
      <c r="L659" s="116"/>
      <c r="M659" s="116"/>
      <c r="N659" s="116"/>
      <c r="O659" s="117"/>
      <c r="P659" s="117"/>
      <c r="Q659" s="117"/>
      <c r="R659" s="117"/>
      <c r="S659" s="117"/>
    </row>
    <row r="660" spans="1:19" s="115" customFormat="1" ht="15.6" hidden="1" x14ac:dyDescent="0.25">
      <c r="A660" s="61" t="s">
        <v>1972</v>
      </c>
      <c r="B660" s="14">
        <v>43493</v>
      </c>
      <c r="C660" s="13">
        <v>70</v>
      </c>
      <c r="D660" s="13" t="s">
        <v>3530</v>
      </c>
      <c r="E660" s="13" t="s">
        <v>547</v>
      </c>
      <c r="F660" s="37">
        <v>48806.6</v>
      </c>
      <c r="G660" s="29" t="s">
        <v>3531</v>
      </c>
      <c r="H660" s="14">
        <v>43463</v>
      </c>
      <c r="I660" s="41" t="s">
        <v>818</v>
      </c>
      <c r="J660" s="258"/>
      <c r="K660" s="116"/>
      <c r="L660" s="116"/>
      <c r="M660" s="116"/>
      <c r="N660" s="116"/>
      <c r="O660" s="117"/>
      <c r="P660" s="117"/>
      <c r="Q660" s="117"/>
      <c r="R660" s="117"/>
      <c r="S660" s="117"/>
    </row>
    <row r="661" spans="1:19" ht="15" hidden="1" customHeight="1" x14ac:dyDescent="0.25">
      <c r="A661" s="32" t="s">
        <v>41</v>
      </c>
      <c r="B661" s="14">
        <v>43493</v>
      </c>
      <c r="C661" s="67">
        <v>24</v>
      </c>
      <c r="D661" s="32" t="s">
        <v>200</v>
      </c>
      <c r="E661" s="32" t="s">
        <v>195</v>
      </c>
      <c r="F661" s="4">
        <v>971641.98</v>
      </c>
      <c r="G661" s="28"/>
      <c r="H661" s="14"/>
      <c r="I661" s="4" t="s">
        <v>362</v>
      </c>
      <c r="J661" s="166" t="s">
        <v>327</v>
      </c>
      <c r="K661" s="167"/>
      <c r="L661" s="35"/>
    </row>
    <row r="662" spans="1:19" ht="15" hidden="1" customHeight="1" x14ac:dyDescent="0.25">
      <c r="A662" s="32" t="s">
        <v>41</v>
      </c>
      <c r="B662" s="14">
        <v>43493</v>
      </c>
      <c r="C662" s="67">
        <v>25</v>
      </c>
      <c r="D662" s="32" t="s">
        <v>200</v>
      </c>
      <c r="E662" s="32" t="s">
        <v>195</v>
      </c>
      <c r="F662" s="4">
        <v>28358.02</v>
      </c>
      <c r="G662" s="28" t="s">
        <v>2431</v>
      </c>
      <c r="H662" s="14">
        <v>43446</v>
      </c>
      <c r="I662" s="4" t="s">
        <v>284</v>
      </c>
      <c r="J662" s="166" t="s">
        <v>239</v>
      </c>
      <c r="K662" s="167"/>
      <c r="L662" s="35"/>
    </row>
    <row r="663" spans="1:19" hidden="1" x14ac:dyDescent="0.25">
      <c r="A663" s="13" t="s">
        <v>151</v>
      </c>
      <c r="B663" s="14">
        <v>43493</v>
      </c>
      <c r="C663" s="13">
        <v>28</v>
      </c>
      <c r="D663" s="32" t="s">
        <v>3533</v>
      </c>
      <c r="E663" s="32" t="s">
        <v>144</v>
      </c>
      <c r="F663" s="4">
        <v>400000</v>
      </c>
      <c r="G663" s="210" t="s">
        <v>3534</v>
      </c>
      <c r="H663" s="211">
        <v>42853</v>
      </c>
      <c r="I663" s="4" t="s">
        <v>4807</v>
      </c>
      <c r="J663" s="166"/>
      <c r="K663" s="228"/>
    </row>
    <row r="664" spans="1:19" hidden="1" x14ac:dyDescent="0.25">
      <c r="A664" s="61" t="s">
        <v>460</v>
      </c>
      <c r="B664" s="14">
        <v>43494</v>
      </c>
      <c r="C664" s="13">
        <v>4</v>
      </c>
      <c r="D664" s="13" t="s">
        <v>3514</v>
      </c>
      <c r="E664" s="13" t="s">
        <v>742</v>
      </c>
      <c r="F664" s="256">
        <v>734400</v>
      </c>
      <c r="G664" s="69" t="s">
        <v>3515</v>
      </c>
      <c r="H664" s="14">
        <v>43490</v>
      </c>
      <c r="I664" s="274"/>
      <c r="J664" s="169"/>
    </row>
    <row r="665" spans="1:19" hidden="1" x14ac:dyDescent="0.25">
      <c r="A665" s="61" t="s">
        <v>460</v>
      </c>
      <c r="B665" s="14">
        <v>43494</v>
      </c>
      <c r="C665" s="13">
        <v>15</v>
      </c>
      <c r="D665" s="14" t="s">
        <v>3090</v>
      </c>
      <c r="E665" s="32" t="s">
        <v>483</v>
      </c>
      <c r="F665" s="4">
        <v>52500</v>
      </c>
      <c r="G665" s="86" t="s">
        <v>3091</v>
      </c>
      <c r="H665" s="211"/>
      <c r="I665" s="326"/>
      <c r="K665" s="62"/>
    </row>
    <row r="666" spans="1:19" ht="15" hidden="1" customHeight="1" x14ac:dyDescent="0.25">
      <c r="A666" s="13" t="s">
        <v>184</v>
      </c>
      <c r="B666" s="14">
        <v>43494</v>
      </c>
      <c r="C666" s="13">
        <v>85</v>
      </c>
      <c r="D666" s="13" t="s">
        <v>171</v>
      </c>
      <c r="E666" s="32" t="s">
        <v>1121</v>
      </c>
      <c r="F666" s="4">
        <f>928722.67-500000</f>
        <v>428722.67000000004</v>
      </c>
      <c r="G666" s="28" t="s">
        <v>3372</v>
      </c>
      <c r="H666" s="14">
        <v>43476</v>
      </c>
      <c r="I666" s="4" t="s">
        <v>384</v>
      </c>
      <c r="J666" s="125" t="s">
        <v>3373</v>
      </c>
    </row>
    <row r="667" spans="1:19" ht="16.5" hidden="1" customHeight="1" x14ac:dyDescent="0.25">
      <c r="A667" s="13" t="s">
        <v>184</v>
      </c>
      <c r="B667" s="39">
        <v>43494</v>
      </c>
      <c r="C667" s="40">
        <v>80</v>
      </c>
      <c r="D667" s="32" t="s">
        <v>189</v>
      </c>
      <c r="E667" s="13" t="s">
        <v>1121</v>
      </c>
      <c r="F667" s="4">
        <v>4000</v>
      </c>
      <c r="G667" s="28" t="s">
        <v>301</v>
      </c>
      <c r="H667" s="14">
        <v>43482</v>
      </c>
      <c r="I667" s="4" t="s">
        <v>927</v>
      </c>
      <c r="J667" s="22" t="s">
        <v>3497</v>
      </c>
      <c r="K667" s="63"/>
      <c r="L667" s="62"/>
    </row>
    <row r="668" spans="1:19" s="192" customFormat="1" ht="14.85" hidden="1" customHeight="1" x14ac:dyDescent="0.25">
      <c r="A668" s="147" t="s">
        <v>242</v>
      </c>
      <c r="B668" s="39">
        <v>43494</v>
      </c>
      <c r="C668" s="195">
        <v>81</v>
      </c>
      <c r="D668" s="149" t="s">
        <v>840</v>
      </c>
      <c r="E668" s="147" t="s">
        <v>1121</v>
      </c>
      <c r="F668" s="158">
        <v>147052.5</v>
      </c>
      <c r="G668" s="150" t="s">
        <v>3470</v>
      </c>
      <c r="H668" s="148">
        <v>43458</v>
      </c>
      <c r="I668" s="149" t="s">
        <v>143</v>
      </c>
      <c r="J668" s="193"/>
      <c r="K668" s="194"/>
      <c r="L668" s="190"/>
    </row>
    <row r="669" spans="1:19" s="192" customFormat="1" hidden="1" x14ac:dyDescent="0.25">
      <c r="A669" s="147" t="s">
        <v>242</v>
      </c>
      <c r="B669" s="39">
        <v>43494</v>
      </c>
      <c r="C669" s="187">
        <v>83</v>
      </c>
      <c r="D669" s="149" t="s">
        <v>291</v>
      </c>
      <c r="E669" s="147" t="s">
        <v>1121</v>
      </c>
      <c r="F669" s="158">
        <v>130000.5</v>
      </c>
      <c r="G669" s="150" t="s">
        <v>3467</v>
      </c>
      <c r="H669" s="148">
        <v>43489</v>
      </c>
      <c r="I669" s="149" t="s">
        <v>143</v>
      </c>
      <c r="J669" s="193"/>
      <c r="K669" s="194"/>
      <c r="L669" s="190"/>
    </row>
    <row r="670" spans="1:19" s="192" customFormat="1" hidden="1" x14ac:dyDescent="0.25">
      <c r="A670" s="147" t="s">
        <v>242</v>
      </c>
      <c r="B670" s="39">
        <v>43494</v>
      </c>
      <c r="C670" s="187">
        <v>83</v>
      </c>
      <c r="D670" s="149" t="s">
        <v>291</v>
      </c>
      <c r="E670" s="147" t="s">
        <v>1121</v>
      </c>
      <c r="F670" s="158">
        <v>123034.8</v>
      </c>
      <c r="G670" s="150" t="s">
        <v>2963</v>
      </c>
      <c r="H670" s="148">
        <v>43489</v>
      </c>
      <c r="I670" s="149" t="s">
        <v>143</v>
      </c>
      <c r="J670" s="193"/>
      <c r="K670" s="194"/>
      <c r="L670" s="190"/>
    </row>
    <row r="671" spans="1:19" s="192" customFormat="1" hidden="1" x14ac:dyDescent="0.25">
      <c r="A671" s="147" t="s">
        <v>242</v>
      </c>
      <c r="B671" s="39">
        <v>43494</v>
      </c>
      <c r="C671" s="195">
        <v>82</v>
      </c>
      <c r="D671" s="149" t="s">
        <v>784</v>
      </c>
      <c r="E671" s="147" t="s">
        <v>1121</v>
      </c>
      <c r="F671" s="158">
        <v>237690.72</v>
      </c>
      <c r="G671" s="150" t="s">
        <v>2893</v>
      </c>
      <c r="H671" s="148">
        <v>43489</v>
      </c>
      <c r="I671" s="149" t="s">
        <v>143</v>
      </c>
      <c r="J671" s="193"/>
      <c r="K671" s="194"/>
      <c r="L671" s="190"/>
    </row>
    <row r="672" spans="1:19" s="192" customFormat="1" hidden="1" x14ac:dyDescent="0.25">
      <c r="A672" s="147" t="s">
        <v>242</v>
      </c>
      <c r="B672" s="39">
        <v>43494</v>
      </c>
      <c r="C672" s="195">
        <v>82</v>
      </c>
      <c r="D672" s="149" t="s">
        <v>784</v>
      </c>
      <c r="E672" s="147" t="s">
        <v>1121</v>
      </c>
      <c r="F672" s="158">
        <v>344863.2</v>
      </c>
      <c r="G672" s="150" t="s">
        <v>3424</v>
      </c>
      <c r="H672" s="148">
        <v>43489</v>
      </c>
      <c r="I672" s="149" t="s">
        <v>143</v>
      </c>
      <c r="J672" s="193"/>
      <c r="K672" s="194"/>
      <c r="L672" s="190"/>
    </row>
    <row r="673" spans="1:12" s="192" customFormat="1" hidden="1" x14ac:dyDescent="0.25">
      <c r="A673" s="147" t="s">
        <v>242</v>
      </c>
      <c r="B673" s="39">
        <v>43494</v>
      </c>
      <c r="C673" s="195">
        <v>82</v>
      </c>
      <c r="D673" s="149" t="s">
        <v>784</v>
      </c>
      <c r="E673" s="147" t="s">
        <v>1121</v>
      </c>
      <c r="F673" s="158">
        <v>79992</v>
      </c>
      <c r="G673" s="150" t="s">
        <v>3212</v>
      </c>
      <c r="H673" s="148">
        <v>43489</v>
      </c>
      <c r="I673" s="149" t="s">
        <v>143</v>
      </c>
      <c r="J673" s="193"/>
      <c r="K673" s="194"/>
      <c r="L673" s="190"/>
    </row>
    <row r="674" spans="1:12" s="129" customFormat="1" ht="27.6" hidden="1" x14ac:dyDescent="0.25">
      <c r="A674" s="13" t="s">
        <v>151</v>
      </c>
      <c r="B674" s="39">
        <v>43494</v>
      </c>
      <c r="C674" s="28" t="s">
        <v>476</v>
      </c>
      <c r="D674" s="13" t="s">
        <v>711</v>
      </c>
      <c r="E674" s="32" t="s">
        <v>1121</v>
      </c>
      <c r="F674" s="37">
        <f>3950+2810+4080+2040+11440+680+23200+980+13960+3740+3150</f>
        <v>70030</v>
      </c>
      <c r="G674" s="28" t="s">
        <v>3463</v>
      </c>
      <c r="H674" s="28" t="s">
        <v>3462</v>
      </c>
      <c r="I674" s="4" t="s">
        <v>712</v>
      </c>
      <c r="J674" s="170"/>
      <c r="K674" s="136"/>
    </row>
    <row r="675" spans="1:12" hidden="1" x14ac:dyDescent="0.25">
      <c r="A675" s="61" t="s">
        <v>460</v>
      </c>
      <c r="B675" s="14">
        <v>43494</v>
      </c>
      <c r="C675" s="13">
        <v>37</v>
      </c>
      <c r="D675" s="14" t="s">
        <v>2322</v>
      </c>
      <c r="E675" s="32" t="s">
        <v>144</v>
      </c>
      <c r="F675" s="4">
        <v>108295</v>
      </c>
      <c r="G675" s="86" t="s">
        <v>2323</v>
      </c>
      <c r="H675" s="211"/>
      <c r="I675" s="326"/>
      <c r="K675" s="62"/>
    </row>
    <row r="676" spans="1:12" hidden="1" x14ac:dyDescent="0.25">
      <c r="A676" s="61" t="s">
        <v>460</v>
      </c>
      <c r="B676" s="14">
        <v>43494</v>
      </c>
      <c r="C676" s="13">
        <v>38</v>
      </c>
      <c r="D676" s="14" t="s">
        <v>2324</v>
      </c>
      <c r="E676" s="32" t="s">
        <v>144</v>
      </c>
      <c r="F676" s="4">
        <v>55829</v>
      </c>
      <c r="G676" s="86" t="s">
        <v>2325</v>
      </c>
      <c r="H676" s="211"/>
      <c r="I676" s="326"/>
      <c r="K676" s="62"/>
    </row>
    <row r="677" spans="1:12" hidden="1" x14ac:dyDescent="0.25">
      <c r="A677" s="61" t="s">
        <v>460</v>
      </c>
      <c r="B677" s="14">
        <v>43494</v>
      </c>
      <c r="C677" s="13">
        <v>39</v>
      </c>
      <c r="D677" s="14" t="s">
        <v>2326</v>
      </c>
      <c r="E677" s="32" t="s">
        <v>144</v>
      </c>
      <c r="F677" s="4">
        <v>28274</v>
      </c>
      <c r="G677" s="86" t="s">
        <v>2327</v>
      </c>
      <c r="H677" s="211"/>
      <c r="I677" s="326"/>
      <c r="K677" s="62"/>
    </row>
    <row r="678" spans="1:12" hidden="1" x14ac:dyDescent="0.25">
      <c r="A678" s="61" t="s">
        <v>460</v>
      </c>
      <c r="B678" s="14">
        <v>43494</v>
      </c>
      <c r="C678" s="13">
        <v>40</v>
      </c>
      <c r="D678" s="14" t="s">
        <v>2328</v>
      </c>
      <c r="E678" s="32" t="s">
        <v>144</v>
      </c>
      <c r="F678" s="4">
        <v>34068</v>
      </c>
      <c r="G678" s="86" t="s">
        <v>2329</v>
      </c>
      <c r="H678" s="211"/>
      <c r="I678" s="326"/>
      <c r="K678" s="62"/>
    </row>
    <row r="679" spans="1:12" s="192" customFormat="1" ht="14.85" hidden="1" customHeight="1" x14ac:dyDescent="0.25">
      <c r="A679" s="147" t="s">
        <v>242</v>
      </c>
      <c r="B679" s="14">
        <v>43494</v>
      </c>
      <c r="C679" s="195">
        <v>41</v>
      </c>
      <c r="D679" s="149" t="s">
        <v>840</v>
      </c>
      <c r="E679" s="147" t="s">
        <v>144</v>
      </c>
      <c r="F679" s="158">
        <v>64676</v>
      </c>
      <c r="G679" s="150" t="s">
        <v>3474</v>
      </c>
      <c r="H679" s="148" t="s">
        <v>3472</v>
      </c>
      <c r="I679" s="149" t="s">
        <v>143</v>
      </c>
      <c r="J679" s="193"/>
      <c r="K679" s="194"/>
      <c r="L679" s="190"/>
    </row>
    <row r="680" spans="1:12" s="192" customFormat="1" ht="14.85" hidden="1" customHeight="1" x14ac:dyDescent="0.25">
      <c r="A680" s="147" t="s">
        <v>242</v>
      </c>
      <c r="B680" s="14">
        <v>43494</v>
      </c>
      <c r="C680" s="195">
        <v>41</v>
      </c>
      <c r="D680" s="149" t="s">
        <v>840</v>
      </c>
      <c r="E680" s="147" t="s">
        <v>144</v>
      </c>
      <c r="F680" s="158">
        <v>58086.400000000001</v>
      </c>
      <c r="G680" s="150" t="s">
        <v>1842</v>
      </c>
      <c r="H680" s="148" t="s">
        <v>3472</v>
      </c>
      <c r="I680" s="149" t="s">
        <v>143</v>
      </c>
      <c r="J680" s="193"/>
      <c r="K680" s="194"/>
      <c r="L680" s="190"/>
    </row>
    <row r="681" spans="1:12" s="192" customFormat="1" ht="14.25" hidden="1" customHeight="1" x14ac:dyDescent="0.25">
      <c r="A681" s="147" t="s">
        <v>242</v>
      </c>
      <c r="B681" s="14">
        <v>43494</v>
      </c>
      <c r="C681" s="195">
        <v>42</v>
      </c>
      <c r="D681" s="149" t="s">
        <v>784</v>
      </c>
      <c r="E681" s="147" t="s">
        <v>144</v>
      </c>
      <c r="F681" s="158">
        <v>98475</v>
      </c>
      <c r="G681" s="150" t="s">
        <v>2955</v>
      </c>
      <c r="H681" s="148">
        <v>43489</v>
      </c>
      <c r="I681" s="149" t="s">
        <v>143</v>
      </c>
    </row>
    <row r="682" spans="1:12" s="192" customFormat="1" ht="14.25" hidden="1" customHeight="1" x14ac:dyDescent="0.25">
      <c r="A682" s="147" t="s">
        <v>242</v>
      </c>
      <c r="B682" s="14">
        <v>43494</v>
      </c>
      <c r="C682" s="195">
        <v>43</v>
      </c>
      <c r="D682" s="149" t="s">
        <v>784</v>
      </c>
      <c r="E682" s="147" t="s">
        <v>144</v>
      </c>
      <c r="F682" s="158">
        <v>51645</v>
      </c>
      <c r="G682" s="150" t="s">
        <v>458</v>
      </c>
      <c r="H682" s="148">
        <v>43489</v>
      </c>
      <c r="I682" s="149" t="s">
        <v>143</v>
      </c>
    </row>
    <row r="683" spans="1:12" s="192" customFormat="1" ht="14.25" hidden="1" customHeight="1" x14ac:dyDescent="0.25">
      <c r="A683" s="147" t="s">
        <v>242</v>
      </c>
      <c r="B683" s="14">
        <v>43494</v>
      </c>
      <c r="C683" s="195">
        <v>43</v>
      </c>
      <c r="D683" s="149" t="s">
        <v>784</v>
      </c>
      <c r="E683" s="147" t="s">
        <v>144</v>
      </c>
      <c r="F683" s="158">
        <v>76860</v>
      </c>
      <c r="G683" s="150" t="s">
        <v>3211</v>
      </c>
      <c r="H683" s="148">
        <v>43489</v>
      </c>
      <c r="I683" s="149" t="s">
        <v>143</v>
      </c>
    </row>
    <row r="684" spans="1:12" s="192" customFormat="1" hidden="1" x14ac:dyDescent="0.25">
      <c r="A684" s="147" t="s">
        <v>242</v>
      </c>
      <c r="B684" s="14">
        <v>43494</v>
      </c>
      <c r="C684" s="195">
        <v>44</v>
      </c>
      <c r="D684" s="149" t="s">
        <v>490</v>
      </c>
      <c r="E684" s="147" t="s">
        <v>144</v>
      </c>
      <c r="F684" s="158">
        <v>82734.05</v>
      </c>
      <c r="G684" s="150" t="s">
        <v>3475</v>
      </c>
      <c r="H684" s="148">
        <v>43475</v>
      </c>
      <c r="I684" s="149" t="s">
        <v>143</v>
      </c>
      <c r="J684" s="193"/>
      <c r="K684" s="194"/>
      <c r="L684" s="190"/>
    </row>
    <row r="685" spans="1:12" s="192" customFormat="1" hidden="1" x14ac:dyDescent="0.25">
      <c r="A685" s="147" t="s">
        <v>242</v>
      </c>
      <c r="B685" s="14">
        <v>43494</v>
      </c>
      <c r="C685" s="195">
        <v>45</v>
      </c>
      <c r="D685" s="149" t="s">
        <v>490</v>
      </c>
      <c r="E685" s="147" t="s">
        <v>144</v>
      </c>
      <c r="F685" s="158">
        <v>78060</v>
      </c>
      <c r="G685" s="150" t="s">
        <v>3476</v>
      </c>
      <c r="H685" s="148">
        <v>43475</v>
      </c>
      <c r="I685" s="149" t="s">
        <v>143</v>
      </c>
      <c r="J685" s="193"/>
      <c r="K685" s="194"/>
      <c r="L685" s="190"/>
    </row>
    <row r="686" spans="1:12" hidden="1" x14ac:dyDescent="0.25">
      <c r="A686" s="13" t="s">
        <v>151</v>
      </c>
      <c r="B686" s="14">
        <v>43494</v>
      </c>
      <c r="C686" s="13">
        <v>17</v>
      </c>
      <c r="D686" s="13" t="s">
        <v>606</v>
      </c>
      <c r="E686" s="32" t="s">
        <v>22</v>
      </c>
      <c r="F686" s="4">
        <f>3725+1000</f>
        <v>4725</v>
      </c>
      <c r="G686" s="28" t="s">
        <v>3495</v>
      </c>
      <c r="H686" s="14">
        <v>43489</v>
      </c>
      <c r="I686" s="4" t="s">
        <v>3496</v>
      </c>
      <c r="J686" s="125"/>
    </row>
    <row r="687" spans="1:12" s="97" customFormat="1" hidden="1" x14ac:dyDescent="0.25">
      <c r="A687" s="13" t="s">
        <v>151</v>
      </c>
      <c r="B687" s="14">
        <v>43494</v>
      </c>
      <c r="C687" s="67">
        <v>91</v>
      </c>
      <c r="D687" s="13" t="s">
        <v>776</v>
      </c>
      <c r="E687" s="13" t="s">
        <v>60</v>
      </c>
      <c r="F687" s="4">
        <v>1300</v>
      </c>
      <c r="G687" s="29" t="s">
        <v>1294</v>
      </c>
      <c r="H687" s="14">
        <v>43454</v>
      </c>
      <c r="I687" s="4" t="s">
        <v>3465</v>
      </c>
      <c r="J687" s="22"/>
      <c r="K687" s="22"/>
      <c r="L687" s="134"/>
    </row>
    <row r="688" spans="1:12" s="97" customFormat="1" hidden="1" x14ac:dyDescent="0.25">
      <c r="A688" s="13" t="s">
        <v>151</v>
      </c>
      <c r="B688" s="14">
        <v>43494</v>
      </c>
      <c r="C688" s="67">
        <v>91</v>
      </c>
      <c r="D688" s="13" t="s">
        <v>776</v>
      </c>
      <c r="E688" s="13" t="s">
        <v>60</v>
      </c>
      <c r="F688" s="4">
        <v>1300</v>
      </c>
      <c r="G688" s="29" t="s">
        <v>3207</v>
      </c>
      <c r="H688" s="14">
        <v>43462</v>
      </c>
      <c r="I688" s="4" t="s">
        <v>3465</v>
      </c>
      <c r="J688" s="22"/>
      <c r="K688" s="22"/>
      <c r="L688" s="134"/>
    </row>
    <row r="689" spans="1:19" hidden="1" x14ac:dyDescent="0.25">
      <c r="A689" s="13" t="s">
        <v>637</v>
      </c>
      <c r="B689" s="126">
        <v>43494</v>
      </c>
      <c r="C689" s="13">
        <v>54</v>
      </c>
      <c r="D689" s="13" t="s">
        <v>470</v>
      </c>
      <c r="E689" s="13" t="s">
        <v>691</v>
      </c>
      <c r="F689" s="37">
        <v>5000000</v>
      </c>
      <c r="G689" s="29" t="s">
        <v>1818</v>
      </c>
      <c r="H689" s="14"/>
      <c r="I689" s="208" t="s">
        <v>237</v>
      </c>
      <c r="J689" s="62"/>
      <c r="K689" s="62"/>
      <c r="L689" s="35"/>
      <c r="M689" s="35"/>
      <c r="N689" s="35"/>
      <c r="O689" s="35"/>
      <c r="P689" s="35"/>
    </row>
    <row r="690" spans="1:19" s="115" customFormat="1" ht="15" hidden="1" customHeight="1" x14ac:dyDescent="0.25">
      <c r="A690" s="13" t="s">
        <v>92</v>
      </c>
      <c r="B690" s="14">
        <v>43494</v>
      </c>
      <c r="C690" s="13">
        <v>387</v>
      </c>
      <c r="D690" s="13" t="s">
        <v>873</v>
      </c>
      <c r="E690" s="13" t="s">
        <v>140</v>
      </c>
      <c r="F690" s="37">
        <f>2656396.89</f>
        <v>2656396.89</v>
      </c>
      <c r="G690" s="13" t="s">
        <v>874</v>
      </c>
      <c r="H690" s="126">
        <v>43445</v>
      </c>
      <c r="I690" s="29" t="s">
        <v>875</v>
      </c>
      <c r="K690" s="116"/>
      <c r="L690" s="116"/>
      <c r="M690" s="116"/>
      <c r="N690" s="116"/>
      <c r="O690" s="117"/>
      <c r="P690" s="117"/>
      <c r="Q690" s="117"/>
      <c r="R690" s="117"/>
      <c r="S690" s="117"/>
    </row>
    <row r="691" spans="1:19" ht="15" hidden="1" customHeight="1" x14ac:dyDescent="0.25">
      <c r="A691" s="32" t="s">
        <v>1219</v>
      </c>
      <c r="B691" s="14">
        <v>43494</v>
      </c>
      <c r="C691" s="67">
        <v>1</v>
      </c>
      <c r="D691" s="32" t="s">
        <v>1220</v>
      </c>
      <c r="E691" s="32" t="s">
        <v>1221</v>
      </c>
      <c r="F691" s="4">
        <v>90000</v>
      </c>
      <c r="G691" s="28" t="s">
        <v>2893</v>
      </c>
      <c r="H691" s="14">
        <v>43466</v>
      </c>
      <c r="I691" s="41" t="s">
        <v>1325</v>
      </c>
      <c r="J691" s="167" t="s">
        <v>239</v>
      </c>
      <c r="K691" s="167"/>
      <c r="L691" s="35"/>
    </row>
    <row r="692" spans="1:19" ht="15" hidden="1" customHeight="1" x14ac:dyDescent="0.25">
      <c r="A692" s="32" t="s">
        <v>1219</v>
      </c>
      <c r="B692" s="14">
        <v>43494</v>
      </c>
      <c r="C692" s="67">
        <v>1</v>
      </c>
      <c r="D692" s="32" t="s">
        <v>1220</v>
      </c>
      <c r="E692" s="32" t="s">
        <v>1221</v>
      </c>
      <c r="F692" s="4">
        <v>18250</v>
      </c>
      <c r="G692" s="28" t="s">
        <v>3375</v>
      </c>
      <c r="H692" s="14">
        <v>43466</v>
      </c>
      <c r="I692" s="41" t="s">
        <v>1950</v>
      </c>
      <c r="J692" s="167" t="s">
        <v>327</v>
      </c>
      <c r="K692" s="167"/>
      <c r="L692" s="35"/>
    </row>
    <row r="693" spans="1:19" s="62" customFormat="1" ht="13.95" hidden="1" customHeight="1" x14ac:dyDescent="0.25">
      <c r="A693" s="13" t="s">
        <v>91</v>
      </c>
      <c r="B693" s="14">
        <v>43494</v>
      </c>
      <c r="C693" s="13">
        <v>205</v>
      </c>
      <c r="D693" s="13" t="s">
        <v>133</v>
      </c>
      <c r="E693" s="13" t="s">
        <v>130</v>
      </c>
      <c r="F693" s="37">
        <v>210000</v>
      </c>
      <c r="G693" s="29" t="s">
        <v>3350</v>
      </c>
      <c r="H693" s="14"/>
      <c r="I693" s="4" t="s">
        <v>1134</v>
      </c>
      <c r="J693" s="71" t="s">
        <v>3351</v>
      </c>
      <c r="O693" s="35"/>
      <c r="P693" s="35"/>
      <c r="Q693" s="35"/>
      <c r="R693" s="35"/>
      <c r="S693" s="35"/>
    </row>
    <row r="694" spans="1:19" ht="27.6" hidden="1" x14ac:dyDescent="0.25">
      <c r="A694" s="61" t="s">
        <v>55</v>
      </c>
      <c r="B694" s="14">
        <v>43495</v>
      </c>
      <c r="C694" s="13">
        <v>216</v>
      </c>
      <c r="D694" s="32" t="s">
        <v>667</v>
      </c>
      <c r="E694" s="32" t="s">
        <v>1427</v>
      </c>
      <c r="F694" s="4">
        <v>1000000</v>
      </c>
      <c r="G694" s="86" t="s">
        <v>977</v>
      </c>
      <c r="H694" s="211"/>
      <c r="I694" s="208" t="s">
        <v>978</v>
      </c>
      <c r="J694" s="21"/>
      <c r="K694" s="228"/>
    </row>
    <row r="695" spans="1:19" ht="27.6" hidden="1" x14ac:dyDescent="0.25">
      <c r="A695" s="32" t="s">
        <v>215</v>
      </c>
      <c r="B695" s="14">
        <v>43495</v>
      </c>
      <c r="C695" s="67">
        <v>217</v>
      </c>
      <c r="D695" s="32" t="s">
        <v>373</v>
      </c>
      <c r="E695" s="32" t="s">
        <v>1427</v>
      </c>
      <c r="F695" s="4">
        <v>410319.21</v>
      </c>
      <c r="G695" s="28" t="s">
        <v>1406</v>
      </c>
      <c r="H695" s="14">
        <v>43152</v>
      </c>
      <c r="I695" s="4" t="s">
        <v>362</v>
      </c>
      <c r="J695" s="166" t="s">
        <v>327</v>
      </c>
      <c r="K695" s="167"/>
      <c r="L695" s="35"/>
    </row>
    <row r="696" spans="1:19" ht="27.6" hidden="1" x14ac:dyDescent="0.25">
      <c r="A696" s="32" t="s">
        <v>214</v>
      </c>
      <c r="B696" s="14">
        <v>43495</v>
      </c>
      <c r="C696" s="67">
        <v>218</v>
      </c>
      <c r="D696" s="32" t="s">
        <v>373</v>
      </c>
      <c r="E696" s="32" t="s">
        <v>1427</v>
      </c>
      <c r="F696" s="4">
        <v>608389.1</v>
      </c>
      <c r="G696" s="28" t="s">
        <v>1407</v>
      </c>
      <c r="H696" s="14">
        <v>43152</v>
      </c>
      <c r="I696" s="4" t="s">
        <v>362</v>
      </c>
      <c r="J696" s="166" t="s">
        <v>327</v>
      </c>
      <c r="K696" s="167"/>
      <c r="L696" s="35"/>
    </row>
    <row r="697" spans="1:19" ht="15" hidden="1" customHeight="1" x14ac:dyDescent="0.25">
      <c r="A697" s="32" t="s">
        <v>206</v>
      </c>
      <c r="B697" s="164">
        <v>43495</v>
      </c>
      <c r="C697" s="13">
        <v>12</v>
      </c>
      <c r="D697" s="13" t="s">
        <v>156</v>
      </c>
      <c r="E697" s="32" t="s">
        <v>178</v>
      </c>
      <c r="F697" s="4">
        <v>1482239.96</v>
      </c>
      <c r="G697" s="28" t="s">
        <v>3252</v>
      </c>
      <c r="H697" s="14">
        <v>41439</v>
      </c>
      <c r="I697" s="4" t="s">
        <v>818</v>
      </c>
      <c r="J697" s="76"/>
      <c r="K697" s="246"/>
    </row>
    <row r="698" spans="1:19" hidden="1" x14ac:dyDescent="0.25">
      <c r="A698" s="61" t="s">
        <v>1148</v>
      </c>
      <c r="B698" s="14">
        <v>43495</v>
      </c>
      <c r="C698" s="13">
        <v>103</v>
      </c>
      <c r="D698" s="13" t="s">
        <v>1395</v>
      </c>
      <c r="E698" s="13" t="s">
        <v>808</v>
      </c>
      <c r="F698" s="37">
        <v>38000</v>
      </c>
      <c r="G698" s="29" t="s">
        <v>3141</v>
      </c>
      <c r="H698" s="14">
        <v>43474</v>
      </c>
      <c r="I698" s="4" t="s">
        <v>3139</v>
      </c>
    </row>
    <row r="699" spans="1:19" hidden="1" x14ac:dyDescent="0.25">
      <c r="A699" s="61" t="s">
        <v>1316</v>
      </c>
      <c r="B699" s="14">
        <v>43495</v>
      </c>
      <c r="C699" s="13">
        <v>103</v>
      </c>
      <c r="D699" s="13" t="s">
        <v>1395</v>
      </c>
      <c r="E699" s="13" t="s">
        <v>808</v>
      </c>
      <c r="F699" s="37">
        <v>38000</v>
      </c>
      <c r="G699" s="29" t="s">
        <v>3142</v>
      </c>
      <c r="H699" s="14">
        <v>43474</v>
      </c>
      <c r="I699" s="4" t="s">
        <v>3139</v>
      </c>
    </row>
    <row r="700" spans="1:19" hidden="1" x14ac:dyDescent="0.25">
      <c r="A700" s="61" t="s">
        <v>1148</v>
      </c>
      <c r="B700" s="14">
        <v>43495</v>
      </c>
      <c r="C700" s="13">
        <v>103</v>
      </c>
      <c r="D700" s="13" t="s">
        <v>1395</v>
      </c>
      <c r="E700" s="13" t="s">
        <v>808</v>
      </c>
      <c r="F700" s="37">
        <v>38000</v>
      </c>
      <c r="G700" s="29" t="s">
        <v>199</v>
      </c>
      <c r="H700" s="14">
        <v>43474</v>
      </c>
      <c r="I700" s="4" t="s">
        <v>3138</v>
      </c>
    </row>
    <row r="701" spans="1:19" hidden="1" x14ac:dyDescent="0.25">
      <c r="A701" s="61" t="s">
        <v>1316</v>
      </c>
      <c r="B701" s="14">
        <v>43495</v>
      </c>
      <c r="C701" s="13">
        <v>103</v>
      </c>
      <c r="D701" s="13" t="s">
        <v>1395</v>
      </c>
      <c r="E701" s="13" t="s">
        <v>808</v>
      </c>
      <c r="F701" s="37">
        <v>49400</v>
      </c>
      <c r="G701" s="29" t="s">
        <v>3143</v>
      </c>
      <c r="H701" s="14">
        <v>43474</v>
      </c>
      <c r="I701" s="4" t="s">
        <v>3144</v>
      </c>
    </row>
    <row r="702" spans="1:19" hidden="1" x14ac:dyDescent="0.25">
      <c r="A702" s="61" t="s">
        <v>1148</v>
      </c>
      <c r="B702" s="14">
        <v>43495</v>
      </c>
      <c r="C702" s="13">
        <v>103</v>
      </c>
      <c r="D702" s="13" t="s">
        <v>1395</v>
      </c>
      <c r="E702" s="13" t="s">
        <v>808</v>
      </c>
      <c r="F702" s="37">
        <v>49400</v>
      </c>
      <c r="G702" s="29" t="s">
        <v>111</v>
      </c>
      <c r="H702" s="14">
        <v>43474</v>
      </c>
      <c r="I702" s="4" t="s">
        <v>3145</v>
      </c>
    </row>
    <row r="703" spans="1:19" hidden="1" x14ac:dyDescent="0.25">
      <c r="A703" s="61" t="s">
        <v>1148</v>
      </c>
      <c r="B703" s="14">
        <v>43495</v>
      </c>
      <c r="C703" s="13">
        <v>103</v>
      </c>
      <c r="D703" s="13" t="s">
        <v>1395</v>
      </c>
      <c r="E703" s="13" t="s">
        <v>808</v>
      </c>
      <c r="F703" s="37">
        <v>53200</v>
      </c>
      <c r="G703" s="29" t="s">
        <v>2819</v>
      </c>
      <c r="H703" s="14">
        <v>43474</v>
      </c>
      <c r="I703" s="4" t="s">
        <v>3145</v>
      </c>
    </row>
    <row r="704" spans="1:19" hidden="1" x14ac:dyDescent="0.25">
      <c r="A704" s="61" t="s">
        <v>1147</v>
      </c>
      <c r="B704" s="14">
        <v>43495</v>
      </c>
      <c r="C704" s="13">
        <v>104</v>
      </c>
      <c r="D704" s="13" t="s">
        <v>764</v>
      </c>
      <c r="E704" s="13" t="s">
        <v>808</v>
      </c>
      <c r="F704" s="37">
        <v>100000</v>
      </c>
      <c r="G704" s="29" t="s">
        <v>1753</v>
      </c>
      <c r="H704" s="14">
        <v>43434</v>
      </c>
      <c r="I704" s="4" t="s">
        <v>511</v>
      </c>
    </row>
    <row r="705" spans="1:12" s="97" customFormat="1" hidden="1" x14ac:dyDescent="0.25">
      <c r="A705" s="13" t="s">
        <v>151</v>
      </c>
      <c r="B705" s="14">
        <v>43495</v>
      </c>
      <c r="C705" s="67">
        <v>102</v>
      </c>
      <c r="D705" s="13" t="s">
        <v>776</v>
      </c>
      <c r="E705" s="13" t="s">
        <v>808</v>
      </c>
      <c r="F705" s="4">
        <v>1300</v>
      </c>
      <c r="G705" s="29" t="s">
        <v>1451</v>
      </c>
      <c r="H705" s="14">
        <v>43454</v>
      </c>
      <c r="I705" s="4" t="s">
        <v>3465</v>
      </c>
      <c r="J705" s="22"/>
      <c r="K705" s="22"/>
      <c r="L705" s="134"/>
    </row>
    <row r="706" spans="1:12" s="97" customFormat="1" hidden="1" x14ac:dyDescent="0.25">
      <c r="A706" s="13" t="s">
        <v>956</v>
      </c>
      <c r="B706" s="14">
        <v>43495</v>
      </c>
      <c r="C706" s="13">
        <v>42</v>
      </c>
      <c r="D706" s="13" t="s">
        <v>280</v>
      </c>
      <c r="E706" s="13" t="s">
        <v>481</v>
      </c>
      <c r="F706" s="37">
        <v>49800</v>
      </c>
      <c r="G706" s="29" t="s">
        <v>2833</v>
      </c>
      <c r="H706" s="14">
        <v>43446</v>
      </c>
      <c r="I706" s="4" t="s">
        <v>2834</v>
      </c>
      <c r="J706" s="133"/>
      <c r="K706" s="22"/>
      <c r="L706" s="134"/>
    </row>
    <row r="707" spans="1:12" s="97" customFormat="1" hidden="1" x14ac:dyDescent="0.25">
      <c r="A707" s="13" t="s">
        <v>956</v>
      </c>
      <c r="B707" s="14">
        <v>43495</v>
      </c>
      <c r="C707" s="13">
        <v>42</v>
      </c>
      <c r="D707" s="13" t="s">
        <v>280</v>
      </c>
      <c r="E707" s="13" t="s">
        <v>481</v>
      </c>
      <c r="F707" s="37">
        <v>93947</v>
      </c>
      <c r="G707" s="29" t="s">
        <v>2755</v>
      </c>
      <c r="H707" s="14">
        <v>43453</v>
      </c>
      <c r="I707" s="4" t="s">
        <v>2756</v>
      </c>
      <c r="J707" s="133"/>
      <c r="K707" s="22"/>
      <c r="L707" s="134"/>
    </row>
    <row r="708" spans="1:12" s="97" customFormat="1" hidden="1" x14ac:dyDescent="0.25">
      <c r="A708" s="32" t="s">
        <v>956</v>
      </c>
      <c r="B708" s="14">
        <v>43495</v>
      </c>
      <c r="C708" s="13">
        <v>42</v>
      </c>
      <c r="D708" s="13" t="s">
        <v>280</v>
      </c>
      <c r="E708" s="13" t="s">
        <v>481</v>
      </c>
      <c r="F708" s="4">
        <v>148524</v>
      </c>
      <c r="G708" s="28" t="s">
        <v>1875</v>
      </c>
      <c r="H708" s="14">
        <v>43455</v>
      </c>
      <c r="I708" s="4" t="s">
        <v>2757</v>
      </c>
      <c r="J708" s="133"/>
      <c r="K708" s="22"/>
      <c r="L708" s="134"/>
    </row>
    <row r="709" spans="1:12" s="97" customFormat="1" hidden="1" x14ac:dyDescent="0.25">
      <c r="A709" s="61" t="s">
        <v>956</v>
      </c>
      <c r="B709" s="14">
        <v>43495</v>
      </c>
      <c r="C709" s="13">
        <v>42</v>
      </c>
      <c r="D709" s="13" t="s">
        <v>280</v>
      </c>
      <c r="E709" s="13" t="s">
        <v>481</v>
      </c>
      <c r="F709" s="37">
        <v>11230</v>
      </c>
      <c r="G709" s="29" t="s">
        <v>1782</v>
      </c>
      <c r="H709" s="14">
        <v>43459</v>
      </c>
      <c r="I709" s="4" t="s">
        <v>2837</v>
      </c>
      <c r="J709" s="133"/>
      <c r="K709" s="22"/>
      <c r="L709" s="134"/>
    </row>
    <row r="710" spans="1:12" s="97" customFormat="1" hidden="1" x14ac:dyDescent="0.25">
      <c r="A710" s="61" t="s">
        <v>956</v>
      </c>
      <c r="B710" s="14">
        <v>43495</v>
      </c>
      <c r="C710" s="13">
        <v>43</v>
      </c>
      <c r="D710" s="13" t="s">
        <v>72</v>
      </c>
      <c r="E710" s="13" t="s">
        <v>481</v>
      </c>
      <c r="F710" s="37">
        <v>19246.82</v>
      </c>
      <c r="G710" s="29" t="s">
        <v>2577</v>
      </c>
      <c r="H710" s="14">
        <v>43452</v>
      </c>
      <c r="I710" s="4" t="s">
        <v>2578</v>
      </c>
      <c r="J710" s="133"/>
      <c r="K710" s="22"/>
      <c r="L710" s="134"/>
    </row>
    <row r="711" spans="1:12" s="97" customFormat="1" hidden="1" x14ac:dyDescent="0.25">
      <c r="A711" s="61" t="s">
        <v>956</v>
      </c>
      <c r="B711" s="14">
        <v>43495</v>
      </c>
      <c r="C711" s="13">
        <v>43</v>
      </c>
      <c r="D711" s="13" t="s">
        <v>72</v>
      </c>
      <c r="E711" s="13" t="s">
        <v>481</v>
      </c>
      <c r="F711" s="37">
        <v>17551.7</v>
      </c>
      <c r="G711" s="29" t="s">
        <v>2746</v>
      </c>
      <c r="H711" s="14">
        <v>43454</v>
      </c>
      <c r="I711" s="4" t="s">
        <v>1492</v>
      </c>
      <c r="J711" s="133"/>
      <c r="K711" s="22"/>
      <c r="L711" s="134"/>
    </row>
    <row r="712" spans="1:12" s="97" customFormat="1" hidden="1" x14ac:dyDescent="0.25">
      <c r="A712" s="61" t="s">
        <v>956</v>
      </c>
      <c r="B712" s="14">
        <v>43495</v>
      </c>
      <c r="C712" s="13">
        <v>43</v>
      </c>
      <c r="D712" s="13" t="s">
        <v>72</v>
      </c>
      <c r="E712" s="13" t="s">
        <v>481</v>
      </c>
      <c r="F712" s="37">
        <v>24863.5</v>
      </c>
      <c r="G712" s="29" t="s">
        <v>2749</v>
      </c>
      <c r="H712" s="14">
        <v>43458</v>
      </c>
      <c r="I712" s="4" t="s">
        <v>2750</v>
      </c>
      <c r="J712" s="133"/>
      <c r="K712" s="22"/>
      <c r="L712" s="134"/>
    </row>
    <row r="713" spans="1:12" s="97" customFormat="1" hidden="1" x14ac:dyDescent="0.25">
      <c r="A713" s="61" t="s">
        <v>956</v>
      </c>
      <c r="B713" s="14">
        <v>43495</v>
      </c>
      <c r="C713" s="13">
        <v>43</v>
      </c>
      <c r="D713" s="13" t="s">
        <v>72</v>
      </c>
      <c r="E713" s="13" t="s">
        <v>481</v>
      </c>
      <c r="F713" s="37">
        <v>3796.38</v>
      </c>
      <c r="G713" s="29" t="s">
        <v>2753</v>
      </c>
      <c r="H713" s="14">
        <v>43460</v>
      </c>
      <c r="I713" s="4" t="s">
        <v>2754</v>
      </c>
      <c r="J713" s="133"/>
      <c r="K713" s="22"/>
      <c r="L713" s="134"/>
    </row>
    <row r="714" spans="1:12" hidden="1" x14ac:dyDescent="0.25">
      <c r="A714" s="32" t="s">
        <v>103</v>
      </c>
      <c r="B714" s="14">
        <v>43495</v>
      </c>
      <c r="C714" s="13">
        <v>101</v>
      </c>
      <c r="D714" s="13" t="s">
        <v>3516</v>
      </c>
      <c r="E714" s="13" t="s">
        <v>62</v>
      </c>
      <c r="F714" s="4">
        <v>50000</v>
      </c>
      <c r="G714" s="28" t="s">
        <v>3424</v>
      </c>
      <c r="H714" s="14">
        <v>43490</v>
      </c>
      <c r="I714" s="4" t="s">
        <v>3517</v>
      </c>
      <c r="J714" s="128"/>
    </row>
    <row r="715" spans="1:12" ht="13.95" customHeight="1" x14ac:dyDescent="0.25">
      <c r="A715" s="32" t="s">
        <v>1286</v>
      </c>
      <c r="B715" s="14">
        <v>43495</v>
      </c>
      <c r="C715" s="13">
        <v>135</v>
      </c>
      <c r="D715" s="32" t="s">
        <v>272</v>
      </c>
      <c r="E715" s="32" t="s">
        <v>62</v>
      </c>
      <c r="F715" s="4">
        <v>3000000</v>
      </c>
      <c r="G715" s="69" t="s">
        <v>1195</v>
      </c>
      <c r="H715" s="14"/>
      <c r="I715" s="84" t="s">
        <v>1196</v>
      </c>
      <c r="K715" s="62"/>
    </row>
    <row r="716" spans="1:12" ht="13.8" hidden="1" customHeight="1" x14ac:dyDescent="0.25">
      <c r="A716" s="13" t="s">
        <v>55</v>
      </c>
      <c r="B716" s="14">
        <v>43495</v>
      </c>
      <c r="C716" s="13">
        <v>103</v>
      </c>
      <c r="D716" s="32" t="s">
        <v>228</v>
      </c>
      <c r="E716" s="32" t="s">
        <v>62</v>
      </c>
      <c r="F716" s="4">
        <v>1000000</v>
      </c>
      <c r="G716" s="86" t="s">
        <v>834</v>
      </c>
      <c r="H716" s="14"/>
      <c r="I716" s="41" t="s">
        <v>229</v>
      </c>
      <c r="J716" s="21"/>
      <c r="K716" s="228"/>
    </row>
    <row r="717" spans="1:12" ht="14.1" hidden="1" customHeight="1" x14ac:dyDescent="0.25">
      <c r="A717" s="32" t="s">
        <v>92</v>
      </c>
      <c r="B717" s="14">
        <v>43495</v>
      </c>
      <c r="C717" s="13" t="s">
        <v>2330</v>
      </c>
      <c r="D717" s="32" t="s">
        <v>541</v>
      </c>
      <c r="E717" s="13" t="s">
        <v>62</v>
      </c>
      <c r="F717" s="4">
        <v>9593925</v>
      </c>
      <c r="G717" s="86" t="s">
        <v>2015</v>
      </c>
      <c r="H717" s="211"/>
      <c r="I717" s="208" t="s">
        <v>2016</v>
      </c>
      <c r="J717" s="21"/>
      <c r="K717" s="228"/>
    </row>
    <row r="718" spans="1:12" ht="13.95" hidden="1" customHeight="1" x14ac:dyDescent="0.25">
      <c r="A718" s="32" t="s">
        <v>1285</v>
      </c>
      <c r="B718" s="14">
        <v>43495</v>
      </c>
      <c r="C718" s="13">
        <v>134</v>
      </c>
      <c r="D718" s="32" t="s">
        <v>1800</v>
      </c>
      <c r="E718" s="32" t="s">
        <v>62</v>
      </c>
      <c r="F718" s="4">
        <v>4000000</v>
      </c>
      <c r="G718" s="86" t="s">
        <v>816</v>
      </c>
      <c r="H718" s="211"/>
      <c r="I718" s="208" t="s">
        <v>361</v>
      </c>
      <c r="J718" s="21"/>
      <c r="K718" s="228"/>
    </row>
    <row r="719" spans="1:12" hidden="1" x14ac:dyDescent="0.25">
      <c r="A719" s="32" t="s">
        <v>1640</v>
      </c>
      <c r="B719" s="14">
        <v>43495</v>
      </c>
      <c r="C719" s="13">
        <v>136</v>
      </c>
      <c r="D719" s="32" t="s">
        <v>1179</v>
      </c>
      <c r="E719" s="32" t="s">
        <v>62</v>
      </c>
      <c r="F719" s="4">
        <v>1200000</v>
      </c>
      <c r="G719" s="86" t="s">
        <v>1607</v>
      </c>
      <c r="H719" s="211"/>
      <c r="I719" s="208" t="s">
        <v>237</v>
      </c>
      <c r="J719" s="21"/>
      <c r="K719" s="228"/>
    </row>
    <row r="720" spans="1:12" ht="13.95" hidden="1" customHeight="1" x14ac:dyDescent="0.25">
      <c r="A720" s="61" t="s">
        <v>1034</v>
      </c>
      <c r="B720" s="14">
        <v>43495</v>
      </c>
      <c r="C720" s="13">
        <v>133</v>
      </c>
      <c r="D720" s="13" t="s">
        <v>1035</v>
      </c>
      <c r="E720" s="32" t="s">
        <v>62</v>
      </c>
      <c r="F720" s="4">
        <v>500000</v>
      </c>
      <c r="G720" s="86" t="s">
        <v>1036</v>
      </c>
      <c r="H720" s="211"/>
      <c r="I720" s="4" t="s">
        <v>879</v>
      </c>
      <c r="J720" s="21"/>
      <c r="K720" s="228"/>
    </row>
    <row r="721" spans="1:12" ht="13.95" hidden="1" customHeight="1" x14ac:dyDescent="0.25">
      <c r="A721" s="68" t="s">
        <v>55</v>
      </c>
      <c r="B721" s="14">
        <v>43495</v>
      </c>
      <c r="C721" s="13">
        <v>104</v>
      </c>
      <c r="D721" s="32" t="s">
        <v>588</v>
      </c>
      <c r="E721" s="32" t="s">
        <v>62</v>
      </c>
      <c r="F721" s="4">
        <v>400000</v>
      </c>
      <c r="G721" s="139" t="s">
        <v>450</v>
      </c>
      <c r="H721" s="211"/>
      <c r="I721" s="41" t="s">
        <v>82</v>
      </c>
      <c r="J721" s="21"/>
      <c r="K721" s="228"/>
    </row>
    <row r="722" spans="1:12" ht="13.95" hidden="1" customHeight="1" x14ac:dyDescent="0.25">
      <c r="A722" s="68" t="s">
        <v>55</v>
      </c>
      <c r="B722" s="14">
        <v>43495</v>
      </c>
      <c r="C722" s="13">
        <v>105</v>
      </c>
      <c r="D722" s="32" t="s">
        <v>588</v>
      </c>
      <c r="E722" s="32" t="s">
        <v>62</v>
      </c>
      <c r="F722" s="4">
        <v>228160</v>
      </c>
      <c r="G722" s="139" t="s">
        <v>2619</v>
      </c>
      <c r="H722" s="211"/>
      <c r="I722" s="41" t="s">
        <v>82</v>
      </c>
      <c r="J722" s="21"/>
      <c r="K722" s="228"/>
    </row>
    <row r="723" spans="1:12" ht="13.95" hidden="1" customHeight="1" x14ac:dyDescent="0.25">
      <c r="A723" s="61" t="s">
        <v>358</v>
      </c>
      <c r="B723" s="14">
        <v>43495</v>
      </c>
      <c r="C723" s="13">
        <v>132</v>
      </c>
      <c r="D723" s="32" t="s">
        <v>588</v>
      </c>
      <c r="E723" s="32" t="s">
        <v>62</v>
      </c>
      <c r="F723" s="4">
        <f>705002-615000</f>
        <v>90002</v>
      </c>
      <c r="G723" s="86" t="s">
        <v>1116</v>
      </c>
      <c r="H723" s="211"/>
      <c r="I723" s="4" t="s">
        <v>82</v>
      </c>
      <c r="J723" s="21"/>
      <c r="K723" s="228"/>
    </row>
    <row r="724" spans="1:12" ht="13.95" hidden="1" customHeight="1" x14ac:dyDescent="0.25">
      <c r="A724" s="61" t="s">
        <v>91</v>
      </c>
      <c r="B724" s="14">
        <v>43495</v>
      </c>
      <c r="C724" s="13">
        <v>106</v>
      </c>
      <c r="D724" s="32" t="s">
        <v>588</v>
      </c>
      <c r="E724" s="32" t="s">
        <v>62</v>
      </c>
      <c r="F724" s="4">
        <v>680000</v>
      </c>
      <c r="G724" s="86" t="s">
        <v>3298</v>
      </c>
      <c r="H724" s="211"/>
      <c r="I724" s="4" t="s">
        <v>82</v>
      </c>
      <c r="J724" s="21"/>
      <c r="K724" s="228"/>
    </row>
    <row r="725" spans="1:12" ht="13.95" hidden="1" customHeight="1" x14ac:dyDescent="0.25">
      <c r="A725" s="32" t="s">
        <v>55</v>
      </c>
      <c r="B725" s="14">
        <v>43495</v>
      </c>
      <c r="C725" s="13">
        <v>137</v>
      </c>
      <c r="D725" s="32" t="s">
        <v>1563</v>
      </c>
      <c r="E725" s="32" t="s">
        <v>62</v>
      </c>
      <c r="F725" s="4">
        <v>163016</v>
      </c>
      <c r="G725" s="69" t="s">
        <v>1695</v>
      </c>
      <c r="H725" s="14"/>
      <c r="I725" s="41" t="s">
        <v>82</v>
      </c>
      <c r="J725" s="21"/>
      <c r="K725" s="228"/>
    </row>
    <row r="726" spans="1:12" ht="13.95" hidden="1" customHeight="1" x14ac:dyDescent="0.25">
      <c r="A726" s="32" t="s">
        <v>442</v>
      </c>
      <c r="B726" s="14">
        <v>43495</v>
      </c>
      <c r="C726" s="13">
        <v>131</v>
      </c>
      <c r="D726" s="32" t="s">
        <v>1563</v>
      </c>
      <c r="E726" s="32" t="s">
        <v>62</v>
      </c>
      <c r="F726" s="4">
        <v>276272.5</v>
      </c>
      <c r="G726" s="69" t="s">
        <v>1776</v>
      </c>
      <c r="H726" s="14"/>
      <c r="I726" s="41" t="s">
        <v>82</v>
      </c>
      <c r="J726" s="21"/>
      <c r="K726" s="228"/>
    </row>
    <row r="727" spans="1:12" ht="13.95" hidden="1" customHeight="1" x14ac:dyDescent="0.25">
      <c r="A727" s="32" t="s">
        <v>92</v>
      </c>
      <c r="B727" s="14">
        <v>43495</v>
      </c>
      <c r="C727" s="13">
        <v>107</v>
      </c>
      <c r="D727" s="32" t="s">
        <v>1563</v>
      </c>
      <c r="E727" s="32" t="s">
        <v>62</v>
      </c>
      <c r="F727" s="4">
        <v>60000</v>
      </c>
      <c r="G727" s="69" t="s">
        <v>3524</v>
      </c>
      <c r="H727" s="14"/>
      <c r="I727" s="41" t="s">
        <v>82</v>
      </c>
      <c r="J727" s="21"/>
      <c r="K727" s="228"/>
    </row>
    <row r="728" spans="1:12" s="97" customFormat="1" hidden="1" x14ac:dyDescent="0.25">
      <c r="A728" s="61" t="s">
        <v>442</v>
      </c>
      <c r="B728" s="14">
        <v>43495</v>
      </c>
      <c r="C728" s="13">
        <v>108</v>
      </c>
      <c r="D728" s="13" t="s">
        <v>304</v>
      </c>
      <c r="E728" s="13" t="s">
        <v>62</v>
      </c>
      <c r="F728" s="37">
        <v>398664</v>
      </c>
      <c r="G728" s="210" t="s">
        <v>2534</v>
      </c>
      <c r="H728" s="211">
        <v>43440</v>
      </c>
      <c r="I728" s="4" t="s">
        <v>1826</v>
      </c>
      <c r="J728" s="133"/>
      <c r="K728" s="22"/>
      <c r="L728" s="134"/>
    </row>
    <row r="729" spans="1:12" s="97" customFormat="1" hidden="1" x14ac:dyDescent="0.25">
      <c r="A729" s="14" t="s">
        <v>91</v>
      </c>
      <c r="B729" s="14">
        <v>43495</v>
      </c>
      <c r="C729" s="13">
        <v>126</v>
      </c>
      <c r="D729" s="13" t="s">
        <v>2697</v>
      </c>
      <c r="E729" s="13" t="s">
        <v>62</v>
      </c>
      <c r="F729" s="37">
        <v>424848</v>
      </c>
      <c r="G729" s="29" t="s">
        <v>1100</v>
      </c>
      <c r="H729" s="14">
        <v>43448</v>
      </c>
      <c r="I729" s="4" t="s">
        <v>1244</v>
      </c>
      <c r="J729" s="133"/>
      <c r="K729" s="22"/>
      <c r="L729" s="134"/>
    </row>
    <row r="730" spans="1:12" s="97" customFormat="1" hidden="1" x14ac:dyDescent="0.25">
      <c r="A730" s="61" t="s">
        <v>442</v>
      </c>
      <c r="B730" s="14">
        <v>43495</v>
      </c>
      <c r="C730" s="13">
        <v>126</v>
      </c>
      <c r="D730" s="13" t="s">
        <v>2697</v>
      </c>
      <c r="E730" s="13" t="s">
        <v>62</v>
      </c>
      <c r="F730" s="37">
        <v>158262.39999999999</v>
      </c>
      <c r="G730" s="29" t="s">
        <v>2522</v>
      </c>
      <c r="H730" s="14">
        <v>43455</v>
      </c>
      <c r="I730" s="4" t="s">
        <v>1825</v>
      </c>
      <c r="J730" s="133"/>
      <c r="K730" s="22"/>
      <c r="L730" s="134"/>
    </row>
    <row r="731" spans="1:12" s="97" customFormat="1" hidden="1" x14ac:dyDescent="0.25">
      <c r="A731" s="61" t="s">
        <v>442</v>
      </c>
      <c r="B731" s="14">
        <v>43495</v>
      </c>
      <c r="C731" s="13">
        <v>109</v>
      </c>
      <c r="D731" s="13" t="s">
        <v>2173</v>
      </c>
      <c r="E731" s="13" t="s">
        <v>62</v>
      </c>
      <c r="F731" s="37">
        <v>58006</v>
      </c>
      <c r="G731" s="210" t="s">
        <v>3525</v>
      </c>
      <c r="H731" s="211">
        <v>43430</v>
      </c>
      <c r="I731" s="4" t="s">
        <v>3526</v>
      </c>
      <c r="J731" s="133"/>
      <c r="K731" s="22"/>
      <c r="L731" s="134"/>
    </row>
    <row r="732" spans="1:12" s="97" customFormat="1" hidden="1" x14ac:dyDescent="0.25">
      <c r="A732" s="61" t="s">
        <v>442</v>
      </c>
      <c r="B732" s="14">
        <v>43495</v>
      </c>
      <c r="C732" s="13">
        <v>110</v>
      </c>
      <c r="D732" s="13" t="s">
        <v>539</v>
      </c>
      <c r="E732" s="13" t="s">
        <v>62</v>
      </c>
      <c r="F732" s="37">
        <v>824523.8</v>
      </c>
      <c r="G732" s="210" t="s">
        <v>2720</v>
      </c>
      <c r="H732" s="211">
        <v>43459</v>
      </c>
      <c r="I732" s="4" t="s">
        <v>735</v>
      </c>
      <c r="J732" s="133"/>
      <c r="K732" s="22"/>
      <c r="L732" s="134"/>
    </row>
    <row r="733" spans="1:12" s="97" customFormat="1" hidden="1" x14ac:dyDescent="0.25">
      <c r="A733" s="61" t="s">
        <v>442</v>
      </c>
      <c r="B733" s="14">
        <v>43495</v>
      </c>
      <c r="C733" s="13">
        <v>111</v>
      </c>
      <c r="D733" s="13" t="s">
        <v>589</v>
      </c>
      <c r="E733" s="13" t="s">
        <v>62</v>
      </c>
      <c r="F733" s="37">
        <v>833701</v>
      </c>
      <c r="G733" s="210" t="s">
        <v>2557</v>
      </c>
      <c r="H733" s="211">
        <v>43448</v>
      </c>
      <c r="I733" s="4" t="s">
        <v>443</v>
      </c>
      <c r="J733" s="133"/>
      <c r="K733" s="22"/>
      <c r="L733" s="134"/>
    </row>
    <row r="734" spans="1:12" s="97" customFormat="1" hidden="1" x14ac:dyDescent="0.25">
      <c r="A734" s="32" t="s">
        <v>442</v>
      </c>
      <c r="B734" s="14">
        <v>43495</v>
      </c>
      <c r="C734" s="13">
        <v>112</v>
      </c>
      <c r="D734" s="13" t="s">
        <v>243</v>
      </c>
      <c r="E734" s="13" t="s">
        <v>62</v>
      </c>
      <c r="F734" s="4">
        <v>927845.92</v>
      </c>
      <c r="G734" s="28" t="s">
        <v>1378</v>
      </c>
      <c r="H734" s="14">
        <v>43461</v>
      </c>
      <c r="I734" s="4" t="s">
        <v>1588</v>
      </c>
      <c r="J734" s="133"/>
      <c r="K734" s="22"/>
      <c r="L734" s="134"/>
    </row>
    <row r="735" spans="1:12" s="97" customFormat="1" hidden="1" x14ac:dyDescent="0.25">
      <c r="A735" s="32" t="s">
        <v>442</v>
      </c>
      <c r="B735" s="14">
        <v>43495</v>
      </c>
      <c r="C735" s="13">
        <v>113</v>
      </c>
      <c r="D735" s="13" t="s">
        <v>249</v>
      </c>
      <c r="E735" s="13" t="s">
        <v>62</v>
      </c>
      <c r="F735" s="4">
        <v>829836.86</v>
      </c>
      <c r="G735" s="28" t="s">
        <v>3217</v>
      </c>
      <c r="H735" s="14">
        <v>43460</v>
      </c>
      <c r="I735" s="4" t="s">
        <v>443</v>
      </c>
      <c r="J735" s="133"/>
      <c r="K735" s="22"/>
      <c r="L735" s="134"/>
    </row>
    <row r="736" spans="1:12" s="97" customFormat="1" hidden="1" x14ac:dyDescent="0.25">
      <c r="A736" s="61" t="s">
        <v>442</v>
      </c>
      <c r="B736" s="14">
        <v>43495</v>
      </c>
      <c r="C736" s="13">
        <v>143</v>
      </c>
      <c r="D736" s="13" t="s">
        <v>448</v>
      </c>
      <c r="E736" s="13" t="s">
        <v>62</v>
      </c>
      <c r="F736" s="37">
        <v>22000</v>
      </c>
      <c r="G736" s="29" t="s">
        <v>2236</v>
      </c>
      <c r="H736" s="14">
        <v>43417</v>
      </c>
      <c r="I736" s="4" t="s">
        <v>226</v>
      </c>
      <c r="J736" s="133"/>
      <c r="K736" s="22"/>
      <c r="L736" s="134"/>
    </row>
    <row r="737" spans="1:12" s="97" customFormat="1" hidden="1" x14ac:dyDescent="0.25">
      <c r="A737" s="32" t="s">
        <v>442</v>
      </c>
      <c r="B737" s="14">
        <v>43495</v>
      </c>
      <c r="C737" s="13">
        <v>143</v>
      </c>
      <c r="D737" s="13" t="s">
        <v>448</v>
      </c>
      <c r="E737" s="13" t="s">
        <v>62</v>
      </c>
      <c r="F737" s="4">
        <v>33000</v>
      </c>
      <c r="G737" s="28" t="s">
        <v>2182</v>
      </c>
      <c r="H737" s="14">
        <v>43410</v>
      </c>
      <c r="I737" s="32" t="s">
        <v>226</v>
      </c>
      <c r="J737" s="133"/>
      <c r="K737" s="22"/>
      <c r="L737" s="134"/>
    </row>
    <row r="738" spans="1:12" s="97" customFormat="1" hidden="1" x14ac:dyDescent="0.25">
      <c r="A738" s="32" t="s">
        <v>442</v>
      </c>
      <c r="B738" s="14">
        <v>43495</v>
      </c>
      <c r="C738" s="13">
        <v>114</v>
      </c>
      <c r="D738" s="13" t="s">
        <v>100</v>
      </c>
      <c r="E738" s="13" t="s">
        <v>62</v>
      </c>
      <c r="F738" s="37">
        <v>336026.88</v>
      </c>
      <c r="G738" s="29" t="s">
        <v>2069</v>
      </c>
      <c r="H738" s="14">
        <v>43446</v>
      </c>
      <c r="I738" s="4" t="s">
        <v>572</v>
      </c>
      <c r="J738" s="133"/>
      <c r="K738" s="22"/>
      <c r="L738" s="134"/>
    </row>
    <row r="739" spans="1:12" s="97" customFormat="1" hidden="1" x14ac:dyDescent="0.25">
      <c r="A739" s="61" t="s">
        <v>92</v>
      </c>
      <c r="B739" s="14">
        <v>43495</v>
      </c>
      <c r="C739" s="13">
        <v>142</v>
      </c>
      <c r="D739" s="13" t="s">
        <v>1065</v>
      </c>
      <c r="E739" s="13" t="s">
        <v>62</v>
      </c>
      <c r="F739" s="37">
        <v>21916.73</v>
      </c>
      <c r="G739" s="29" t="s">
        <v>582</v>
      </c>
      <c r="H739" s="14">
        <v>43438</v>
      </c>
      <c r="I739" s="4" t="s">
        <v>2311</v>
      </c>
      <c r="J739" s="133"/>
      <c r="K739" s="22"/>
      <c r="L739" s="134"/>
    </row>
    <row r="740" spans="1:12" s="97" customFormat="1" hidden="1" x14ac:dyDescent="0.25">
      <c r="A740" s="61" t="s">
        <v>92</v>
      </c>
      <c r="B740" s="14">
        <v>43495</v>
      </c>
      <c r="C740" s="13">
        <v>142</v>
      </c>
      <c r="D740" s="13" t="s">
        <v>1065</v>
      </c>
      <c r="E740" s="13" t="s">
        <v>62</v>
      </c>
      <c r="F740" s="37">
        <v>15707.75</v>
      </c>
      <c r="G740" s="29" t="s">
        <v>2588</v>
      </c>
      <c r="H740" s="14">
        <v>43452</v>
      </c>
      <c r="I740" s="4" t="s">
        <v>2589</v>
      </c>
      <c r="J740" s="133"/>
      <c r="K740" s="22"/>
      <c r="L740" s="134"/>
    </row>
    <row r="741" spans="1:12" s="97" customFormat="1" hidden="1" x14ac:dyDescent="0.25">
      <c r="A741" s="61" t="s">
        <v>442</v>
      </c>
      <c r="B741" s="14">
        <v>43495</v>
      </c>
      <c r="C741" s="13">
        <v>142</v>
      </c>
      <c r="D741" s="13" t="s">
        <v>1065</v>
      </c>
      <c r="E741" s="13" t="s">
        <v>62</v>
      </c>
      <c r="F741" s="37">
        <v>25024.38</v>
      </c>
      <c r="G741" s="210" t="s">
        <v>2590</v>
      </c>
      <c r="H741" s="211">
        <v>43452</v>
      </c>
      <c r="I741" s="4" t="s">
        <v>2591</v>
      </c>
      <c r="J741" s="133"/>
      <c r="K741" s="22"/>
      <c r="L741" s="134"/>
    </row>
    <row r="742" spans="1:12" s="97" customFormat="1" hidden="1" x14ac:dyDescent="0.25">
      <c r="A742" s="61" t="s">
        <v>358</v>
      </c>
      <c r="B742" s="14">
        <v>43495</v>
      </c>
      <c r="C742" s="13">
        <v>115</v>
      </c>
      <c r="D742" s="13" t="s">
        <v>72</v>
      </c>
      <c r="E742" s="13" t="s">
        <v>62</v>
      </c>
      <c r="F742" s="37">
        <v>9702</v>
      </c>
      <c r="G742" s="29" t="s">
        <v>2747</v>
      </c>
      <c r="H742" s="14">
        <v>43454</v>
      </c>
      <c r="I742" s="4" t="s">
        <v>2748</v>
      </c>
      <c r="J742" s="133"/>
      <c r="K742" s="22"/>
      <c r="L742" s="134"/>
    </row>
    <row r="743" spans="1:12" s="97" customFormat="1" hidden="1" x14ac:dyDescent="0.25">
      <c r="A743" s="61" t="s">
        <v>91</v>
      </c>
      <c r="B743" s="14">
        <v>43495</v>
      </c>
      <c r="C743" s="13">
        <v>116</v>
      </c>
      <c r="D743" s="13" t="s">
        <v>157</v>
      </c>
      <c r="E743" s="13" t="s">
        <v>62</v>
      </c>
      <c r="F743" s="37">
        <v>149641.34</v>
      </c>
      <c r="G743" s="210" t="s">
        <v>2571</v>
      </c>
      <c r="H743" s="211">
        <v>43447</v>
      </c>
      <c r="I743" s="4" t="s">
        <v>2572</v>
      </c>
      <c r="J743" s="133"/>
      <c r="K743" s="22"/>
      <c r="L743" s="134"/>
    </row>
    <row r="744" spans="1:12" s="97" customFormat="1" hidden="1" x14ac:dyDescent="0.25">
      <c r="A744" s="61" t="s">
        <v>442</v>
      </c>
      <c r="B744" s="14">
        <v>43495</v>
      </c>
      <c r="C744" s="13">
        <v>117</v>
      </c>
      <c r="D744" s="13" t="s">
        <v>516</v>
      </c>
      <c r="E744" s="13" t="s">
        <v>62</v>
      </c>
      <c r="F744" s="37">
        <v>18178.75</v>
      </c>
      <c r="G744" s="29" t="s">
        <v>2566</v>
      </c>
      <c r="H744" s="14">
        <v>43447</v>
      </c>
      <c r="I744" s="4" t="s">
        <v>2567</v>
      </c>
      <c r="J744" s="133"/>
      <c r="K744" s="22"/>
      <c r="L744" s="134"/>
    </row>
    <row r="745" spans="1:12" hidden="1" x14ac:dyDescent="0.25">
      <c r="A745" s="61" t="s">
        <v>442</v>
      </c>
      <c r="B745" s="14">
        <v>43495</v>
      </c>
      <c r="C745" s="13">
        <v>118</v>
      </c>
      <c r="D745" s="13" t="s">
        <v>1348</v>
      </c>
      <c r="E745" s="13" t="s">
        <v>62</v>
      </c>
      <c r="F745" s="37">
        <v>49700</v>
      </c>
      <c r="G745" s="29" t="s">
        <v>1600</v>
      </c>
      <c r="H745" s="14">
        <v>43451</v>
      </c>
      <c r="I745" s="4" t="s">
        <v>319</v>
      </c>
      <c r="J745" s="128"/>
    </row>
    <row r="746" spans="1:12" hidden="1" x14ac:dyDescent="0.25">
      <c r="A746" s="61" t="s">
        <v>442</v>
      </c>
      <c r="B746" s="14">
        <v>43495</v>
      </c>
      <c r="C746" s="13">
        <v>119</v>
      </c>
      <c r="D746" s="13" t="s">
        <v>371</v>
      </c>
      <c r="E746" s="13" t="s">
        <v>62</v>
      </c>
      <c r="F746" s="37">
        <v>171500</v>
      </c>
      <c r="G746" s="29" t="s">
        <v>3205</v>
      </c>
      <c r="H746" s="14">
        <v>43462</v>
      </c>
      <c r="I746" s="4" t="s">
        <v>3206</v>
      </c>
      <c r="J746" s="128"/>
    </row>
    <row r="747" spans="1:12" hidden="1" x14ac:dyDescent="0.25">
      <c r="A747" s="61" t="s">
        <v>92</v>
      </c>
      <c r="B747" s="14">
        <v>43495</v>
      </c>
      <c r="C747" s="13">
        <v>120</v>
      </c>
      <c r="D747" s="13" t="s">
        <v>1739</v>
      </c>
      <c r="E747" s="13" t="s">
        <v>62</v>
      </c>
      <c r="F747" s="37">
        <v>158400</v>
      </c>
      <c r="G747" s="29" t="s">
        <v>2507</v>
      </c>
      <c r="H747" s="14">
        <v>43458</v>
      </c>
      <c r="I747" s="4" t="s">
        <v>3201</v>
      </c>
      <c r="J747" s="128"/>
    </row>
    <row r="748" spans="1:12" hidden="1" x14ac:dyDescent="0.25">
      <c r="A748" s="61" t="s">
        <v>92</v>
      </c>
      <c r="B748" s="14">
        <v>43495</v>
      </c>
      <c r="C748" s="13">
        <v>121</v>
      </c>
      <c r="D748" s="13" t="s">
        <v>1739</v>
      </c>
      <c r="E748" s="13" t="s">
        <v>62</v>
      </c>
      <c r="F748" s="37">
        <v>50000</v>
      </c>
      <c r="G748" s="29" t="s">
        <v>3202</v>
      </c>
      <c r="H748" s="14">
        <v>43459</v>
      </c>
      <c r="I748" s="4" t="s">
        <v>3201</v>
      </c>
      <c r="J748" s="128"/>
    </row>
    <row r="749" spans="1:12" hidden="1" x14ac:dyDescent="0.25">
      <c r="A749" s="61" t="s">
        <v>442</v>
      </c>
      <c r="B749" s="14">
        <v>43495</v>
      </c>
      <c r="C749" s="13">
        <v>128</v>
      </c>
      <c r="D749" s="13" t="s">
        <v>447</v>
      </c>
      <c r="E749" s="13" t="s">
        <v>62</v>
      </c>
      <c r="F749" s="37">
        <v>68000</v>
      </c>
      <c r="G749" s="29" t="s">
        <v>1403</v>
      </c>
      <c r="H749" s="14">
        <v>43465</v>
      </c>
      <c r="I749" s="4" t="s">
        <v>1328</v>
      </c>
      <c r="J749" s="128"/>
    </row>
    <row r="750" spans="1:12" hidden="1" x14ac:dyDescent="0.25">
      <c r="A750" s="32" t="s">
        <v>442</v>
      </c>
      <c r="B750" s="14">
        <v>43495</v>
      </c>
      <c r="C750" s="13">
        <v>127</v>
      </c>
      <c r="D750" s="13" t="s">
        <v>381</v>
      </c>
      <c r="E750" s="13" t="s">
        <v>62</v>
      </c>
      <c r="F750" s="4">
        <v>9500</v>
      </c>
      <c r="G750" s="28" t="s">
        <v>1493</v>
      </c>
      <c r="H750" s="14">
        <v>43464</v>
      </c>
      <c r="I750" s="4" t="s">
        <v>441</v>
      </c>
      <c r="J750" s="128"/>
    </row>
    <row r="751" spans="1:12" hidden="1" x14ac:dyDescent="0.25">
      <c r="A751" s="32" t="s">
        <v>442</v>
      </c>
      <c r="B751" s="14">
        <v>43495</v>
      </c>
      <c r="C751" s="13">
        <v>127</v>
      </c>
      <c r="D751" s="13" t="s">
        <v>381</v>
      </c>
      <c r="E751" s="13" t="s">
        <v>62</v>
      </c>
      <c r="F751" s="4">
        <v>9250</v>
      </c>
      <c r="G751" s="28" t="s">
        <v>3011</v>
      </c>
      <c r="H751" s="14">
        <v>43474</v>
      </c>
      <c r="I751" s="4" t="s">
        <v>3210</v>
      </c>
      <c r="J751" s="128"/>
    </row>
    <row r="752" spans="1:12" hidden="1" x14ac:dyDescent="0.25">
      <c r="A752" s="61" t="s">
        <v>92</v>
      </c>
      <c r="B752" s="14">
        <v>43495</v>
      </c>
      <c r="C752" s="13">
        <v>130</v>
      </c>
      <c r="D752" s="13" t="s">
        <v>944</v>
      </c>
      <c r="E752" s="13" t="s">
        <v>62</v>
      </c>
      <c r="F752" s="37">
        <v>13500</v>
      </c>
      <c r="G752" s="29" t="s">
        <v>2254</v>
      </c>
      <c r="H752" s="14">
        <v>43423</v>
      </c>
      <c r="I752" s="4" t="s">
        <v>337</v>
      </c>
    </row>
    <row r="753" spans="1:9" hidden="1" x14ac:dyDescent="0.25">
      <c r="A753" s="61" t="s">
        <v>103</v>
      </c>
      <c r="B753" s="14">
        <v>43495</v>
      </c>
      <c r="C753" s="13">
        <v>130</v>
      </c>
      <c r="D753" s="13" t="s">
        <v>944</v>
      </c>
      <c r="E753" s="13" t="s">
        <v>62</v>
      </c>
      <c r="F753" s="37">
        <v>18000</v>
      </c>
      <c r="G753" s="29" t="s">
        <v>726</v>
      </c>
      <c r="H753" s="14">
        <v>43430</v>
      </c>
      <c r="I753" s="4" t="s">
        <v>402</v>
      </c>
    </row>
    <row r="754" spans="1:9" hidden="1" x14ac:dyDescent="0.25">
      <c r="A754" s="61" t="s">
        <v>91</v>
      </c>
      <c r="B754" s="14">
        <v>43495</v>
      </c>
      <c r="C754" s="13">
        <v>130</v>
      </c>
      <c r="D754" s="13" t="s">
        <v>944</v>
      </c>
      <c r="E754" s="13" t="s">
        <v>62</v>
      </c>
      <c r="F754" s="37">
        <v>13500</v>
      </c>
      <c r="G754" s="29" t="s">
        <v>1569</v>
      </c>
      <c r="H754" s="14">
        <v>43432</v>
      </c>
      <c r="I754" s="4" t="s">
        <v>337</v>
      </c>
    </row>
    <row r="755" spans="1:9" hidden="1" x14ac:dyDescent="0.25">
      <c r="A755" s="61" t="s">
        <v>103</v>
      </c>
      <c r="B755" s="14">
        <v>43495</v>
      </c>
      <c r="C755" s="13">
        <v>130</v>
      </c>
      <c r="D755" s="13" t="s">
        <v>944</v>
      </c>
      <c r="E755" s="13" t="s">
        <v>62</v>
      </c>
      <c r="F755" s="37">
        <v>12000</v>
      </c>
      <c r="G755" s="29" t="s">
        <v>3115</v>
      </c>
      <c r="H755" s="14">
        <v>43460</v>
      </c>
      <c r="I755" s="4" t="s">
        <v>337</v>
      </c>
    </row>
    <row r="756" spans="1:9" hidden="1" x14ac:dyDescent="0.25">
      <c r="A756" s="61" t="s">
        <v>91</v>
      </c>
      <c r="B756" s="14">
        <v>43495</v>
      </c>
      <c r="C756" s="13">
        <v>138</v>
      </c>
      <c r="D756" s="13" t="s">
        <v>148</v>
      </c>
      <c r="E756" s="13" t="s">
        <v>62</v>
      </c>
      <c r="F756" s="37">
        <v>9562.5</v>
      </c>
      <c r="G756" s="29" t="s">
        <v>2508</v>
      </c>
      <c r="H756" s="14">
        <v>43416</v>
      </c>
      <c r="I756" s="4" t="s">
        <v>1373</v>
      </c>
    </row>
    <row r="757" spans="1:9" hidden="1" x14ac:dyDescent="0.25">
      <c r="A757" s="61" t="s">
        <v>91</v>
      </c>
      <c r="B757" s="14">
        <v>43495</v>
      </c>
      <c r="C757" s="13">
        <v>138</v>
      </c>
      <c r="D757" s="13" t="s">
        <v>148</v>
      </c>
      <c r="E757" s="13" t="s">
        <v>62</v>
      </c>
      <c r="F757" s="37">
        <v>14375</v>
      </c>
      <c r="G757" s="29" t="s">
        <v>1813</v>
      </c>
      <c r="H757" s="14">
        <v>43416</v>
      </c>
      <c r="I757" s="4" t="s">
        <v>337</v>
      </c>
    </row>
    <row r="758" spans="1:9" hidden="1" x14ac:dyDescent="0.25">
      <c r="A758" s="61" t="s">
        <v>91</v>
      </c>
      <c r="B758" s="14">
        <v>43495</v>
      </c>
      <c r="C758" s="13">
        <v>138</v>
      </c>
      <c r="D758" s="13" t="s">
        <v>148</v>
      </c>
      <c r="E758" s="13" t="s">
        <v>62</v>
      </c>
      <c r="F758" s="37">
        <v>9000</v>
      </c>
      <c r="G758" s="29" t="s">
        <v>2509</v>
      </c>
      <c r="H758" s="14">
        <v>43418</v>
      </c>
      <c r="I758" s="4" t="s">
        <v>1373</v>
      </c>
    </row>
    <row r="759" spans="1:9" hidden="1" x14ac:dyDescent="0.25">
      <c r="A759" s="61" t="s">
        <v>103</v>
      </c>
      <c r="B759" s="14">
        <v>43495</v>
      </c>
      <c r="C759" s="13">
        <v>128</v>
      </c>
      <c r="D759" s="13" t="s">
        <v>447</v>
      </c>
      <c r="E759" s="13" t="s">
        <v>62</v>
      </c>
      <c r="F759" s="37">
        <v>15300</v>
      </c>
      <c r="G759" s="29" t="s">
        <v>1498</v>
      </c>
      <c r="H759" s="14">
        <v>43465</v>
      </c>
      <c r="I759" s="4" t="s">
        <v>95</v>
      </c>
    </row>
    <row r="760" spans="1:9" hidden="1" x14ac:dyDescent="0.25">
      <c r="A760" s="32" t="s">
        <v>442</v>
      </c>
      <c r="B760" s="14">
        <v>43495</v>
      </c>
      <c r="C760" s="13">
        <v>144</v>
      </c>
      <c r="D760" s="13" t="s">
        <v>282</v>
      </c>
      <c r="E760" s="13" t="s">
        <v>62</v>
      </c>
      <c r="F760" s="4">
        <v>18900</v>
      </c>
      <c r="G760" s="28" t="s">
        <v>1062</v>
      </c>
      <c r="H760" s="14">
        <v>43454</v>
      </c>
      <c r="I760" s="4" t="s">
        <v>283</v>
      </c>
    </row>
    <row r="761" spans="1:9" hidden="1" x14ac:dyDescent="0.25">
      <c r="A761" s="61" t="s">
        <v>358</v>
      </c>
      <c r="B761" s="14">
        <v>43495</v>
      </c>
      <c r="C761" s="13">
        <v>144</v>
      </c>
      <c r="D761" s="13" t="s">
        <v>282</v>
      </c>
      <c r="E761" s="13" t="s">
        <v>62</v>
      </c>
      <c r="F761" s="37">
        <v>4200</v>
      </c>
      <c r="G761" s="29" t="s">
        <v>2662</v>
      </c>
      <c r="H761" s="14">
        <v>43454</v>
      </c>
      <c r="I761" s="4" t="s">
        <v>283</v>
      </c>
    </row>
    <row r="762" spans="1:9" hidden="1" x14ac:dyDescent="0.25">
      <c r="A762" s="61" t="s">
        <v>91</v>
      </c>
      <c r="B762" s="14">
        <v>43495</v>
      </c>
      <c r="C762" s="13">
        <v>144</v>
      </c>
      <c r="D762" s="13" t="s">
        <v>282</v>
      </c>
      <c r="E762" s="13" t="s">
        <v>62</v>
      </c>
      <c r="F762" s="37">
        <v>3500</v>
      </c>
      <c r="G762" s="29" t="s">
        <v>2663</v>
      </c>
      <c r="H762" s="14">
        <v>43454</v>
      </c>
      <c r="I762" s="4" t="s">
        <v>283</v>
      </c>
    </row>
    <row r="763" spans="1:9" hidden="1" x14ac:dyDescent="0.25">
      <c r="A763" s="61" t="s">
        <v>92</v>
      </c>
      <c r="B763" s="14">
        <v>43495</v>
      </c>
      <c r="C763" s="13">
        <v>144</v>
      </c>
      <c r="D763" s="13" t="s">
        <v>282</v>
      </c>
      <c r="E763" s="13" t="s">
        <v>62</v>
      </c>
      <c r="F763" s="37">
        <v>5600</v>
      </c>
      <c r="G763" s="29" t="s">
        <v>2664</v>
      </c>
      <c r="H763" s="14">
        <v>43454</v>
      </c>
      <c r="I763" s="4" t="s">
        <v>283</v>
      </c>
    </row>
    <row r="764" spans="1:9" hidden="1" x14ac:dyDescent="0.25">
      <c r="A764" s="61" t="s">
        <v>55</v>
      </c>
      <c r="B764" s="14">
        <v>43495</v>
      </c>
      <c r="C764" s="13">
        <v>144</v>
      </c>
      <c r="D764" s="13" t="s">
        <v>282</v>
      </c>
      <c r="E764" s="13" t="s">
        <v>62</v>
      </c>
      <c r="F764" s="37">
        <v>700</v>
      </c>
      <c r="G764" s="29" t="s">
        <v>2665</v>
      </c>
      <c r="H764" s="14">
        <v>43454</v>
      </c>
      <c r="I764" s="4" t="s">
        <v>283</v>
      </c>
    </row>
    <row r="765" spans="1:9" hidden="1" x14ac:dyDescent="0.25">
      <c r="A765" s="13" t="s">
        <v>55</v>
      </c>
      <c r="B765" s="14">
        <v>43495</v>
      </c>
      <c r="C765" s="13">
        <v>144</v>
      </c>
      <c r="D765" s="13" t="s">
        <v>282</v>
      </c>
      <c r="E765" s="13" t="s">
        <v>62</v>
      </c>
      <c r="F765" s="4">
        <v>700</v>
      </c>
      <c r="G765" s="28" t="s">
        <v>2846</v>
      </c>
      <c r="H765" s="14">
        <v>43465</v>
      </c>
      <c r="I765" s="4" t="s">
        <v>283</v>
      </c>
    </row>
    <row r="766" spans="1:9" hidden="1" x14ac:dyDescent="0.25">
      <c r="A766" s="13" t="s">
        <v>92</v>
      </c>
      <c r="B766" s="14">
        <v>43495</v>
      </c>
      <c r="C766" s="13">
        <v>144</v>
      </c>
      <c r="D766" s="13" t="s">
        <v>282</v>
      </c>
      <c r="E766" s="13" t="s">
        <v>62</v>
      </c>
      <c r="F766" s="4">
        <v>7000</v>
      </c>
      <c r="G766" s="28" t="s">
        <v>2847</v>
      </c>
      <c r="H766" s="14">
        <v>43465</v>
      </c>
      <c r="I766" s="4" t="s">
        <v>283</v>
      </c>
    </row>
    <row r="767" spans="1:9" hidden="1" x14ac:dyDescent="0.25">
      <c r="A767" s="13" t="s">
        <v>91</v>
      </c>
      <c r="B767" s="14">
        <v>43495</v>
      </c>
      <c r="C767" s="13">
        <v>144</v>
      </c>
      <c r="D767" s="13" t="s">
        <v>282</v>
      </c>
      <c r="E767" s="13" t="s">
        <v>62</v>
      </c>
      <c r="F767" s="4">
        <v>9800</v>
      </c>
      <c r="G767" s="28" t="s">
        <v>2848</v>
      </c>
      <c r="H767" s="14">
        <v>43465</v>
      </c>
      <c r="I767" s="4" t="s">
        <v>283</v>
      </c>
    </row>
    <row r="768" spans="1:9" hidden="1" x14ac:dyDescent="0.25">
      <c r="A768" s="13" t="s">
        <v>442</v>
      </c>
      <c r="B768" s="14">
        <v>43495</v>
      </c>
      <c r="C768" s="13">
        <v>144</v>
      </c>
      <c r="D768" s="13" t="s">
        <v>282</v>
      </c>
      <c r="E768" s="13" t="s">
        <v>62</v>
      </c>
      <c r="F768" s="4">
        <v>27300</v>
      </c>
      <c r="G768" s="28" t="s">
        <v>2849</v>
      </c>
      <c r="H768" s="14">
        <v>43465</v>
      </c>
      <c r="I768" s="4" t="s">
        <v>283</v>
      </c>
    </row>
    <row r="769" spans="1:9" hidden="1" x14ac:dyDescent="0.25">
      <c r="A769" s="13" t="s">
        <v>358</v>
      </c>
      <c r="B769" s="14">
        <v>43495</v>
      </c>
      <c r="C769" s="13">
        <v>144</v>
      </c>
      <c r="D769" s="13" t="s">
        <v>282</v>
      </c>
      <c r="E769" s="13" t="s">
        <v>62</v>
      </c>
      <c r="F769" s="4">
        <v>5600</v>
      </c>
      <c r="G769" s="28" t="s">
        <v>2850</v>
      </c>
      <c r="H769" s="14">
        <v>43465</v>
      </c>
      <c r="I769" s="4" t="s">
        <v>283</v>
      </c>
    </row>
    <row r="770" spans="1:9" hidden="1" x14ac:dyDescent="0.25">
      <c r="A770" s="61" t="s">
        <v>103</v>
      </c>
      <c r="B770" s="14">
        <v>43495</v>
      </c>
      <c r="C770" s="13">
        <v>129</v>
      </c>
      <c r="D770" s="13" t="s">
        <v>80</v>
      </c>
      <c r="E770" s="13" t="s">
        <v>62</v>
      </c>
      <c r="F770" s="37">
        <v>13750</v>
      </c>
      <c r="G770" s="29" t="s">
        <v>1097</v>
      </c>
      <c r="H770" s="14">
        <v>43428</v>
      </c>
      <c r="I770" s="4" t="s">
        <v>354</v>
      </c>
    </row>
    <row r="771" spans="1:9" hidden="1" x14ac:dyDescent="0.25">
      <c r="A771" s="61" t="s">
        <v>103</v>
      </c>
      <c r="B771" s="14">
        <v>43495</v>
      </c>
      <c r="C771" s="13">
        <v>129</v>
      </c>
      <c r="D771" s="13" t="s">
        <v>80</v>
      </c>
      <c r="E771" s="13" t="s">
        <v>62</v>
      </c>
      <c r="F771" s="37">
        <v>22500</v>
      </c>
      <c r="G771" s="29" t="s">
        <v>2807</v>
      </c>
      <c r="H771" s="14">
        <v>43463</v>
      </c>
      <c r="I771" s="4" t="s">
        <v>354</v>
      </c>
    </row>
    <row r="772" spans="1:9" hidden="1" x14ac:dyDescent="0.25">
      <c r="A772" s="32" t="s">
        <v>92</v>
      </c>
      <c r="B772" s="14">
        <v>43495</v>
      </c>
      <c r="C772" s="13">
        <v>122</v>
      </c>
      <c r="D772" s="13" t="s">
        <v>250</v>
      </c>
      <c r="E772" s="13" t="s">
        <v>62</v>
      </c>
      <c r="F772" s="4">
        <v>150000</v>
      </c>
      <c r="G772" s="28" t="s">
        <v>2158</v>
      </c>
      <c r="H772" s="14">
        <v>43421</v>
      </c>
      <c r="I772" s="4" t="s">
        <v>2159</v>
      </c>
    </row>
    <row r="773" spans="1:9" hidden="1" x14ac:dyDescent="0.25">
      <c r="A773" s="32" t="s">
        <v>442</v>
      </c>
      <c r="B773" s="14">
        <v>43495</v>
      </c>
      <c r="C773" s="13">
        <v>141</v>
      </c>
      <c r="D773" s="13" t="s">
        <v>29</v>
      </c>
      <c r="E773" s="13" t="s">
        <v>62</v>
      </c>
      <c r="F773" s="4">
        <v>7200</v>
      </c>
      <c r="G773" s="28" t="s">
        <v>2380</v>
      </c>
      <c r="H773" s="14">
        <v>43432</v>
      </c>
      <c r="I773" s="4" t="s">
        <v>87</v>
      </c>
    </row>
    <row r="774" spans="1:9" ht="27.6" hidden="1" x14ac:dyDescent="0.25">
      <c r="A774" s="13" t="s">
        <v>2381</v>
      </c>
      <c r="B774" s="14">
        <v>43495</v>
      </c>
      <c r="C774" s="13">
        <v>141</v>
      </c>
      <c r="D774" s="13" t="s">
        <v>29</v>
      </c>
      <c r="E774" s="13" t="s">
        <v>62</v>
      </c>
      <c r="F774" s="37">
        <v>178500</v>
      </c>
      <c r="G774" s="29" t="s">
        <v>1465</v>
      </c>
      <c r="H774" s="14">
        <v>43434</v>
      </c>
      <c r="I774" s="4" t="s">
        <v>95</v>
      </c>
    </row>
    <row r="775" spans="1:9" hidden="1" x14ac:dyDescent="0.25">
      <c r="A775" s="13" t="s">
        <v>442</v>
      </c>
      <c r="B775" s="14">
        <v>43495</v>
      </c>
      <c r="C775" s="13">
        <v>141</v>
      </c>
      <c r="D775" s="13" t="s">
        <v>29</v>
      </c>
      <c r="E775" s="13" t="s">
        <v>62</v>
      </c>
      <c r="F775" s="4">
        <v>6400</v>
      </c>
      <c r="G775" s="28" t="s">
        <v>3076</v>
      </c>
      <c r="H775" s="14">
        <v>43446</v>
      </c>
      <c r="I775" s="4" t="s">
        <v>87</v>
      </c>
    </row>
    <row r="776" spans="1:9" hidden="1" x14ac:dyDescent="0.25">
      <c r="A776" s="32" t="s">
        <v>1566</v>
      </c>
      <c r="B776" s="14">
        <v>43495</v>
      </c>
      <c r="C776" s="13">
        <v>141</v>
      </c>
      <c r="D776" s="13" t="s">
        <v>29</v>
      </c>
      <c r="E776" s="13" t="s">
        <v>62</v>
      </c>
      <c r="F776" s="4">
        <v>172000</v>
      </c>
      <c r="G776" s="28" t="s">
        <v>1440</v>
      </c>
      <c r="H776" s="14">
        <v>43447</v>
      </c>
      <c r="I776" s="4" t="s">
        <v>1602</v>
      </c>
    </row>
    <row r="777" spans="1:9" hidden="1" x14ac:dyDescent="0.25">
      <c r="A777" s="13" t="s">
        <v>103</v>
      </c>
      <c r="B777" s="14">
        <v>43495</v>
      </c>
      <c r="C777" s="13">
        <v>123</v>
      </c>
      <c r="D777" s="13" t="s">
        <v>2047</v>
      </c>
      <c r="E777" s="13" t="s">
        <v>62</v>
      </c>
      <c r="F777" s="37">
        <v>15300</v>
      </c>
      <c r="G777" s="29" t="s">
        <v>1376</v>
      </c>
      <c r="H777" s="14">
        <v>43458</v>
      </c>
      <c r="I777" s="4" t="s">
        <v>95</v>
      </c>
    </row>
    <row r="778" spans="1:9" hidden="1" x14ac:dyDescent="0.25">
      <c r="A778" s="61" t="s">
        <v>1434</v>
      </c>
      <c r="B778" s="14">
        <v>43495</v>
      </c>
      <c r="C778" s="13">
        <v>124</v>
      </c>
      <c r="D778" s="13" t="s">
        <v>1985</v>
      </c>
      <c r="E778" s="13" t="s">
        <v>62</v>
      </c>
      <c r="F778" s="37">
        <v>38500</v>
      </c>
      <c r="G778" s="29" t="s">
        <v>3387</v>
      </c>
      <c r="H778" s="14">
        <v>43463</v>
      </c>
      <c r="I778" s="4" t="s">
        <v>122</v>
      </c>
    </row>
    <row r="779" spans="1:9" hidden="1" x14ac:dyDescent="0.25">
      <c r="A779" s="61" t="s">
        <v>442</v>
      </c>
      <c r="B779" s="14">
        <v>43495</v>
      </c>
      <c r="C779" s="13">
        <v>140</v>
      </c>
      <c r="D779" s="13" t="s">
        <v>692</v>
      </c>
      <c r="E779" s="13" t="s">
        <v>62</v>
      </c>
      <c r="F779" s="37">
        <v>132000</v>
      </c>
      <c r="G779" s="210" t="s">
        <v>1866</v>
      </c>
      <c r="H779" s="211">
        <v>43424</v>
      </c>
      <c r="I779" s="4" t="s">
        <v>419</v>
      </c>
    </row>
    <row r="780" spans="1:9" hidden="1" x14ac:dyDescent="0.25">
      <c r="A780" s="61" t="s">
        <v>442</v>
      </c>
      <c r="B780" s="14">
        <v>43495</v>
      </c>
      <c r="C780" s="13">
        <v>140</v>
      </c>
      <c r="D780" s="13" t="s">
        <v>692</v>
      </c>
      <c r="E780" s="13" t="s">
        <v>62</v>
      </c>
      <c r="F780" s="37">
        <v>121000</v>
      </c>
      <c r="G780" s="29" t="s">
        <v>1544</v>
      </c>
      <c r="H780" s="14">
        <v>43436</v>
      </c>
      <c r="I780" s="4" t="s">
        <v>419</v>
      </c>
    </row>
    <row r="781" spans="1:9" hidden="1" x14ac:dyDescent="0.25">
      <c r="A781" s="61" t="s">
        <v>103</v>
      </c>
      <c r="B781" s="14">
        <v>43495</v>
      </c>
      <c r="C781" s="13">
        <v>125</v>
      </c>
      <c r="D781" s="13" t="s">
        <v>862</v>
      </c>
      <c r="E781" s="13" t="s">
        <v>62</v>
      </c>
      <c r="F781" s="37">
        <v>8750</v>
      </c>
      <c r="G781" s="29" t="s">
        <v>3171</v>
      </c>
      <c r="H781" s="14">
        <v>43459</v>
      </c>
      <c r="I781" s="4" t="s">
        <v>354</v>
      </c>
    </row>
    <row r="782" spans="1:9" hidden="1" x14ac:dyDescent="0.25">
      <c r="A782" s="14" t="s">
        <v>91</v>
      </c>
      <c r="B782" s="14">
        <v>43495</v>
      </c>
      <c r="C782" s="13">
        <v>139</v>
      </c>
      <c r="D782" s="13" t="s">
        <v>149</v>
      </c>
      <c r="E782" s="13" t="s">
        <v>62</v>
      </c>
      <c r="F782" s="37">
        <v>68000</v>
      </c>
      <c r="G782" s="210" t="s">
        <v>2528</v>
      </c>
      <c r="H782" s="211">
        <v>43446</v>
      </c>
      <c r="I782" s="4" t="s">
        <v>1109</v>
      </c>
    </row>
    <row r="783" spans="1:9" hidden="1" x14ac:dyDescent="0.25">
      <c r="A783" s="61" t="s">
        <v>442</v>
      </c>
      <c r="B783" s="14">
        <v>43495</v>
      </c>
      <c r="C783" s="13">
        <v>139</v>
      </c>
      <c r="D783" s="13" t="s">
        <v>149</v>
      </c>
      <c r="E783" s="13" t="s">
        <v>62</v>
      </c>
      <c r="F783" s="37">
        <v>19000</v>
      </c>
      <c r="G783" s="29" t="s">
        <v>2529</v>
      </c>
      <c r="H783" s="14">
        <v>43446</v>
      </c>
      <c r="I783" s="4" t="s">
        <v>1109</v>
      </c>
    </row>
    <row r="784" spans="1:9" hidden="1" x14ac:dyDescent="0.25">
      <c r="A784" s="61" t="s">
        <v>358</v>
      </c>
      <c r="B784" s="14">
        <v>43495</v>
      </c>
      <c r="C784" s="13">
        <v>139</v>
      </c>
      <c r="D784" s="13" t="s">
        <v>149</v>
      </c>
      <c r="E784" s="13" t="s">
        <v>62</v>
      </c>
      <c r="F784" s="37">
        <v>3500</v>
      </c>
      <c r="G784" s="29" t="s">
        <v>2530</v>
      </c>
      <c r="H784" s="14">
        <v>43446</v>
      </c>
      <c r="I784" s="4" t="s">
        <v>1109</v>
      </c>
    </row>
    <row r="785" spans="1:19" s="97" customFormat="1" hidden="1" x14ac:dyDescent="0.25">
      <c r="A785" s="13" t="s">
        <v>151</v>
      </c>
      <c r="B785" s="14">
        <v>43495</v>
      </c>
      <c r="C785" s="67">
        <v>102</v>
      </c>
      <c r="D785" s="13" t="s">
        <v>776</v>
      </c>
      <c r="E785" s="13" t="s">
        <v>62</v>
      </c>
      <c r="F785" s="4">
        <v>1300</v>
      </c>
      <c r="G785" s="29" t="s">
        <v>3464</v>
      </c>
      <c r="H785" s="14">
        <v>43454</v>
      </c>
      <c r="I785" s="4" t="s">
        <v>3465</v>
      </c>
      <c r="J785" s="22"/>
      <c r="K785" s="22"/>
      <c r="L785" s="134"/>
    </row>
    <row r="786" spans="1:19" hidden="1" x14ac:dyDescent="0.25">
      <c r="A786" s="13" t="s">
        <v>2320</v>
      </c>
      <c r="B786" s="14">
        <v>43495</v>
      </c>
      <c r="C786" s="13">
        <v>76</v>
      </c>
      <c r="D786" s="13" t="s">
        <v>210</v>
      </c>
      <c r="E786" s="13" t="s">
        <v>136</v>
      </c>
      <c r="F786" s="37">
        <v>40794.15</v>
      </c>
      <c r="G786" s="29" t="s">
        <v>3540</v>
      </c>
      <c r="H786" s="14">
        <v>43475</v>
      </c>
      <c r="I786" s="4" t="s">
        <v>1728</v>
      </c>
      <c r="J786" s="35" t="s">
        <v>327</v>
      </c>
    </row>
    <row r="787" spans="1:19" hidden="1" x14ac:dyDescent="0.25">
      <c r="A787" s="13" t="s">
        <v>151</v>
      </c>
      <c r="B787" s="14">
        <v>43495</v>
      </c>
      <c r="C787" s="13">
        <v>19</v>
      </c>
      <c r="D787" s="13" t="s">
        <v>2853</v>
      </c>
      <c r="E787" s="32" t="s">
        <v>22</v>
      </c>
      <c r="F787" s="4">
        <v>31300</v>
      </c>
      <c r="G787" s="28" t="s">
        <v>3541</v>
      </c>
      <c r="H787" s="14">
        <v>43493</v>
      </c>
      <c r="I787" s="4" t="s">
        <v>3542</v>
      </c>
      <c r="J787" s="125"/>
    </row>
    <row r="788" spans="1:19" hidden="1" x14ac:dyDescent="0.25">
      <c r="A788" s="13" t="s">
        <v>151</v>
      </c>
      <c r="B788" s="14">
        <v>43495</v>
      </c>
      <c r="C788" s="13">
        <v>20</v>
      </c>
      <c r="D788" s="13" t="s">
        <v>3911</v>
      </c>
      <c r="E788" s="32" t="s">
        <v>22</v>
      </c>
      <c r="F788" s="4">
        <v>2300</v>
      </c>
      <c r="G788" s="28" t="s">
        <v>3362</v>
      </c>
      <c r="H788" s="14">
        <v>43494</v>
      </c>
      <c r="I788" s="4" t="s">
        <v>3548</v>
      </c>
      <c r="J788" s="125"/>
    </row>
    <row r="789" spans="1:19" s="129" customFormat="1" ht="13.95" hidden="1" customHeight="1" x14ac:dyDescent="0.25">
      <c r="A789" s="13" t="s">
        <v>151</v>
      </c>
      <c r="B789" s="14">
        <v>43495</v>
      </c>
      <c r="C789" s="28" t="s">
        <v>199</v>
      </c>
      <c r="D789" s="13" t="s">
        <v>1078</v>
      </c>
      <c r="E789" s="13" t="s">
        <v>22</v>
      </c>
      <c r="F789" s="37">
        <v>10200</v>
      </c>
      <c r="G789" s="28" t="s">
        <v>3326</v>
      </c>
      <c r="H789" s="14">
        <v>43462</v>
      </c>
      <c r="I789" s="4" t="s">
        <v>3327</v>
      </c>
      <c r="J789" s="22"/>
      <c r="K789" s="136"/>
    </row>
    <row r="790" spans="1:19" s="129" customFormat="1" ht="13.95" hidden="1" customHeight="1" x14ac:dyDescent="0.25">
      <c r="A790" s="13" t="s">
        <v>151</v>
      </c>
      <c r="B790" s="14">
        <v>43495</v>
      </c>
      <c r="C790" s="28" t="s">
        <v>199</v>
      </c>
      <c r="D790" s="13" t="s">
        <v>1078</v>
      </c>
      <c r="E790" s="13" t="s">
        <v>22</v>
      </c>
      <c r="F790" s="37">
        <v>26298.7</v>
      </c>
      <c r="G790" s="28" t="s">
        <v>2160</v>
      </c>
      <c r="H790" s="14">
        <v>43462</v>
      </c>
      <c r="I790" s="4" t="s">
        <v>3328</v>
      </c>
      <c r="J790" s="22"/>
      <c r="K790" s="136"/>
    </row>
    <row r="791" spans="1:19" s="129" customFormat="1" ht="13.95" hidden="1" customHeight="1" x14ac:dyDescent="0.25">
      <c r="A791" s="13" t="s">
        <v>151</v>
      </c>
      <c r="B791" s="14">
        <v>43495</v>
      </c>
      <c r="C791" s="28" t="s">
        <v>199</v>
      </c>
      <c r="D791" s="13" t="s">
        <v>1078</v>
      </c>
      <c r="E791" s="13" t="s">
        <v>22</v>
      </c>
      <c r="F791" s="37">
        <v>13850</v>
      </c>
      <c r="G791" s="28" t="s">
        <v>3330</v>
      </c>
      <c r="H791" s="14">
        <v>43458</v>
      </c>
      <c r="I791" s="4" t="s">
        <v>3331</v>
      </c>
      <c r="J791" s="22"/>
      <c r="K791" s="136"/>
    </row>
    <row r="792" spans="1:19" s="62" customFormat="1" ht="15" hidden="1" customHeight="1" x14ac:dyDescent="0.25">
      <c r="A792" s="61" t="s">
        <v>188</v>
      </c>
      <c r="B792" s="14">
        <v>43495</v>
      </c>
      <c r="C792" s="13">
        <v>16</v>
      </c>
      <c r="D792" s="13" t="s">
        <v>210</v>
      </c>
      <c r="E792" s="13" t="s">
        <v>483</v>
      </c>
      <c r="F792" s="37">
        <v>5181.5200000000004</v>
      </c>
      <c r="G792" s="29" t="s">
        <v>3337</v>
      </c>
      <c r="H792" s="14">
        <v>43479</v>
      </c>
      <c r="I792" s="4" t="s">
        <v>546</v>
      </c>
      <c r="J792" s="22" t="s">
        <v>327</v>
      </c>
      <c r="O792" s="35"/>
      <c r="P792" s="35"/>
      <c r="Q792" s="35"/>
      <c r="R792" s="35"/>
      <c r="S792" s="35"/>
    </row>
    <row r="793" spans="1:19" s="31" customFormat="1" ht="27.6" hidden="1" customHeight="1" x14ac:dyDescent="0.25">
      <c r="A793" s="13" t="s">
        <v>638</v>
      </c>
      <c r="B793" s="14">
        <v>43495</v>
      </c>
      <c r="C793" s="13" t="s">
        <v>3567</v>
      </c>
      <c r="D793" s="13" t="s">
        <v>598</v>
      </c>
      <c r="E793" s="13" t="s">
        <v>547</v>
      </c>
      <c r="F793" s="37">
        <v>240000</v>
      </c>
      <c r="G793" s="29" t="s">
        <v>2926</v>
      </c>
      <c r="H793" s="14"/>
      <c r="I793" s="4" t="s">
        <v>678</v>
      </c>
      <c r="J793" s="34" t="s">
        <v>2927</v>
      </c>
      <c r="K793" s="389"/>
      <c r="L793" s="388"/>
      <c r="O793" s="34"/>
      <c r="P793" s="34"/>
      <c r="Q793" s="34"/>
      <c r="R793" s="34"/>
      <c r="S793" s="34"/>
    </row>
    <row r="794" spans="1:19" s="31" customFormat="1" hidden="1" x14ac:dyDescent="0.25">
      <c r="A794" s="61" t="s">
        <v>151</v>
      </c>
      <c r="B794" s="14">
        <v>43495</v>
      </c>
      <c r="C794" s="13">
        <v>18</v>
      </c>
      <c r="D794" s="13" t="s">
        <v>3568</v>
      </c>
      <c r="E794" s="13" t="s">
        <v>22</v>
      </c>
      <c r="F794" s="37">
        <v>8844</v>
      </c>
      <c r="G794" s="210" t="s">
        <v>3569</v>
      </c>
      <c r="H794" s="211">
        <v>43494</v>
      </c>
      <c r="I794" s="4" t="s">
        <v>3570</v>
      </c>
      <c r="J794" s="34"/>
      <c r="K794" s="389"/>
      <c r="L794" s="408"/>
      <c r="O794" s="34"/>
      <c r="P794" s="34"/>
      <c r="Q794" s="34"/>
      <c r="R794" s="34"/>
      <c r="S794" s="34"/>
    </row>
    <row r="795" spans="1:19" s="31" customFormat="1" hidden="1" x14ac:dyDescent="0.25">
      <c r="A795" s="61" t="s">
        <v>6</v>
      </c>
      <c r="B795" s="14">
        <v>43495</v>
      </c>
      <c r="C795" s="13">
        <v>46</v>
      </c>
      <c r="D795" s="13" t="s">
        <v>3571</v>
      </c>
      <c r="E795" s="13" t="s">
        <v>183</v>
      </c>
      <c r="F795" s="37">
        <v>830</v>
      </c>
      <c r="G795" s="210" t="s">
        <v>3572</v>
      </c>
      <c r="H795" s="211">
        <v>43495</v>
      </c>
      <c r="I795" s="4" t="s">
        <v>3573</v>
      </c>
      <c r="J795" s="34"/>
      <c r="K795" s="389"/>
      <c r="L795" s="408"/>
      <c r="O795" s="34"/>
      <c r="P795" s="34"/>
      <c r="Q795" s="34"/>
      <c r="R795" s="34"/>
      <c r="S795" s="34"/>
    </row>
    <row r="796" spans="1:19" ht="15" hidden="1" customHeight="1" x14ac:dyDescent="0.25">
      <c r="A796" s="13" t="s">
        <v>184</v>
      </c>
      <c r="B796" s="14">
        <v>43496</v>
      </c>
      <c r="C796" s="13">
        <v>91</v>
      </c>
      <c r="D796" s="13" t="s">
        <v>348</v>
      </c>
      <c r="E796" s="32" t="s">
        <v>1121</v>
      </c>
      <c r="F796" s="4">
        <f>2199247.75-46845.28-13000-1200000</f>
        <v>939402.4700000002</v>
      </c>
      <c r="G796" s="28" t="s">
        <v>2025</v>
      </c>
      <c r="H796" s="14">
        <v>43463</v>
      </c>
      <c r="I796" s="4" t="s">
        <v>309</v>
      </c>
      <c r="J796" s="76" t="s">
        <v>239</v>
      </c>
    </row>
    <row r="797" spans="1:19" ht="15" hidden="1" customHeight="1" x14ac:dyDescent="0.25">
      <c r="A797" s="13" t="s">
        <v>964</v>
      </c>
      <c r="B797" s="14">
        <v>43496</v>
      </c>
      <c r="C797" s="13">
        <v>92</v>
      </c>
      <c r="D797" s="13" t="s">
        <v>1886</v>
      </c>
      <c r="E797" s="32" t="s">
        <v>1121</v>
      </c>
      <c r="F797" s="4">
        <v>36000</v>
      </c>
      <c r="G797" s="28" t="s">
        <v>3550</v>
      </c>
      <c r="H797" s="14">
        <v>43410</v>
      </c>
      <c r="I797" s="4" t="s">
        <v>1887</v>
      </c>
      <c r="J797" s="76" t="s">
        <v>327</v>
      </c>
    </row>
    <row r="798" spans="1:19" ht="15" hidden="1" customHeight="1" x14ac:dyDescent="0.25">
      <c r="A798" s="13" t="s">
        <v>964</v>
      </c>
      <c r="B798" s="14">
        <v>43496</v>
      </c>
      <c r="C798" s="13">
        <v>92</v>
      </c>
      <c r="D798" s="13" t="s">
        <v>1886</v>
      </c>
      <c r="E798" s="32" t="s">
        <v>1121</v>
      </c>
      <c r="F798" s="4">
        <v>36000</v>
      </c>
      <c r="G798" s="28" t="s">
        <v>3549</v>
      </c>
      <c r="H798" s="14">
        <v>43447</v>
      </c>
      <c r="I798" s="4" t="s">
        <v>1887</v>
      </c>
      <c r="J798" s="76" t="s">
        <v>239</v>
      </c>
    </row>
    <row r="799" spans="1:19" s="192" customFormat="1" hidden="1" x14ac:dyDescent="0.25">
      <c r="A799" s="147" t="s">
        <v>242</v>
      </c>
      <c r="B799" s="14">
        <v>43496</v>
      </c>
      <c r="C799" s="195">
        <v>93</v>
      </c>
      <c r="D799" s="149" t="s">
        <v>490</v>
      </c>
      <c r="E799" s="147" t="s">
        <v>1121</v>
      </c>
      <c r="F799" s="158">
        <v>107421.6</v>
      </c>
      <c r="G799" s="150" t="s">
        <v>3469</v>
      </c>
      <c r="H799" s="148">
        <v>43475</v>
      </c>
      <c r="I799" s="149" t="s">
        <v>143</v>
      </c>
      <c r="J799" s="193"/>
      <c r="K799" s="194"/>
      <c r="L799" s="190"/>
    </row>
    <row r="800" spans="1:19" s="192" customFormat="1" hidden="1" x14ac:dyDescent="0.25">
      <c r="A800" s="147" t="s">
        <v>242</v>
      </c>
      <c r="B800" s="14">
        <v>43496</v>
      </c>
      <c r="C800" s="195">
        <v>93</v>
      </c>
      <c r="D800" s="149" t="s">
        <v>490</v>
      </c>
      <c r="E800" s="147" t="s">
        <v>1121</v>
      </c>
      <c r="F800" s="158">
        <v>563827.80000000005</v>
      </c>
      <c r="G800" s="150" t="s">
        <v>3468</v>
      </c>
      <c r="H800" s="148">
        <v>43475</v>
      </c>
      <c r="I800" s="149" t="s">
        <v>143</v>
      </c>
      <c r="J800" s="193"/>
      <c r="K800" s="194"/>
      <c r="L800" s="190"/>
    </row>
    <row r="801" spans="1:19" s="192" customFormat="1" hidden="1" x14ac:dyDescent="0.25">
      <c r="A801" s="147" t="s">
        <v>242</v>
      </c>
      <c r="B801" s="14">
        <v>43496</v>
      </c>
      <c r="C801" s="187">
        <v>94</v>
      </c>
      <c r="D801" s="149" t="s">
        <v>291</v>
      </c>
      <c r="E801" s="147" t="s">
        <v>1121</v>
      </c>
      <c r="F801" s="158">
        <v>118219.5</v>
      </c>
      <c r="G801" s="150" t="s">
        <v>2961</v>
      </c>
      <c r="H801" s="148">
        <v>43489</v>
      </c>
      <c r="I801" s="149" t="s">
        <v>143</v>
      </c>
      <c r="J801" s="193"/>
      <c r="K801" s="194"/>
      <c r="L801" s="190"/>
    </row>
    <row r="802" spans="1:19" s="192" customFormat="1" hidden="1" x14ac:dyDescent="0.25">
      <c r="A802" s="147" t="s">
        <v>242</v>
      </c>
      <c r="B802" s="14">
        <v>43496</v>
      </c>
      <c r="C802" s="187">
        <v>94</v>
      </c>
      <c r="D802" s="149" t="s">
        <v>291</v>
      </c>
      <c r="E802" s="147" t="s">
        <v>1121</v>
      </c>
      <c r="F802" s="158">
        <v>86699.520000000004</v>
      </c>
      <c r="G802" s="150" t="s">
        <v>2955</v>
      </c>
      <c r="H802" s="148">
        <v>43489</v>
      </c>
      <c r="I802" s="149" t="s">
        <v>143</v>
      </c>
      <c r="J802" s="193"/>
      <c r="K802" s="194"/>
      <c r="L802" s="190"/>
    </row>
    <row r="803" spans="1:19" s="192" customFormat="1" hidden="1" x14ac:dyDescent="0.25">
      <c r="A803" s="147" t="s">
        <v>242</v>
      </c>
      <c r="B803" s="14">
        <v>43496</v>
      </c>
      <c r="C803" s="187">
        <v>95</v>
      </c>
      <c r="D803" s="149" t="s">
        <v>291</v>
      </c>
      <c r="E803" s="147" t="s">
        <v>1121</v>
      </c>
      <c r="F803" s="158">
        <v>97020.2</v>
      </c>
      <c r="G803" s="150" t="s">
        <v>3466</v>
      </c>
      <c r="H803" s="148">
        <v>43489</v>
      </c>
      <c r="I803" s="149" t="s">
        <v>143</v>
      </c>
      <c r="J803" s="193"/>
      <c r="K803" s="194"/>
      <c r="L803" s="190"/>
    </row>
    <row r="804" spans="1:19" s="192" customFormat="1" hidden="1" x14ac:dyDescent="0.25">
      <c r="A804" s="147" t="s">
        <v>242</v>
      </c>
      <c r="B804" s="14">
        <v>43496</v>
      </c>
      <c r="C804" s="187">
        <v>95</v>
      </c>
      <c r="D804" s="149" t="s">
        <v>291</v>
      </c>
      <c r="E804" s="147" t="s">
        <v>1121</v>
      </c>
      <c r="F804" s="158">
        <v>68090.75</v>
      </c>
      <c r="G804" s="150" t="s">
        <v>3211</v>
      </c>
      <c r="H804" s="148">
        <v>43489</v>
      </c>
      <c r="I804" s="149" t="s">
        <v>143</v>
      </c>
      <c r="J804" s="193"/>
      <c r="K804" s="194"/>
      <c r="L804" s="190"/>
    </row>
    <row r="805" spans="1:19" s="129" customFormat="1" hidden="1" x14ac:dyDescent="0.25">
      <c r="A805" s="13" t="s">
        <v>151</v>
      </c>
      <c r="B805" s="14">
        <v>43496</v>
      </c>
      <c r="C805" s="28" t="s">
        <v>52</v>
      </c>
      <c r="D805" s="13" t="s">
        <v>711</v>
      </c>
      <c r="E805" s="32" t="s">
        <v>1121</v>
      </c>
      <c r="F805" s="37">
        <f>1370+11210+260</f>
        <v>12840</v>
      </c>
      <c r="G805" s="28" t="s">
        <v>3543</v>
      </c>
      <c r="H805" s="28" t="s">
        <v>3544</v>
      </c>
      <c r="I805" s="4" t="s">
        <v>712</v>
      </c>
      <c r="J805" s="170"/>
      <c r="K805" s="136"/>
    </row>
    <row r="806" spans="1:19" s="129" customFormat="1" hidden="1" x14ac:dyDescent="0.25">
      <c r="A806" s="13" t="s">
        <v>151</v>
      </c>
      <c r="B806" s="14">
        <v>43496</v>
      </c>
      <c r="C806" s="28" t="s">
        <v>12</v>
      </c>
      <c r="D806" s="13" t="s">
        <v>1846</v>
      </c>
      <c r="E806" s="32" t="s">
        <v>1121</v>
      </c>
      <c r="F806" s="37">
        <v>10414</v>
      </c>
      <c r="G806" s="28" t="s">
        <v>3545</v>
      </c>
      <c r="H806" s="28" t="s">
        <v>3546</v>
      </c>
      <c r="I806" s="4" t="s">
        <v>3547</v>
      </c>
      <c r="J806" s="170"/>
      <c r="K806" s="136"/>
    </row>
    <row r="807" spans="1:19" s="192" customFormat="1" ht="14.85" hidden="1" customHeight="1" x14ac:dyDescent="0.25">
      <c r="A807" s="147" t="s">
        <v>242</v>
      </c>
      <c r="B807" s="164">
        <v>43496</v>
      </c>
      <c r="C807" s="195">
        <v>49</v>
      </c>
      <c r="D807" s="149" t="s">
        <v>840</v>
      </c>
      <c r="E807" s="147" t="s">
        <v>144</v>
      </c>
      <c r="F807" s="158">
        <v>86914.8</v>
      </c>
      <c r="G807" s="150" t="s">
        <v>1843</v>
      </c>
      <c r="H807" s="148" t="s">
        <v>3472</v>
      </c>
      <c r="I807" s="149" t="s">
        <v>143</v>
      </c>
      <c r="J807" s="193"/>
      <c r="K807" s="194"/>
      <c r="L807" s="190"/>
    </row>
    <row r="808" spans="1:19" s="192" customFormat="1" ht="14.85" hidden="1" customHeight="1" x14ac:dyDescent="0.25">
      <c r="A808" s="147" t="s">
        <v>242</v>
      </c>
      <c r="B808" s="164">
        <v>43496</v>
      </c>
      <c r="C808" s="195">
        <v>49</v>
      </c>
      <c r="D808" s="149" t="s">
        <v>840</v>
      </c>
      <c r="E808" s="147" t="s">
        <v>144</v>
      </c>
      <c r="F808" s="158">
        <v>62062</v>
      </c>
      <c r="G808" s="150" t="s">
        <v>3471</v>
      </c>
      <c r="H808" s="148" t="s">
        <v>3472</v>
      </c>
      <c r="I808" s="149" t="s">
        <v>143</v>
      </c>
      <c r="J808" s="193"/>
      <c r="K808" s="194"/>
      <c r="L808" s="190"/>
    </row>
    <row r="809" spans="1:19" s="192" customFormat="1" ht="14.85" hidden="1" customHeight="1" x14ac:dyDescent="0.25">
      <c r="A809" s="147" t="s">
        <v>242</v>
      </c>
      <c r="B809" s="164">
        <v>43496</v>
      </c>
      <c r="C809" s="195">
        <v>49</v>
      </c>
      <c r="D809" s="149" t="s">
        <v>840</v>
      </c>
      <c r="E809" s="147" t="s">
        <v>144</v>
      </c>
      <c r="F809" s="158">
        <v>133592.4</v>
      </c>
      <c r="G809" s="150" t="s">
        <v>3473</v>
      </c>
      <c r="H809" s="148">
        <v>43474</v>
      </c>
      <c r="I809" s="149" t="s">
        <v>143</v>
      </c>
      <c r="J809" s="193"/>
      <c r="K809" s="194"/>
      <c r="L809" s="190"/>
    </row>
    <row r="810" spans="1:19" s="192" customFormat="1" ht="14.25" hidden="1" customHeight="1" x14ac:dyDescent="0.25">
      <c r="A810" s="147" t="s">
        <v>242</v>
      </c>
      <c r="B810" s="164">
        <v>43496</v>
      </c>
      <c r="C810" s="195">
        <v>50</v>
      </c>
      <c r="D810" s="149" t="s">
        <v>784</v>
      </c>
      <c r="E810" s="147" t="s">
        <v>144</v>
      </c>
      <c r="F810" s="158">
        <f>1056868.2</f>
        <v>1056868.2</v>
      </c>
      <c r="G810" s="150" t="s">
        <v>459</v>
      </c>
      <c r="H810" s="148">
        <v>43489</v>
      </c>
      <c r="I810" s="149" t="s">
        <v>143</v>
      </c>
    </row>
    <row r="811" spans="1:19" ht="27.6" hidden="1" x14ac:dyDescent="0.25">
      <c r="A811" s="32" t="s">
        <v>90</v>
      </c>
      <c r="B811" s="14">
        <v>43496</v>
      </c>
      <c r="C811" s="67">
        <v>51</v>
      </c>
      <c r="D811" s="32" t="s">
        <v>373</v>
      </c>
      <c r="E811" s="32" t="s">
        <v>1335</v>
      </c>
      <c r="F811" s="4">
        <v>1065023.28</v>
      </c>
      <c r="G811" s="28" t="s">
        <v>2143</v>
      </c>
      <c r="H811" s="14"/>
      <c r="I811" s="4" t="s">
        <v>362</v>
      </c>
      <c r="J811" s="166" t="s">
        <v>327</v>
      </c>
      <c r="K811" s="167"/>
      <c r="L811" s="35"/>
    </row>
    <row r="812" spans="1:19" hidden="1" x14ac:dyDescent="0.25">
      <c r="A812" s="13" t="s">
        <v>2953</v>
      </c>
      <c r="B812" s="14">
        <v>43496</v>
      </c>
      <c r="C812" s="13">
        <v>2</v>
      </c>
      <c r="D812" s="13" t="s">
        <v>3538</v>
      </c>
      <c r="E812" s="32" t="s">
        <v>2954</v>
      </c>
      <c r="F812" s="4">
        <v>24055.35</v>
      </c>
      <c r="G812" s="29" t="s">
        <v>2955</v>
      </c>
      <c r="H812" s="14">
        <v>43494</v>
      </c>
      <c r="I812" s="4" t="s">
        <v>3539</v>
      </c>
      <c r="J812" s="21"/>
      <c r="K812" s="228"/>
    </row>
    <row r="813" spans="1:19" s="62" customFormat="1" ht="13.95" hidden="1" customHeight="1" x14ac:dyDescent="0.25">
      <c r="A813" s="13" t="s">
        <v>1459</v>
      </c>
      <c r="B813" s="14">
        <v>43496</v>
      </c>
      <c r="C813" s="13">
        <v>225</v>
      </c>
      <c r="D813" s="13" t="s">
        <v>962</v>
      </c>
      <c r="E813" s="13" t="s">
        <v>130</v>
      </c>
      <c r="F813" s="37">
        <v>114755</v>
      </c>
      <c r="G813" s="29" t="s">
        <v>1504</v>
      </c>
      <c r="H813" s="14">
        <v>43200</v>
      </c>
      <c r="I813" s="4" t="s">
        <v>1470</v>
      </c>
      <c r="J813" s="71" t="s">
        <v>1841</v>
      </c>
      <c r="O813" s="35"/>
      <c r="P813" s="35"/>
      <c r="Q813" s="35"/>
      <c r="R813" s="35"/>
      <c r="S813" s="35"/>
    </row>
    <row r="814" spans="1:19" s="62" customFormat="1" ht="13.95" hidden="1" customHeight="1" x14ac:dyDescent="0.25">
      <c r="A814" s="13" t="s">
        <v>1460</v>
      </c>
      <c r="B814" s="14">
        <v>43496</v>
      </c>
      <c r="C814" s="13">
        <v>226</v>
      </c>
      <c r="D814" s="13" t="s">
        <v>962</v>
      </c>
      <c r="E814" s="13" t="s">
        <v>130</v>
      </c>
      <c r="F814" s="37">
        <v>114755</v>
      </c>
      <c r="G814" s="29" t="s">
        <v>1505</v>
      </c>
      <c r="H814" s="14">
        <v>43200</v>
      </c>
      <c r="I814" s="4" t="s">
        <v>1470</v>
      </c>
      <c r="J814" s="71" t="s">
        <v>1845</v>
      </c>
      <c r="O814" s="35"/>
      <c r="P814" s="35"/>
      <c r="Q814" s="35"/>
      <c r="R814" s="35"/>
      <c r="S814" s="35"/>
    </row>
    <row r="815" spans="1:19" s="62" customFormat="1" ht="13.95" hidden="1" customHeight="1" x14ac:dyDescent="0.25">
      <c r="A815" s="13" t="s">
        <v>1461</v>
      </c>
      <c r="B815" s="14">
        <v>43496</v>
      </c>
      <c r="C815" s="13">
        <v>227</v>
      </c>
      <c r="D815" s="13" t="s">
        <v>962</v>
      </c>
      <c r="E815" s="13" t="s">
        <v>130</v>
      </c>
      <c r="F815" s="37">
        <v>114755</v>
      </c>
      <c r="G815" s="29" t="s">
        <v>1506</v>
      </c>
      <c r="H815" s="14">
        <v>43196</v>
      </c>
      <c r="I815" s="4" t="s">
        <v>1470</v>
      </c>
      <c r="J815" s="71" t="s">
        <v>1870</v>
      </c>
      <c r="O815" s="35"/>
      <c r="P815" s="35"/>
      <c r="Q815" s="35"/>
      <c r="R815" s="35"/>
      <c r="S815" s="35"/>
    </row>
    <row r="816" spans="1:19" s="62" customFormat="1" ht="13.95" hidden="1" customHeight="1" x14ac:dyDescent="0.25">
      <c r="A816" s="13" t="s">
        <v>1462</v>
      </c>
      <c r="B816" s="14">
        <v>43496</v>
      </c>
      <c r="C816" s="13">
        <v>228</v>
      </c>
      <c r="D816" s="13" t="s">
        <v>962</v>
      </c>
      <c r="E816" s="13" t="s">
        <v>130</v>
      </c>
      <c r="F816" s="37">
        <v>114755</v>
      </c>
      <c r="G816" s="29" t="s">
        <v>1507</v>
      </c>
      <c r="H816" s="14">
        <v>43200</v>
      </c>
      <c r="I816" s="4" t="s">
        <v>1470</v>
      </c>
      <c r="J816" s="71" t="s">
        <v>1871</v>
      </c>
      <c r="O816" s="35"/>
      <c r="P816" s="35"/>
      <c r="Q816" s="35"/>
      <c r="R816" s="35"/>
      <c r="S816" s="35"/>
    </row>
    <row r="817" spans="1:19" s="62" customFormat="1" ht="13.95" hidden="1" customHeight="1" x14ac:dyDescent="0.25">
      <c r="A817" s="13" t="s">
        <v>1463</v>
      </c>
      <c r="B817" s="14">
        <v>43496</v>
      </c>
      <c r="C817" s="13">
        <v>229</v>
      </c>
      <c r="D817" s="13" t="s">
        <v>962</v>
      </c>
      <c r="E817" s="13" t="s">
        <v>130</v>
      </c>
      <c r="F817" s="37">
        <v>114755</v>
      </c>
      <c r="G817" s="29" t="s">
        <v>1508</v>
      </c>
      <c r="H817" s="14">
        <v>43200</v>
      </c>
      <c r="I817" s="4" t="s">
        <v>1470</v>
      </c>
      <c r="J817" s="71" t="s">
        <v>1872</v>
      </c>
      <c r="O817" s="35"/>
      <c r="P817" s="35"/>
      <c r="Q817" s="35"/>
      <c r="R817" s="35"/>
      <c r="S817" s="35"/>
    </row>
    <row r="818" spans="1:19" s="62" customFormat="1" ht="13.95" hidden="1" customHeight="1" x14ac:dyDescent="0.25">
      <c r="A818" s="13" t="s">
        <v>1464</v>
      </c>
      <c r="B818" s="14">
        <v>43496</v>
      </c>
      <c r="C818" s="13">
        <v>230</v>
      </c>
      <c r="D818" s="13" t="s">
        <v>962</v>
      </c>
      <c r="E818" s="13" t="s">
        <v>130</v>
      </c>
      <c r="F818" s="37">
        <v>114755</v>
      </c>
      <c r="G818" s="29" t="s">
        <v>1509</v>
      </c>
      <c r="H818" s="14">
        <v>43200</v>
      </c>
      <c r="I818" s="4" t="s">
        <v>1470</v>
      </c>
      <c r="J818" s="71" t="s">
        <v>1873</v>
      </c>
      <c r="O818" s="35"/>
      <c r="P818" s="35"/>
      <c r="Q818" s="35"/>
      <c r="R818" s="35"/>
      <c r="S818" s="35"/>
    </row>
    <row r="819" spans="1:19" s="62" customFormat="1" ht="13.95" hidden="1" customHeight="1" x14ac:dyDescent="0.25">
      <c r="A819" s="13" t="s">
        <v>442</v>
      </c>
      <c r="B819" s="14">
        <v>43496</v>
      </c>
      <c r="C819" s="13">
        <v>221</v>
      </c>
      <c r="D819" s="13" t="s">
        <v>267</v>
      </c>
      <c r="E819" s="13" t="s">
        <v>130</v>
      </c>
      <c r="F819" s="37">
        <v>82600</v>
      </c>
      <c r="G819" s="29" t="s">
        <v>1568</v>
      </c>
      <c r="H819" s="14">
        <v>43404</v>
      </c>
      <c r="I819" s="4" t="s">
        <v>576</v>
      </c>
      <c r="J819" s="71"/>
      <c r="O819" s="35"/>
      <c r="P819" s="35"/>
      <c r="Q819" s="35"/>
      <c r="R819" s="35"/>
      <c r="S819" s="35"/>
    </row>
    <row r="820" spans="1:19" s="62" customFormat="1" ht="13.95" hidden="1" customHeight="1" x14ac:dyDescent="0.25">
      <c r="A820" s="13" t="s">
        <v>442</v>
      </c>
      <c r="B820" s="14">
        <v>43496</v>
      </c>
      <c r="C820" s="13">
        <v>221</v>
      </c>
      <c r="D820" s="13" t="s">
        <v>267</v>
      </c>
      <c r="E820" s="13" t="s">
        <v>130</v>
      </c>
      <c r="F820" s="37">
        <v>82600</v>
      </c>
      <c r="G820" s="29" t="s">
        <v>176</v>
      </c>
      <c r="H820" s="14">
        <v>43434</v>
      </c>
      <c r="I820" s="4" t="s">
        <v>576</v>
      </c>
      <c r="J820" s="71"/>
      <c r="O820" s="35"/>
      <c r="P820" s="35"/>
      <c r="Q820" s="35"/>
      <c r="R820" s="35"/>
      <c r="S820" s="35"/>
    </row>
    <row r="821" spans="1:19" s="62" customFormat="1" ht="13.95" hidden="1" customHeight="1" x14ac:dyDescent="0.25">
      <c r="A821" s="13" t="s">
        <v>442</v>
      </c>
      <c r="B821" s="14">
        <v>43496</v>
      </c>
      <c r="C821" s="13">
        <v>221</v>
      </c>
      <c r="D821" s="13" t="s">
        <v>267</v>
      </c>
      <c r="E821" s="13" t="s">
        <v>130</v>
      </c>
      <c r="F821" s="37">
        <v>102200</v>
      </c>
      <c r="G821" s="29" t="s">
        <v>3316</v>
      </c>
      <c r="H821" s="14">
        <v>43465</v>
      </c>
      <c r="I821" s="4" t="s">
        <v>576</v>
      </c>
      <c r="J821" s="71"/>
      <c r="O821" s="35"/>
      <c r="P821" s="35"/>
      <c r="Q821" s="35"/>
      <c r="R821" s="35"/>
      <c r="S821" s="35"/>
    </row>
    <row r="822" spans="1:19" s="62" customFormat="1" ht="13.95" hidden="1" customHeight="1" x14ac:dyDescent="0.25">
      <c r="A822" s="13" t="s">
        <v>455</v>
      </c>
      <c r="B822" s="14">
        <v>43496</v>
      </c>
      <c r="C822" s="13">
        <v>222</v>
      </c>
      <c r="D822" s="13" t="s">
        <v>267</v>
      </c>
      <c r="E822" s="13" t="s">
        <v>130</v>
      </c>
      <c r="F822" s="37">
        <v>33600</v>
      </c>
      <c r="G822" s="29" t="s">
        <v>1549</v>
      </c>
      <c r="H822" s="14">
        <v>43404</v>
      </c>
      <c r="I822" s="4" t="s">
        <v>576</v>
      </c>
      <c r="J822" s="71"/>
      <c r="O822" s="35"/>
      <c r="P822" s="35"/>
      <c r="Q822" s="35"/>
      <c r="R822" s="35"/>
      <c r="S822" s="35"/>
    </row>
    <row r="823" spans="1:19" s="62" customFormat="1" ht="13.95" hidden="1" customHeight="1" x14ac:dyDescent="0.25">
      <c r="A823" s="13" t="s">
        <v>455</v>
      </c>
      <c r="B823" s="14">
        <v>43496</v>
      </c>
      <c r="C823" s="13">
        <v>222</v>
      </c>
      <c r="D823" s="13" t="s">
        <v>267</v>
      </c>
      <c r="E823" s="13" t="s">
        <v>130</v>
      </c>
      <c r="F823" s="37">
        <v>33600</v>
      </c>
      <c r="G823" s="29" t="s">
        <v>68</v>
      </c>
      <c r="H823" s="14">
        <v>43434</v>
      </c>
      <c r="I823" s="4" t="s">
        <v>576</v>
      </c>
      <c r="J823" s="71"/>
      <c r="O823" s="35"/>
      <c r="P823" s="35"/>
      <c r="Q823" s="35"/>
      <c r="R823" s="35"/>
      <c r="S823" s="35"/>
    </row>
    <row r="824" spans="1:19" s="62" customFormat="1" ht="13.95" hidden="1" customHeight="1" x14ac:dyDescent="0.25">
      <c r="A824" s="13" t="s">
        <v>455</v>
      </c>
      <c r="B824" s="14">
        <v>43496</v>
      </c>
      <c r="C824" s="13">
        <v>222</v>
      </c>
      <c r="D824" s="13" t="s">
        <v>267</v>
      </c>
      <c r="E824" s="13" t="s">
        <v>130</v>
      </c>
      <c r="F824" s="37">
        <v>33600</v>
      </c>
      <c r="G824" s="29" t="s">
        <v>32</v>
      </c>
      <c r="H824" s="14">
        <v>43465</v>
      </c>
      <c r="I824" s="4" t="s">
        <v>576</v>
      </c>
      <c r="J824" s="71"/>
      <c r="O824" s="35"/>
      <c r="P824" s="35"/>
      <c r="Q824" s="35"/>
      <c r="R824" s="35"/>
      <c r="S824" s="35"/>
    </row>
    <row r="825" spans="1:19" s="62" customFormat="1" ht="13.95" hidden="1" customHeight="1" x14ac:dyDescent="0.25">
      <c r="A825" s="13" t="s">
        <v>358</v>
      </c>
      <c r="B825" s="14">
        <v>43496</v>
      </c>
      <c r="C825" s="13">
        <v>223</v>
      </c>
      <c r="D825" s="13" t="s">
        <v>267</v>
      </c>
      <c r="E825" s="13" t="s">
        <v>130</v>
      </c>
      <c r="F825" s="37">
        <v>37100</v>
      </c>
      <c r="G825" s="29" t="s">
        <v>762</v>
      </c>
      <c r="H825" s="14">
        <v>43404</v>
      </c>
      <c r="I825" s="4" t="s">
        <v>576</v>
      </c>
      <c r="J825" s="71"/>
      <c r="O825" s="35"/>
      <c r="P825" s="35"/>
      <c r="Q825" s="35"/>
      <c r="R825" s="35"/>
      <c r="S825" s="35"/>
    </row>
    <row r="826" spans="1:19" s="62" customFormat="1" ht="13.95" hidden="1" customHeight="1" x14ac:dyDescent="0.25">
      <c r="A826" s="13" t="s">
        <v>358</v>
      </c>
      <c r="B826" s="14">
        <v>43496</v>
      </c>
      <c r="C826" s="13">
        <v>223</v>
      </c>
      <c r="D826" s="13" t="s">
        <v>267</v>
      </c>
      <c r="E826" s="13" t="s">
        <v>130</v>
      </c>
      <c r="F826" s="37">
        <v>37100</v>
      </c>
      <c r="G826" s="29" t="s">
        <v>65</v>
      </c>
      <c r="H826" s="14">
        <v>43434</v>
      </c>
      <c r="I826" s="4" t="s">
        <v>576</v>
      </c>
      <c r="J826" s="71"/>
      <c r="O826" s="35"/>
      <c r="P826" s="35"/>
      <c r="Q826" s="35"/>
      <c r="R826" s="35"/>
      <c r="S826" s="35"/>
    </row>
    <row r="827" spans="1:19" s="62" customFormat="1" ht="13.95" hidden="1" customHeight="1" x14ac:dyDescent="0.25">
      <c r="A827" s="13" t="s">
        <v>637</v>
      </c>
      <c r="B827" s="14">
        <v>43496</v>
      </c>
      <c r="C827" s="13">
        <v>224</v>
      </c>
      <c r="D827" s="13" t="s">
        <v>267</v>
      </c>
      <c r="E827" s="13" t="s">
        <v>130</v>
      </c>
      <c r="F827" s="37">
        <v>15400</v>
      </c>
      <c r="G827" s="29" t="s">
        <v>791</v>
      </c>
      <c r="H827" s="14">
        <v>43404</v>
      </c>
      <c r="I827" s="4" t="s">
        <v>576</v>
      </c>
      <c r="J827" s="71"/>
      <c r="O827" s="35"/>
      <c r="P827" s="35"/>
      <c r="Q827" s="35"/>
      <c r="R827" s="35"/>
      <c r="S827" s="35"/>
    </row>
    <row r="828" spans="1:19" s="62" customFormat="1" ht="13.95" hidden="1" customHeight="1" x14ac:dyDescent="0.25">
      <c r="A828" s="13" t="s">
        <v>637</v>
      </c>
      <c r="B828" s="14">
        <v>43496</v>
      </c>
      <c r="C828" s="13">
        <v>224</v>
      </c>
      <c r="D828" s="13" t="s">
        <v>267</v>
      </c>
      <c r="E828" s="13" t="s">
        <v>130</v>
      </c>
      <c r="F828" s="37">
        <v>15400</v>
      </c>
      <c r="G828" s="29" t="s">
        <v>1428</v>
      </c>
      <c r="H828" s="14">
        <v>43434</v>
      </c>
      <c r="I828" s="4" t="s">
        <v>576</v>
      </c>
      <c r="J828" s="71"/>
      <c r="O828" s="35"/>
      <c r="P828" s="35"/>
      <c r="Q828" s="35"/>
      <c r="R828" s="35"/>
      <c r="S828" s="35"/>
    </row>
    <row r="829" spans="1:19" ht="13.95" hidden="1" customHeight="1" x14ac:dyDescent="0.25">
      <c r="A829" s="13" t="s">
        <v>35</v>
      </c>
      <c r="B829" s="14">
        <v>43496</v>
      </c>
      <c r="C829" s="13">
        <v>220</v>
      </c>
      <c r="D829" s="32" t="s">
        <v>1112</v>
      </c>
      <c r="E829" s="32" t="s">
        <v>130</v>
      </c>
      <c r="F829" s="4">
        <v>593150.62999999989</v>
      </c>
      <c r="G829" s="69" t="s">
        <v>1912</v>
      </c>
      <c r="H829" s="14"/>
      <c r="I829" s="4" t="s">
        <v>1911</v>
      </c>
      <c r="J829" s="21"/>
      <c r="K829" s="228"/>
    </row>
    <row r="830" spans="1:19" ht="13.95" hidden="1" customHeight="1" x14ac:dyDescent="0.25">
      <c r="A830" s="68" t="s">
        <v>358</v>
      </c>
      <c r="B830" s="14">
        <v>43496</v>
      </c>
      <c r="C830" s="13">
        <v>334</v>
      </c>
      <c r="D830" s="32" t="s">
        <v>1077</v>
      </c>
      <c r="E830" s="32" t="s">
        <v>38</v>
      </c>
      <c r="F830" s="4">
        <v>5000000</v>
      </c>
      <c r="G830" s="86" t="s">
        <v>410</v>
      </c>
      <c r="H830" s="211"/>
      <c r="I830" s="208" t="s">
        <v>581</v>
      </c>
      <c r="J830" s="21"/>
      <c r="K830" s="228"/>
    </row>
    <row r="831" spans="1:19" hidden="1" x14ac:dyDescent="0.25">
      <c r="A831" s="32" t="s">
        <v>1637</v>
      </c>
      <c r="B831" s="14">
        <v>43496</v>
      </c>
      <c r="C831" s="13">
        <v>147</v>
      </c>
      <c r="D831" s="32" t="s">
        <v>1179</v>
      </c>
      <c r="E831" s="32" t="s">
        <v>62</v>
      </c>
      <c r="F831" s="4">
        <v>5000000</v>
      </c>
      <c r="G831" s="86" t="s">
        <v>1696</v>
      </c>
      <c r="H831" s="211"/>
      <c r="I831" s="208" t="s">
        <v>237</v>
      </c>
      <c r="J831" s="21"/>
      <c r="K831" s="228"/>
    </row>
    <row r="832" spans="1:19" hidden="1" x14ac:dyDescent="0.25">
      <c r="A832" s="32" t="s">
        <v>91</v>
      </c>
      <c r="B832" s="14">
        <v>43496</v>
      </c>
      <c r="C832" s="67">
        <v>148</v>
      </c>
      <c r="D832" s="32" t="s">
        <v>258</v>
      </c>
      <c r="E832" s="13" t="s">
        <v>62</v>
      </c>
      <c r="F832" s="4">
        <v>21920</v>
      </c>
      <c r="G832" s="67">
        <v>165</v>
      </c>
      <c r="H832" s="14">
        <v>43490</v>
      </c>
      <c r="I832" s="4" t="s">
        <v>187</v>
      </c>
      <c r="J832" s="21"/>
      <c r="K832" s="228"/>
    </row>
    <row r="833" spans="1:17" hidden="1" x14ac:dyDescent="0.25">
      <c r="A833" s="32" t="s">
        <v>92</v>
      </c>
      <c r="B833" s="14">
        <v>43496</v>
      </c>
      <c r="C833" s="67">
        <v>148</v>
      </c>
      <c r="D833" s="32" t="s">
        <v>258</v>
      </c>
      <c r="E833" s="13" t="s">
        <v>62</v>
      </c>
      <c r="F833" s="4">
        <v>36805</v>
      </c>
      <c r="G833" s="67">
        <v>166</v>
      </c>
      <c r="H833" s="14">
        <v>43490</v>
      </c>
      <c r="I833" s="4" t="s">
        <v>187</v>
      </c>
      <c r="J833" s="21"/>
      <c r="K833" s="228"/>
    </row>
    <row r="834" spans="1:17" ht="13.95" hidden="1" customHeight="1" x14ac:dyDescent="0.25">
      <c r="A834" s="13" t="s">
        <v>103</v>
      </c>
      <c r="B834" s="14">
        <v>43496</v>
      </c>
      <c r="C834" s="13">
        <v>149</v>
      </c>
      <c r="D834" s="32" t="s">
        <v>910</v>
      </c>
      <c r="E834" s="32" t="s">
        <v>62</v>
      </c>
      <c r="F834" s="4">
        <v>2920</v>
      </c>
      <c r="G834" s="29" t="s">
        <v>3554</v>
      </c>
      <c r="H834" s="14">
        <v>43465</v>
      </c>
      <c r="I834" s="41" t="s">
        <v>911</v>
      </c>
      <c r="J834" s="21" t="s">
        <v>327</v>
      </c>
      <c r="K834" s="228"/>
    </row>
    <row r="835" spans="1:17" hidden="1" x14ac:dyDescent="0.25">
      <c r="A835" s="13" t="s">
        <v>637</v>
      </c>
      <c r="B835" s="126">
        <v>43496</v>
      </c>
      <c r="C835" s="13">
        <v>56</v>
      </c>
      <c r="D835" s="13" t="s">
        <v>470</v>
      </c>
      <c r="E835" s="13" t="s">
        <v>691</v>
      </c>
      <c r="F835" s="37">
        <v>5000000</v>
      </c>
      <c r="G835" s="29" t="s">
        <v>1818</v>
      </c>
      <c r="H835" s="14"/>
      <c r="I835" s="208" t="s">
        <v>237</v>
      </c>
      <c r="J835" s="62"/>
      <c r="K835" s="62"/>
      <c r="L835" s="35"/>
      <c r="M835" s="35"/>
      <c r="N835" s="35"/>
      <c r="O835" s="35"/>
      <c r="P835" s="35"/>
    </row>
    <row r="836" spans="1:17" hidden="1" x14ac:dyDescent="0.25">
      <c r="A836" s="13" t="s">
        <v>637</v>
      </c>
      <c r="B836" s="126">
        <v>43496</v>
      </c>
      <c r="C836" s="13">
        <v>55</v>
      </c>
      <c r="D836" s="13" t="s">
        <v>528</v>
      </c>
      <c r="E836" s="13" t="s">
        <v>691</v>
      </c>
      <c r="F836" s="37">
        <v>15000000</v>
      </c>
      <c r="G836" s="29" t="s">
        <v>1649</v>
      </c>
      <c r="H836" s="14"/>
      <c r="I836" s="4" t="s">
        <v>1650</v>
      </c>
      <c r="J836" s="62"/>
      <c r="K836" s="62"/>
      <c r="L836" s="35"/>
      <c r="M836" s="35"/>
      <c r="N836" s="35"/>
      <c r="O836" s="35"/>
      <c r="P836" s="35"/>
    </row>
    <row r="837" spans="1:17" hidden="1" x14ac:dyDescent="0.25">
      <c r="A837" s="61" t="s">
        <v>188</v>
      </c>
      <c r="B837" s="14">
        <v>43496</v>
      </c>
      <c r="C837" s="13">
        <v>107</v>
      </c>
      <c r="D837" s="13" t="s">
        <v>1951</v>
      </c>
      <c r="E837" s="32" t="s">
        <v>808</v>
      </c>
      <c r="F837" s="4">
        <v>802004</v>
      </c>
      <c r="G837" s="86" t="s">
        <v>1952</v>
      </c>
      <c r="H837" s="211"/>
      <c r="I837" s="4" t="s">
        <v>1953</v>
      </c>
      <c r="J837" s="21"/>
      <c r="K837" s="228"/>
    </row>
    <row r="838" spans="1:17" hidden="1" x14ac:dyDescent="0.25">
      <c r="A838" s="13" t="s">
        <v>1148</v>
      </c>
      <c r="B838" s="14">
        <v>43496</v>
      </c>
      <c r="C838" s="13">
        <v>108</v>
      </c>
      <c r="D838" s="13" t="s">
        <v>1814</v>
      </c>
      <c r="E838" s="13" t="s">
        <v>808</v>
      </c>
      <c r="F838" s="37">
        <v>71980</v>
      </c>
      <c r="G838" s="29" t="s">
        <v>1295</v>
      </c>
      <c r="H838" s="14">
        <v>43392</v>
      </c>
      <c r="I838" s="4" t="s">
        <v>2057</v>
      </c>
      <c r="J838" s="71"/>
      <c r="K838" s="62"/>
      <c r="L838" s="62"/>
      <c r="M838" s="35"/>
      <c r="N838" s="35"/>
      <c r="O838" s="35"/>
      <c r="P838" s="35"/>
      <c r="Q838" s="35"/>
    </row>
    <row r="839" spans="1:17" hidden="1" x14ac:dyDescent="0.25">
      <c r="A839" s="13" t="s">
        <v>1149</v>
      </c>
      <c r="B839" s="14">
        <v>43496</v>
      </c>
      <c r="C839" s="13">
        <v>109</v>
      </c>
      <c r="D839" s="13" t="s">
        <v>1814</v>
      </c>
      <c r="E839" s="13" t="s">
        <v>808</v>
      </c>
      <c r="F839" s="37">
        <v>41949</v>
      </c>
      <c r="G839" s="29" t="s">
        <v>476</v>
      </c>
      <c r="H839" s="14">
        <v>43424</v>
      </c>
      <c r="I839" s="4" t="s">
        <v>2191</v>
      </c>
      <c r="J839" s="71"/>
      <c r="K839" s="62"/>
      <c r="L839" s="62"/>
      <c r="M839" s="35"/>
      <c r="N839" s="35"/>
      <c r="O839" s="35"/>
      <c r="P839" s="35"/>
      <c r="Q839" s="35"/>
    </row>
    <row r="840" spans="1:17" hidden="1" x14ac:dyDescent="0.25">
      <c r="A840" s="13" t="s">
        <v>1316</v>
      </c>
      <c r="B840" s="14">
        <v>43496</v>
      </c>
      <c r="C840" s="13">
        <v>110</v>
      </c>
      <c r="D840" s="13" t="s">
        <v>1708</v>
      </c>
      <c r="E840" s="13" t="s">
        <v>808</v>
      </c>
      <c r="F840" s="37">
        <v>18000</v>
      </c>
      <c r="G840" s="29" t="s">
        <v>71</v>
      </c>
      <c r="H840" s="14">
        <v>43423</v>
      </c>
      <c r="I840" s="4" t="s">
        <v>2366</v>
      </c>
      <c r="J840" s="71"/>
      <c r="K840" s="62"/>
      <c r="L840" s="62"/>
      <c r="M840" s="35"/>
      <c r="N840" s="35"/>
      <c r="O840" s="35"/>
      <c r="P840" s="35"/>
      <c r="Q840" s="35"/>
    </row>
    <row r="841" spans="1:17" hidden="1" x14ac:dyDescent="0.25">
      <c r="A841" s="13" t="s">
        <v>1147</v>
      </c>
      <c r="B841" s="14">
        <v>43496</v>
      </c>
      <c r="C841" s="13">
        <v>110</v>
      </c>
      <c r="D841" s="13" t="s">
        <v>1708</v>
      </c>
      <c r="E841" s="13" t="s">
        <v>808</v>
      </c>
      <c r="F841" s="37">
        <v>64900</v>
      </c>
      <c r="G841" s="29" t="s">
        <v>478</v>
      </c>
      <c r="H841" s="14">
        <v>43453</v>
      </c>
      <c r="I841" s="4" t="s">
        <v>2366</v>
      </c>
      <c r="J841" s="71"/>
      <c r="K841" s="62"/>
      <c r="L841" s="62"/>
      <c r="M841" s="35"/>
      <c r="N841" s="35"/>
      <c r="O841" s="35"/>
      <c r="P841" s="35"/>
      <c r="Q841" s="35"/>
    </row>
    <row r="842" spans="1:17" hidden="1" x14ac:dyDescent="0.25">
      <c r="A842" s="13" t="s">
        <v>659</v>
      </c>
      <c r="B842" s="14">
        <v>43496</v>
      </c>
      <c r="C842" s="13">
        <v>111</v>
      </c>
      <c r="D842" s="13" t="s">
        <v>3551</v>
      </c>
      <c r="E842" s="13" t="s">
        <v>808</v>
      </c>
      <c r="F842" s="37">
        <v>9550</v>
      </c>
      <c r="G842" s="29" t="s">
        <v>3552</v>
      </c>
      <c r="H842" s="14">
        <v>43490</v>
      </c>
      <c r="I842" s="4" t="s">
        <v>3553</v>
      </c>
      <c r="J842" s="71"/>
      <c r="K842" s="62"/>
      <c r="L842" s="62"/>
      <c r="M842" s="35"/>
      <c r="N842" s="35"/>
      <c r="O842" s="35"/>
      <c r="P842" s="35"/>
      <c r="Q842" s="35"/>
    </row>
    <row r="843" spans="1:17" hidden="1" x14ac:dyDescent="0.25">
      <c r="A843" s="61" t="s">
        <v>1147</v>
      </c>
      <c r="B843" s="14">
        <v>43496</v>
      </c>
      <c r="C843" s="13">
        <v>112</v>
      </c>
      <c r="D843" s="13" t="s">
        <v>2278</v>
      </c>
      <c r="E843" s="13" t="s">
        <v>808</v>
      </c>
      <c r="F843" s="37">
        <v>2043.7</v>
      </c>
      <c r="G843" s="29" t="s">
        <v>2695</v>
      </c>
      <c r="H843" s="14">
        <v>43455</v>
      </c>
      <c r="I843" s="4" t="s">
        <v>2696</v>
      </c>
    </row>
    <row r="844" spans="1:17" hidden="1" x14ac:dyDescent="0.25">
      <c r="A844" s="61" t="s">
        <v>1148</v>
      </c>
      <c r="B844" s="14">
        <v>43496</v>
      </c>
      <c r="C844" s="13">
        <v>114</v>
      </c>
      <c r="D844" s="13" t="s">
        <v>2278</v>
      </c>
      <c r="E844" s="13" t="s">
        <v>808</v>
      </c>
      <c r="F844" s="37">
        <v>780</v>
      </c>
      <c r="G844" s="29" t="s">
        <v>3536</v>
      </c>
      <c r="H844" s="14">
        <v>43481</v>
      </c>
      <c r="I844" s="4" t="s">
        <v>3537</v>
      </c>
      <c r="J844" s="128"/>
    </row>
    <row r="845" spans="1:17" hidden="1" x14ac:dyDescent="0.25">
      <c r="A845" s="61" t="s">
        <v>1148</v>
      </c>
      <c r="B845" s="14">
        <v>43496</v>
      </c>
      <c r="C845" s="13">
        <v>114</v>
      </c>
      <c r="D845" s="13" t="s">
        <v>2278</v>
      </c>
      <c r="E845" s="13" t="s">
        <v>808</v>
      </c>
      <c r="F845" s="37">
        <v>2260.02</v>
      </c>
      <c r="G845" s="29" t="s">
        <v>3417</v>
      </c>
      <c r="H845" s="14">
        <v>43483</v>
      </c>
      <c r="I845" s="4" t="s">
        <v>3418</v>
      </c>
      <c r="J845" s="128"/>
    </row>
    <row r="846" spans="1:17" hidden="1" x14ac:dyDescent="0.25">
      <c r="A846" s="61" t="s">
        <v>1148</v>
      </c>
      <c r="B846" s="14">
        <v>43496</v>
      </c>
      <c r="C846" s="13">
        <v>113</v>
      </c>
      <c r="D846" s="13" t="s">
        <v>29</v>
      </c>
      <c r="E846" s="13" t="s">
        <v>808</v>
      </c>
      <c r="F846" s="37">
        <v>114000</v>
      </c>
      <c r="G846" s="29" t="s">
        <v>726</v>
      </c>
      <c r="H846" s="14">
        <v>43427</v>
      </c>
      <c r="I846" s="4" t="s">
        <v>1061</v>
      </c>
    </row>
    <row r="847" spans="1:17" hidden="1" x14ac:dyDescent="0.25">
      <c r="A847" s="61" t="s">
        <v>1148</v>
      </c>
      <c r="B847" s="14">
        <v>43496</v>
      </c>
      <c r="C847" s="13">
        <v>113</v>
      </c>
      <c r="D847" s="13" t="s">
        <v>29</v>
      </c>
      <c r="E847" s="13" t="s">
        <v>808</v>
      </c>
      <c r="F847" s="37">
        <v>246000</v>
      </c>
      <c r="G847" s="29" t="s">
        <v>1604</v>
      </c>
      <c r="H847" s="14">
        <v>43434</v>
      </c>
      <c r="I847" s="4" t="s">
        <v>87</v>
      </c>
    </row>
    <row r="848" spans="1:17" hidden="1" x14ac:dyDescent="0.25">
      <c r="A848" s="32" t="s">
        <v>1316</v>
      </c>
      <c r="B848" s="14">
        <v>43496</v>
      </c>
      <c r="C848" s="13">
        <v>113</v>
      </c>
      <c r="D848" s="13" t="s">
        <v>29</v>
      </c>
      <c r="E848" s="13" t="s">
        <v>808</v>
      </c>
      <c r="F848" s="4">
        <v>6400</v>
      </c>
      <c r="G848" s="28" t="s">
        <v>3151</v>
      </c>
      <c r="H848" s="14">
        <v>43437</v>
      </c>
      <c r="I848" s="4" t="s">
        <v>87</v>
      </c>
    </row>
    <row r="849" spans="1:19" hidden="1" x14ac:dyDescent="0.25">
      <c r="A849" s="32" t="s">
        <v>1148</v>
      </c>
      <c r="B849" s="14">
        <v>43496</v>
      </c>
      <c r="C849" s="13">
        <v>113</v>
      </c>
      <c r="D849" s="13" t="s">
        <v>29</v>
      </c>
      <c r="E849" s="13" t="s">
        <v>808</v>
      </c>
      <c r="F849" s="4">
        <v>33000</v>
      </c>
      <c r="G849" s="28" t="s">
        <v>3152</v>
      </c>
      <c r="H849" s="14">
        <v>43440</v>
      </c>
      <c r="I849" s="4" t="s">
        <v>87</v>
      </c>
    </row>
    <row r="850" spans="1:19" hidden="1" x14ac:dyDescent="0.25">
      <c r="A850" s="32" t="s">
        <v>1148</v>
      </c>
      <c r="B850" s="14">
        <v>43496</v>
      </c>
      <c r="C850" s="13">
        <v>113</v>
      </c>
      <c r="D850" s="13" t="s">
        <v>29</v>
      </c>
      <c r="E850" s="13" t="s">
        <v>808</v>
      </c>
      <c r="F850" s="4">
        <v>168550</v>
      </c>
      <c r="G850" s="28" t="s">
        <v>2672</v>
      </c>
      <c r="H850" s="14">
        <v>43447</v>
      </c>
      <c r="I850" s="4" t="s">
        <v>87</v>
      </c>
    </row>
    <row r="851" spans="1:19" ht="27.6" hidden="1" x14ac:dyDescent="0.25">
      <c r="A851" s="13" t="s">
        <v>1894</v>
      </c>
      <c r="B851" s="14">
        <v>43496</v>
      </c>
      <c r="C851" s="13">
        <v>113</v>
      </c>
      <c r="D851" s="13" t="s">
        <v>29</v>
      </c>
      <c r="E851" s="13" t="s">
        <v>808</v>
      </c>
      <c r="F851" s="4">
        <v>178500</v>
      </c>
      <c r="G851" s="28" t="s">
        <v>1066</v>
      </c>
      <c r="H851" s="14">
        <v>43451</v>
      </c>
      <c r="I851" s="4" t="s">
        <v>511</v>
      </c>
    </row>
    <row r="852" spans="1:19" hidden="1" x14ac:dyDescent="0.25">
      <c r="A852" s="61" t="s">
        <v>261</v>
      </c>
      <c r="B852" s="14">
        <v>43496</v>
      </c>
      <c r="C852" s="13">
        <v>113</v>
      </c>
      <c r="D852" s="13" t="s">
        <v>29</v>
      </c>
      <c r="E852" s="13" t="s">
        <v>808</v>
      </c>
      <c r="F852" s="37">
        <v>12750</v>
      </c>
      <c r="G852" s="29" t="s">
        <v>3154</v>
      </c>
      <c r="H852" s="14">
        <v>43453</v>
      </c>
      <c r="I852" s="4" t="s">
        <v>87</v>
      </c>
    </row>
    <row r="853" spans="1:19" hidden="1" x14ac:dyDescent="0.25">
      <c r="A853" s="61" t="s">
        <v>261</v>
      </c>
      <c r="B853" s="14">
        <v>43496</v>
      </c>
      <c r="C853" s="13">
        <v>113</v>
      </c>
      <c r="D853" s="13" t="s">
        <v>29</v>
      </c>
      <c r="E853" s="13" t="s">
        <v>808</v>
      </c>
      <c r="F853" s="37">
        <v>60750</v>
      </c>
      <c r="G853" s="29" t="s">
        <v>3155</v>
      </c>
      <c r="H853" s="14">
        <v>43454</v>
      </c>
      <c r="I853" s="4" t="s">
        <v>87</v>
      </c>
    </row>
    <row r="854" spans="1:19" hidden="1" x14ac:dyDescent="0.25">
      <c r="A854" s="61" t="s">
        <v>1316</v>
      </c>
      <c r="B854" s="14">
        <v>43496</v>
      </c>
      <c r="C854" s="13">
        <v>113</v>
      </c>
      <c r="D854" s="13" t="s">
        <v>29</v>
      </c>
      <c r="E854" s="13" t="s">
        <v>808</v>
      </c>
      <c r="F854" s="37">
        <v>88250</v>
      </c>
      <c r="G854" s="29" t="s">
        <v>3156</v>
      </c>
      <c r="H854" s="14">
        <v>43455</v>
      </c>
      <c r="I854" s="4" t="s">
        <v>87</v>
      </c>
    </row>
    <row r="855" spans="1:19" hidden="1" x14ac:dyDescent="0.25">
      <c r="A855" s="13" t="s">
        <v>1148</v>
      </c>
      <c r="B855" s="14">
        <v>43496</v>
      </c>
      <c r="C855" s="13">
        <v>113</v>
      </c>
      <c r="D855" s="13" t="s">
        <v>29</v>
      </c>
      <c r="E855" s="13" t="s">
        <v>808</v>
      </c>
      <c r="F855" s="37">
        <v>480225</v>
      </c>
      <c r="G855" s="29" t="s">
        <v>3157</v>
      </c>
      <c r="H855" s="14">
        <v>43458</v>
      </c>
      <c r="I855" s="4" t="s">
        <v>1061</v>
      </c>
    </row>
    <row r="856" spans="1:19" hidden="1" x14ac:dyDescent="0.25">
      <c r="A856" s="61" t="s">
        <v>1149</v>
      </c>
      <c r="B856" s="14">
        <v>43496</v>
      </c>
      <c r="C856" s="13">
        <v>113</v>
      </c>
      <c r="D856" s="13" t="s">
        <v>29</v>
      </c>
      <c r="E856" s="13" t="s">
        <v>808</v>
      </c>
      <c r="F856" s="37">
        <v>33000</v>
      </c>
      <c r="G856" s="29" t="s">
        <v>3159</v>
      </c>
      <c r="H856" s="14">
        <v>43460</v>
      </c>
      <c r="I856" s="4" t="s">
        <v>87</v>
      </c>
    </row>
    <row r="857" spans="1:19" hidden="1" x14ac:dyDescent="0.25">
      <c r="A857" s="32" t="s">
        <v>1148</v>
      </c>
      <c r="B857" s="14">
        <v>43496</v>
      </c>
      <c r="C857" s="13">
        <v>113</v>
      </c>
      <c r="D857" s="13" t="s">
        <v>29</v>
      </c>
      <c r="E857" s="13" t="s">
        <v>808</v>
      </c>
      <c r="F857" s="4">
        <v>51000</v>
      </c>
      <c r="G857" s="28" t="s">
        <v>3161</v>
      </c>
      <c r="H857" s="14">
        <v>43462</v>
      </c>
      <c r="I857" s="4" t="s">
        <v>419</v>
      </c>
    </row>
    <row r="858" spans="1:19" hidden="1" x14ac:dyDescent="0.25">
      <c r="A858" s="32" t="s">
        <v>1147</v>
      </c>
      <c r="B858" s="14">
        <v>43496</v>
      </c>
      <c r="C858" s="13">
        <v>113</v>
      </c>
      <c r="D858" s="13" t="s">
        <v>29</v>
      </c>
      <c r="E858" s="13" t="s">
        <v>808</v>
      </c>
      <c r="F858" s="4">
        <v>9600</v>
      </c>
      <c r="G858" s="28" t="s">
        <v>3162</v>
      </c>
      <c r="H858" s="14">
        <v>43462</v>
      </c>
      <c r="I858" s="4" t="s">
        <v>87</v>
      </c>
    </row>
    <row r="859" spans="1:19" ht="27.6" hidden="1" x14ac:dyDescent="0.25">
      <c r="A859" s="32" t="s">
        <v>1806</v>
      </c>
      <c r="B859" s="14">
        <v>43496</v>
      </c>
      <c r="C859" s="13">
        <v>113</v>
      </c>
      <c r="D859" s="13" t="s">
        <v>29</v>
      </c>
      <c r="E859" s="13" t="s">
        <v>808</v>
      </c>
      <c r="F859" s="4">
        <v>210000</v>
      </c>
      <c r="G859" s="28" t="s">
        <v>3163</v>
      </c>
      <c r="H859" s="14">
        <v>43463</v>
      </c>
      <c r="I859" s="4" t="s">
        <v>511</v>
      </c>
    </row>
    <row r="860" spans="1:19" ht="27.6" hidden="1" x14ac:dyDescent="0.25">
      <c r="A860" s="61" t="s">
        <v>2046</v>
      </c>
      <c r="B860" s="14">
        <v>43496</v>
      </c>
      <c r="C860" s="13">
        <v>113</v>
      </c>
      <c r="D860" s="13" t="s">
        <v>29</v>
      </c>
      <c r="E860" s="13" t="s">
        <v>808</v>
      </c>
      <c r="F860" s="37">
        <v>310450</v>
      </c>
      <c r="G860" s="29" t="s">
        <v>3164</v>
      </c>
      <c r="H860" s="14">
        <v>43463</v>
      </c>
      <c r="I860" s="4" t="s">
        <v>87</v>
      </c>
    </row>
    <row r="861" spans="1:19" ht="15" hidden="1" customHeight="1" x14ac:dyDescent="0.25">
      <c r="A861" s="32" t="s">
        <v>41</v>
      </c>
      <c r="B861" s="14">
        <v>43496</v>
      </c>
      <c r="C861" s="67">
        <v>26</v>
      </c>
      <c r="D861" s="32" t="s">
        <v>200</v>
      </c>
      <c r="E861" s="32" t="s">
        <v>195</v>
      </c>
      <c r="F861" s="4">
        <v>500000</v>
      </c>
      <c r="G861" s="28" t="s">
        <v>2431</v>
      </c>
      <c r="H861" s="14">
        <v>43446</v>
      </c>
      <c r="I861" s="4" t="s">
        <v>284</v>
      </c>
      <c r="J861" s="166" t="s">
        <v>239</v>
      </c>
      <c r="K861" s="167"/>
      <c r="L861" s="35"/>
    </row>
    <row r="862" spans="1:19" s="62" customFormat="1" ht="13.95" hidden="1" customHeight="1" x14ac:dyDescent="0.25">
      <c r="A862" s="13" t="s">
        <v>311</v>
      </c>
      <c r="B862" s="14">
        <v>43496</v>
      </c>
      <c r="C862" s="13">
        <v>233</v>
      </c>
      <c r="D862" s="13" t="s">
        <v>3269</v>
      </c>
      <c r="E862" s="13" t="s">
        <v>130</v>
      </c>
      <c r="F862" s="37">
        <v>300000</v>
      </c>
      <c r="G862" s="29" t="s">
        <v>3270</v>
      </c>
      <c r="H862" s="14">
        <v>43459</v>
      </c>
      <c r="I862" s="4" t="s">
        <v>1150</v>
      </c>
      <c r="J862" s="71"/>
      <c r="O862" s="35"/>
      <c r="P862" s="35"/>
      <c r="Q862" s="35"/>
      <c r="R862" s="35"/>
      <c r="S862" s="35"/>
    </row>
    <row r="863" spans="1:19" s="62" customFormat="1" ht="13.95" hidden="1" customHeight="1" x14ac:dyDescent="0.25">
      <c r="A863" s="13" t="s">
        <v>311</v>
      </c>
      <c r="B863" s="14">
        <v>43496</v>
      </c>
      <c r="C863" s="13">
        <v>113</v>
      </c>
      <c r="D863" s="13" t="s">
        <v>3269</v>
      </c>
      <c r="E863" s="13" t="s">
        <v>60</v>
      </c>
      <c r="F863" s="37">
        <v>200000</v>
      </c>
      <c r="G863" s="29" t="s">
        <v>3271</v>
      </c>
      <c r="H863" s="14">
        <v>43459</v>
      </c>
      <c r="I863" s="4" t="s">
        <v>1150</v>
      </c>
      <c r="J863" s="71"/>
      <c r="O863" s="35"/>
      <c r="P863" s="35"/>
      <c r="Q863" s="35"/>
      <c r="R863" s="35"/>
      <c r="S863" s="35"/>
    </row>
    <row r="864" spans="1:19" ht="15" hidden="1" customHeight="1" x14ac:dyDescent="0.25">
      <c r="A864" s="13" t="s">
        <v>184</v>
      </c>
      <c r="B864" s="14">
        <v>43496</v>
      </c>
      <c r="C864" s="13">
        <v>99</v>
      </c>
      <c r="D864" s="13" t="s">
        <v>1215</v>
      </c>
      <c r="E864" s="32" t="s">
        <v>1121</v>
      </c>
      <c r="F864" s="4">
        <v>147900</v>
      </c>
      <c r="G864" s="28" t="s">
        <v>3141</v>
      </c>
      <c r="H864" s="14">
        <v>43474</v>
      </c>
      <c r="I864" s="4" t="s">
        <v>1865</v>
      </c>
      <c r="J864" s="76" t="s">
        <v>239</v>
      </c>
    </row>
    <row r="865" spans="1:19" ht="15" hidden="1" customHeight="1" x14ac:dyDescent="0.25">
      <c r="A865" s="13" t="s">
        <v>184</v>
      </c>
      <c r="B865" s="14">
        <v>43496</v>
      </c>
      <c r="C865" s="13">
        <v>99</v>
      </c>
      <c r="D865" s="13" t="s">
        <v>1215</v>
      </c>
      <c r="E865" s="32" t="s">
        <v>1121</v>
      </c>
      <c r="F865" s="4">
        <v>286905.09000000003</v>
      </c>
      <c r="G865" s="28" t="s">
        <v>3142</v>
      </c>
      <c r="H865" s="14">
        <v>43474</v>
      </c>
      <c r="I865" s="4" t="s">
        <v>2218</v>
      </c>
      <c r="J865" s="76" t="s">
        <v>239</v>
      </c>
    </row>
    <row r="866" spans="1:19" ht="15" hidden="1" customHeight="1" x14ac:dyDescent="0.25">
      <c r="A866" s="13" t="s">
        <v>184</v>
      </c>
      <c r="B866" s="14">
        <v>43496</v>
      </c>
      <c r="C866" s="13">
        <v>99</v>
      </c>
      <c r="D866" s="13" t="s">
        <v>1215</v>
      </c>
      <c r="E866" s="32" t="s">
        <v>1121</v>
      </c>
      <c r="F866" s="4">
        <v>34320</v>
      </c>
      <c r="G866" s="28" t="s">
        <v>3104</v>
      </c>
      <c r="H866" s="14">
        <v>43474</v>
      </c>
      <c r="I866" s="4" t="s">
        <v>1216</v>
      </c>
      <c r="J866" s="76" t="s">
        <v>239</v>
      </c>
    </row>
    <row r="867" spans="1:19" ht="15" hidden="1" customHeight="1" x14ac:dyDescent="0.25">
      <c r="A867" s="13" t="s">
        <v>184</v>
      </c>
      <c r="B867" s="14">
        <v>43496</v>
      </c>
      <c r="C867" s="13">
        <v>99</v>
      </c>
      <c r="D867" s="13" t="s">
        <v>1215</v>
      </c>
      <c r="E867" s="32" t="s">
        <v>1121</v>
      </c>
      <c r="F867" s="4">
        <v>34626</v>
      </c>
      <c r="G867" s="28" t="s">
        <v>1158</v>
      </c>
      <c r="H867" s="14">
        <v>43474</v>
      </c>
      <c r="I867" s="4" t="s">
        <v>1216</v>
      </c>
      <c r="J867" s="76" t="s">
        <v>239</v>
      </c>
    </row>
    <row r="868" spans="1:19" ht="15" hidden="1" customHeight="1" x14ac:dyDescent="0.25">
      <c r="A868" s="13" t="s">
        <v>184</v>
      </c>
      <c r="B868" s="14">
        <v>43496</v>
      </c>
      <c r="C868" s="13">
        <v>100</v>
      </c>
      <c r="D868" s="13" t="s">
        <v>1215</v>
      </c>
      <c r="E868" s="32" t="s">
        <v>1121</v>
      </c>
      <c r="F868" s="4">
        <v>150417</v>
      </c>
      <c r="G868" s="28" t="s">
        <v>199</v>
      </c>
      <c r="H868" s="14">
        <v>43474</v>
      </c>
      <c r="I868" s="4" t="s">
        <v>293</v>
      </c>
      <c r="J868" s="76" t="s">
        <v>239</v>
      </c>
    </row>
    <row r="869" spans="1:19" ht="15" hidden="1" customHeight="1" x14ac:dyDescent="0.25">
      <c r="A869" s="13" t="s">
        <v>184</v>
      </c>
      <c r="B869" s="14">
        <v>43496</v>
      </c>
      <c r="C869" s="13">
        <v>100</v>
      </c>
      <c r="D869" s="13" t="s">
        <v>1215</v>
      </c>
      <c r="E869" s="32" t="s">
        <v>1121</v>
      </c>
      <c r="F869" s="4">
        <v>45900</v>
      </c>
      <c r="G869" s="28" t="s">
        <v>86</v>
      </c>
      <c r="H869" s="14">
        <v>43474</v>
      </c>
      <c r="I869" s="4" t="s">
        <v>3482</v>
      </c>
      <c r="J869" s="76" t="s">
        <v>239</v>
      </c>
    </row>
    <row r="870" spans="1:19" ht="15" hidden="1" customHeight="1" x14ac:dyDescent="0.25">
      <c r="A870" s="13" t="s">
        <v>184</v>
      </c>
      <c r="B870" s="14">
        <v>43496</v>
      </c>
      <c r="C870" s="13">
        <v>101</v>
      </c>
      <c r="D870" s="13" t="s">
        <v>1215</v>
      </c>
      <c r="E870" s="32" t="s">
        <v>1121</v>
      </c>
      <c r="F870" s="4">
        <v>19500</v>
      </c>
      <c r="G870" s="28" t="s">
        <v>3481</v>
      </c>
      <c r="H870" s="14">
        <v>43458</v>
      </c>
      <c r="I870" s="4" t="s">
        <v>1248</v>
      </c>
      <c r="J870" s="76"/>
    </row>
    <row r="871" spans="1:19" ht="30" hidden="1" customHeight="1" x14ac:dyDescent="0.25">
      <c r="A871" s="13" t="s">
        <v>184</v>
      </c>
      <c r="B871" s="14">
        <v>43496</v>
      </c>
      <c r="C871" s="13">
        <v>102</v>
      </c>
      <c r="D871" s="13" t="s">
        <v>104</v>
      </c>
      <c r="E871" s="32" t="s">
        <v>1121</v>
      </c>
      <c r="F871" s="4">
        <v>150000</v>
      </c>
      <c r="G871" s="28" t="s">
        <v>2961</v>
      </c>
      <c r="H871" s="14">
        <v>43475</v>
      </c>
      <c r="I871" s="4" t="s">
        <v>3483</v>
      </c>
      <c r="J871" s="76" t="s">
        <v>3484</v>
      </c>
    </row>
    <row r="872" spans="1:19" ht="15" hidden="1" customHeight="1" x14ac:dyDescent="0.25">
      <c r="A872" s="13" t="s">
        <v>184</v>
      </c>
      <c r="B872" s="14">
        <v>43496</v>
      </c>
      <c r="C872" s="13">
        <v>103</v>
      </c>
      <c r="D872" s="13" t="s">
        <v>2340</v>
      </c>
      <c r="E872" s="32" t="s">
        <v>1121</v>
      </c>
      <c r="F872" s="4">
        <v>131760</v>
      </c>
      <c r="G872" s="28" t="s">
        <v>2961</v>
      </c>
      <c r="H872" s="14">
        <v>43474</v>
      </c>
      <c r="I872" s="4" t="s">
        <v>2341</v>
      </c>
      <c r="J872" s="76" t="s">
        <v>2962</v>
      </c>
    </row>
    <row r="873" spans="1:19" ht="16.5" hidden="1" customHeight="1" x14ac:dyDescent="0.25">
      <c r="A873" s="13" t="s">
        <v>184</v>
      </c>
      <c r="B873" s="14">
        <v>43496</v>
      </c>
      <c r="C873" s="67">
        <v>104</v>
      </c>
      <c r="D873" s="32" t="s">
        <v>189</v>
      </c>
      <c r="E873" s="32" t="s">
        <v>1121</v>
      </c>
      <c r="F873" s="4">
        <v>112000</v>
      </c>
      <c r="G873" s="28" t="s">
        <v>2961</v>
      </c>
      <c r="H873" s="14">
        <v>43474</v>
      </c>
      <c r="I873" s="4" t="s">
        <v>2146</v>
      </c>
      <c r="J873" s="263" t="s">
        <v>2969</v>
      </c>
      <c r="K873" s="63"/>
      <c r="L873" s="62"/>
    </row>
    <row r="874" spans="1:19" ht="16.5" hidden="1" customHeight="1" x14ac:dyDescent="0.25">
      <c r="A874" s="13" t="s">
        <v>184</v>
      </c>
      <c r="B874" s="14">
        <v>43496</v>
      </c>
      <c r="C874" s="67">
        <v>104</v>
      </c>
      <c r="D874" s="32" t="s">
        <v>189</v>
      </c>
      <c r="E874" s="32" t="s">
        <v>1121</v>
      </c>
      <c r="F874" s="4">
        <v>14000</v>
      </c>
      <c r="G874" s="28" t="s">
        <v>458</v>
      </c>
      <c r="H874" s="14">
        <v>43474</v>
      </c>
      <c r="I874" s="4" t="s">
        <v>1648</v>
      </c>
      <c r="J874" s="76" t="s">
        <v>239</v>
      </c>
      <c r="K874" s="63"/>
      <c r="L874" s="62"/>
    </row>
    <row r="875" spans="1:19" hidden="1" x14ac:dyDescent="0.25">
      <c r="A875" s="13" t="s">
        <v>184</v>
      </c>
      <c r="B875" s="14">
        <v>43496</v>
      </c>
      <c r="C875" s="13">
        <v>105</v>
      </c>
      <c r="D875" s="13" t="s">
        <v>163</v>
      </c>
      <c r="E875" s="32" t="s">
        <v>1121</v>
      </c>
      <c r="F875" s="4">
        <v>56900</v>
      </c>
      <c r="G875" s="28" t="s">
        <v>3375</v>
      </c>
      <c r="H875" s="14">
        <v>43480</v>
      </c>
      <c r="I875" s="4" t="s">
        <v>3480</v>
      </c>
      <c r="J875" s="76"/>
    </row>
    <row r="876" spans="1:19" ht="15" hidden="1" customHeight="1" x14ac:dyDescent="0.25">
      <c r="A876" s="13" t="s">
        <v>964</v>
      </c>
      <c r="B876" s="14">
        <v>43496</v>
      </c>
      <c r="C876" s="13">
        <v>106</v>
      </c>
      <c r="D876" s="13" t="s">
        <v>321</v>
      </c>
      <c r="E876" s="32" t="s">
        <v>1121</v>
      </c>
      <c r="F876" s="4">
        <v>90000</v>
      </c>
      <c r="G876" s="28" t="s">
        <v>1209</v>
      </c>
      <c r="H876" s="14" t="s">
        <v>2882</v>
      </c>
      <c r="I876" s="4" t="s">
        <v>607</v>
      </c>
      <c r="J876" s="76" t="s">
        <v>2881</v>
      </c>
      <c r="L876" s="76"/>
    </row>
    <row r="877" spans="1:19" hidden="1" x14ac:dyDescent="0.25">
      <c r="A877" s="32" t="s">
        <v>151</v>
      </c>
      <c r="B877" s="14">
        <v>43496</v>
      </c>
      <c r="C877" s="13">
        <v>107</v>
      </c>
      <c r="D877" s="13" t="s">
        <v>223</v>
      </c>
      <c r="E877" s="32" t="s">
        <v>1121</v>
      </c>
      <c r="F877" s="4">
        <v>22940</v>
      </c>
      <c r="G877" s="28" t="s">
        <v>350</v>
      </c>
      <c r="H877" s="14">
        <v>43447</v>
      </c>
      <c r="I877" s="4" t="s">
        <v>3072</v>
      </c>
      <c r="J877" s="76"/>
      <c r="K877" s="246"/>
    </row>
    <row r="878" spans="1:19" ht="27.6" hidden="1" x14ac:dyDescent="0.25">
      <c r="A878" s="32" t="s">
        <v>151</v>
      </c>
      <c r="B878" s="14">
        <v>43496</v>
      </c>
      <c r="C878" s="67">
        <v>108</v>
      </c>
      <c r="D878" s="32" t="s">
        <v>412</v>
      </c>
      <c r="E878" s="13" t="s">
        <v>1121</v>
      </c>
      <c r="F878" s="4">
        <v>90000</v>
      </c>
      <c r="G878" s="13">
        <v>5</v>
      </c>
      <c r="H878" s="14">
        <v>43474</v>
      </c>
      <c r="I878" s="4" t="s">
        <v>2079</v>
      </c>
      <c r="J878" s="22" t="s">
        <v>239</v>
      </c>
      <c r="K878" s="245"/>
    </row>
    <row r="879" spans="1:19" ht="13.8" hidden="1" customHeight="1" x14ac:dyDescent="0.25">
      <c r="A879" s="32" t="s">
        <v>151</v>
      </c>
      <c r="B879" s="14">
        <v>43496</v>
      </c>
      <c r="C879" s="67">
        <v>109</v>
      </c>
      <c r="D879" s="32" t="s">
        <v>412</v>
      </c>
      <c r="E879" s="13" t="s">
        <v>1121</v>
      </c>
      <c r="F879" s="4">
        <v>20000</v>
      </c>
      <c r="G879" s="13">
        <v>3</v>
      </c>
      <c r="H879" s="14">
        <v>43474</v>
      </c>
      <c r="I879" s="4" t="s">
        <v>1908</v>
      </c>
      <c r="J879" s="22" t="s">
        <v>239</v>
      </c>
      <c r="K879" s="245"/>
    </row>
    <row r="880" spans="1:19" s="115" customFormat="1" ht="15.6" hidden="1" x14ac:dyDescent="0.25">
      <c r="A880" s="13" t="s">
        <v>638</v>
      </c>
      <c r="B880" s="14">
        <v>43496</v>
      </c>
      <c r="C880" s="13" t="s">
        <v>3640</v>
      </c>
      <c r="D880" s="13" t="s">
        <v>873</v>
      </c>
      <c r="E880" s="13" t="s">
        <v>547</v>
      </c>
      <c r="F880" s="37">
        <f>1824616.81-800000</f>
        <v>1024616.81</v>
      </c>
      <c r="G880" s="13" t="s">
        <v>874</v>
      </c>
      <c r="H880" s="126">
        <v>43376</v>
      </c>
      <c r="I880" s="29" t="s">
        <v>875</v>
      </c>
      <c r="K880" s="116"/>
      <c r="L880" s="116"/>
      <c r="M880" s="116"/>
      <c r="N880" s="116"/>
      <c r="O880" s="117"/>
      <c r="P880" s="117"/>
      <c r="Q880" s="117"/>
      <c r="R880" s="117"/>
      <c r="S880" s="117"/>
    </row>
    <row r="881" spans="1:12" ht="13.95" hidden="1" customHeight="1" x14ac:dyDescent="0.25">
      <c r="A881" s="68" t="s">
        <v>638</v>
      </c>
      <c r="B881" s="14">
        <v>43496</v>
      </c>
      <c r="C881" s="67">
        <v>98</v>
      </c>
      <c r="D881" s="32" t="s">
        <v>595</v>
      </c>
      <c r="E881" s="32" t="s">
        <v>547</v>
      </c>
      <c r="F881" s="4">
        <v>755168.31</v>
      </c>
      <c r="G881" s="28" t="s">
        <v>2937</v>
      </c>
      <c r="H881" s="14">
        <v>43434</v>
      </c>
      <c r="I881" s="41" t="s">
        <v>949</v>
      </c>
      <c r="J881" s="166" t="s">
        <v>323</v>
      </c>
      <c r="K881" s="167"/>
      <c r="L881" s="35"/>
    </row>
    <row r="882" spans="1:12" ht="15" hidden="1" customHeight="1" x14ac:dyDescent="0.25">
      <c r="A882" s="13" t="s">
        <v>455</v>
      </c>
      <c r="B882" s="14">
        <v>43496</v>
      </c>
      <c r="C882" s="13">
        <v>87</v>
      </c>
      <c r="D882" s="13" t="s">
        <v>650</v>
      </c>
      <c r="E882" s="13" t="s">
        <v>440</v>
      </c>
      <c r="F882" s="37">
        <v>58781.37</v>
      </c>
      <c r="G882" s="29" t="s">
        <v>3274</v>
      </c>
      <c r="H882" s="14">
        <v>43474</v>
      </c>
      <c r="I882" s="4" t="s">
        <v>3275</v>
      </c>
      <c r="J882" s="76"/>
    </row>
    <row r="883" spans="1:12" hidden="1" x14ac:dyDescent="0.25">
      <c r="A883" s="13" t="s">
        <v>213</v>
      </c>
      <c r="B883" s="242">
        <v>43496</v>
      </c>
      <c r="C883" s="13">
        <v>232</v>
      </c>
      <c r="D883" s="13" t="s">
        <v>1930</v>
      </c>
      <c r="E883" s="13" t="s">
        <v>130</v>
      </c>
      <c r="F883" s="37">
        <v>748111.4</v>
      </c>
      <c r="G883" s="69" t="s">
        <v>3358</v>
      </c>
      <c r="H883" s="14"/>
      <c r="I883" s="4" t="s">
        <v>1676</v>
      </c>
      <c r="J883" s="169"/>
    </row>
    <row r="884" spans="1:12" hidden="1" x14ac:dyDescent="0.25">
      <c r="A884" s="13" t="s">
        <v>261</v>
      </c>
      <c r="B884" s="242">
        <v>43496</v>
      </c>
      <c r="C884" s="13">
        <v>115</v>
      </c>
      <c r="D884" s="13" t="s">
        <v>1930</v>
      </c>
      <c r="E884" s="13" t="s">
        <v>808</v>
      </c>
      <c r="F884" s="37">
        <v>252000</v>
      </c>
      <c r="G884" s="69" t="s">
        <v>3359</v>
      </c>
      <c r="H884" s="14"/>
      <c r="I884" s="4" t="s">
        <v>1676</v>
      </c>
      <c r="J884" s="169"/>
    </row>
    <row r="885" spans="1:12" hidden="1" x14ac:dyDescent="0.25">
      <c r="A885" s="68" t="s">
        <v>1148</v>
      </c>
      <c r="B885" s="242">
        <v>43496</v>
      </c>
      <c r="C885" s="13">
        <v>116</v>
      </c>
      <c r="D885" s="32" t="s">
        <v>454</v>
      </c>
      <c r="E885" s="32" t="s">
        <v>808</v>
      </c>
      <c r="F885" s="4">
        <v>7000000</v>
      </c>
      <c r="G885" s="86" t="s">
        <v>2193</v>
      </c>
      <c r="H885" s="211"/>
      <c r="I885" s="4" t="s">
        <v>24</v>
      </c>
      <c r="J885" s="21"/>
      <c r="K885" s="228"/>
    </row>
    <row r="886" spans="1:12" hidden="1" x14ac:dyDescent="0.25">
      <c r="A886" s="32" t="s">
        <v>1316</v>
      </c>
      <c r="B886" s="242">
        <v>43496</v>
      </c>
      <c r="C886" s="67">
        <v>117</v>
      </c>
      <c r="D886" s="32" t="s">
        <v>1891</v>
      </c>
      <c r="E886" s="13" t="s">
        <v>808</v>
      </c>
      <c r="F886" s="4">
        <v>91320</v>
      </c>
      <c r="G886" s="67">
        <v>54</v>
      </c>
      <c r="H886" s="14">
        <v>43454</v>
      </c>
      <c r="I886" s="4" t="s">
        <v>2096</v>
      </c>
      <c r="J886" s="21"/>
      <c r="K886" s="228"/>
    </row>
    <row r="887" spans="1:12" s="97" customFormat="1" hidden="1" x14ac:dyDescent="0.25">
      <c r="A887" s="68" t="s">
        <v>160</v>
      </c>
      <c r="B887" s="242">
        <v>43496</v>
      </c>
      <c r="C887" s="13">
        <v>118</v>
      </c>
      <c r="D887" s="13" t="s">
        <v>982</v>
      </c>
      <c r="E887" s="13" t="s">
        <v>808</v>
      </c>
      <c r="F887" s="37">
        <v>200171.01</v>
      </c>
      <c r="G887" s="29" t="s">
        <v>1094</v>
      </c>
      <c r="H887" s="14">
        <v>42992</v>
      </c>
      <c r="I887" s="4" t="s">
        <v>1093</v>
      </c>
      <c r="J887" s="133"/>
      <c r="K887" s="22"/>
      <c r="L887" s="134"/>
    </row>
    <row r="888" spans="1:12" s="97" customFormat="1" hidden="1" x14ac:dyDescent="0.25">
      <c r="A888" s="61" t="s">
        <v>1149</v>
      </c>
      <c r="B888" s="242">
        <v>43496</v>
      </c>
      <c r="C888" s="13">
        <v>119</v>
      </c>
      <c r="D888" s="13" t="s">
        <v>257</v>
      </c>
      <c r="E888" s="13" t="s">
        <v>808</v>
      </c>
      <c r="F888" s="37">
        <v>916189</v>
      </c>
      <c r="G888" s="210" t="s">
        <v>2390</v>
      </c>
      <c r="H888" s="211">
        <v>43445</v>
      </c>
      <c r="I888" s="4" t="s">
        <v>1118</v>
      </c>
      <c r="J888" s="133"/>
      <c r="K888" s="22"/>
      <c r="L888" s="134"/>
    </row>
    <row r="889" spans="1:12" s="97" customFormat="1" hidden="1" x14ac:dyDescent="0.25">
      <c r="A889" s="14" t="s">
        <v>1147</v>
      </c>
      <c r="B889" s="242">
        <v>43496</v>
      </c>
      <c r="C889" s="13">
        <v>120</v>
      </c>
      <c r="D889" s="13" t="s">
        <v>2173</v>
      </c>
      <c r="E889" s="13" t="s">
        <v>808</v>
      </c>
      <c r="F889" s="37">
        <v>172224</v>
      </c>
      <c r="G889" s="210" t="s">
        <v>2174</v>
      </c>
      <c r="H889" s="211">
        <v>43418</v>
      </c>
      <c r="I889" s="4" t="s">
        <v>338</v>
      </c>
      <c r="J889" s="133"/>
      <c r="K889" s="22"/>
      <c r="L889" s="134"/>
    </row>
    <row r="890" spans="1:12" s="97" customFormat="1" hidden="1" x14ac:dyDescent="0.25">
      <c r="A890" s="61" t="s">
        <v>1316</v>
      </c>
      <c r="B890" s="242">
        <v>43496</v>
      </c>
      <c r="C890" s="13">
        <v>121</v>
      </c>
      <c r="D890" s="13" t="s">
        <v>1082</v>
      </c>
      <c r="E890" s="13" t="s">
        <v>808</v>
      </c>
      <c r="F890" s="37">
        <v>845542.13</v>
      </c>
      <c r="G890" s="29" t="s">
        <v>64</v>
      </c>
      <c r="H890" s="14">
        <v>43459</v>
      </c>
      <c r="I890" s="4" t="s">
        <v>443</v>
      </c>
      <c r="J890" s="133"/>
      <c r="K890" s="22"/>
      <c r="L890" s="134"/>
    </row>
    <row r="891" spans="1:12" s="97" customFormat="1" hidden="1" x14ac:dyDescent="0.25">
      <c r="A891" s="13" t="s">
        <v>1147</v>
      </c>
      <c r="B891" s="242">
        <v>43496</v>
      </c>
      <c r="C891" s="13">
        <v>122</v>
      </c>
      <c r="D891" s="13" t="s">
        <v>869</v>
      </c>
      <c r="E891" s="13" t="s">
        <v>808</v>
      </c>
      <c r="F891" s="37">
        <v>18746.87</v>
      </c>
      <c r="G891" s="29" t="s">
        <v>2758</v>
      </c>
      <c r="H891" s="14">
        <v>43460</v>
      </c>
      <c r="I891" s="4" t="s">
        <v>268</v>
      </c>
      <c r="J891" s="133"/>
      <c r="K891" s="22"/>
      <c r="L891" s="134"/>
    </row>
    <row r="892" spans="1:12" s="97" customFormat="1" hidden="1" x14ac:dyDescent="0.25">
      <c r="A892" s="61" t="s">
        <v>1147</v>
      </c>
      <c r="B892" s="242">
        <v>43496</v>
      </c>
      <c r="C892" s="13">
        <v>123</v>
      </c>
      <c r="D892" s="13" t="s">
        <v>734</v>
      </c>
      <c r="E892" s="13" t="s">
        <v>808</v>
      </c>
      <c r="F892" s="37">
        <v>13700</v>
      </c>
      <c r="G892" s="29" t="s">
        <v>3120</v>
      </c>
      <c r="H892" s="14">
        <v>43476</v>
      </c>
      <c r="I892" s="4" t="s">
        <v>985</v>
      </c>
      <c r="J892" s="133"/>
      <c r="K892" s="22"/>
      <c r="L892" s="134"/>
    </row>
    <row r="893" spans="1:12" s="97" customFormat="1" hidden="1" x14ac:dyDescent="0.25">
      <c r="A893" s="61" t="s">
        <v>1147</v>
      </c>
      <c r="B893" s="242">
        <v>43496</v>
      </c>
      <c r="C893" s="13">
        <v>124</v>
      </c>
      <c r="D893" s="13" t="s">
        <v>280</v>
      </c>
      <c r="E893" s="13" t="s">
        <v>808</v>
      </c>
      <c r="F893" s="37">
        <f>251730-100000</f>
        <v>151730</v>
      </c>
      <c r="G893" s="29" t="s">
        <v>1515</v>
      </c>
      <c r="H893" s="14">
        <v>43439</v>
      </c>
      <c r="I893" s="4" t="s">
        <v>2581</v>
      </c>
      <c r="J893" s="133"/>
      <c r="K893" s="22"/>
      <c r="L893" s="134"/>
    </row>
    <row r="894" spans="1:12" s="97" customFormat="1" hidden="1" x14ac:dyDescent="0.25">
      <c r="A894" s="61" t="s">
        <v>1149</v>
      </c>
      <c r="B894" s="242">
        <v>43496</v>
      </c>
      <c r="C894" s="13">
        <v>125</v>
      </c>
      <c r="D894" s="13" t="s">
        <v>814</v>
      </c>
      <c r="E894" s="13" t="s">
        <v>808</v>
      </c>
      <c r="F894" s="37">
        <v>49264.6</v>
      </c>
      <c r="G894" s="29" t="s">
        <v>2580</v>
      </c>
      <c r="H894" s="14">
        <v>43451</v>
      </c>
      <c r="I894" s="4" t="s">
        <v>142</v>
      </c>
      <c r="J894" s="133"/>
      <c r="K894" s="22"/>
      <c r="L894" s="134"/>
    </row>
    <row r="895" spans="1:12" s="97" customFormat="1" hidden="1" x14ac:dyDescent="0.25">
      <c r="A895" s="13" t="s">
        <v>1316</v>
      </c>
      <c r="B895" s="242">
        <v>43496</v>
      </c>
      <c r="C895" s="13">
        <v>126</v>
      </c>
      <c r="D895" s="13" t="s">
        <v>516</v>
      </c>
      <c r="E895" s="13" t="s">
        <v>808</v>
      </c>
      <c r="F895" s="37">
        <v>160202</v>
      </c>
      <c r="G895" s="29" t="s">
        <v>1548</v>
      </c>
      <c r="H895" s="14">
        <v>43427</v>
      </c>
      <c r="I895" s="4" t="s">
        <v>2562</v>
      </c>
      <c r="J895" s="133"/>
      <c r="K895" s="22"/>
      <c r="L895" s="134"/>
    </row>
    <row r="896" spans="1:12" s="97" customFormat="1" hidden="1" x14ac:dyDescent="0.25">
      <c r="A896" s="13" t="s">
        <v>1316</v>
      </c>
      <c r="B896" s="242">
        <v>43496</v>
      </c>
      <c r="C896" s="13">
        <v>126</v>
      </c>
      <c r="D896" s="13" t="s">
        <v>516</v>
      </c>
      <c r="E896" s="13" t="s">
        <v>808</v>
      </c>
      <c r="F896" s="37">
        <v>145745</v>
      </c>
      <c r="G896" s="29" t="s">
        <v>2565</v>
      </c>
      <c r="H896" s="14">
        <v>43440</v>
      </c>
      <c r="I896" s="4" t="s">
        <v>718</v>
      </c>
      <c r="J896" s="133"/>
      <c r="K896" s="22"/>
      <c r="L896" s="134"/>
    </row>
    <row r="897" spans="1:11" s="129" customFormat="1" hidden="1" x14ac:dyDescent="0.25">
      <c r="A897" s="13" t="s">
        <v>1316</v>
      </c>
      <c r="B897" s="242">
        <v>43496</v>
      </c>
      <c r="C897" s="28" t="s">
        <v>3403</v>
      </c>
      <c r="D897" s="13" t="s">
        <v>1757</v>
      </c>
      <c r="E897" s="13" t="s">
        <v>808</v>
      </c>
      <c r="F897" s="37">
        <v>200000</v>
      </c>
      <c r="G897" s="28" t="s">
        <v>3335</v>
      </c>
      <c r="H897" s="14">
        <v>43480</v>
      </c>
      <c r="I897" s="4" t="s">
        <v>3336</v>
      </c>
      <c r="J897" s="133"/>
      <c r="K897" s="275"/>
    </row>
    <row r="898" spans="1:11" hidden="1" x14ac:dyDescent="0.25">
      <c r="A898" s="13" t="s">
        <v>1147</v>
      </c>
      <c r="B898" s="242">
        <v>43496</v>
      </c>
      <c r="C898" s="13">
        <v>128</v>
      </c>
      <c r="D898" s="13" t="s">
        <v>1935</v>
      </c>
      <c r="E898" s="13" t="s">
        <v>808</v>
      </c>
      <c r="F898" s="37">
        <v>79000</v>
      </c>
      <c r="G898" s="69" t="s">
        <v>2321</v>
      </c>
      <c r="H898" s="14"/>
      <c r="I898" s="4" t="s">
        <v>2318</v>
      </c>
      <c r="J898" s="169"/>
    </row>
    <row r="899" spans="1:11" hidden="1" x14ac:dyDescent="0.25">
      <c r="A899" s="13" t="s">
        <v>1148</v>
      </c>
      <c r="B899" s="242">
        <v>43496</v>
      </c>
      <c r="C899" s="13">
        <v>128</v>
      </c>
      <c r="D899" s="13" t="s">
        <v>1935</v>
      </c>
      <c r="E899" s="13" t="s">
        <v>808</v>
      </c>
      <c r="F899" s="37">
        <v>1421000</v>
      </c>
      <c r="G899" s="69" t="s">
        <v>2321</v>
      </c>
      <c r="H899" s="14"/>
      <c r="I899" s="4" t="s">
        <v>2318</v>
      </c>
      <c r="J899" s="169"/>
    </row>
    <row r="900" spans="1:11" hidden="1" x14ac:dyDescent="0.25">
      <c r="A900" s="61" t="s">
        <v>261</v>
      </c>
      <c r="B900" s="242">
        <v>43496</v>
      </c>
      <c r="C900" s="13">
        <v>129</v>
      </c>
      <c r="D900" s="13" t="s">
        <v>447</v>
      </c>
      <c r="E900" s="13" t="s">
        <v>808</v>
      </c>
      <c r="F900" s="37">
        <v>69200</v>
      </c>
      <c r="G900" s="29" t="s">
        <v>1452</v>
      </c>
      <c r="H900" s="14">
        <v>43451</v>
      </c>
      <c r="I900" s="4" t="s">
        <v>1328</v>
      </c>
      <c r="J900" s="128"/>
    </row>
    <row r="901" spans="1:11" s="2" customFormat="1" hidden="1" x14ac:dyDescent="0.25">
      <c r="A901" s="13" t="s">
        <v>261</v>
      </c>
      <c r="B901" s="242">
        <v>43496</v>
      </c>
      <c r="C901" s="13">
        <v>130</v>
      </c>
      <c r="D901" s="13" t="s">
        <v>371</v>
      </c>
      <c r="E901" s="13" t="s">
        <v>808</v>
      </c>
      <c r="F901" s="4">
        <v>48000</v>
      </c>
      <c r="G901" s="28" t="s">
        <v>2817</v>
      </c>
      <c r="H901" s="14">
        <v>43455</v>
      </c>
      <c r="I901" s="4" t="s">
        <v>319</v>
      </c>
      <c r="J901" s="121"/>
      <c r="K901" s="5"/>
    </row>
    <row r="902" spans="1:11" hidden="1" x14ac:dyDescent="0.25">
      <c r="A902" s="32" t="s">
        <v>1149</v>
      </c>
      <c r="B902" s="242">
        <v>43496</v>
      </c>
      <c r="C902" s="13">
        <v>131</v>
      </c>
      <c r="D902" s="13" t="s">
        <v>1099</v>
      </c>
      <c r="E902" s="13" t="s">
        <v>808</v>
      </c>
      <c r="F902" s="4">
        <v>37705.800000000003</v>
      </c>
      <c r="G902" s="28" t="s">
        <v>2044</v>
      </c>
      <c r="H902" s="14">
        <v>43375</v>
      </c>
      <c r="I902" s="4" t="s">
        <v>461</v>
      </c>
    </row>
    <row r="903" spans="1:11" hidden="1" x14ac:dyDescent="0.25">
      <c r="A903" s="61" t="s">
        <v>1147</v>
      </c>
      <c r="B903" s="242">
        <v>43496</v>
      </c>
      <c r="C903" s="13">
        <v>132</v>
      </c>
      <c r="D903" s="13" t="s">
        <v>515</v>
      </c>
      <c r="E903" s="13" t="s">
        <v>808</v>
      </c>
      <c r="F903" s="37">
        <v>70000</v>
      </c>
      <c r="G903" s="29" t="s">
        <v>173</v>
      </c>
      <c r="H903" s="14">
        <v>43456</v>
      </c>
      <c r="I903" s="4" t="s">
        <v>2661</v>
      </c>
    </row>
    <row r="904" spans="1:11" hidden="1" x14ac:dyDescent="0.25">
      <c r="A904" s="61" t="s">
        <v>1148</v>
      </c>
      <c r="B904" s="242">
        <v>43496</v>
      </c>
      <c r="C904" s="13">
        <v>133</v>
      </c>
      <c r="D904" s="13" t="s">
        <v>447</v>
      </c>
      <c r="E904" s="13" t="s">
        <v>808</v>
      </c>
      <c r="F904" s="37">
        <v>50000</v>
      </c>
      <c r="G904" s="29" t="s">
        <v>1342</v>
      </c>
      <c r="H904" s="14">
        <v>43434</v>
      </c>
      <c r="I904" s="4" t="s">
        <v>95</v>
      </c>
    </row>
    <row r="905" spans="1:11" hidden="1" x14ac:dyDescent="0.25">
      <c r="A905" s="32" t="s">
        <v>261</v>
      </c>
      <c r="B905" s="242">
        <v>43496</v>
      </c>
      <c r="C905" s="13">
        <v>134</v>
      </c>
      <c r="D905" s="13" t="s">
        <v>355</v>
      </c>
      <c r="E905" s="13" t="s">
        <v>808</v>
      </c>
      <c r="F905" s="4">
        <v>122720</v>
      </c>
      <c r="G905" s="28" t="s">
        <v>728</v>
      </c>
      <c r="H905" s="14">
        <v>43357</v>
      </c>
      <c r="I905" s="4" t="s">
        <v>95</v>
      </c>
    </row>
    <row r="906" spans="1:11" hidden="1" x14ac:dyDescent="0.25">
      <c r="A906" s="68" t="s">
        <v>1316</v>
      </c>
      <c r="B906" s="242">
        <v>43496</v>
      </c>
      <c r="C906" s="13">
        <v>135</v>
      </c>
      <c r="D906" s="13" t="s">
        <v>282</v>
      </c>
      <c r="E906" s="13" t="s">
        <v>808</v>
      </c>
      <c r="F906" s="4">
        <v>2860</v>
      </c>
      <c r="G906" s="28" t="s">
        <v>154</v>
      </c>
      <c r="H906" s="14">
        <v>43475</v>
      </c>
      <c r="I906" s="4" t="s">
        <v>283</v>
      </c>
    </row>
    <row r="907" spans="1:11" hidden="1" x14ac:dyDescent="0.25">
      <c r="A907" s="61" t="s">
        <v>1148</v>
      </c>
      <c r="B907" s="242">
        <v>43496</v>
      </c>
      <c r="C907" s="13">
        <v>135</v>
      </c>
      <c r="D907" s="13" t="s">
        <v>282</v>
      </c>
      <c r="E907" s="13" t="s">
        <v>808</v>
      </c>
      <c r="F907" s="37">
        <v>5720</v>
      </c>
      <c r="G907" s="29" t="s">
        <v>1453</v>
      </c>
      <c r="H907" s="14">
        <v>43475</v>
      </c>
      <c r="I907" s="4" t="s">
        <v>283</v>
      </c>
    </row>
    <row r="908" spans="1:11" hidden="1" x14ac:dyDescent="0.25">
      <c r="A908" s="32" t="s">
        <v>1148</v>
      </c>
      <c r="B908" s="242">
        <v>43496</v>
      </c>
      <c r="C908" s="13">
        <v>136</v>
      </c>
      <c r="D908" s="13" t="s">
        <v>1431</v>
      </c>
      <c r="E908" s="13" t="s">
        <v>808</v>
      </c>
      <c r="F908" s="4">
        <v>197937.5</v>
      </c>
      <c r="G908" s="28" t="s">
        <v>2155</v>
      </c>
      <c r="H908" s="14">
        <v>43417</v>
      </c>
      <c r="I908" s="4" t="s">
        <v>1061</v>
      </c>
    </row>
    <row r="909" spans="1:11" hidden="1" x14ac:dyDescent="0.25">
      <c r="A909" s="61" t="s">
        <v>1149</v>
      </c>
      <c r="B909" s="242">
        <v>43496</v>
      </c>
      <c r="C909" s="13">
        <v>137</v>
      </c>
      <c r="D909" s="13" t="s">
        <v>1395</v>
      </c>
      <c r="E909" s="13" t="s">
        <v>808</v>
      </c>
      <c r="F909" s="37">
        <v>45600</v>
      </c>
      <c r="G909" s="29" t="s">
        <v>150</v>
      </c>
      <c r="H909" s="14">
        <v>43479</v>
      </c>
      <c r="I909" s="4" t="s">
        <v>3378</v>
      </c>
    </row>
    <row r="910" spans="1:11" hidden="1" x14ac:dyDescent="0.25">
      <c r="A910" s="61" t="s">
        <v>1148</v>
      </c>
      <c r="B910" s="242">
        <v>43496</v>
      </c>
      <c r="C910" s="13">
        <v>137</v>
      </c>
      <c r="D910" s="13" t="s">
        <v>1395</v>
      </c>
      <c r="E910" s="13" t="s">
        <v>808</v>
      </c>
      <c r="F910" s="37">
        <v>30400</v>
      </c>
      <c r="G910" s="29" t="s">
        <v>493</v>
      </c>
      <c r="H910" s="14">
        <v>43479</v>
      </c>
      <c r="I910" s="4" t="s">
        <v>3379</v>
      </c>
    </row>
    <row r="911" spans="1:11" ht="41.4" hidden="1" x14ac:dyDescent="0.25">
      <c r="A911" s="61" t="s">
        <v>2270</v>
      </c>
      <c r="B911" s="242">
        <v>43496</v>
      </c>
      <c r="C911" s="13">
        <v>138</v>
      </c>
      <c r="D911" s="13" t="s">
        <v>80</v>
      </c>
      <c r="E911" s="13" t="s">
        <v>808</v>
      </c>
      <c r="F911" s="37">
        <v>50125</v>
      </c>
      <c r="G911" s="29" t="s">
        <v>2271</v>
      </c>
      <c r="H911" s="14">
        <v>43434</v>
      </c>
      <c r="I911" s="4" t="s">
        <v>2157</v>
      </c>
    </row>
    <row r="912" spans="1:11" hidden="1" x14ac:dyDescent="0.25">
      <c r="A912" s="61" t="s">
        <v>261</v>
      </c>
      <c r="B912" s="242">
        <v>43496</v>
      </c>
      <c r="C912" s="13">
        <v>139</v>
      </c>
      <c r="D912" s="13" t="s">
        <v>2047</v>
      </c>
      <c r="E912" s="13" t="s">
        <v>808</v>
      </c>
      <c r="F912" s="37">
        <v>35700</v>
      </c>
      <c r="G912" s="29" t="s">
        <v>1351</v>
      </c>
      <c r="H912" s="14">
        <v>43458</v>
      </c>
      <c r="I912" s="4" t="s">
        <v>95</v>
      </c>
    </row>
    <row r="913" spans="1:19" hidden="1" x14ac:dyDescent="0.25">
      <c r="A913" s="61" t="s">
        <v>261</v>
      </c>
      <c r="B913" s="242">
        <v>43496</v>
      </c>
      <c r="C913" s="13">
        <v>139</v>
      </c>
      <c r="D913" s="13" t="s">
        <v>2047</v>
      </c>
      <c r="E913" s="13" t="s">
        <v>808</v>
      </c>
      <c r="F913" s="37">
        <v>17000</v>
      </c>
      <c r="G913" s="29" t="s">
        <v>1754</v>
      </c>
      <c r="H913" s="14">
        <v>43458</v>
      </c>
      <c r="I913" s="4" t="s">
        <v>95</v>
      </c>
    </row>
    <row r="914" spans="1:19" hidden="1" x14ac:dyDescent="0.25">
      <c r="A914" s="61" t="s">
        <v>1147</v>
      </c>
      <c r="B914" s="242">
        <v>43496</v>
      </c>
      <c r="C914" s="13">
        <v>140</v>
      </c>
      <c r="D914" s="13" t="s">
        <v>764</v>
      </c>
      <c r="E914" s="13" t="s">
        <v>808</v>
      </c>
      <c r="F914" s="37">
        <f>230312.5-100000</f>
        <v>130312.5</v>
      </c>
      <c r="G914" s="29" t="s">
        <v>1753</v>
      </c>
      <c r="H914" s="14">
        <v>43434</v>
      </c>
      <c r="I914" s="4" t="s">
        <v>511</v>
      </c>
    </row>
    <row r="915" spans="1:19" hidden="1" x14ac:dyDescent="0.25">
      <c r="A915" s="32" t="s">
        <v>1147</v>
      </c>
      <c r="B915" s="242">
        <v>43496</v>
      </c>
      <c r="C915" s="13">
        <v>141</v>
      </c>
      <c r="D915" s="13" t="s">
        <v>764</v>
      </c>
      <c r="E915" s="13" t="s">
        <v>808</v>
      </c>
      <c r="F915" s="4">
        <v>70000</v>
      </c>
      <c r="G915" s="28" t="s">
        <v>2520</v>
      </c>
      <c r="H915" s="14">
        <v>43446</v>
      </c>
      <c r="I915" s="4" t="s">
        <v>511</v>
      </c>
    </row>
    <row r="916" spans="1:19" ht="41.4" hidden="1" x14ac:dyDescent="0.25">
      <c r="A916" s="61" t="s">
        <v>3386</v>
      </c>
      <c r="B916" s="242">
        <v>43496</v>
      </c>
      <c r="C916" s="13">
        <v>142</v>
      </c>
      <c r="D916" s="13" t="s">
        <v>1985</v>
      </c>
      <c r="E916" s="13" t="s">
        <v>808</v>
      </c>
      <c r="F916" s="37">
        <v>37850</v>
      </c>
      <c r="G916" s="29" t="s">
        <v>1330</v>
      </c>
      <c r="H916" s="14">
        <v>43463</v>
      </c>
      <c r="I916" s="4" t="s">
        <v>122</v>
      </c>
    </row>
    <row r="917" spans="1:19" hidden="1" x14ac:dyDescent="0.25">
      <c r="A917" s="13" t="s">
        <v>1149</v>
      </c>
      <c r="B917" s="242">
        <v>43496</v>
      </c>
      <c r="C917" s="13">
        <v>143</v>
      </c>
      <c r="D917" s="13" t="s">
        <v>692</v>
      </c>
      <c r="E917" s="13" t="s">
        <v>808</v>
      </c>
      <c r="F917" s="37">
        <v>148500</v>
      </c>
      <c r="G917" s="29" t="s">
        <v>1153</v>
      </c>
      <c r="H917" s="14">
        <v>43409</v>
      </c>
      <c r="I917" s="4" t="s">
        <v>419</v>
      </c>
    </row>
    <row r="918" spans="1:19" hidden="1" x14ac:dyDescent="0.25">
      <c r="A918" s="61" t="s">
        <v>1148</v>
      </c>
      <c r="B918" s="242">
        <v>43496</v>
      </c>
      <c r="C918" s="13">
        <v>144</v>
      </c>
      <c r="D918" s="13" t="s">
        <v>862</v>
      </c>
      <c r="E918" s="13" t="s">
        <v>808</v>
      </c>
      <c r="F918" s="37">
        <v>13750</v>
      </c>
      <c r="G918" s="29" t="s">
        <v>3169</v>
      </c>
      <c r="H918" s="14">
        <v>43448</v>
      </c>
      <c r="I918" s="4" t="s">
        <v>354</v>
      </c>
    </row>
    <row r="919" spans="1:19" ht="13.95" hidden="1" customHeight="1" x14ac:dyDescent="0.25">
      <c r="A919" s="68" t="s">
        <v>639</v>
      </c>
      <c r="B919" s="14">
        <v>43496</v>
      </c>
      <c r="C919" s="13">
        <v>119</v>
      </c>
      <c r="D919" s="32" t="s">
        <v>905</v>
      </c>
      <c r="E919" s="32" t="s">
        <v>60</v>
      </c>
      <c r="F919" s="4">
        <v>1000000</v>
      </c>
      <c r="G919" s="86" t="s">
        <v>1120</v>
      </c>
      <c r="H919" s="211"/>
      <c r="I919" s="208" t="s">
        <v>1119</v>
      </c>
      <c r="J919" s="21"/>
      <c r="K919" s="228"/>
    </row>
    <row r="920" spans="1:19" s="129" customFormat="1" ht="13.95" hidden="1" customHeight="1" x14ac:dyDescent="0.25">
      <c r="A920" s="68" t="s">
        <v>151</v>
      </c>
      <c r="B920" s="14">
        <v>43496</v>
      </c>
      <c r="C920" s="13">
        <v>231</v>
      </c>
      <c r="D920" s="32" t="s">
        <v>3641</v>
      </c>
      <c r="E920" s="32" t="s">
        <v>130</v>
      </c>
      <c r="F920" s="4">
        <v>80000</v>
      </c>
      <c r="G920" s="210" t="s">
        <v>3642</v>
      </c>
      <c r="H920" s="211">
        <v>43483</v>
      </c>
      <c r="I920" s="208" t="s">
        <v>512</v>
      </c>
      <c r="J920" s="136"/>
    </row>
    <row r="921" spans="1:19" s="129" customFormat="1" ht="13.95" hidden="1" customHeight="1" x14ac:dyDescent="0.25">
      <c r="A921" s="68" t="s">
        <v>151</v>
      </c>
      <c r="B921" s="14">
        <v>43496</v>
      </c>
      <c r="C921" s="13">
        <v>6</v>
      </c>
      <c r="D921" s="32" t="s">
        <v>3641</v>
      </c>
      <c r="E921" s="32" t="s">
        <v>3643</v>
      </c>
      <c r="F921" s="4">
        <v>6000</v>
      </c>
      <c r="G921" s="210" t="s">
        <v>3644</v>
      </c>
      <c r="H921" s="211">
        <v>43483</v>
      </c>
      <c r="I921" s="208" t="s">
        <v>512</v>
      </c>
      <c r="J921" s="136"/>
    </row>
    <row r="922" spans="1:19" s="129" customFormat="1" ht="13.95" hidden="1" customHeight="1" x14ac:dyDescent="0.25">
      <c r="A922" s="68" t="s">
        <v>151</v>
      </c>
      <c r="B922" s="14">
        <v>43496</v>
      </c>
      <c r="C922" s="13">
        <v>7</v>
      </c>
      <c r="D922" s="32" t="s">
        <v>3641</v>
      </c>
      <c r="E922" s="32" t="s">
        <v>2941</v>
      </c>
      <c r="F922" s="4">
        <v>6000</v>
      </c>
      <c r="G922" s="210" t="s">
        <v>3645</v>
      </c>
      <c r="H922" s="211">
        <v>43483</v>
      </c>
      <c r="I922" s="208" t="s">
        <v>512</v>
      </c>
      <c r="J922" s="136"/>
    </row>
    <row r="923" spans="1:19" hidden="1" x14ac:dyDescent="0.25">
      <c r="A923" s="68" t="s">
        <v>151</v>
      </c>
      <c r="B923" s="14">
        <v>43496</v>
      </c>
      <c r="C923" s="127">
        <v>40</v>
      </c>
      <c r="D923" s="32" t="s">
        <v>3272</v>
      </c>
      <c r="E923" s="32" t="s">
        <v>691</v>
      </c>
      <c r="F923" s="4">
        <v>3650</v>
      </c>
      <c r="G923" s="29" t="s">
        <v>3273</v>
      </c>
      <c r="H923" s="14">
        <v>43483</v>
      </c>
      <c r="I923" s="208" t="s">
        <v>5560</v>
      </c>
      <c r="J923" s="21"/>
      <c r="K923" s="228"/>
    </row>
    <row r="924" spans="1:19" hidden="1" x14ac:dyDescent="0.25">
      <c r="A924" s="68" t="s">
        <v>1350</v>
      </c>
      <c r="B924" s="14">
        <v>43496</v>
      </c>
      <c r="C924" s="127">
        <v>41</v>
      </c>
      <c r="D924" s="32" t="s">
        <v>2100</v>
      </c>
      <c r="E924" s="32" t="s">
        <v>691</v>
      </c>
      <c r="F924" s="4">
        <v>17896</v>
      </c>
      <c r="G924" s="29" t="s">
        <v>2042</v>
      </c>
      <c r="H924" s="14">
        <v>43496</v>
      </c>
      <c r="I924" s="208" t="s">
        <v>3606</v>
      </c>
      <c r="J924" s="21"/>
      <c r="K924" s="228"/>
    </row>
    <row r="925" spans="1:19" hidden="1" x14ac:dyDescent="0.25">
      <c r="A925" s="61" t="s">
        <v>495</v>
      </c>
      <c r="B925" s="14">
        <v>43496</v>
      </c>
      <c r="C925" s="13">
        <v>130</v>
      </c>
      <c r="D925" s="13" t="s">
        <v>371</v>
      </c>
      <c r="E925" s="13" t="s">
        <v>808</v>
      </c>
      <c r="F925" s="37">
        <v>48000</v>
      </c>
      <c r="G925" s="29" t="s">
        <v>858</v>
      </c>
      <c r="H925" s="14">
        <v>43495</v>
      </c>
      <c r="I925" s="4" t="s">
        <v>319</v>
      </c>
      <c r="J925" s="128"/>
    </row>
    <row r="926" spans="1:19" hidden="1" x14ac:dyDescent="0.25">
      <c r="A926" s="61" t="s">
        <v>495</v>
      </c>
      <c r="B926" s="14">
        <v>43496</v>
      </c>
      <c r="C926" s="13">
        <v>130</v>
      </c>
      <c r="D926" s="13" t="s">
        <v>371</v>
      </c>
      <c r="E926" s="13" t="s">
        <v>808</v>
      </c>
      <c r="F926" s="37">
        <v>72000</v>
      </c>
      <c r="G926" s="29" t="s">
        <v>714</v>
      </c>
      <c r="H926" s="14">
        <v>43504</v>
      </c>
      <c r="I926" s="4" t="s">
        <v>4325</v>
      </c>
      <c r="J926" s="128"/>
    </row>
    <row r="927" spans="1:19" s="410" customFormat="1" hidden="1" x14ac:dyDescent="0.25">
      <c r="A927" s="328" t="s">
        <v>3647</v>
      </c>
      <c r="B927" s="391">
        <v>43496</v>
      </c>
      <c r="C927" s="328">
        <v>130</v>
      </c>
      <c r="D927" s="328" t="s">
        <v>371</v>
      </c>
      <c r="E927" s="328" t="s">
        <v>808</v>
      </c>
      <c r="F927" s="327">
        <f>147000-120000</f>
        <v>27000</v>
      </c>
      <c r="G927" s="355"/>
      <c r="H927" s="102"/>
      <c r="I927" s="327" t="s">
        <v>4609</v>
      </c>
      <c r="J927" s="409" t="s">
        <v>3646</v>
      </c>
      <c r="K927" s="103"/>
    </row>
    <row r="928" spans="1:19" s="22" customFormat="1" ht="13.8" hidden="1" customHeight="1" x14ac:dyDescent="0.25">
      <c r="A928" s="160"/>
      <c r="B928" s="39"/>
      <c r="C928" s="13"/>
      <c r="D928" s="161"/>
      <c r="E928" s="161"/>
      <c r="F928" s="4"/>
      <c r="G928" s="119"/>
      <c r="H928" s="161"/>
      <c r="I928" s="161"/>
      <c r="K928" s="21"/>
      <c r="L928" s="228"/>
      <c r="M928" s="228"/>
      <c r="N928" s="228"/>
      <c r="O928" s="228"/>
      <c r="P928" s="228"/>
      <c r="Q928" s="228"/>
      <c r="R928" s="228"/>
      <c r="S928" s="228"/>
    </row>
    <row r="929" spans="1:19" x14ac:dyDescent="0.25">
      <c r="C929" s="273"/>
      <c r="F929" s="232"/>
    </row>
    <row r="930" spans="1:19" x14ac:dyDescent="0.25">
      <c r="F930" s="62"/>
    </row>
    <row r="931" spans="1:19" x14ac:dyDescent="0.25">
      <c r="F931" s="62"/>
    </row>
    <row r="932" spans="1:19" s="22" customFormat="1" x14ac:dyDescent="0.25">
      <c r="A932" s="228"/>
      <c r="B932" s="57"/>
      <c r="C932" s="124"/>
      <c r="D932" s="228"/>
      <c r="E932" s="228"/>
      <c r="F932" s="62"/>
      <c r="G932" s="50"/>
      <c r="H932" s="228"/>
      <c r="I932" s="228"/>
      <c r="K932" s="21"/>
      <c r="L932" s="228"/>
      <c r="M932" s="228"/>
      <c r="N932" s="228"/>
      <c r="O932" s="228"/>
      <c r="P932" s="228"/>
      <c r="Q932" s="228"/>
      <c r="R932" s="228"/>
      <c r="S932" s="228"/>
    </row>
  </sheetData>
  <autoFilter ref="A2:J928">
    <filterColumn colId="3">
      <filters>
        <filter val="ск крона"/>
      </filters>
    </filterColumn>
  </autoFilter>
  <pageMargins left="0.59055118110236227" right="0.39370078740157483" top="0.78740157480314965" bottom="0.19685039370078741" header="0.51181102362204722" footer="0.51181102362204722"/>
  <pageSetup paperSize="9" scale="67" fitToHeight="0" orientation="landscape" r:id="rId1"/>
  <headerFooter alignWithMargins="0"/>
  <colBreaks count="2" manualBreakCount="2">
    <brk id="10" max="1048575" man="1"/>
    <brk id="102" max="28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rgb="FFE1FFFF"/>
    <pageSetUpPr fitToPage="1"/>
  </sheetPr>
  <dimension ref="A1:S93"/>
  <sheetViews>
    <sheetView zoomScaleNormal="100" workbookViewId="0">
      <pane ySplit="2" topLeftCell="A57" activePane="bottomLeft" state="frozen"/>
      <selection activeCell="F116" sqref="F116"/>
      <selection pane="bottomLeft" activeCell="F19" sqref="F19"/>
    </sheetView>
  </sheetViews>
  <sheetFormatPr defaultColWidth="9.44140625" defaultRowHeight="13.8" x14ac:dyDescent="0.25"/>
  <cols>
    <col min="1" max="1" width="14.6640625" style="2" customWidth="1"/>
    <col min="2" max="2" width="11.44140625" style="33" customWidth="1"/>
    <col min="3" max="3" width="11.44140625" style="49" customWidth="1"/>
    <col min="4" max="4" width="25.5546875" style="2" customWidth="1"/>
    <col min="5" max="5" width="11.77734375" style="2" customWidth="1"/>
    <col min="6" max="6" width="16.5546875" style="31" customWidth="1"/>
    <col min="7" max="7" width="19.44140625" style="26" bestFit="1" customWidth="1"/>
    <col min="8" max="8" width="12.5546875" style="2" customWidth="1"/>
    <col min="9" max="9" width="28.5546875" style="2" customWidth="1"/>
    <col min="10" max="10" width="13.44140625" style="34" customWidth="1"/>
    <col min="11" max="11" width="11.44140625" style="34" customWidth="1"/>
    <col min="12" max="12" width="11.5546875" style="34" customWidth="1"/>
    <col min="13" max="13" width="12.44140625" style="31" customWidth="1"/>
    <col min="14" max="14" width="9.44140625" style="31"/>
    <col min="15" max="19" width="9.44140625" style="34"/>
    <col min="20" max="16384" width="9.44140625" style="2"/>
  </cols>
  <sheetData>
    <row r="1" spans="1:19" s="1" customFormat="1" ht="21" customHeight="1" x14ac:dyDescent="0.25">
      <c r="B1" s="30"/>
      <c r="C1" s="31"/>
      <c r="F1" s="231">
        <f>F3+F22+F54</f>
        <v>13351115.060000002</v>
      </c>
      <c r="J1" s="34"/>
      <c r="K1" s="34"/>
      <c r="L1" s="34"/>
      <c r="M1" s="31"/>
      <c r="N1" s="31"/>
      <c r="O1" s="31"/>
      <c r="P1" s="31"/>
      <c r="Q1" s="31"/>
      <c r="R1" s="31"/>
      <c r="S1" s="31"/>
    </row>
    <row r="2" spans="1:19" s="8" customFormat="1" ht="36" customHeight="1" x14ac:dyDescent="0.25">
      <c r="A2" s="6" t="s">
        <v>192</v>
      </c>
      <c r="B2" s="43" t="s">
        <v>37</v>
      </c>
      <c r="C2" s="42" t="s">
        <v>51</v>
      </c>
      <c r="D2" s="6" t="s">
        <v>109</v>
      </c>
      <c r="E2" s="6" t="s">
        <v>121</v>
      </c>
      <c r="F2" s="46" t="s">
        <v>56</v>
      </c>
      <c r="G2" s="27" t="s">
        <v>58</v>
      </c>
      <c r="H2" s="6" t="s">
        <v>57</v>
      </c>
      <c r="I2" s="7" t="s">
        <v>10</v>
      </c>
      <c r="J2" s="34"/>
      <c r="K2" s="34"/>
      <c r="L2" s="34"/>
      <c r="M2" s="23"/>
      <c r="N2" s="23"/>
      <c r="O2" s="23"/>
      <c r="P2" s="23"/>
      <c r="Q2" s="23"/>
      <c r="R2" s="23"/>
      <c r="S2" s="23"/>
    </row>
    <row r="3" spans="1:19" s="8" customFormat="1" ht="18.75" customHeight="1" x14ac:dyDescent="0.25">
      <c r="A3" s="11" t="s">
        <v>1</v>
      </c>
      <c r="B3" s="66"/>
      <c r="C3" s="217"/>
      <c r="D3" s="9"/>
      <c r="E3" s="9"/>
      <c r="F3" s="217">
        <f>SUM(F4:F19)</f>
        <v>416144.16000000003</v>
      </c>
      <c r="G3" s="24"/>
      <c r="H3" s="9"/>
      <c r="I3" s="10"/>
      <c r="J3" s="34"/>
      <c r="K3" s="34"/>
      <c r="L3" s="34"/>
      <c r="M3" s="23"/>
      <c r="N3" s="23"/>
      <c r="O3" s="23"/>
      <c r="P3" s="23"/>
      <c r="Q3" s="23"/>
      <c r="R3" s="23"/>
      <c r="S3" s="23"/>
    </row>
    <row r="4" spans="1:19" s="228" customFormat="1" x14ac:dyDescent="0.25">
      <c r="A4" s="13" t="s">
        <v>213</v>
      </c>
      <c r="B4" s="14" t="s">
        <v>1661</v>
      </c>
      <c r="C4" s="13"/>
      <c r="D4" s="13" t="s">
        <v>210</v>
      </c>
      <c r="E4" s="13" t="s">
        <v>136</v>
      </c>
      <c r="F4" s="37"/>
      <c r="G4" s="29" t="s">
        <v>8660</v>
      </c>
      <c r="H4" s="14">
        <v>43621</v>
      </c>
      <c r="I4" s="4" t="s">
        <v>426</v>
      </c>
      <c r="J4" s="22" t="s">
        <v>1386</v>
      </c>
      <c r="K4" s="21"/>
    </row>
    <row r="5" spans="1:19" s="129" customFormat="1" x14ac:dyDescent="0.25">
      <c r="A5" s="13" t="s">
        <v>213</v>
      </c>
      <c r="B5" s="14" t="s">
        <v>1661</v>
      </c>
      <c r="C5" s="13"/>
      <c r="D5" s="13" t="s">
        <v>210</v>
      </c>
      <c r="E5" s="13" t="s">
        <v>136</v>
      </c>
      <c r="F5" s="37"/>
      <c r="G5" s="29" t="s">
        <v>7590</v>
      </c>
      <c r="H5" s="14">
        <v>43621</v>
      </c>
      <c r="I5" s="4" t="s">
        <v>546</v>
      </c>
      <c r="J5" s="35" t="s">
        <v>1386</v>
      </c>
      <c r="K5" s="136"/>
    </row>
    <row r="6" spans="1:19" s="129" customFormat="1" x14ac:dyDescent="0.25">
      <c r="A6" s="13" t="s">
        <v>2320</v>
      </c>
      <c r="B6" s="14" t="s">
        <v>1661</v>
      </c>
      <c r="C6" s="13"/>
      <c r="D6" s="13" t="s">
        <v>210</v>
      </c>
      <c r="E6" s="13" t="s">
        <v>136</v>
      </c>
      <c r="F6" s="37"/>
      <c r="G6" s="29" t="s">
        <v>8659</v>
      </c>
      <c r="H6" s="14">
        <v>43621</v>
      </c>
      <c r="I6" s="4" t="s">
        <v>1728</v>
      </c>
      <c r="J6" s="35" t="s">
        <v>1386</v>
      </c>
      <c r="K6" s="136"/>
    </row>
    <row r="7" spans="1:19" s="228" customFormat="1" x14ac:dyDescent="0.25">
      <c r="A7" s="32" t="s">
        <v>311</v>
      </c>
      <c r="B7" s="14" t="s">
        <v>7588</v>
      </c>
      <c r="C7" s="13"/>
      <c r="D7" s="32" t="s">
        <v>485</v>
      </c>
      <c r="E7" s="32" t="s">
        <v>408</v>
      </c>
      <c r="F7" s="4"/>
      <c r="G7" s="29" t="s">
        <v>8707</v>
      </c>
      <c r="H7" s="14">
        <v>43623</v>
      </c>
      <c r="I7" s="4" t="s">
        <v>1728</v>
      </c>
      <c r="J7" s="35" t="s">
        <v>1386</v>
      </c>
      <c r="K7" s="22"/>
      <c r="L7" s="63"/>
      <c r="M7" s="62"/>
    </row>
    <row r="8" spans="1:19" s="228" customFormat="1" x14ac:dyDescent="0.25">
      <c r="A8" s="68" t="s">
        <v>455</v>
      </c>
      <c r="B8" s="14" t="s">
        <v>1661</v>
      </c>
      <c r="C8" s="13"/>
      <c r="D8" s="32" t="s">
        <v>485</v>
      </c>
      <c r="E8" s="32" t="s">
        <v>440</v>
      </c>
      <c r="F8" s="4"/>
      <c r="G8" s="29" t="s">
        <v>8677</v>
      </c>
      <c r="H8" s="14">
        <v>43622</v>
      </c>
      <c r="I8" s="4" t="s">
        <v>1728</v>
      </c>
      <c r="J8" s="22" t="s">
        <v>1386</v>
      </c>
      <c r="K8" s="22"/>
      <c r="L8" s="63"/>
      <c r="M8" s="62"/>
    </row>
    <row r="9" spans="1:19" s="62" customFormat="1" ht="15" customHeight="1" x14ac:dyDescent="0.25">
      <c r="A9" s="61" t="s">
        <v>188</v>
      </c>
      <c r="B9" s="14"/>
      <c r="C9" s="13"/>
      <c r="D9" s="13" t="s">
        <v>210</v>
      </c>
      <c r="E9" s="13" t="s">
        <v>483</v>
      </c>
      <c r="F9" s="37"/>
      <c r="G9" s="29" t="s">
        <v>4064</v>
      </c>
      <c r="H9" s="14">
        <v>43504</v>
      </c>
      <c r="I9" s="4" t="s">
        <v>1728</v>
      </c>
      <c r="J9" s="22" t="s">
        <v>239</v>
      </c>
      <c r="O9" s="35"/>
      <c r="P9" s="35"/>
      <c r="Q9" s="35"/>
      <c r="R9" s="35"/>
      <c r="S9" s="35"/>
    </row>
    <row r="10" spans="1:19" s="62" customFormat="1" ht="15" customHeight="1" x14ac:dyDescent="0.25">
      <c r="A10" s="61" t="s">
        <v>261</v>
      </c>
      <c r="B10" s="14"/>
      <c r="C10" s="13"/>
      <c r="D10" s="13" t="s">
        <v>210</v>
      </c>
      <c r="E10" s="13" t="s">
        <v>231</v>
      </c>
      <c r="F10" s="37"/>
      <c r="G10" s="29" t="s">
        <v>8948</v>
      </c>
      <c r="H10" s="14">
        <v>43622</v>
      </c>
      <c r="I10" s="4" t="s">
        <v>426</v>
      </c>
      <c r="J10" s="22" t="s">
        <v>1386</v>
      </c>
      <c r="O10" s="35"/>
      <c r="P10" s="35"/>
      <c r="Q10" s="35"/>
      <c r="R10" s="35"/>
      <c r="S10" s="35"/>
    </row>
    <row r="11" spans="1:19" s="62" customFormat="1" ht="15" customHeight="1" x14ac:dyDescent="0.25">
      <c r="A11" s="61" t="s">
        <v>261</v>
      </c>
      <c r="B11" s="14"/>
      <c r="C11" s="13"/>
      <c r="D11" s="13" t="s">
        <v>210</v>
      </c>
      <c r="E11" s="13" t="s">
        <v>231</v>
      </c>
      <c r="F11" s="37"/>
      <c r="G11" s="29" t="s">
        <v>8949</v>
      </c>
      <c r="H11" s="14">
        <v>43622</v>
      </c>
      <c r="I11" s="4" t="s">
        <v>546</v>
      </c>
      <c r="J11" s="22" t="s">
        <v>1386</v>
      </c>
      <c r="O11" s="35"/>
      <c r="P11" s="35"/>
      <c r="Q11" s="35"/>
      <c r="R11" s="35"/>
      <c r="S11" s="35"/>
    </row>
    <row r="12" spans="1:19" s="62" customFormat="1" x14ac:dyDescent="0.25">
      <c r="A12" s="13" t="s">
        <v>261</v>
      </c>
      <c r="B12" s="14"/>
      <c r="C12" s="13"/>
      <c r="D12" s="13" t="s">
        <v>210</v>
      </c>
      <c r="E12" s="13" t="s">
        <v>231</v>
      </c>
      <c r="F12" s="37">
        <v>31</v>
      </c>
      <c r="G12" s="29" t="s">
        <v>7959</v>
      </c>
      <c r="H12" s="14">
        <v>43599</v>
      </c>
      <c r="I12" s="4" t="s">
        <v>7960</v>
      </c>
      <c r="J12" s="22"/>
      <c r="O12" s="35"/>
      <c r="P12" s="35"/>
      <c r="Q12" s="35"/>
      <c r="R12" s="35"/>
      <c r="S12" s="35"/>
    </row>
    <row r="13" spans="1:19" s="62" customFormat="1" ht="15" customHeight="1" x14ac:dyDescent="0.25">
      <c r="A13" s="61" t="s">
        <v>261</v>
      </c>
      <c r="B13" s="14"/>
      <c r="C13" s="13"/>
      <c r="D13" s="13" t="s">
        <v>210</v>
      </c>
      <c r="E13" s="13" t="s">
        <v>231</v>
      </c>
      <c r="F13" s="37">
        <v>62</v>
      </c>
      <c r="G13" s="29" t="s">
        <v>8668</v>
      </c>
      <c r="H13" s="14">
        <v>43599</v>
      </c>
      <c r="I13" s="4" t="s">
        <v>8669</v>
      </c>
      <c r="J13" s="22"/>
      <c r="O13" s="35"/>
      <c r="P13" s="35"/>
      <c r="Q13" s="35"/>
      <c r="R13" s="35"/>
      <c r="S13" s="35"/>
    </row>
    <row r="14" spans="1:19" s="228" customFormat="1" x14ac:dyDescent="0.25">
      <c r="A14" s="13" t="s">
        <v>35</v>
      </c>
      <c r="B14" s="14"/>
      <c r="C14" s="13"/>
      <c r="D14" s="13" t="s">
        <v>210</v>
      </c>
      <c r="E14" s="13" t="s">
        <v>75</v>
      </c>
      <c r="F14" s="37"/>
      <c r="G14" s="29" t="s">
        <v>4253</v>
      </c>
      <c r="H14" s="14">
        <v>43504</v>
      </c>
      <c r="I14" s="4" t="s">
        <v>1728</v>
      </c>
      <c r="J14" s="22" t="s">
        <v>239</v>
      </c>
      <c r="K14" s="21"/>
    </row>
    <row r="15" spans="1:19" s="228" customFormat="1" x14ac:dyDescent="0.25">
      <c r="A15" s="13" t="s">
        <v>35</v>
      </c>
      <c r="B15" s="14"/>
      <c r="C15" s="13"/>
      <c r="D15" s="13" t="s">
        <v>210</v>
      </c>
      <c r="E15" s="13" t="s">
        <v>75</v>
      </c>
      <c r="F15" s="37">
        <v>207908</v>
      </c>
      <c r="G15" s="29" t="s">
        <v>7919</v>
      </c>
      <c r="H15" s="14">
        <v>43598</v>
      </c>
      <c r="I15" s="4" t="s">
        <v>426</v>
      </c>
      <c r="J15" s="22" t="s">
        <v>771</v>
      </c>
      <c r="K15" s="21"/>
    </row>
    <row r="16" spans="1:19" s="228" customFormat="1" x14ac:dyDescent="0.25">
      <c r="A16" s="13" t="s">
        <v>35</v>
      </c>
      <c r="B16" s="14"/>
      <c r="C16" s="13"/>
      <c r="D16" s="13" t="s">
        <v>210</v>
      </c>
      <c r="E16" s="13" t="s">
        <v>75</v>
      </c>
      <c r="F16" s="37">
        <v>208143.16</v>
      </c>
      <c r="G16" s="29" t="s">
        <v>7706</v>
      </c>
      <c r="H16" s="14">
        <v>43598</v>
      </c>
      <c r="I16" s="4" t="s">
        <v>546</v>
      </c>
      <c r="J16" s="22" t="s">
        <v>771</v>
      </c>
      <c r="K16" s="21"/>
    </row>
    <row r="17" spans="1:19" s="228" customFormat="1" x14ac:dyDescent="0.25">
      <c r="A17" s="13" t="s">
        <v>310</v>
      </c>
      <c r="B17" s="14"/>
      <c r="C17" s="13"/>
      <c r="D17" s="13" t="s">
        <v>210</v>
      </c>
      <c r="E17" s="13" t="s">
        <v>314</v>
      </c>
      <c r="F17" s="37"/>
      <c r="G17" s="29" t="s">
        <v>8991</v>
      </c>
      <c r="H17" s="14">
        <v>43623</v>
      </c>
      <c r="I17" s="4" t="s">
        <v>426</v>
      </c>
      <c r="J17" s="22" t="s">
        <v>1386</v>
      </c>
      <c r="K17" s="21"/>
    </row>
    <row r="18" spans="1:19" s="129" customFormat="1" x14ac:dyDescent="0.25">
      <c r="A18" s="13" t="s">
        <v>310</v>
      </c>
      <c r="B18" s="14"/>
      <c r="C18" s="13"/>
      <c r="D18" s="13" t="s">
        <v>210</v>
      </c>
      <c r="E18" s="13" t="s">
        <v>314</v>
      </c>
      <c r="F18" s="37"/>
      <c r="G18" s="29" t="s">
        <v>8992</v>
      </c>
      <c r="H18" s="14">
        <v>43623</v>
      </c>
      <c r="I18" s="4" t="s">
        <v>546</v>
      </c>
      <c r="J18" s="22" t="s">
        <v>1386</v>
      </c>
      <c r="K18" s="136"/>
    </row>
    <row r="19" spans="1:19" s="129" customFormat="1" x14ac:dyDescent="0.25">
      <c r="A19" s="13" t="s">
        <v>90</v>
      </c>
      <c r="B19" s="14"/>
      <c r="C19" s="13"/>
      <c r="D19" s="13" t="s">
        <v>1392</v>
      </c>
      <c r="E19" s="13" t="s">
        <v>877</v>
      </c>
      <c r="F19" s="37"/>
      <c r="G19" s="29" t="s">
        <v>1132</v>
      </c>
      <c r="H19" s="14">
        <v>43616</v>
      </c>
      <c r="I19" s="4" t="s">
        <v>618</v>
      </c>
      <c r="J19" s="35" t="s">
        <v>1386</v>
      </c>
      <c r="K19" s="136"/>
    </row>
    <row r="20" spans="1:19" s="129" customFormat="1" x14ac:dyDescent="0.25">
      <c r="A20" s="13" t="s">
        <v>55</v>
      </c>
      <c r="B20" s="14"/>
      <c r="C20" s="13"/>
      <c r="D20" s="13" t="s">
        <v>1392</v>
      </c>
      <c r="E20" s="13" t="s">
        <v>888</v>
      </c>
      <c r="F20" s="37"/>
      <c r="G20" s="29" t="s">
        <v>7169</v>
      </c>
      <c r="H20" s="14">
        <v>43616</v>
      </c>
      <c r="I20" s="4" t="s">
        <v>618</v>
      </c>
      <c r="J20" s="35" t="s">
        <v>1386</v>
      </c>
      <c r="K20" s="136"/>
    </row>
    <row r="21" spans="1:19" s="129" customFormat="1" x14ac:dyDescent="0.25">
      <c r="A21" s="13" t="s">
        <v>91</v>
      </c>
      <c r="B21" s="14"/>
      <c r="C21" s="13"/>
      <c r="D21" s="13" t="s">
        <v>1392</v>
      </c>
      <c r="E21" s="13" t="s">
        <v>891</v>
      </c>
      <c r="F21" s="37">
        <v>659547.88</v>
      </c>
      <c r="G21" s="29" t="s">
        <v>6454</v>
      </c>
      <c r="H21" s="14">
        <v>43616</v>
      </c>
      <c r="I21" s="4" t="s">
        <v>618</v>
      </c>
      <c r="J21" s="35" t="s">
        <v>1386</v>
      </c>
      <c r="K21" s="136"/>
    </row>
    <row r="22" spans="1:19" s="8" customFormat="1" ht="18.75" customHeight="1" x14ac:dyDescent="0.25">
      <c r="A22" s="11" t="s">
        <v>751</v>
      </c>
      <c r="B22" s="142"/>
      <c r="C22" s="145"/>
      <c r="D22" s="143"/>
      <c r="E22" s="143"/>
      <c r="F22" s="145">
        <f>SUM(F23:F51)</f>
        <v>5183392.3600000003</v>
      </c>
      <c r="G22" s="220"/>
      <c r="H22" s="143"/>
      <c r="I22" s="143"/>
      <c r="J22" s="34"/>
      <c r="K22" s="34"/>
      <c r="L22" s="34"/>
      <c r="M22" s="23"/>
      <c r="N22" s="23"/>
      <c r="O22" s="23"/>
      <c r="P22" s="23"/>
      <c r="Q22" s="23"/>
      <c r="R22" s="23"/>
      <c r="S22" s="23"/>
    </row>
    <row r="23" spans="1:19" s="228" customFormat="1" ht="15" customHeight="1" x14ac:dyDescent="0.25">
      <c r="A23" s="32" t="s">
        <v>41</v>
      </c>
      <c r="B23" s="14"/>
      <c r="C23" s="67"/>
      <c r="D23" s="32" t="s">
        <v>200</v>
      </c>
      <c r="E23" s="32" t="s">
        <v>195</v>
      </c>
      <c r="F23" s="4">
        <f>1831441.84-146726.65-1500000</f>
        <v>184715.19000000018</v>
      </c>
      <c r="G23" s="28" t="s">
        <v>5751</v>
      </c>
      <c r="H23" s="14">
        <v>43524</v>
      </c>
      <c r="I23" s="4" t="s">
        <v>362</v>
      </c>
      <c r="J23" s="166" t="s">
        <v>721</v>
      </c>
      <c r="K23" s="167"/>
      <c r="L23" s="35"/>
    </row>
    <row r="24" spans="1:19" s="228" customFormat="1" ht="15" customHeight="1" x14ac:dyDescent="0.25">
      <c r="A24" s="32" t="s">
        <v>41</v>
      </c>
      <c r="B24" s="14"/>
      <c r="C24" s="67"/>
      <c r="D24" s="32" t="s">
        <v>200</v>
      </c>
      <c r="E24" s="32" t="s">
        <v>195</v>
      </c>
      <c r="F24" s="4">
        <f>1341909.19</f>
        <v>1341909.19</v>
      </c>
      <c r="G24" s="28" t="s">
        <v>8038</v>
      </c>
      <c r="H24" s="14">
        <v>43585</v>
      </c>
      <c r="I24" s="4" t="s">
        <v>362</v>
      </c>
      <c r="J24" s="166" t="s">
        <v>771</v>
      </c>
      <c r="K24" s="167"/>
      <c r="L24" s="35"/>
    </row>
    <row r="25" spans="1:19" s="228" customFormat="1" ht="15" customHeight="1" x14ac:dyDescent="0.25">
      <c r="A25" s="32" t="s">
        <v>41</v>
      </c>
      <c r="B25" s="14"/>
      <c r="C25" s="67"/>
      <c r="D25" s="32" t="s">
        <v>200</v>
      </c>
      <c r="E25" s="32" t="s">
        <v>195</v>
      </c>
      <c r="F25" s="4"/>
      <c r="G25" s="28" t="s">
        <v>3711</v>
      </c>
      <c r="H25" s="14">
        <v>43489</v>
      </c>
      <c r="I25" s="4" t="s">
        <v>284</v>
      </c>
      <c r="J25" s="166" t="s">
        <v>721</v>
      </c>
      <c r="K25" s="167"/>
      <c r="L25" s="35"/>
    </row>
    <row r="26" spans="1:19" s="62" customFormat="1" ht="15" customHeight="1" x14ac:dyDescent="0.25">
      <c r="A26" s="13" t="s">
        <v>125</v>
      </c>
      <c r="B26" s="14"/>
      <c r="C26" s="13"/>
      <c r="D26" s="13" t="s">
        <v>156</v>
      </c>
      <c r="E26" s="13" t="s">
        <v>547</v>
      </c>
      <c r="F26" s="37"/>
      <c r="G26" s="29" t="s">
        <v>6690</v>
      </c>
      <c r="H26" s="14">
        <v>43563</v>
      </c>
      <c r="I26" s="4" t="s">
        <v>1561</v>
      </c>
      <c r="J26" s="456" t="s">
        <v>366</v>
      </c>
      <c r="O26" s="35"/>
      <c r="P26" s="35"/>
      <c r="Q26" s="35"/>
      <c r="R26" s="35"/>
      <c r="S26" s="35"/>
    </row>
    <row r="27" spans="1:19" s="62" customFormat="1" ht="15" customHeight="1" x14ac:dyDescent="0.25">
      <c r="A27" s="13" t="s">
        <v>125</v>
      </c>
      <c r="B27" s="14"/>
      <c r="C27" s="13"/>
      <c r="D27" s="13" t="s">
        <v>156</v>
      </c>
      <c r="E27" s="13" t="s">
        <v>547</v>
      </c>
      <c r="F27" s="37"/>
      <c r="G27" s="29" t="s">
        <v>7199</v>
      </c>
      <c r="H27" s="14">
        <v>43556</v>
      </c>
      <c r="I27" s="4" t="s">
        <v>7198</v>
      </c>
      <c r="J27" s="456"/>
      <c r="O27" s="35"/>
      <c r="P27" s="35"/>
      <c r="Q27" s="35"/>
      <c r="R27" s="35"/>
      <c r="S27" s="35"/>
    </row>
    <row r="28" spans="1:19" s="228" customFormat="1" ht="15" customHeight="1" x14ac:dyDescent="0.25">
      <c r="A28" s="68" t="s">
        <v>166</v>
      </c>
      <c r="B28" s="14"/>
      <c r="C28" s="67"/>
      <c r="D28" s="32" t="s">
        <v>156</v>
      </c>
      <c r="E28" s="32" t="s">
        <v>76</v>
      </c>
      <c r="F28" s="4"/>
      <c r="G28" s="28" t="s">
        <v>6402</v>
      </c>
      <c r="H28" s="14">
        <v>43553</v>
      </c>
      <c r="I28" s="4" t="s">
        <v>752</v>
      </c>
      <c r="J28" s="166" t="s">
        <v>597</v>
      </c>
      <c r="K28" s="167"/>
      <c r="L28" s="35"/>
    </row>
    <row r="29" spans="1:19" s="228" customFormat="1" ht="15" customHeight="1" x14ac:dyDescent="0.25">
      <c r="A29" s="68" t="s">
        <v>174</v>
      </c>
      <c r="B29" s="14"/>
      <c r="C29" s="67"/>
      <c r="D29" s="32" t="s">
        <v>156</v>
      </c>
      <c r="E29" s="32" t="s">
        <v>178</v>
      </c>
      <c r="F29" s="4"/>
      <c r="G29" s="28" t="s">
        <v>8244</v>
      </c>
      <c r="H29" s="14">
        <v>43592</v>
      </c>
      <c r="I29" s="4" t="s">
        <v>752</v>
      </c>
      <c r="J29" s="166" t="s">
        <v>771</v>
      </c>
      <c r="K29" s="167"/>
      <c r="L29" s="35"/>
    </row>
    <row r="30" spans="1:19" s="228" customFormat="1" ht="15" customHeight="1" x14ac:dyDescent="0.25">
      <c r="A30" s="68" t="s">
        <v>206</v>
      </c>
      <c r="B30" s="14"/>
      <c r="C30" s="67"/>
      <c r="D30" s="32" t="s">
        <v>156</v>
      </c>
      <c r="E30" s="32" t="s">
        <v>178</v>
      </c>
      <c r="F30" s="4"/>
      <c r="G30" s="28"/>
      <c r="H30" s="14"/>
      <c r="I30" s="4" t="s">
        <v>362</v>
      </c>
      <c r="J30" s="166" t="s">
        <v>1386</v>
      </c>
      <c r="K30" s="167"/>
      <c r="L30" s="35"/>
    </row>
    <row r="31" spans="1:19" s="228" customFormat="1" ht="15" customHeight="1" x14ac:dyDescent="0.25">
      <c r="A31" s="68" t="s">
        <v>209</v>
      </c>
      <c r="B31" s="14"/>
      <c r="C31" s="67"/>
      <c r="D31" s="32" t="s">
        <v>200</v>
      </c>
      <c r="E31" s="32" t="s">
        <v>134</v>
      </c>
      <c r="F31" s="4"/>
      <c r="G31" s="28" t="s">
        <v>58</v>
      </c>
      <c r="H31" s="14">
        <v>43616</v>
      </c>
      <c r="I31" s="4" t="s">
        <v>362</v>
      </c>
      <c r="J31" s="166" t="s">
        <v>1386</v>
      </c>
      <c r="K31" s="167"/>
      <c r="L31" s="35"/>
    </row>
    <row r="32" spans="1:19" s="228" customFormat="1" ht="15" customHeight="1" x14ac:dyDescent="0.25">
      <c r="A32" s="68" t="s">
        <v>209</v>
      </c>
      <c r="B32" s="14"/>
      <c r="C32" s="67"/>
      <c r="D32" s="32" t="s">
        <v>200</v>
      </c>
      <c r="E32" s="32" t="s">
        <v>134</v>
      </c>
      <c r="F32" s="4"/>
      <c r="G32" s="28" t="s">
        <v>2247</v>
      </c>
      <c r="H32" s="14">
        <v>43151</v>
      </c>
      <c r="I32" s="4" t="s">
        <v>2248</v>
      </c>
      <c r="J32" s="166"/>
      <c r="K32" s="167"/>
      <c r="L32" s="35"/>
    </row>
    <row r="33" spans="1:12" s="228" customFormat="1" ht="15" customHeight="1" x14ac:dyDescent="0.25">
      <c r="A33" s="68" t="s">
        <v>209</v>
      </c>
      <c r="B33" s="14"/>
      <c r="C33" s="67"/>
      <c r="D33" s="32" t="s">
        <v>200</v>
      </c>
      <c r="E33" s="32" t="s">
        <v>134</v>
      </c>
      <c r="F33" s="4">
        <v>1624459.05</v>
      </c>
      <c r="G33" s="28" t="s">
        <v>8179</v>
      </c>
      <c r="H33" s="14">
        <v>43606</v>
      </c>
      <c r="I33" s="4" t="s">
        <v>284</v>
      </c>
      <c r="J33" s="166" t="s">
        <v>526</v>
      </c>
      <c r="K33" s="167"/>
      <c r="L33" s="35"/>
    </row>
    <row r="34" spans="1:12" s="228" customFormat="1" ht="15" customHeight="1" x14ac:dyDescent="0.25">
      <c r="A34" s="32" t="s">
        <v>188</v>
      </c>
      <c r="B34" s="14"/>
      <c r="C34" s="67"/>
      <c r="D34" s="32" t="s">
        <v>156</v>
      </c>
      <c r="E34" s="32" t="s">
        <v>483</v>
      </c>
      <c r="F34" s="4">
        <v>869511.05</v>
      </c>
      <c r="G34" s="28" t="s">
        <v>7865</v>
      </c>
      <c r="H34" s="14">
        <v>43592</v>
      </c>
      <c r="I34" s="4" t="s">
        <v>362</v>
      </c>
      <c r="J34" s="166" t="s">
        <v>7866</v>
      </c>
      <c r="K34" s="167"/>
      <c r="L34" s="35"/>
    </row>
    <row r="35" spans="1:12" s="228" customFormat="1" x14ac:dyDescent="0.25">
      <c r="A35" s="32" t="s">
        <v>260</v>
      </c>
      <c r="B35" s="14"/>
      <c r="C35" s="67"/>
      <c r="D35" s="32" t="s">
        <v>156</v>
      </c>
      <c r="E35" s="32" t="s">
        <v>231</v>
      </c>
      <c r="F35" s="4">
        <v>338944.35</v>
      </c>
      <c r="G35" s="28" t="s">
        <v>6673</v>
      </c>
      <c r="H35" s="14">
        <v>42979</v>
      </c>
      <c r="I35" s="4" t="s">
        <v>362</v>
      </c>
      <c r="J35" s="166" t="s">
        <v>771</v>
      </c>
      <c r="K35" s="167"/>
      <c r="L35" s="35"/>
    </row>
    <row r="36" spans="1:12" s="228" customFormat="1" x14ac:dyDescent="0.25">
      <c r="A36" s="32" t="s">
        <v>260</v>
      </c>
      <c r="B36" s="14"/>
      <c r="C36" s="67"/>
      <c r="D36" s="32" t="s">
        <v>156</v>
      </c>
      <c r="E36" s="32" t="s">
        <v>231</v>
      </c>
      <c r="F36" s="4">
        <v>151668.09</v>
      </c>
      <c r="G36" s="28" t="s">
        <v>6673</v>
      </c>
      <c r="H36" s="14">
        <v>42979</v>
      </c>
      <c r="I36" s="4" t="s">
        <v>362</v>
      </c>
      <c r="J36" s="166" t="s">
        <v>1386</v>
      </c>
      <c r="K36" s="167"/>
      <c r="L36" s="35"/>
    </row>
    <row r="37" spans="1:12" s="228" customFormat="1" ht="15" customHeight="1" x14ac:dyDescent="0.25">
      <c r="A37" s="32" t="s">
        <v>261</v>
      </c>
      <c r="B37" s="164"/>
      <c r="C37" s="13"/>
      <c r="D37" s="13" t="s">
        <v>1135</v>
      </c>
      <c r="E37" s="32" t="s">
        <v>231</v>
      </c>
      <c r="F37" s="4">
        <f>754735.19-634926.33</f>
        <v>119808.85999999999</v>
      </c>
      <c r="G37" s="28" t="s">
        <v>3264</v>
      </c>
      <c r="H37" s="14">
        <v>43435</v>
      </c>
      <c r="I37" s="4" t="s">
        <v>362</v>
      </c>
      <c r="J37" s="22" t="s">
        <v>771</v>
      </c>
      <c r="K37" s="246"/>
    </row>
    <row r="38" spans="1:12" s="228" customFormat="1" ht="15" customHeight="1" x14ac:dyDescent="0.25">
      <c r="A38" s="32" t="s">
        <v>261</v>
      </c>
      <c r="B38" s="164"/>
      <c r="C38" s="13"/>
      <c r="D38" s="13" t="s">
        <v>1135</v>
      </c>
      <c r="E38" s="32" t="s">
        <v>231</v>
      </c>
      <c r="F38" s="4">
        <v>476907.49</v>
      </c>
      <c r="G38" s="28" t="s">
        <v>3264</v>
      </c>
      <c r="H38" s="14">
        <v>43435</v>
      </c>
      <c r="I38" s="4" t="s">
        <v>362</v>
      </c>
      <c r="J38" s="22" t="s">
        <v>1386</v>
      </c>
      <c r="K38" s="246"/>
    </row>
    <row r="39" spans="1:12" s="228" customFormat="1" ht="15" customHeight="1" x14ac:dyDescent="0.25">
      <c r="A39" s="32" t="s">
        <v>213</v>
      </c>
      <c r="B39" s="14"/>
      <c r="C39" s="67"/>
      <c r="D39" s="32" t="s">
        <v>757</v>
      </c>
      <c r="E39" s="32" t="s">
        <v>136</v>
      </c>
      <c r="F39" s="4"/>
      <c r="G39" s="28" t="s">
        <v>8044</v>
      </c>
      <c r="H39" s="14">
        <v>43551</v>
      </c>
      <c r="I39" s="4" t="s">
        <v>362</v>
      </c>
      <c r="J39" s="166" t="s">
        <v>771</v>
      </c>
      <c r="K39" s="167"/>
      <c r="L39" s="35"/>
    </row>
    <row r="40" spans="1:12" s="228" customFormat="1" ht="15" customHeight="1" x14ac:dyDescent="0.25">
      <c r="A40" s="32" t="s">
        <v>213</v>
      </c>
      <c r="B40" s="14"/>
      <c r="C40" s="67"/>
      <c r="D40" s="32" t="s">
        <v>757</v>
      </c>
      <c r="E40" s="32" t="s">
        <v>136</v>
      </c>
      <c r="F40" s="4"/>
      <c r="G40" s="28" t="s">
        <v>3710</v>
      </c>
      <c r="H40" s="14">
        <v>43489</v>
      </c>
      <c r="I40" s="4" t="s">
        <v>284</v>
      </c>
      <c r="J40" s="166" t="s">
        <v>721</v>
      </c>
      <c r="K40" s="167"/>
      <c r="L40" s="35"/>
    </row>
    <row r="41" spans="1:12" s="228" customFormat="1" ht="14.4" customHeight="1" x14ac:dyDescent="0.25">
      <c r="A41" s="32" t="s">
        <v>35</v>
      </c>
      <c r="B41" s="14"/>
      <c r="C41" s="67"/>
      <c r="D41" s="32" t="s">
        <v>435</v>
      </c>
      <c r="E41" s="32" t="s">
        <v>75</v>
      </c>
      <c r="F41" s="4">
        <v>75469.09</v>
      </c>
      <c r="G41" s="28" t="s">
        <v>8042</v>
      </c>
      <c r="H41" s="14">
        <v>43601</v>
      </c>
      <c r="I41" s="4" t="s">
        <v>4044</v>
      </c>
      <c r="J41" s="166" t="s">
        <v>771</v>
      </c>
      <c r="K41" s="167"/>
      <c r="L41" s="35"/>
    </row>
    <row r="42" spans="1:12" s="228" customFormat="1" x14ac:dyDescent="0.25">
      <c r="A42" s="32" t="s">
        <v>90</v>
      </c>
      <c r="B42" s="14"/>
      <c r="C42" s="67"/>
      <c r="D42" s="32" t="s">
        <v>373</v>
      </c>
      <c r="E42" s="32" t="s">
        <v>877</v>
      </c>
      <c r="F42" s="4"/>
      <c r="G42" s="28" t="s">
        <v>2143</v>
      </c>
      <c r="H42" s="14"/>
      <c r="I42" s="4" t="s">
        <v>362</v>
      </c>
      <c r="J42" s="166" t="s">
        <v>1386</v>
      </c>
      <c r="K42" s="167"/>
      <c r="L42" s="35"/>
    </row>
    <row r="43" spans="1:12" s="228" customFormat="1" x14ac:dyDescent="0.25">
      <c r="A43" s="32" t="s">
        <v>55</v>
      </c>
      <c r="B43" s="14"/>
      <c r="C43" s="67"/>
      <c r="D43" s="32" t="s">
        <v>373</v>
      </c>
      <c r="E43" s="32" t="s">
        <v>888</v>
      </c>
      <c r="F43" s="4"/>
      <c r="G43" s="28" t="s">
        <v>7236</v>
      </c>
      <c r="H43" s="14">
        <v>43546</v>
      </c>
      <c r="I43" s="4" t="s">
        <v>7237</v>
      </c>
      <c r="J43" s="166" t="s">
        <v>1386</v>
      </c>
      <c r="K43" s="167"/>
      <c r="L43" s="35"/>
    </row>
    <row r="44" spans="1:12" s="228" customFormat="1" x14ac:dyDescent="0.25">
      <c r="A44" s="32" t="s">
        <v>55</v>
      </c>
      <c r="B44" s="14"/>
      <c r="C44" s="67"/>
      <c r="D44" s="32" t="s">
        <v>373</v>
      </c>
      <c r="E44" s="32" t="s">
        <v>888</v>
      </c>
      <c r="F44" s="4"/>
      <c r="G44" s="28" t="s">
        <v>7240</v>
      </c>
      <c r="H44" s="14">
        <v>43546</v>
      </c>
      <c r="I44" s="4" t="s">
        <v>7238</v>
      </c>
      <c r="J44" s="166" t="s">
        <v>1386</v>
      </c>
      <c r="K44" s="167"/>
      <c r="L44" s="35"/>
    </row>
    <row r="45" spans="1:12" s="228" customFormat="1" x14ac:dyDescent="0.25">
      <c r="A45" s="32" t="s">
        <v>55</v>
      </c>
      <c r="B45" s="14"/>
      <c r="C45" s="67"/>
      <c r="D45" s="32" t="s">
        <v>373</v>
      </c>
      <c r="E45" s="32" t="s">
        <v>888</v>
      </c>
      <c r="F45" s="4"/>
      <c r="G45" s="28" t="s">
        <v>7241</v>
      </c>
      <c r="H45" s="14">
        <v>43546</v>
      </c>
      <c r="I45" s="4" t="s">
        <v>7239</v>
      </c>
      <c r="J45" s="166" t="s">
        <v>1386</v>
      </c>
      <c r="K45" s="167"/>
      <c r="L45" s="35"/>
    </row>
    <row r="46" spans="1:12" s="228" customFormat="1" x14ac:dyDescent="0.25">
      <c r="A46" s="32" t="s">
        <v>129</v>
      </c>
      <c r="B46" s="14"/>
      <c r="C46" s="67"/>
      <c r="D46" s="32" t="s">
        <v>373</v>
      </c>
      <c r="E46" s="32" t="s">
        <v>888</v>
      </c>
      <c r="F46" s="4"/>
      <c r="G46" s="28" t="s">
        <v>1405</v>
      </c>
      <c r="H46" s="14">
        <v>43152</v>
      </c>
      <c r="I46" s="4" t="s">
        <v>362</v>
      </c>
      <c r="J46" s="166" t="s">
        <v>1386</v>
      </c>
      <c r="K46" s="167"/>
      <c r="L46" s="35"/>
    </row>
    <row r="47" spans="1:12" s="228" customFormat="1" x14ac:dyDescent="0.25">
      <c r="A47" s="32" t="s">
        <v>215</v>
      </c>
      <c r="B47" s="14"/>
      <c r="C47" s="67"/>
      <c r="D47" s="32" t="s">
        <v>373</v>
      </c>
      <c r="E47" s="32" t="s">
        <v>888</v>
      </c>
      <c r="F47" s="4"/>
      <c r="G47" s="28" t="s">
        <v>1406</v>
      </c>
      <c r="H47" s="14">
        <v>43152</v>
      </c>
      <c r="I47" s="4" t="s">
        <v>362</v>
      </c>
      <c r="J47" s="166" t="s">
        <v>1386</v>
      </c>
      <c r="K47" s="167"/>
      <c r="L47" s="35"/>
    </row>
    <row r="48" spans="1:12" s="228" customFormat="1" x14ac:dyDescent="0.25">
      <c r="A48" s="32" t="s">
        <v>214</v>
      </c>
      <c r="B48" s="14"/>
      <c r="C48" s="67"/>
      <c r="D48" s="32" t="s">
        <v>373</v>
      </c>
      <c r="E48" s="32" t="s">
        <v>888</v>
      </c>
      <c r="F48" s="4"/>
      <c r="G48" s="28" t="s">
        <v>1407</v>
      </c>
      <c r="H48" s="14">
        <v>43152</v>
      </c>
      <c r="I48" s="4" t="s">
        <v>362</v>
      </c>
      <c r="J48" s="166" t="s">
        <v>1386</v>
      </c>
      <c r="K48" s="167"/>
      <c r="L48" s="35"/>
    </row>
    <row r="49" spans="1:19" s="228" customFormat="1" x14ac:dyDescent="0.25">
      <c r="A49" s="32" t="s">
        <v>550</v>
      </c>
      <c r="B49" s="14"/>
      <c r="C49" s="67"/>
      <c r="D49" s="32" t="s">
        <v>373</v>
      </c>
      <c r="E49" s="32" t="s">
        <v>891</v>
      </c>
      <c r="F49" s="4"/>
      <c r="G49" s="28" t="s">
        <v>5573</v>
      </c>
      <c r="H49" s="14">
        <v>43459</v>
      </c>
      <c r="I49" s="4" t="s">
        <v>362</v>
      </c>
      <c r="J49" s="166" t="s">
        <v>721</v>
      </c>
      <c r="K49" s="167"/>
      <c r="L49" s="35"/>
    </row>
    <row r="50" spans="1:19" s="228" customFormat="1" x14ac:dyDescent="0.25">
      <c r="A50" s="32" t="s">
        <v>534</v>
      </c>
      <c r="B50" s="14"/>
      <c r="C50" s="67"/>
      <c r="D50" s="32" t="s">
        <v>373</v>
      </c>
      <c r="E50" s="32" t="s">
        <v>891</v>
      </c>
      <c r="F50" s="4"/>
      <c r="G50" s="28" t="s">
        <v>5574</v>
      </c>
      <c r="H50" s="14">
        <v>43459</v>
      </c>
      <c r="I50" s="4" t="s">
        <v>362</v>
      </c>
      <c r="J50" s="166" t="s">
        <v>721</v>
      </c>
      <c r="K50" s="167"/>
      <c r="L50" s="35"/>
    </row>
    <row r="51" spans="1:19" s="228" customFormat="1" x14ac:dyDescent="0.25">
      <c r="A51" s="32" t="s">
        <v>668</v>
      </c>
      <c r="B51" s="14"/>
      <c r="C51" s="67"/>
      <c r="D51" s="32" t="s">
        <v>373</v>
      </c>
      <c r="E51" s="32" t="s">
        <v>891</v>
      </c>
      <c r="F51" s="4"/>
      <c r="G51" s="28" t="s">
        <v>5575</v>
      </c>
      <c r="H51" s="14">
        <v>43459</v>
      </c>
      <c r="I51" s="4" t="s">
        <v>362</v>
      </c>
      <c r="J51" s="166" t="s">
        <v>721</v>
      </c>
      <c r="K51" s="167"/>
      <c r="L51" s="35"/>
    </row>
    <row r="52" spans="1:19" s="228" customFormat="1" x14ac:dyDescent="0.25">
      <c r="A52" s="32" t="s">
        <v>536</v>
      </c>
      <c r="B52" s="14"/>
      <c r="C52" s="67"/>
      <c r="D52" s="32" t="s">
        <v>373</v>
      </c>
      <c r="E52" s="32" t="s">
        <v>891</v>
      </c>
      <c r="F52" s="4"/>
      <c r="G52" s="28" t="s">
        <v>5576</v>
      </c>
      <c r="H52" s="14">
        <v>43459</v>
      </c>
      <c r="I52" s="4" t="s">
        <v>362</v>
      </c>
      <c r="J52" s="166" t="s">
        <v>721</v>
      </c>
      <c r="K52" s="167"/>
      <c r="L52" s="35"/>
    </row>
    <row r="53" spans="1:19" s="228" customFormat="1" x14ac:dyDescent="0.25">
      <c r="A53" s="32" t="s">
        <v>527</v>
      </c>
      <c r="B53" s="14"/>
      <c r="C53" s="67"/>
      <c r="D53" s="32" t="s">
        <v>373</v>
      </c>
      <c r="E53" s="32" t="s">
        <v>891</v>
      </c>
      <c r="F53" s="4"/>
      <c r="G53" s="28" t="s">
        <v>5577</v>
      </c>
      <c r="H53" s="14">
        <v>43459</v>
      </c>
      <c r="I53" s="4" t="s">
        <v>362</v>
      </c>
      <c r="J53" s="166" t="s">
        <v>721</v>
      </c>
      <c r="K53" s="167"/>
      <c r="L53" s="35"/>
    </row>
    <row r="54" spans="1:19" s="8" customFormat="1" ht="18.75" customHeight="1" x14ac:dyDescent="0.25">
      <c r="A54" s="11" t="s">
        <v>753</v>
      </c>
      <c r="B54" s="66"/>
      <c r="C54" s="146"/>
      <c r="D54" s="9"/>
      <c r="E54" s="9"/>
      <c r="F54" s="146">
        <f>SUM(F55:F85)</f>
        <v>7751578.540000001</v>
      </c>
      <c r="G54" s="24"/>
      <c r="H54" s="9"/>
      <c r="I54" s="10"/>
      <c r="J54" s="34"/>
      <c r="K54" s="34"/>
      <c r="L54" s="34"/>
      <c r="M54" s="23"/>
      <c r="N54" s="23"/>
      <c r="O54" s="23"/>
      <c r="P54" s="23"/>
      <c r="Q54" s="23"/>
      <c r="R54" s="23"/>
      <c r="S54" s="23"/>
    </row>
    <row r="55" spans="1:19" s="228" customFormat="1" ht="5.0999999999999996" customHeight="1" x14ac:dyDescent="0.25">
      <c r="A55" s="13">
        <v>0</v>
      </c>
      <c r="B55" s="14"/>
      <c r="C55" s="13"/>
      <c r="D55" s="32"/>
      <c r="E55" s="32"/>
      <c r="F55" s="4"/>
      <c r="G55" s="69"/>
      <c r="H55" s="14"/>
      <c r="I55" s="41"/>
      <c r="J55" s="35"/>
      <c r="K55" s="35"/>
      <c r="L55" s="35"/>
    </row>
    <row r="56" spans="1:19" s="228" customFormat="1" ht="13.95" customHeight="1" x14ac:dyDescent="0.25">
      <c r="A56" s="68" t="s">
        <v>209</v>
      </c>
      <c r="B56" s="14"/>
      <c r="C56" s="67"/>
      <c r="D56" s="32" t="s">
        <v>595</v>
      </c>
      <c r="E56" s="32" t="s">
        <v>134</v>
      </c>
      <c r="F56" s="4">
        <f>1825325.12-349041.48</f>
        <v>1476283.6400000001</v>
      </c>
      <c r="G56" s="28" t="s">
        <v>5825</v>
      </c>
      <c r="H56" s="14">
        <v>43616</v>
      </c>
      <c r="I56" s="41" t="s">
        <v>949</v>
      </c>
      <c r="J56" s="166" t="s">
        <v>1386</v>
      </c>
      <c r="K56" s="167"/>
      <c r="L56" s="35"/>
    </row>
    <row r="57" spans="1:19" s="228" customFormat="1" ht="13.95" customHeight="1" x14ac:dyDescent="0.25">
      <c r="A57" s="68" t="s">
        <v>311</v>
      </c>
      <c r="B57" s="14"/>
      <c r="C57" s="67"/>
      <c r="D57" s="32" t="s">
        <v>595</v>
      </c>
      <c r="E57" s="32" t="s">
        <v>408</v>
      </c>
      <c r="F57" s="4"/>
      <c r="G57" s="28" t="s">
        <v>1376</v>
      </c>
      <c r="H57" s="14">
        <v>43585</v>
      </c>
      <c r="I57" s="41" t="s">
        <v>949</v>
      </c>
      <c r="J57" s="166" t="s">
        <v>771</v>
      </c>
      <c r="K57" s="167"/>
      <c r="L57" s="35"/>
    </row>
    <row r="58" spans="1:19" s="228" customFormat="1" ht="13.95" customHeight="1" x14ac:dyDescent="0.25">
      <c r="A58" s="68" t="s">
        <v>638</v>
      </c>
      <c r="B58" s="14"/>
      <c r="C58" s="67"/>
      <c r="D58" s="32" t="s">
        <v>595</v>
      </c>
      <c r="E58" s="32" t="s">
        <v>547</v>
      </c>
      <c r="F58" s="4">
        <f>1266819.35</f>
        <v>1266819.3500000001</v>
      </c>
      <c r="G58" s="28" t="s">
        <v>7169</v>
      </c>
      <c r="H58" s="14">
        <v>43585</v>
      </c>
      <c r="I58" s="41" t="s">
        <v>949</v>
      </c>
      <c r="J58" s="166" t="s">
        <v>771</v>
      </c>
      <c r="K58" s="167"/>
      <c r="L58" s="35"/>
    </row>
    <row r="59" spans="1:19" s="228" customFormat="1" x14ac:dyDescent="0.25">
      <c r="A59" s="32" t="s">
        <v>660</v>
      </c>
      <c r="B59" s="14"/>
      <c r="C59" s="67"/>
      <c r="D59" s="32" t="s">
        <v>595</v>
      </c>
      <c r="E59" s="32" t="s">
        <v>488</v>
      </c>
      <c r="F59" s="4"/>
      <c r="G59" s="29" t="s">
        <v>8126</v>
      </c>
      <c r="H59" s="14">
        <v>43585</v>
      </c>
      <c r="I59" s="41" t="s">
        <v>949</v>
      </c>
      <c r="J59" s="35" t="s">
        <v>771</v>
      </c>
      <c r="K59" s="167"/>
      <c r="L59" s="35"/>
    </row>
    <row r="60" spans="1:19" s="228" customFormat="1" x14ac:dyDescent="0.25">
      <c r="A60" s="32" t="s">
        <v>659</v>
      </c>
      <c r="B60" s="14"/>
      <c r="C60" s="67"/>
      <c r="D60" s="32" t="s">
        <v>595</v>
      </c>
      <c r="E60" s="32" t="s">
        <v>488</v>
      </c>
      <c r="F60" s="4"/>
      <c r="G60" s="29" t="s">
        <v>387</v>
      </c>
      <c r="H60" s="14">
        <v>43585</v>
      </c>
      <c r="I60" s="41" t="s">
        <v>949</v>
      </c>
      <c r="J60" s="35" t="s">
        <v>771</v>
      </c>
      <c r="K60" s="167"/>
      <c r="L60" s="35"/>
    </row>
    <row r="61" spans="1:19" s="228" customFormat="1" ht="27.6" x14ac:dyDescent="0.25">
      <c r="A61" s="32" t="s">
        <v>2019</v>
      </c>
      <c r="B61" s="14">
        <v>43636</v>
      </c>
      <c r="C61" s="13"/>
      <c r="D61" s="32" t="s">
        <v>392</v>
      </c>
      <c r="E61" s="32" t="s">
        <v>231</v>
      </c>
      <c r="F61" s="4"/>
      <c r="G61" s="28" t="s">
        <v>8909</v>
      </c>
      <c r="H61" s="14">
        <v>43619</v>
      </c>
      <c r="I61" s="41" t="s">
        <v>621</v>
      </c>
      <c r="J61" s="35" t="s">
        <v>1386</v>
      </c>
      <c r="K61" s="167"/>
      <c r="L61" s="35"/>
    </row>
    <row r="62" spans="1:19" s="228" customFormat="1" ht="27.6" x14ac:dyDescent="0.25">
      <c r="A62" s="32" t="s">
        <v>2019</v>
      </c>
      <c r="B62" s="14">
        <v>43626</v>
      </c>
      <c r="C62" s="67"/>
      <c r="D62" s="32" t="s">
        <v>392</v>
      </c>
      <c r="E62" s="32" t="s">
        <v>231</v>
      </c>
      <c r="F62" s="4">
        <v>331473.96999999997</v>
      </c>
      <c r="G62" s="28" t="s">
        <v>1429</v>
      </c>
      <c r="H62" s="14">
        <v>43586</v>
      </c>
      <c r="I62" s="41" t="s">
        <v>850</v>
      </c>
      <c r="J62" s="35" t="s">
        <v>526</v>
      </c>
      <c r="K62" s="167"/>
      <c r="L62" s="35"/>
    </row>
    <row r="63" spans="1:19" s="228" customFormat="1" ht="27.6" x14ac:dyDescent="0.25">
      <c r="A63" s="32" t="s">
        <v>2019</v>
      </c>
      <c r="B63" s="14">
        <v>43641</v>
      </c>
      <c r="C63" s="13"/>
      <c r="D63" s="32" t="s">
        <v>392</v>
      </c>
      <c r="E63" s="32" t="s">
        <v>231</v>
      </c>
      <c r="F63" s="4">
        <v>425560.58</v>
      </c>
      <c r="G63" s="28" t="s">
        <v>4299</v>
      </c>
      <c r="H63" s="14">
        <v>43619</v>
      </c>
      <c r="I63" s="41" t="s">
        <v>851</v>
      </c>
      <c r="J63" s="35" t="s">
        <v>526</v>
      </c>
      <c r="K63" s="167"/>
      <c r="L63" s="35"/>
    </row>
    <row r="64" spans="1:19" s="228" customFormat="1" ht="27.6" x14ac:dyDescent="0.25">
      <c r="A64" s="32" t="s">
        <v>2019</v>
      </c>
      <c r="B64" s="14">
        <v>43656</v>
      </c>
      <c r="C64" s="67"/>
      <c r="D64" s="32" t="s">
        <v>392</v>
      </c>
      <c r="E64" s="32" t="s">
        <v>231</v>
      </c>
      <c r="F64" s="4">
        <v>319170.44</v>
      </c>
      <c r="G64" s="28" t="s">
        <v>1235</v>
      </c>
      <c r="H64" s="14">
        <v>43619</v>
      </c>
      <c r="I64" s="41" t="s">
        <v>850</v>
      </c>
      <c r="J64" s="35" t="s">
        <v>400</v>
      </c>
      <c r="K64" s="167"/>
      <c r="L64" s="35"/>
    </row>
    <row r="65" spans="1:12" s="228" customFormat="1" ht="27.6" x14ac:dyDescent="0.25">
      <c r="A65" s="32" t="s">
        <v>2020</v>
      </c>
      <c r="B65" s="14">
        <v>43636</v>
      </c>
      <c r="C65" s="13"/>
      <c r="D65" s="32" t="s">
        <v>392</v>
      </c>
      <c r="E65" s="32" t="s">
        <v>231</v>
      </c>
      <c r="F65" s="4"/>
      <c r="G65" s="28" t="s">
        <v>5601</v>
      </c>
      <c r="H65" s="14">
        <v>43619</v>
      </c>
      <c r="I65" s="41" t="s">
        <v>620</v>
      </c>
      <c r="J65" s="35" t="s">
        <v>1386</v>
      </c>
      <c r="K65" s="167"/>
      <c r="L65" s="35"/>
    </row>
    <row r="66" spans="1:12" s="228" customFormat="1" ht="27.6" x14ac:dyDescent="0.25">
      <c r="A66" s="32" t="s">
        <v>2020</v>
      </c>
      <c r="B66" s="14">
        <v>43626</v>
      </c>
      <c r="C66" s="67"/>
      <c r="D66" s="32" t="s">
        <v>392</v>
      </c>
      <c r="E66" s="32" t="s">
        <v>231</v>
      </c>
      <c r="F66" s="4">
        <v>828303.59</v>
      </c>
      <c r="G66" s="28" t="s">
        <v>8039</v>
      </c>
      <c r="H66" s="14">
        <v>43586</v>
      </c>
      <c r="I66" s="41" t="s">
        <v>848</v>
      </c>
      <c r="J66" s="35" t="s">
        <v>526</v>
      </c>
      <c r="K66" s="167"/>
      <c r="L66" s="35"/>
    </row>
    <row r="67" spans="1:12" s="228" customFormat="1" ht="27.6" x14ac:dyDescent="0.25">
      <c r="A67" s="32" t="s">
        <v>2020</v>
      </c>
      <c r="B67" s="14">
        <v>43641</v>
      </c>
      <c r="C67" s="67"/>
      <c r="D67" s="32" t="s">
        <v>392</v>
      </c>
      <c r="E67" s="32" t="s">
        <v>231</v>
      </c>
      <c r="F67" s="4">
        <v>372753.12</v>
      </c>
      <c r="G67" s="28" t="s">
        <v>4298</v>
      </c>
      <c r="H67" s="14">
        <v>43619</v>
      </c>
      <c r="I67" s="41" t="s">
        <v>849</v>
      </c>
      <c r="J67" s="35" t="s">
        <v>526</v>
      </c>
      <c r="K67" s="167"/>
      <c r="L67" s="35"/>
    </row>
    <row r="68" spans="1:12" s="228" customFormat="1" ht="27.6" x14ac:dyDescent="0.25">
      <c r="A68" s="32" t="s">
        <v>2020</v>
      </c>
      <c r="B68" s="14">
        <v>43656</v>
      </c>
      <c r="C68" s="67"/>
      <c r="D68" s="32" t="s">
        <v>392</v>
      </c>
      <c r="E68" s="32" t="s">
        <v>231</v>
      </c>
      <c r="F68" s="4">
        <v>372753.12</v>
      </c>
      <c r="G68" s="28" t="s">
        <v>1234</v>
      </c>
      <c r="H68" s="14">
        <v>43619</v>
      </c>
      <c r="I68" s="41" t="s">
        <v>848</v>
      </c>
      <c r="J68" s="35" t="s">
        <v>400</v>
      </c>
      <c r="K68" s="167"/>
      <c r="L68" s="35"/>
    </row>
    <row r="69" spans="1:12" s="228" customFormat="1" ht="41.4" x14ac:dyDescent="0.25">
      <c r="A69" s="61" t="s">
        <v>188</v>
      </c>
      <c r="B69" s="14"/>
      <c r="C69" s="13" t="s">
        <v>4627</v>
      </c>
      <c r="D69" s="32" t="s">
        <v>4496</v>
      </c>
      <c r="E69" s="32" t="s">
        <v>483</v>
      </c>
      <c r="F69" s="4">
        <f>838617.73-100000</f>
        <v>738617.73</v>
      </c>
      <c r="G69" s="29" t="s">
        <v>3141</v>
      </c>
      <c r="H69" s="14">
        <v>43514</v>
      </c>
      <c r="I69" s="41" t="s">
        <v>4497</v>
      </c>
      <c r="J69" s="35"/>
      <c r="K69" s="35"/>
      <c r="L69" s="35"/>
    </row>
    <row r="70" spans="1:12" s="228" customFormat="1" ht="15" customHeight="1" x14ac:dyDescent="0.25">
      <c r="A70" s="61" t="s">
        <v>1934</v>
      </c>
      <c r="B70" s="14" t="s">
        <v>7242</v>
      </c>
      <c r="C70" s="13"/>
      <c r="D70" s="32" t="s">
        <v>281</v>
      </c>
      <c r="E70" s="32" t="s">
        <v>136</v>
      </c>
      <c r="F70" s="4">
        <v>0</v>
      </c>
      <c r="G70" s="29"/>
      <c r="H70" s="14"/>
      <c r="I70" s="41" t="s">
        <v>362</v>
      </c>
      <c r="J70" s="35" t="s">
        <v>1386</v>
      </c>
      <c r="K70" s="35"/>
      <c r="L70" s="35"/>
    </row>
    <row r="71" spans="1:12" s="228" customFormat="1" ht="15" customHeight="1" x14ac:dyDescent="0.25">
      <c r="A71" s="61" t="s">
        <v>1934</v>
      </c>
      <c r="B71" s="14" t="s">
        <v>7243</v>
      </c>
      <c r="C71" s="13"/>
      <c r="D71" s="32" t="s">
        <v>281</v>
      </c>
      <c r="E71" s="32" t="s">
        <v>136</v>
      </c>
      <c r="F71" s="4">
        <v>258835</v>
      </c>
      <c r="G71" s="29" t="s">
        <v>8954</v>
      </c>
      <c r="H71" s="14">
        <v>43629</v>
      </c>
      <c r="I71" s="41" t="s">
        <v>852</v>
      </c>
      <c r="J71" s="35" t="s">
        <v>400</v>
      </c>
      <c r="K71" s="35"/>
      <c r="L71" s="35"/>
    </row>
    <row r="72" spans="1:12" s="228" customFormat="1" ht="15" customHeight="1" x14ac:dyDescent="0.25">
      <c r="A72" s="61" t="s">
        <v>1934</v>
      </c>
      <c r="B72" s="14" t="s">
        <v>7242</v>
      </c>
      <c r="C72" s="13"/>
      <c r="D72" s="32" t="s">
        <v>281</v>
      </c>
      <c r="E72" s="32" t="s">
        <v>136</v>
      </c>
      <c r="F72" s="4">
        <v>345113</v>
      </c>
      <c r="G72" s="29" t="s">
        <v>8955</v>
      </c>
      <c r="H72" s="14">
        <v>43629</v>
      </c>
      <c r="I72" s="41" t="s">
        <v>847</v>
      </c>
      <c r="J72" s="35" t="s">
        <v>400</v>
      </c>
      <c r="K72" s="35"/>
      <c r="L72" s="35"/>
    </row>
    <row r="73" spans="1:12" s="228" customFormat="1" ht="15" customHeight="1" x14ac:dyDescent="0.25">
      <c r="A73" s="68" t="s">
        <v>206</v>
      </c>
      <c r="B73" s="14" t="s">
        <v>7242</v>
      </c>
      <c r="C73" s="13"/>
      <c r="D73" s="32" t="s">
        <v>281</v>
      </c>
      <c r="E73" s="32" t="s">
        <v>178</v>
      </c>
      <c r="F73" s="4"/>
      <c r="G73" s="29" t="s">
        <v>8908</v>
      </c>
      <c r="H73" s="14">
        <v>43626</v>
      </c>
      <c r="I73" s="41" t="s">
        <v>362</v>
      </c>
      <c r="J73" s="35" t="s">
        <v>1386</v>
      </c>
      <c r="K73" s="35"/>
      <c r="L73" s="35"/>
    </row>
    <row r="74" spans="1:12" s="228" customFormat="1" ht="15" customHeight="1" x14ac:dyDescent="0.25">
      <c r="A74" s="68" t="s">
        <v>206</v>
      </c>
      <c r="B74" s="14" t="s">
        <v>7243</v>
      </c>
      <c r="C74" s="13"/>
      <c r="D74" s="32" t="s">
        <v>281</v>
      </c>
      <c r="E74" s="32" t="s">
        <v>178</v>
      </c>
      <c r="F74" s="4">
        <v>11319</v>
      </c>
      <c r="G74" s="29" t="s">
        <v>8950</v>
      </c>
      <c r="H74" s="14">
        <v>43626</v>
      </c>
      <c r="I74" s="41" t="s">
        <v>852</v>
      </c>
      <c r="J74" s="35" t="s">
        <v>400</v>
      </c>
      <c r="K74" s="35"/>
      <c r="L74" s="35"/>
    </row>
    <row r="75" spans="1:12" s="228" customFormat="1" ht="15" customHeight="1" x14ac:dyDescent="0.25">
      <c r="A75" s="68" t="s">
        <v>206</v>
      </c>
      <c r="B75" s="14" t="s">
        <v>7242</v>
      </c>
      <c r="C75" s="13"/>
      <c r="D75" s="32" t="s">
        <v>281</v>
      </c>
      <c r="E75" s="32" t="s">
        <v>178</v>
      </c>
      <c r="F75" s="4">
        <v>15093</v>
      </c>
      <c r="G75" s="29" t="s">
        <v>8951</v>
      </c>
      <c r="H75" s="14">
        <v>43626</v>
      </c>
      <c r="I75" s="41" t="s">
        <v>847</v>
      </c>
      <c r="J75" s="35" t="s">
        <v>400</v>
      </c>
      <c r="K75" s="35"/>
      <c r="L75" s="35"/>
    </row>
    <row r="76" spans="1:12" s="228" customFormat="1" ht="15" customHeight="1" x14ac:dyDescent="0.25">
      <c r="A76" s="68" t="s">
        <v>455</v>
      </c>
      <c r="B76" s="14" t="s">
        <v>7244</v>
      </c>
      <c r="C76" s="13"/>
      <c r="D76" s="32" t="s">
        <v>281</v>
      </c>
      <c r="E76" s="32" t="s">
        <v>440</v>
      </c>
      <c r="F76" s="4">
        <v>0</v>
      </c>
      <c r="G76" s="29"/>
      <c r="H76" s="14"/>
      <c r="I76" s="41" t="s">
        <v>362</v>
      </c>
      <c r="J76" s="35" t="s">
        <v>1386</v>
      </c>
      <c r="K76" s="35"/>
      <c r="L76" s="35"/>
    </row>
    <row r="77" spans="1:12" s="228" customFormat="1" ht="15" customHeight="1" x14ac:dyDescent="0.25">
      <c r="A77" s="68" t="s">
        <v>455</v>
      </c>
      <c r="B77" s="14" t="s">
        <v>7243</v>
      </c>
      <c r="C77" s="13"/>
      <c r="D77" s="32" t="s">
        <v>281</v>
      </c>
      <c r="E77" s="32" t="s">
        <v>440</v>
      </c>
      <c r="F77" s="4">
        <v>96704</v>
      </c>
      <c r="G77" s="29" t="s">
        <v>8952</v>
      </c>
      <c r="H77" s="14">
        <v>43629</v>
      </c>
      <c r="I77" s="41" t="s">
        <v>852</v>
      </c>
      <c r="J77" s="35" t="s">
        <v>400</v>
      </c>
      <c r="K77" s="35"/>
      <c r="L77" s="35"/>
    </row>
    <row r="78" spans="1:12" s="228" customFormat="1" ht="15" customHeight="1" x14ac:dyDescent="0.25">
      <c r="A78" s="32" t="s">
        <v>455</v>
      </c>
      <c r="B78" s="14" t="s">
        <v>7242</v>
      </c>
      <c r="C78" s="13"/>
      <c r="D78" s="32" t="s">
        <v>281</v>
      </c>
      <c r="E78" s="32" t="s">
        <v>440</v>
      </c>
      <c r="F78" s="4">
        <v>128939</v>
      </c>
      <c r="G78" s="29" t="s">
        <v>8953</v>
      </c>
      <c r="H78" s="14">
        <v>43629</v>
      </c>
      <c r="I78" s="41" t="s">
        <v>847</v>
      </c>
      <c r="J78" s="35" t="s">
        <v>400</v>
      </c>
      <c r="K78" s="35"/>
      <c r="L78" s="35"/>
    </row>
    <row r="79" spans="1:12" s="228" customFormat="1" ht="15" customHeight="1" x14ac:dyDescent="0.25">
      <c r="A79" s="68" t="s">
        <v>310</v>
      </c>
      <c r="B79" s="14" t="s">
        <v>7244</v>
      </c>
      <c r="C79" s="13"/>
      <c r="D79" s="32" t="s">
        <v>281</v>
      </c>
      <c r="E79" s="32" t="s">
        <v>314</v>
      </c>
      <c r="F79" s="4">
        <v>0</v>
      </c>
      <c r="G79" s="29"/>
      <c r="H79" s="14"/>
      <c r="I79" s="41" t="s">
        <v>362</v>
      </c>
      <c r="J79" s="35" t="s">
        <v>1386</v>
      </c>
      <c r="K79" s="35"/>
      <c r="L79" s="35"/>
    </row>
    <row r="80" spans="1:12" s="228" customFormat="1" ht="15" customHeight="1" x14ac:dyDescent="0.25">
      <c r="A80" s="68" t="s">
        <v>310</v>
      </c>
      <c r="B80" s="14" t="s">
        <v>7243</v>
      </c>
      <c r="C80" s="13"/>
      <c r="D80" s="32" t="s">
        <v>281</v>
      </c>
      <c r="E80" s="32" t="s">
        <v>314</v>
      </c>
      <c r="F80" s="4">
        <v>149189</v>
      </c>
      <c r="G80" s="29" t="s">
        <v>8956</v>
      </c>
      <c r="H80" s="14">
        <v>43629</v>
      </c>
      <c r="I80" s="41" t="s">
        <v>852</v>
      </c>
      <c r="J80" s="35" t="s">
        <v>400</v>
      </c>
      <c r="K80" s="35"/>
      <c r="L80" s="35"/>
    </row>
    <row r="81" spans="1:12" s="228" customFormat="1" ht="15" customHeight="1" x14ac:dyDescent="0.25">
      <c r="A81" s="32" t="s">
        <v>310</v>
      </c>
      <c r="B81" s="14" t="s">
        <v>7242</v>
      </c>
      <c r="C81" s="13"/>
      <c r="D81" s="32" t="s">
        <v>281</v>
      </c>
      <c r="E81" s="32" t="s">
        <v>314</v>
      </c>
      <c r="F81" s="4">
        <v>198919</v>
      </c>
      <c r="G81" s="29" t="s">
        <v>8957</v>
      </c>
      <c r="H81" s="14">
        <v>43629</v>
      </c>
      <c r="I81" s="41" t="s">
        <v>847</v>
      </c>
      <c r="J81" s="35" t="s">
        <v>400</v>
      </c>
      <c r="K81" s="35"/>
      <c r="L81" s="35"/>
    </row>
    <row r="82" spans="1:12" s="228" customFormat="1" ht="15" customHeight="1" x14ac:dyDescent="0.25">
      <c r="A82" s="68" t="s">
        <v>311</v>
      </c>
      <c r="B82" s="14" t="s">
        <v>7244</v>
      </c>
      <c r="C82" s="13"/>
      <c r="D82" s="32" t="s">
        <v>281</v>
      </c>
      <c r="E82" s="32" t="s">
        <v>408</v>
      </c>
      <c r="F82" s="4">
        <v>0</v>
      </c>
      <c r="G82" s="29"/>
      <c r="H82" s="14"/>
      <c r="I82" s="41" t="s">
        <v>362</v>
      </c>
      <c r="J82" s="35" t="s">
        <v>1386</v>
      </c>
      <c r="K82" s="35"/>
      <c r="L82" s="35"/>
    </row>
    <row r="83" spans="1:12" s="228" customFormat="1" ht="15" customHeight="1" x14ac:dyDescent="0.25">
      <c r="A83" s="68" t="s">
        <v>311</v>
      </c>
      <c r="B83" s="14" t="s">
        <v>7243</v>
      </c>
      <c r="C83" s="13"/>
      <c r="D83" s="32" t="s">
        <v>281</v>
      </c>
      <c r="E83" s="32" t="s">
        <v>408</v>
      </c>
      <c r="F83" s="4">
        <v>178171</v>
      </c>
      <c r="G83" s="29" t="s">
        <v>8958</v>
      </c>
      <c r="H83" s="14">
        <v>43628</v>
      </c>
      <c r="I83" s="41" t="s">
        <v>852</v>
      </c>
      <c r="J83" s="35" t="s">
        <v>400</v>
      </c>
      <c r="K83" s="35"/>
      <c r="L83" s="35"/>
    </row>
    <row r="84" spans="1:12" s="228" customFormat="1" ht="15" customHeight="1" x14ac:dyDescent="0.25">
      <c r="A84" s="32" t="s">
        <v>311</v>
      </c>
      <c r="B84" s="14" t="s">
        <v>7242</v>
      </c>
      <c r="C84" s="13"/>
      <c r="D84" s="32" t="s">
        <v>281</v>
      </c>
      <c r="E84" s="32" t="s">
        <v>408</v>
      </c>
      <c r="F84" s="4">
        <v>237561</v>
      </c>
      <c r="G84" s="29" t="s">
        <v>8959</v>
      </c>
      <c r="H84" s="14">
        <v>43628</v>
      </c>
      <c r="I84" s="41" t="s">
        <v>847</v>
      </c>
      <c r="J84" s="35" t="s">
        <v>400</v>
      </c>
      <c r="K84" s="35"/>
      <c r="L84" s="35"/>
    </row>
    <row r="87" spans="1:12" s="228" customFormat="1" ht="15" customHeight="1" x14ac:dyDescent="0.25">
      <c r="A87" s="68" t="s">
        <v>638</v>
      </c>
      <c r="B87" s="14"/>
      <c r="C87" s="67" t="s">
        <v>3253</v>
      </c>
      <c r="D87" s="32" t="s">
        <v>842</v>
      </c>
      <c r="E87" s="32" t="s">
        <v>60</v>
      </c>
      <c r="F87" s="252">
        <f>1539034.69</f>
        <v>1539034.69</v>
      </c>
      <c r="G87" s="28" t="s">
        <v>77</v>
      </c>
      <c r="H87" s="14">
        <v>43159</v>
      </c>
      <c r="I87" s="41" t="s">
        <v>949</v>
      </c>
      <c r="J87" s="166" t="s">
        <v>721</v>
      </c>
      <c r="K87" s="167"/>
      <c r="L87" s="35"/>
    </row>
    <row r="88" spans="1:12" s="228" customFormat="1" ht="15" customHeight="1" x14ac:dyDescent="0.25">
      <c r="A88" s="68" t="s">
        <v>638</v>
      </c>
      <c r="B88" s="14"/>
      <c r="C88" s="67" t="s">
        <v>3253</v>
      </c>
      <c r="D88" s="32" t="s">
        <v>842</v>
      </c>
      <c r="E88" s="32" t="s">
        <v>60</v>
      </c>
      <c r="F88" s="252">
        <v>521407.69</v>
      </c>
      <c r="G88" s="28" t="s">
        <v>727</v>
      </c>
      <c r="H88" s="14">
        <v>43221</v>
      </c>
      <c r="I88" s="41" t="s">
        <v>949</v>
      </c>
      <c r="J88" s="166" t="s">
        <v>366</v>
      </c>
      <c r="K88" s="167"/>
      <c r="L88" s="35"/>
    </row>
    <row r="89" spans="1:12" s="228" customFormat="1" ht="15" customHeight="1" x14ac:dyDescent="0.25">
      <c r="A89" s="68" t="s">
        <v>1972</v>
      </c>
      <c r="B89" s="14"/>
      <c r="C89" s="67" t="s">
        <v>3253</v>
      </c>
      <c r="D89" s="32" t="s">
        <v>842</v>
      </c>
      <c r="E89" s="32" t="s">
        <v>60</v>
      </c>
      <c r="F89" s="252">
        <v>288287.59999999998</v>
      </c>
      <c r="G89" s="28" t="s">
        <v>85</v>
      </c>
      <c r="H89" s="14">
        <v>43221</v>
      </c>
      <c r="I89" s="41" t="s">
        <v>949</v>
      </c>
      <c r="J89" s="166" t="s">
        <v>771</v>
      </c>
      <c r="K89" s="167"/>
      <c r="L89" s="35"/>
    </row>
    <row r="90" spans="1:12" s="228" customFormat="1" ht="15" customHeight="1" x14ac:dyDescent="0.25">
      <c r="A90" s="68" t="s">
        <v>1972</v>
      </c>
      <c r="B90" s="14"/>
      <c r="C90" s="67" t="s">
        <v>3253</v>
      </c>
      <c r="D90" s="32" t="s">
        <v>842</v>
      </c>
      <c r="E90" s="32" t="s">
        <v>60</v>
      </c>
      <c r="F90" s="252">
        <v>103211.28</v>
      </c>
      <c r="G90" s="28" t="s">
        <v>1211</v>
      </c>
      <c r="H90" s="14">
        <v>43251</v>
      </c>
      <c r="I90" s="41" t="s">
        <v>949</v>
      </c>
      <c r="J90" s="166" t="s">
        <v>1386</v>
      </c>
      <c r="K90" s="167"/>
      <c r="L90" s="35"/>
    </row>
    <row r="91" spans="1:12" s="228" customFormat="1" ht="15" customHeight="1" x14ac:dyDescent="0.25">
      <c r="A91" s="68" t="s">
        <v>1972</v>
      </c>
      <c r="B91" s="14"/>
      <c r="C91" s="67" t="s">
        <v>3253</v>
      </c>
      <c r="D91" s="32" t="s">
        <v>842</v>
      </c>
      <c r="E91" s="32" t="s">
        <v>60</v>
      </c>
      <c r="F91" s="252">
        <v>74890.399999999994</v>
      </c>
      <c r="G91" s="28" t="s">
        <v>3510</v>
      </c>
      <c r="H91" s="14">
        <v>43374</v>
      </c>
      <c r="I91" s="41" t="s">
        <v>949</v>
      </c>
      <c r="J91" s="166" t="s">
        <v>597</v>
      </c>
      <c r="K91" s="167"/>
      <c r="L91" s="35"/>
    </row>
    <row r="92" spans="1:12" s="228" customFormat="1" ht="15" customHeight="1" x14ac:dyDescent="0.25">
      <c r="A92" s="68" t="s">
        <v>1972</v>
      </c>
      <c r="B92" s="14"/>
      <c r="C92" s="67" t="s">
        <v>3253</v>
      </c>
      <c r="D92" s="32" t="s">
        <v>842</v>
      </c>
      <c r="E92" s="32" t="s">
        <v>60</v>
      </c>
      <c r="F92" s="252">
        <v>214241.4</v>
      </c>
      <c r="G92" s="28" t="s">
        <v>3511</v>
      </c>
      <c r="H92" s="14">
        <v>43404</v>
      </c>
      <c r="I92" s="41" t="s">
        <v>949</v>
      </c>
      <c r="J92" s="166" t="s">
        <v>622</v>
      </c>
      <c r="K92" s="167"/>
      <c r="L92" s="35"/>
    </row>
    <row r="93" spans="1:12" s="228" customFormat="1" ht="15" customHeight="1" x14ac:dyDescent="0.25">
      <c r="A93" s="68" t="s">
        <v>1972</v>
      </c>
      <c r="B93" s="14"/>
      <c r="C93" s="67" t="s">
        <v>3253</v>
      </c>
      <c r="D93" s="32" t="s">
        <v>842</v>
      </c>
      <c r="E93" s="32" t="s">
        <v>60</v>
      </c>
      <c r="F93" s="252">
        <v>364549.7</v>
      </c>
      <c r="G93" s="28" t="s">
        <v>3512</v>
      </c>
      <c r="H93" s="14">
        <v>43434</v>
      </c>
      <c r="I93" s="41" t="s">
        <v>949</v>
      </c>
      <c r="J93" s="166" t="s">
        <v>323</v>
      </c>
      <c r="K93" s="167"/>
      <c r="L93" s="35"/>
    </row>
  </sheetData>
  <autoFilter ref="A2:I96"/>
  <pageMargins left="0.39370078740157483" right="0.39370078740157483" top="0.19685039370078741" bottom="0.19685039370078741" header="0.51181102362204722" footer="0.51181102362204722"/>
  <pageSetup paperSize="9" scale="82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E1FFFF"/>
    <pageSetUpPr fitToPage="1"/>
  </sheetPr>
  <dimension ref="A1:S33"/>
  <sheetViews>
    <sheetView zoomScaleNormal="100" workbookViewId="0">
      <pane ySplit="3" topLeftCell="A10" activePane="bottomLeft" state="frozen"/>
      <selection activeCell="C27" sqref="C27"/>
      <selection pane="bottomLeft" activeCell="G25" sqref="G25"/>
    </sheetView>
  </sheetViews>
  <sheetFormatPr defaultColWidth="9.44140625" defaultRowHeight="13.8" x14ac:dyDescent="0.25"/>
  <cols>
    <col min="1" max="1" width="14.44140625" style="2" customWidth="1"/>
    <col min="2" max="2" width="13" style="33" customWidth="1"/>
    <col min="3" max="3" width="10.33203125" style="49" customWidth="1"/>
    <col min="4" max="4" width="23.44140625" style="2" customWidth="1"/>
    <col min="5" max="5" width="11.33203125" style="2" customWidth="1"/>
    <col min="6" max="6" width="18.44140625" style="31" customWidth="1"/>
    <col min="7" max="7" width="39.5546875" style="26" customWidth="1"/>
    <col min="8" max="8" width="9.5546875" style="2" customWidth="1"/>
    <col min="9" max="9" width="28.44140625" style="2" customWidth="1"/>
    <col min="10" max="10" width="12.88671875" style="34" customWidth="1"/>
    <col min="11" max="11" width="13.5546875" style="31" customWidth="1"/>
    <col min="12" max="12" width="15.5546875" style="31" customWidth="1"/>
    <col min="13" max="13" width="16.5546875" style="31" customWidth="1"/>
    <col min="14" max="14" width="9.44140625" style="31"/>
    <col min="15" max="19" width="9.44140625" style="34"/>
    <col min="20" max="16384" width="9.44140625" style="2"/>
  </cols>
  <sheetData>
    <row r="1" spans="1:19" x14ac:dyDescent="0.25">
      <c r="D1" s="26"/>
    </row>
    <row r="2" spans="1:19" s="8" customFormat="1" ht="36" customHeight="1" x14ac:dyDescent="0.25">
      <c r="A2" s="6" t="s">
        <v>192</v>
      </c>
      <c r="B2" s="43" t="s">
        <v>37</v>
      </c>
      <c r="C2" s="42" t="s">
        <v>51</v>
      </c>
      <c r="D2" s="6" t="s">
        <v>109</v>
      </c>
      <c r="E2" s="6" t="s">
        <v>121</v>
      </c>
      <c r="F2" s="241" t="s">
        <v>56</v>
      </c>
      <c r="G2" s="27" t="s">
        <v>58</v>
      </c>
      <c r="H2" s="6" t="s">
        <v>4508</v>
      </c>
      <c r="I2" s="7" t="s">
        <v>10</v>
      </c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8" customFormat="1" ht="18.75" customHeight="1" x14ac:dyDescent="0.25">
      <c r="A3" s="141" t="s">
        <v>573</v>
      </c>
      <c r="B3" s="142"/>
      <c r="C3" s="222"/>
      <c r="D3" s="143"/>
      <c r="E3" s="143"/>
      <c r="F3" s="145">
        <f>SUM(F4:F31)</f>
        <v>8660555.8300000001</v>
      </c>
      <c r="G3" s="145"/>
      <c r="H3" s="143"/>
      <c r="I3" s="14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173" customFormat="1" ht="8.25" customHeight="1" x14ac:dyDescent="0.25">
      <c r="A4" s="32">
        <v>0</v>
      </c>
      <c r="B4" s="14"/>
      <c r="C4" s="13"/>
      <c r="D4" s="32"/>
      <c r="E4" s="32"/>
      <c r="F4" s="4"/>
      <c r="G4" s="28"/>
      <c r="H4" s="14"/>
      <c r="I4" s="32"/>
      <c r="K4" s="62"/>
      <c r="L4" s="62"/>
      <c r="M4" s="62"/>
      <c r="N4" s="62"/>
      <c r="O4" s="35"/>
      <c r="P4" s="35"/>
      <c r="Q4" s="35"/>
      <c r="R4" s="35"/>
      <c r="S4" s="35"/>
    </row>
    <row r="5" spans="1:19" s="228" customFormat="1" x14ac:dyDescent="0.25">
      <c r="A5" s="61" t="s">
        <v>460</v>
      </c>
      <c r="B5" s="14">
        <v>43655</v>
      </c>
      <c r="C5" s="13"/>
      <c r="D5" s="13" t="s">
        <v>8337</v>
      </c>
      <c r="E5" s="13" t="s">
        <v>1336</v>
      </c>
      <c r="F5" s="256">
        <f>1693300</f>
        <v>1693300</v>
      </c>
      <c r="G5" s="69" t="s">
        <v>8338</v>
      </c>
      <c r="H5" s="14">
        <v>43602</v>
      </c>
      <c r="I5" s="274" t="s">
        <v>9201</v>
      </c>
      <c r="J5" s="169"/>
      <c r="K5" s="21"/>
    </row>
    <row r="6" spans="1:19" s="228" customFormat="1" ht="27.6" x14ac:dyDescent="0.25">
      <c r="A6" s="61" t="s">
        <v>460</v>
      </c>
      <c r="B6" s="14">
        <v>43656</v>
      </c>
      <c r="C6" s="13"/>
      <c r="D6" s="13" t="s">
        <v>6069</v>
      </c>
      <c r="E6" s="13" t="s">
        <v>494</v>
      </c>
      <c r="F6" s="256">
        <f>285398.42+285398.41</f>
        <v>570796.82999999996</v>
      </c>
      <c r="G6" s="69" t="s">
        <v>6070</v>
      </c>
      <c r="H6" s="14">
        <v>43558</v>
      </c>
      <c r="I6" s="274" t="s">
        <v>9245</v>
      </c>
      <c r="J6" s="169"/>
      <c r="K6" s="21"/>
    </row>
    <row r="7" spans="1:19" s="501" customFormat="1" x14ac:dyDescent="0.25">
      <c r="A7" s="493" t="s">
        <v>460</v>
      </c>
      <c r="B7" s="494">
        <v>43614</v>
      </c>
      <c r="C7" s="493"/>
      <c r="D7" s="494" t="s">
        <v>7323</v>
      </c>
      <c r="E7" s="495" t="s">
        <v>482</v>
      </c>
      <c r="F7" s="496">
        <v>288765</v>
      </c>
      <c r="G7" s="497" t="s">
        <v>7324</v>
      </c>
      <c r="H7" s="494"/>
      <c r="I7" s="498"/>
      <c r="J7" s="499"/>
      <c r="K7" s="500"/>
    </row>
    <row r="8" spans="1:19" s="333" customFormat="1" x14ac:dyDescent="0.25">
      <c r="A8" s="378" t="s">
        <v>460</v>
      </c>
      <c r="B8" s="330">
        <v>43623</v>
      </c>
      <c r="C8" s="329"/>
      <c r="D8" s="329" t="s">
        <v>7607</v>
      </c>
      <c r="E8" s="379" t="s">
        <v>144</v>
      </c>
      <c r="F8" s="331">
        <v>58936</v>
      </c>
      <c r="G8" s="380" t="s">
        <v>7608</v>
      </c>
      <c r="H8" s="381"/>
      <c r="I8" s="382"/>
      <c r="J8" s="332"/>
      <c r="K8" s="383"/>
    </row>
    <row r="9" spans="1:19" s="333" customFormat="1" x14ac:dyDescent="0.25">
      <c r="A9" s="378" t="s">
        <v>460</v>
      </c>
      <c r="B9" s="330">
        <v>43623</v>
      </c>
      <c r="C9" s="329"/>
      <c r="D9" s="329" t="s">
        <v>7609</v>
      </c>
      <c r="E9" s="379" t="s">
        <v>144</v>
      </c>
      <c r="F9" s="331">
        <v>39627</v>
      </c>
      <c r="G9" s="380" t="s">
        <v>7610</v>
      </c>
      <c r="H9" s="381"/>
      <c r="I9" s="382"/>
      <c r="J9" s="332"/>
      <c r="K9" s="383"/>
    </row>
    <row r="10" spans="1:19" s="333" customFormat="1" x14ac:dyDescent="0.25">
      <c r="A10" s="378" t="s">
        <v>460</v>
      </c>
      <c r="B10" s="330">
        <v>43623</v>
      </c>
      <c r="C10" s="329"/>
      <c r="D10" s="329" t="s">
        <v>7611</v>
      </c>
      <c r="E10" s="379" t="s">
        <v>144</v>
      </c>
      <c r="F10" s="331">
        <v>41924</v>
      </c>
      <c r="G10" s="380" t="s">
        <v>7612</v>
      </c>
      <c r="H10" s="381"/>
      <c r="I10" s="382"/>
      <c r="J10" s="332"/>
      <c r="K10" s="383"/>
    </row>
    <row r="11" spans="1:19" s="501" customFormat="1" x14ac:dyDescent="0.25">
      <c r="A11" s="493" t="s">
        <v>460</v>
      </c>
      <c r="B11" s="494">
        <v>43624</v>
      </c>
      <c r="C11" s="493"/>
      <c r="D11" s="494" t="s">
        <v>7613</v>
      </c>
      <c r="E11" s="495" t="s">
        <v>482</v>
      </c>
      <c r="F11" s="496">
        <v>73206</v>
      </c>
      <c r="G11" s="497" t="s">
        <v>7614</v>
      </c>
      <c r="H11" s="494"/>
      <c r="I11" s="498"/>
      <c r="J11" s="499"/>
      <c r="K11" s="500"/>
    </row>
    <row r="12" spans="1:19" s="404" customFormat="1" x14ac:dyDescent="0.25">
      <c r="A12" s="394" t="s">
        <v>460</v>
      </c>
      <c r="B12" s="395">
        <v>43629</v>
      </c>
      <c r="C12" s="396"/>
      <c r="D12" s="395" t="s">
        <v>7615</v>
      </c>
      <c r="E12" s="397" t="s">
        <v>1121</v>
      </c>
      <c r="F12" s="398">
        <v>90720</v>
      </c>
      <c r="G12" s="399" t="s">
        <v>7616</v>
      </c>
      <c r="H12" s="400"/>
      <c r="I12" s="401"/>
      <c r="J12" s="402"/>
      <c r="K12" s="403"/>
    </row>
    <row r="13" spans="1:19" s="404" customFormat="1" x14ac:dyDescent="0.25">
      <c r="A13" s="394" t="s">
        <v>460</v>
      </c>
      <c r="B13" s="395">
        <v>43629</v>
      </c>
      <c r="C13" s="396"/>
      <c r="D13" s="395" t="s">
        <v>7617</v>
      </c>
      <c r="E13" s="397" t="s">
        <v>1121</v>
      </c>
      <c r="F13" s="398">
        <v>84874</v>
      </c>
      <c r="G13" s="399" t="s">
        <v>7618</v>
      </c>
      <c r="H13" s="400"/>
      <c r="I13" s="401"/>
      <c r="J13" s="402"/>
      <c r="K13" s="403"/>
    </row>
    <row r="14" spans="1:19" s="333" customFormat="1" x14ac:dyDescent="0.25">
      <c r="A14" s="378" t="s">
        <v>460</v>
      </c>
      <c r="B14" s="330">
        <v>43632</v>
      </c>
      <c r="C14" s="329"/>
      <c r="D14" s="329" t="s">
        <v>7930</v>
      </c>
      <c r="E14" s="379" t="s">
        <v>144</v>
      </c>
      <c r="F14" s="331">
        <v>56515</v>
      </c>
      <c r="G14" s="380" t="s">
        <v>7931</v>
      </c>
      <c r="H14" s="381"/>
      <c r="I14" s="382"/>
      <c r="J14" s="332"/>
      <c r="K14" s="383"/>
    </row>
    <row r="15" spans="1:19" s="333" customFormat="1" x14ac:dyDescent="0.25">
      <c r="A15" s="378" t="s">
        <v>460</v>
      </c>
      <c r="B15" s="330">
        <v>43632</v>
      </c>
      <c r="C15" s="329"/>
      <c r="D15" s="329" t="s">
        <v>7932</v>
      </c>
      <c r="E15" s="379" t="s">
        <v>144</v>
      </c>
      <c r="F15" s="331">
        <v>40130</v>
      </c>
      <c r="G15" s="380" t="s">
        <v>7933</v>
      </c>
      <c r="H15" s="381"/>
      <c r="I15" s="382"/>
      <c r="J15" s="332"/>
      <c r="K15" s="383"/>
    </row>
    <row r="16" spans="1:19" s="404" customFormat="1" x14ac:dyDescent="0.25">
      <c r="A16" s="394" t="s">
        <v>460</v>
      </c>
      <c r="B16" s="395">
        <v>43638</v>
      </c>
      <c r="C16" s="396"/>
      <c r="D16" s="395" t="s">
        <v>8210</v>
      </c>
      <c r="E16" s="397" t="s">
        <v>483</v>
      </c>
      <c r="F16" s="398">
        <v>53250</v>
      </c>
      <c r="G16" s="399" t="s">
        <v>8211</v>
      </c>
      <c r="H16" s="400"/>
      <c r="I16" s="401"/>
      <c r="J16" s="402"/>
      <c r="K16" s="403"/>
    </row>
    <row r="17" spans="1:14" s="333" customFormat="1" x14ac:dyDescent="0.25">
      <c r="A17" s="378" t="s">
        <v>460</v>
      </c>
      <c r="B17" s="330">
        <v>43639</v>
      </c>
      <c r="C17" s="329"/>
      <c r="D17" s="329" t="s">
        <v>8208</v>
      </c>
      <c r="E17" s="379" t="s">
        <v>144</v>
      </c>
      <c r="F17" s="331">
        <v>45345</v>
      </c>
      <c r="G17" s="380" t="s">
        <v>8209</v>
      </c>
      <c r="H17" s="381"/>
      <c r="I17" s="382"/>
      <c r="J17" s="332"/>
      <c r="K17" s="383"/>
    </row>
    <row r="18" spans="1:14" s="333" customFormat="1" x14ac:dyDescent="0.25">
      <c r="A18" s="378" t="s">
        <v>460</v>
      </c>
      <c r="B18" s="330">
        <v>43639</v>
      </c>
      <c r="C18" s="329"/>
      <c r="D18" s="329" t="s">
        <v>8212</v>
      </c>
      <c r="E18" s="379" t="s">
        <v>144</v>
      </c>
      <c r="F18" s="331">
        <v>39029</v>
      </c>
      <c r="G18" s="380" t="s">
        <v>8213</v>
      </c>
      <c r="H18" s="381"/>
      <c r="I18" s="382"/>
      <c r="J18" s="332"/>
      <c r="K18" s="383"/>
    </row>
    <row r="19" spans="1:14" s="333" customFormat="1" x14ac:dyDescent="0.25">
      <c r="A19" s="378" t="s">
        <v>460</v>
      </c>
      <c r="B19" s="330">
        <v>43646</v>
      </c>
      <c r="C19" s="329"/>
      <c r="D19" s="329" t="s">
        <v>8509</v>
      </c>
      <c r="E19" s="379" t="s">
        <v>144</v>
      </c>
      <c r="F19" s="331">
        <v>40040</v>
      </c>
      <c r="G19" s="380" t="s">
        <v>8510</v>
      </c>
      <c r="H19" s="381"/>
      <c r="I19" s="382"/>
      <c r="J19" s="332"/>
      <c r="K19" s="383"/>
    </row>
    <row r="20" spans="1:14" s="333" customFormat="1" x14ac:dyDescent="0.25">
      <c r="A20" s="378" t="s">
        <v>460</v>
      </c>
      <c r="B20" s="330">
        <v>43646</v>
      </c>
      <c r="C20" s="329"/>
      <c r="D20" s="329" t="s">
        <v>8512</v>
      </c>
      <c r="E20" s="379" t="s">
        <v>144</v>
      </c>
      <c r="F20" s="331">
        <v>45543</v>
      </c>
      <c r="G20" s="380" t="s">
        <v>8511</v>
      </c>
      <c r="H20" s="381"/>
      <c r="I20" s="382"/>
      <c r="J20" s="332"/>
      <c r="K20" s="383"/>
    </row>
    <row r="21" spans="1:14" s="333" customFormat="1" x14ac:dyDescent="0.25">
      <c r="A21" s="378" t="s">
        <v>460</v>
      </c>
      <c r="B21" s="330">
        <v>43649</v>
      </c>
      <c r="C21" s="329"/>
      <c r="D21" s="329" t="s">
        <v>8513</v>
      </c>
      <c r="E21" s="379" t="s">
        <v>144</v>
      </c>
      <c r="F21" s="331">
        <v>33280</v>
      </c>
      <c r="G21" s="380" t="s">
        <v>8514</v>
      </c>
      <c r="H21" s="381"/>
      <c r="I21" s="382"/>
      <c r="J21" s="332"/>
      <c r="K21" s="383"/>
    </row>
    <row r="22" spans="1:14" s="404" customFormat="1" x14ac:dyDescent="0.25">
      <c r="A22" s="394" t="s">
        <v>460</v>
      </c>
      <c r="B22" s="395">
        <v>43649</v>
      </c>
      <c r="C22" s="396"/>
      <c r="D22" s="395" t="s">
        <v>8515</v>
      </c>
      <c r="E22" s="397" t="s">
        <v>483</v>
      </c>
      <c r="F22" s="398">
        <v>37778</v>
      </c>
      <c r="G22" s="399" t="s">
        <v>8516</v>
      </c>
      <c r="H22" s="400"/>
      <c r="I22" s="401"/>
      <c r="J22" s="402"/>
      <c r="K22" s="403"/>
    </row>
    <row r="23" spans="1:14" s="333" customFormat="1" x14ac:dyDescent="0.25">
      <c r="A23" s="378" t="s">
        <v>460</v>
      </c>
      <c r="B23" s="330">
        <v>43652</v>
      </c>
      <c r="C23" s="329"/>
      <c r="D23" s="329" t="s">
        <v>8714</v>
      </c>
      <c r="E23" s="379" t="s">
        <v>144</v>
      </c>
      <c r="F23" s="331">
        <v>56891</v>
      </c>
      <c r="G23" s="380" t="s">
        <v>8715</v>
      </c>
      <c r="H23" s="381"/>
      <c r="I23" s="382"/>
      <c r="J23" s="332"/>
      <c r="K23" s="383"/>
    </row>
    <row r="24" spans="1:14" s="404" customFormat="1" x14ac:dyDescent="0.25">
      <c r="A24" s="394" t="s">
        <v>460</v>
      </c>
      <c r="B24" s="395">
        <v>43701</v>
      </c>
      <c r="C24" s="396"/>
      <c r="D24" s="395" t="s">
        <v>9460</v>
      </c>
      <c r="E24" s="397" t="s">
        <v>483</v>
      </c>
      <c r="F24" s="398">
        <v>58687</v>
      </c>
      <c r="G24" s="399" t="s">
        <v>9461</v>
      </c>
      <c r="H24" s="400"/>
      <c r="I24" s="401"/>
      <c r="J24" s="402"/>
      <c r="K24" s="403"/>
    </row>
    <row r="25" spans="1:14" s="228" customFormat="1" x14ac:dyDescent="0.25">
      <c r="A25" s="61" t="s">
        <v>460</v>
      </c>
      <c r="B25" s="14" t="s">
        <v>5326</v>
      </c>
      <c r="C25" s="13"/>
      <c r="D25" s="13" t="s">
        <v>8341</v>
      </c>
      <c r="E25" s="13" t="s">
        <v>494</v>
      </c>
      <c r="F25" s="256">
        <f>533439</f>
        <v>533439</v>
      </c>
      <c r="G25" s="69" t="s">
        <v>8342</v>
      </c>
      <c r="H25" s="14">
        <v>43601</v>
      </c>
      <c r="I25" s="274" t="s">
        <v>2149</v>
      </c>
      <c r="J25" s="169"/>
      <c r="K25" s="21"/>
    </row>
    <row r="26" spans="1:14" s="228" customFormat="1" x14ac:dyDescent="0.25">
      <c r="A26" s="61" t="s">
        <v>460</v>
      </c>
      <c r="B26" s="14" t="s">
        <v>5326</v>
      </c>
      <c r="C26" s="13"/>
      <c r="D26" s="13" t="s">
        <v>8339</v>
      </c>
      <c r="E26" s="13" t="s">
        <v>494</v>
      </c>
      <c r="F26" s="256">
        <f>2276340</f>
        <v>2276340</v>
      </c>
      <c r="G26" s="69" t="s">
        <v>8340</v>
      </c>
      <c r="H26" s="14">
        <v>43602</v>
      </c>
      <c r="I26" s="274" t="s">
        <v>2149</v>
      </c>
      <c r="J26" s="169"/>
      <c r="K26" s="21"/>
    </row>
    <row r="27" spans="1:14" s="228" customFormat="1" x14ac:dyDescent="0.25">
      <c r="A27" s="61" t="s">
        <v>460</v>
      </c>
      <c r="B27" s="14">
        <v>43673</v>
      </c>
      <c r="C27" s="13"/>
      <c r="D27" s="13" t="s">
        <v>8333</v>
      </c>
      <c r="E27" s="13" t="s">
        <v>144</v>
      </c>
      <c r="F27" s="4">
        <f>1353750</f>
        <v>1353750</v>
      </c>
      <c r="G27" s="69" t="s">
        <v>8334</v>
      </c>
      <c r="H27" s="14">
        <v>43614</v>
      </c>
      <c r="I27" s="274"/>
      <c r="J27" s="169"/>
      <c r="K27" s="21"/>
    </row>
    <row r="28" spans="1:14" s="228" customFormat="1" x14ac:dyDescent="0.25">
      <c r="A28" s="61" t="s">
        <v>460</v>
      </c>
      <c r="B28" s="14" t="s">
        <v>5326</v>
      </c>
      <c r="C28" s="13"/>
      <c r="D28" s="13" t="s">
        <v>9002</v>
      </c>
      <c r="E28" s="13" t="s">
        <v>1336</v>
      </c>
      <c r="F28" s="256">
        <v>572883</v>
      </c>
      <c r="G28" s="69" t="s">
        <v>9003</v>
      </c>
      <c r="H28" s="14">
        <v>43622</v>
      </c>
      <c r="I28" s="274" t="s">
        <v>2149</v>
      </c>
      <c r="J28" s="169"/>
      <c r="K28" s="21"/>
    </row>
    <row r="29" spans="1:14" s="228" customFormat="1" x14ac:dyDescent="0.25">
      <c r="A29" s="61" t="s">
        <v>460</v>
      </c>
      <c r="B29" s="14" t="s">
        <v>5326</v>
      </c>
      <c r="C29" s="13"/>
      <c r="D29" s="13" t="s">
        <v>9000</v>
      </c>
      <c r="E29" s="13" t="s">
        <v>136</v>
      </c>
      <c r="F29" s="256">
        <f>428000</f>
        <v>428000</v>
      </c>
      <c r="G29" s="69" t="s">
        <v>9001</v>
      </c>
      <c r="H29" s="14">
        <v>43627</v>
      </c>
      <c r="I29" s="274" t="s">
        <v>2149</v>
      </c>
      <c r="J29" s="169"/>
      <c r="K29" s="21"/>
    </row>
    <row r="30" spans="1:14" s="421" customFormat="1" ht="27.6" x14ac:dyDescent="0.25">
      <c r="A30" s="413" t="s">
        <v>460</v>
      </c>
      <c r="B30" s="414" t="s">
        <v>3681</v>
      </c>
      <c r="C30" s="413"/>
      <c r="D30" s="414" t="s">
        <v>1860</v>
      </c>
      <c r="E30" s="415" t="s">
        <v>482</v>
      </c>
      <c r="F30" s="416">
        <v>47507</v>
      </c>
      <c r="G30" s="417" t="s">
        <v>1861</v>
      </c>
      <c r="H30" s="414"/>
      <c r="I30" s="418"/>
      <c r="J30" s="419"/>
      <c r="K30" s="420"/>
    </row>
    <row r="31" spans="1:14" ht="11.4" customHeight="1" x14ac:dyDescent="0.25">
      <c r="A31" s="32"/>
      <c r="B31" s="14"/>
      <c r="C31" s="13"/>
      <c r="D31" s="32"/>
      <c r="E31" s="32"/>
      <c r="F31" s="4"/>
      <c r="G31" s="28"/>
      <c r="H31" s="14"/>
      <c r="I31" s="32"/>
    </row>
    <row r="32" spans="1:14" s="34" customFormat="1" x14ac:dyDescent="0.25">
      <c r="A32" s="2"/>
      <c r="B32" s="33"/>
      <c r="C32" s="49"/>
      <c r="D32" s="1"/>
      <c r="E32" s="2"/>
      <c r="F32" s="62"/>
      <c r="G32" s="26"/>
      <c r="H32" s="2"/>
      <c r="I32" s="2"/>
      <c r="K32" s="31"/>
      <c r="L32" s="31"/>
      <c r="M32" s="31"/>
      <c r="N32" s="31"/>
    </row>
    <row r="33" spans="1:14" s="34" customFormat="1" x14ac:dyDescent="0.25">
      <c r="A33" s="2"/>
      <c r="B33" s="33"/>
      <c r="C33" s="49"/>
      <c r="D33" s="1"/>
      <c r="E33" s="2"/>
      <c r="F33" s="62"/>
      <c r="G33" s="26"/>
      <c r="H33" s="2"/>
      <c r="I33" s="2"/>
      <c r="K33" s="31"/>
      <c r="L33" s="31"/>
      <c r="M33" s="31"/>
      <c r="N33" s="31"/>
    </row>
  </sheetData>
  <autoFilter ref="A2:I31"/>
  <pageMargins left="0.27559055118110237" right="0.27559055118110237" top="0.19685039370078741" bottom="0.27559055118110237" header="0.51181102362204722" footer="0.51181102362204722"/>
  <pageSetup paperSize="9" scale="8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E1FFFF"/>
    <pageSetUpPr fitToPage="1"/>
  </sheetPr>
  <dimension ref="A1:S158"/>
  <sheetViews>
    <sheetView zoomScaleNormal="100" workbookViewId="0">
      <pane ySplit="2" topLeftCell="A24" activePane="bottomLeft" state="frozen"/>
      <selection pane="bottomLeft" activeCell="F33" sqref="F33:F35"/>
    </sheetView>
  </sheetViews>
  <sheetFormatPr defaultColWidth="9.44140625" defaultRowHeight="13.8" x14ac:dyDescent="0.25"/>
  <cols>
    <col min="1" max="1" width="12.5546875" style="2" customWidth="1"/>
    <col min="2" max="2" width="14.44140625" style="30" customWidth="1"/>
    <col min="3" max="3" width="10" style="49" customWidth="1"/>
    <col min="4" max="4" width="25.109375" style="2" customWidth="1"/>
    <col min="5" max="5" width="8.44140625" style="2" customWidth="1"/>
    <col min="6" max="6" width="16.5546875" style="31" customWidth="1"/>
    <col min="7" max="7" width="18.33203125" style="26" customWidth="1"/>
    <col min="8" max="8" width="12.5546875" style="33" customWidth="1"/>
    <col min="9" max="9" width="25.77734375" style="2" customWidth="1"/>
    <col min="10" max="10" width="15.44140625" style="1" bestFit="1" customWidth="1"/>
    <col min="11" max="11" width="9.44140625" style="2"/>
    <col min="12" max="12" width="12.44140625" style="2" customWidth="1"/>
    <col min="13" max="16384" width="9.44140625" style="2"/>
  </cols>
  <sheetData>
    <row r="1" spans="1:19" s="1" customFormat="1" ht="28.5" customHeight="1" thickTop="1" thickBot="1" x14ac:dyDescent="0.3">
      <c r="A1" s="254"/>
      <c r="B1" s="254"/>
      <c r="C1" s="411"/>
      <c r="D1" s="276"/>
      <c r="E1" s="48" t="s">
        <v>40</v>
      </c>
      <c r="F1" s="47">
        <f>F3+SUM(F13:F150)</f>
        <v>561387.19999999995</v>
      </c>
      <c r="G1" s="75"/>
      <c r="H1" s="165"/>
      <c r="I1" s="162"/>
      <c r="J1" s="225"/>
    </row>
    <row r="2" spans="1:19" s="8" customFormat="1" ht="36" customHeight="1" thickTop="1" x14ac:dyDescent="0.25">
      <c r="A2" s="6" t="s">
        <v>192</v>
      </c>
      <c r="B2" s="43" t="s">
        <v>37</v>
      </c>
      <c r="C2" s="251"/>
      <c r="D2" s="6" t="s">
        <v>109</v>
      </c>
      <c r="E2" s="6" t="s">
        <v>121</v>
      </c>
      <c r="F2" s="46" t="s">
        <v>56</v>
      </c>
      <c r="G2" s="27" t="s">
        <v>58</v>
      </c>
      <c r="H2" s="43" t="s">
        <v>57</v>
      </c>
      <c r="I2" s="7" t="s">
        <v>10</v>
      </c>
    </row>
    <row r="3" spans="1:19" s="8" customFormat="1" ht="18.75" customHeight="1" x14ac:dyDescent="0.25">
      <c r="A3" s="11" t="s">
        <v>964</v>
      </c>
      <c r="B3" s="140"/>
      <c r="C3" s="90"/>
      <c r="D3" s="9"/>
      <c r="E3" s="9"/>
      <c r="F3" s="146">
        <f>SUM(F4:F12)</f>
        <v>0</v>
      </c>
      <c r="G3" s="24"/>
      <c r="H3" s="9"/>
      <c r="I3" s="10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28" customFormat="1" ht="15" customHeight="1" x14ac:dyDescent="0.25">
      <c r="A4" s="13" t="s">
        <v>964</v>
      </c>
      <c r="B4" s="14"/>
      <c r="C4" s="13"/>
      <c r="D4" s="13" t="s">
        <v>321</v>
      </c>
      <c r="E4" s="32" t="s">
        <v>1121</v>
      </c>
      <c r="F4" s="4"/>
      <c r="G4" s="28" t="s">
        <v>1133</v>
      </c>
      <c r="H4" s="14">
        <v>43614</v>
      </c>
      <c r="I4" s="4" t="s">
        <v>3670</v>
      </c>
      <c r="J4" s="76" t="s">
        <v>1386</v>
      </c>
      <c r="K4" s="21"/>
      <c r="L4" s="76"/>
    </row>
    <row r="5" spans="1:19" s="228" customFormat="1" ht="15" customHeight="1" x14ac:dyDescent="0.25">
      <c r="A5" s="13" t="s">
        <v>964</v>
      </c>
      <c r="B5" s="14"/>
      <c r="C5" s="13"/>
      <c r="D5" s="13" t="s">
        <v>321</v>
      </c>
      <c r="E5" s="32" t="s">
        <v>1121</v>
      </c>
      <c r="F5" s="4"/>
      <c r="G5" s="28" t="s">
        <v>1299</v>
      </c>
      <c r="H5" s="14">
        <v>43614</v>
      </c>
      <c r="I5" s="4" t="s">
        <v>3671</v>
      </c>
      <c r="J5" s="76" t="s">
        <v>526</v>
      </c>
      <c r="K5" s="21"/>
      <c r="L5" s="76"/>
    </row>
    <row r="6" spans="1:19" s="228" customFormat="1" x14ac:dyDescent="0.25">
      <c r="A6" s="13" t="s">
        <v>964</v>
      </c>
      <c r="B6" s="14"/>
      <c r="C6" s="13"/>
      <c r="D6" s="13" t="s">
        <v>1245</v>
      </c>
      <c r="E6" s="32" t="s">
        <v>1121</v>
      </c>
      <c r="F6" s="4"/>
      <c r="G6" s="29" t="s">
        <v>8763</v>
      </c>
      <c r="H6" s="14">
        <v>43621</v>
      </c>
      <c r="I6" s="4" t="s">
        <v>1246</v>
      </c>
      <c r="J6" s="21" t="s">
        <v>1386</v>
      </c>
      <c r="K6" s="50"/>
    </row>
    <row r="7" spans="1:19" s="228" customFormat="1" x14ac:dyDescent="0.25">
      <c r="A7" s="32" t="s">
        <v>964</v>
      </c>
      <c r="B7" s="14"/>
      <c r="C7" s="67"/>
      <c r="D7" s="32" t="s">
        <v>1371</v>
      </c>
      <c r="E7" s="32" t="s">
        <v>1121</v>
      </c>
      <c r="F7" s="4"/>
      <c r="G7" s="28" t="s">
        <v>2611</v>
      </c>
      <c r="H7" s="14">
        <v>43448</v>
      </c>
      <c r="I7" s="41" t="s">
        <v>2064</v>
      </c>
      <c r="J7" s="167"/>
      <c r="K7" s="167"/>
      <c r="L7" s="35"/>
    </row>
    <row r="8" spans="1:19" s="228" customFormat="1" x14ac:dyDescent="0.25">
      <c r="A8" s="13" t="s">
        <v>964</v>
      </c>
      <c r="B8" s="14"/>
      <c r="C8" s="13"/>
      <c r="D8" s="13" t="s">
        <v>5530</v>
      </c>
      <c r="E8" s="32" t="s">
        <v>1121</v>
      </c>
      <c r="F8" s="4"/>
      <c r="G8" s="28" t="s">
        <v>71</v>
      </c>
      <c r="H8" s="14">
        <v>43580</v>
      </c>
      <c r="I8" s="4" t="s">
        <v>7265</v>
      </c>
      <c r="J8" s="76" t="s">
        <v>7266</v>
      </c>
      <c r="K8" s="21"/>
    </row>
    <row r="9" spans="1:19" s="228" customFormat="1" ht="15" customHeight="1" x14ac:dyDescent="0.25">
      <c r="A9" s="13" t="s">
        <v>964</v>
      </c>
      <c r="B9" s="14" t="s">
        <v>2801</v>
      </c>
      <c r="C9" s="13"/>
      <c r="D9" s="13" t="s">
        <v>1885</v>
      </c>
      <c r="E9" s="32" t="s">
        <v>1121</v>
      </c>
      <c r="F9" s="4"/>
      <c r="G9" s="28" t="s">
        <v>7548</v>
      </c>
      <c r="H9" s="14">
        <v>43553</v>
      </c>
      <c r="I9" s="4" t="s">
        <v>1892</v>
      </c>
      <c r="J9" s="76" t="s">
        <v>1386</v>
      </c>
      <c r="K9" s="21"/>
    </row>
    <row r="10" spans="1:19" s="228" customFormat="1" ht="15" customHeight="1" x14ac:dyDescent="0.25">
      <c r="A10" s="13" t="s">
        <v>964</v>
      </c>
      <c r="B10" s="14" t="s">
        <v>1343</v>
      </c>
      <c r="C10" s="13"/>
      <c r="D10" s="13" t="s">
        <v>1886</v>
      </c>
      <c r="E10" s="32" t="s">
        <v>1121</v>
      </c>
      <c r="F10" s="4"/>
      <c r="G10" s="28" t="s">
        <v>8264</v>
      </c>
      <c r="H10" s="14">
        <v>43593</v>
      </c>
      <c r="I10" s="4" t="s">
        <v>1887</v>
      </c>
      <c r="J10" s="76" t="s">
        <v>526</v>
      </c>
      <c r="K10" s="21"/>
    </row>
    <row r="11" spans="1:19" s="228" customFormat="1" ht="27.6" x14ac:dyDescent="0.25">
      <c r="A11" s="13" t="s">
        <v>964</v>
      </c>
      <c r="B11" s="14"/>
      <c r="C11" s="13"/>
      <c r="D11" s="13" t="s">
        <v>5220</v>
      </c>
      <c r="E11" s="32" t="s">
        <v>1121</v>
      </c>
      <c r="F11" s="4"/>
      <c r="G11" s="28" t="s">
        <v>5221</v>
      </c>
      <c r="H11" s="14">
        <v>43525</v>
      </c>
      <c r="I11" s="4" t="s">
        <v>5222</v>
      </c>
      <c r="J11" s="76" t="s">
        <v>366</v>
      </c>
      <c r="K11" s="21"/>
    </row>
    <row r="12" spans="1:19" s="228" customFormat="1" ht="15" customHeight="1" x14ac:dyDescent="0.25">
      <c r="A12" s="13" t="s">
        <v>964</v>
      </c>
      <c r="B12" s="14"/>
      <c r="C12" s="13"/>
      <c r="D12" s="13" t="s">
        <v>5217</v>
      </c>
      <c r="E12" s="32" t="s">
        <v>1121</v>
      </c>
      <c r="F12" s="4"/>
      <c r="G12" s="28" t="s">
        <v>347</v>
      </c>
      <c r="H12" s="14">
        <v>43559</v>
      </c>
      <c r="I12" s="4" t="s">
        <v>5218</v>
      </c>
      <c r="J12" s="76" t="s">
        <v>771</v>
      </c>
      <c r="K12" s="21"/>
    </row>
    <row r="13" spans="1:19" s="8" customFormat="1" ht="18.75" customHeight="1" x14ac:dyDescent="0.25">
      <c r="A13" s="11" t="s">
        <v>234</v>
      </c>
      <c r="B13" s="140"/>
      <c r="C13" s="90"/>
      <c r="D13" s="9"/>
      <c r="E13" s="9"/>
      <c r="F13" s="146"/>
      <c r="G13" s="24"/>
      <c r="H13" s="9"/>
      <c r="I13" s="10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28" customFormat="1" ht="27.6" x14ac:dyDescent="0.25">
      <c r="A14" s="13" t="s">
        <v>184</v>
      </c>
      <c r="B14" s="14" t="s">
        <v>8150</v>
      </c>
      <c r="C14" s="67" t="s">
        <v>5487</v>
      </c>
      <c r="D14" s="32" t="s">
        <v>1785</v>
      </c>
      <c r="E14" s="32" t="s">
        <v>1121</v>
      </c>
      <c r="F14" s="208"/>
      <c r="G14" s="25" t="s">
        <v>4080</v>
      </c>
      <c r="H14" s="212">
        <v>43560</v>
      </c>
      <c r="I14" s="208" t="s">
        <v>6974</v>
      </c>
      <c r="J14" s="76" t="s">
        <v>6975</v>
      </c>
      <c r="K14" s="260"/>
      <c r="L14" s="62"/>
    </row>
    <row r="15" spans="1:19" s="228" customFormat="1" ht="16.5" customHeight="1" x14ac:dyDescent="0.25">
      <c r="A15" s="13" t="s">
        <v>184</v>
      </c>
      <c r="B15" s="14"/>
      <c r="C15" s="67"/>
      <c r="D15" s="32" t="s">
        <v>1359</v>
      </c>
      <c r="E15" s="32" t="s">
        <v>1121</v>
      </c>
      <c r="F15" s="208"/>
      <c r="G15" s="25" t="s">
        <v>7317</v>
      </c>
      <c r="H15" s="14">
        <v>43617</v>
      </c>
      <c r="I15" s="4" t="s">
        <v>294</v>
      </c>
      <c r="J15" s="76" t="s">
        <v>526</v>
      </c>
      <c r="K15" s="260"/>
      <c r="L15" s="62"/>
    </row>
    <row r="16" spans="1:19" s="228" customFormat="1" ht="16.5" customHeight="1" x14ac:dyDescent="0.25">
      <c r="A16" s="13" t="s">
        <v>184</v>
      </c>
      <c r="B16" s="14"/>
      <c r="C16" s="67"/>
      <c r="D16" s="32" t="s">
        <v>1359</v>
      </c>
      <c r="E16" s="32" t="s">
        <v>1121</v>
      </c>
      <c r="F16" s="208">
        <v>177962.4</v>
      </c>
      <c r="G16" s="25" t="s">
        <v>7909</v>
      </c>
      <c r="H16" s="212">
        <v>43647</v>
      </c>
      <c r="I16" s="208" t="s">
        <v>6572</v>
      </c>
      <c r="J16" s="76" t="s">
        <v>400</v>
      </c>
      <c r="K16" s="260"/>
      <c r="L16" s="62"/>
    </row>
    <row r="17" spans="1:12" s="228" customFormat="1" ht="16.5" customHeight="1" x14ac:dyDescent="0.25">
      <c r="A17" s="13" t="s">
        <v>184</v>
      </c>
      <c r="B17" s="14"/>
      <c r="C17" s="67"/>
      <c r="D17" s="32" t="s">
        <v>1359</v>
      </c>
      <c r="E17" s="32" t="s">
        <v>1121</v>
      </c>
      <c r="F17" s="208">
        <v>177962.4</v>
      </c>
      <c r="G17" s="25" t="s">
        <v>7911</v>
      </c>
      <c r="H17" s="212">
        <v>43678</v>
      </c>
      <c r="I17" s="208" t="s">
        <v>6572</v>
      </c>
      <c r="J17" s="76" t="s">
        <v>569</v>
      </c>
      <c r="K17" s="260"/>
      <c r="L17" s="62"/>
    </row>
    <row r="18" spans="1:12" s="228" customFormat="1" ht="16.5" customHeight="1" x14ac:dyDescent="0.25">
      <c r="A18" s="13" t="s">
        <v>184</v>
      </c>
      <c r="B18" s="14"/>
      <c r="C18" s="67"/>
      <c r="D18" s="32" t="s">
        <v>1359</v>
      </c>
      <c r="E18" s="32" t="s">
        <v>1121</v>
      </c>
      <c r="F18" s="208">
        <v>177962.4</v>
      </c>
      <c r="G18" s="25" t="s">
        <v>7912</v>
      </c>
      <c r="H18" s="212">
        <v>43709</v>
      </c>
      <c r="I18" s="208" t="s">
        <v>6572</v>
      </c>
      <c r="J18" s="76" t="s">
        <v>597</v>
      </c>
      <c r="K18" s="260"/>
      <c r="L18" s="62"/>
    </row>
    <row r="19" spans="1:12" s="228" customFormat="1" ht="15" customHeight="1" x14ac:dyDescent="0.25">
      <c r="A19" s="13" t="s">
        <v>184</v>
      </c>
      <c r="B19" s="14"/>
      <c r="C19" s="13"/>
      <c r="D19" s="32" t="s">
        <v>1359</v>
      </c>
      <c r="E19" s="32" t="s">
        <v>144</v>
      </c>
      <c r="F19" s="4"/>
      <c r="G19" s="25" t="s">
        <v>7316</v>
      </c>
      <c r="H19" s="14">
        <v>43617</v>
      </c>
      <c r="I19" s="4" t="s">
        <v>294</v>
      </c>
      <c r="J19" s="76" t="s">
        <v>526</v>
      </c>
      <c r="K19" s="21"/>
    </row>
    <row r="20" spans="1:12" s="228" customFormat="1" ht="15" customHeight="1" x14ac:dyDescent="0.25">
      <c r="A20" s="13" t="s">
        <v>184</v>
      </c>
      <c r="B20" s="14"/>
      <c r="C20" s="13"/>
      <c r="D20" s="32" t="s">
        <v>1359</v>
      </c>
      <c r="E20" s="32" t="s">
        <v>1121</v>
      </c>
      <c r="F20" s="4"/>
      <c r="G20" s="28" t="s">
        <v>7913</v>
      </c>
      <c r="H20" s="14">
        <v>43598</v>
      </c>
      <c r="I20" s="4" t="s">
        <v>7914</v>
      </c>
      <c r="J20" s="76" t="s">
        <v>651</v>
      </c>
      <c r="K20" s="21"/>
    </row>
    <row r="21" spans="1:12" s="228" customFormat="1" ht="15" customHeight="1" x14ac:dyDescent="0.25">
      <c r="A21" s="13" t="s">
        <v>184</v>
      </c>
      <c r="B21" s="14"/>
      <c r="C21" s="13"/>
      <c r="D21" s="32" t="s">
        <v>1359</v>
      </c>
      <c r="E21" s="32" t="s">
        <v>1121</v>
      </c>
      <c r="F21" s="4"/>
      <c r="G21" s="28" t="s">
        <v>7915</v>
      </c>
      <c r="H21" s="14">
        <v>43598</v>
      </c>
      <c r="I21" s="4" t="s">
        <v>7916</v>
      </c>
      <c r="J21" s="76" t="s">
        <v>349</v>
      </c>
      <c r="K21" s="21"/>
    </row>
    <row r="22" spans="1:12" s="228" customFormat="1" x14ac:dyDescent="0.25">
      <c r="A22" s="13" t="s">
        <v>184</v>
      </c>
      <c r="B22" s="14"/>
      <c r="C22" s="13"/>
      <c r="D22" s="13" t="s">
        <v>6568</v>
      </c>
      <c r="E22" s="32" t="s">
        <v>1121</v>
      </c>
      <c r="F22" s="4"/>
      <c r="G22" s="28" t="s">
        <v>7211</v>
      </c>
      <c r="H22" s="14">
        <v>43563</v>
      </c>
      <c r="I22" s="4" t="s">
        <v>6574</v>
      </c>
      <c r="J22" s="76" t="s">
        <v>1386</v>
      </c>
      <c r="K22" s="21"/>
    </row>
    <row r="23" spans="1:12" s="228" customFormat="1" x14ac:dyDescent="0.25">
      <c r="A23" s="13" t="s">
        <v>184</v>
      </c>
      <c r="B23" s="14"/>
      <c r="C23" s="13"/>
      <c r="D23" s="13" t="s">
        <v>6568</v>
      </c>
      <c r="E23" s="32" t="s">
        <v>1121</v>
      </c>
      <c r="F23" s="4"/>
      <c r="G23" s="28" t="s">
        <v>9047</v>
      </c>
      <c r="H23" s="14">
        <v>43623</v>
      </c>
      <c r="I23" s="4" t="s">
        <v>9048</v>
      </c>
      <c r="J23" s="76"/>
      <c r="K23" s="21"/>
    </row>
    <row r="24" spans="1:12" s="228" customFormat="1" ht="15" customHeight="1" x14ac:dyDescent="0.25">
      <c r="A24" s="13" t="s">
        <v>184</v>
      </c>
      <c r="B24" s="14"/>
      <c r="C24" s="13"/>
      <c r="D24" s="13" t="s">
        <v>1215</v>
      </c>
      <c r="E24" s="32" t="s">
        <v>1121</v>
      </c>
      <c r="F24" s="4"/>
      <c r="G24" s="28" t="s">
        <v>251</v>
      </c>
      <c r="H24" s="14">
        <v>43549</v>
      </c>
      <c r="I24" s="4" t="s">
        <v>1865</v>
      </c>
      <c r="J24" s="76" t="s">
        <v>771</v>
      </c>
      <c r="K24" s="21"/>
    </row>
    <row r="25" spans="1:12" s="228" customFormat="1" ht="15" customHeight="1" x14ac:dyDescent="0.25">
      <c r="A25" s="13" t="s">
        <v>184</v>
      </c>
      <c r="B25" s="14"/>
      <c r="C25" s="13"/>
      <c r="D25" s="13" t="s">
        <v>1215</v>
      </c>
      <c r="E25" s="32" t="s">
        <v>1121</v>
      </c>
      <c r="F25" s="4"/>
      <c r="G25" s="28" t="s">
        <v>146</v>
      </c>
      <c r="H25" s="14">
        <v>43549</v>
      </c>
      <c r="I25" s="4" t="s">
        <v>3764</v>
      </c>
      <c r="J25" s="76" t="s">
        <v>771</v>
      </c>
      <c r="K25" s="21"/>
    </row>
    <row r="26" spans="1:12" s="228" customFormat="1" ht="15" customHeight="1" x14ac:dyDescent="0.25">
      <c r="A26" s="13" t="s">
        <v>184</v>
      </c>
      <c r="B26" s="14"/>
      <c r="C26" s="13"/>
      <c r="D26" s="13" t="s">
        <v>1215</v>
      </c>
      <c r="E26" s="32" t="s">
        <v>1121</v>
      </c>
      <c r="F26" s="4"/>
      <c r="G26" s="28" t="s">
        <v>6232</v>
      </c>
      <c r="H26" s="14">
        <v>43549</v>
      </c>
      <c r="I26" s="4" t="s">
        <v>1216</v>
      </c>
      <c r="J26" s="76" t="s">
        <v>771</v>
      </c>
      <c r="K26" s="21"/>
    </row>
    <row r="27" spans="1:12" s="228" customFormat="1" ht="15" customHeight="1" x14ac:dyDescent="0.25">
      <c r="A27" s="13" t="s">
        <v>184</v>
      </c>
      <c r="B27" s="14"/>
      <c r="C27" s="13"/>
      <c r="D27" s="13" t="s">
        <v>1215</v>
      </c>
      <c r="E27" s="32" t="s">
        <v>1121</v>
      </c>
      <c r="F27" s="4"/>
      <c r="G27" s="28" t="s">
        <v>858</v>
      </c>
      <c r="H27" s="14">
        <v>43549</v>
      </c>
      <c r="I27" s="4" t="s">
        <v>2218</v>
      </c>
      <c r="J27" s="76" t="s">
        <v>771</v>
      </c>
      <c r="K27" s="21"/>
    </row>
    <row r="28" spans="1:12" s="172" customFormat="1" ht="15" customHeight="1" x14ac:dyDescent="0.25">
      <c r="A28" s="13" t="s">
        <v>184</v>
      </c>
      <c r="B28" s="126"/>
      <c r="C28" s="13"/>
      <c r="D28" s="13" t="s">
        <v>1215</v>
      </c>
      <c r="E28" s="32" t="s">
        <v>1121</v>
      </c>
      <c r="F28" s="4"/>
      <c r="G28" s="28" t="s">
        <v>3481</v>
      </c>
      <c r="H28" s="14">
        <v>43458</v>
      </c>
      <c r="I28" s="4" t="s">
        <v>1248</v>
      </c>
      <c r="J28" s="76"/>
      <c r="K28" s="21"/>
    </row>
    <row r="29" spans="1:12" s="228" customFormat="1" ht="15" customHeight="1" x14ac:dyDescent="0.25">
      <c r="A29" s="13" t="s">
        <v>184</v>
      </c>
      <c r="B29" s="14"/>
      <c r="C29" s="13"/>
      <c r="D29" s="13" t="s">
        <v>1533</v>
      </c>
      <c r="E29" s="32" t="s">
        <v>1121</v>
      </c>
      <c r="F29" s="4"/>
      <c r="G29" s="28" t="s">
        <v>7216</v>
      </c>
      <c r="H29" s="14">
        <v>43577</v>
      </c>
      <c r="I29" s="4" t="s">
        <v>1535</v>
      </c>
      <c r="J29" s="125" t="s">
        <v>1386</v>
      </c>
      <c r="K29" s="21"/>
    </row>
    <row r="30" spans="1:12" s="228" customFormat="1" ht="15" customHeight="1" x14ac:dyDescent="0.25">
      <c r="A30" s="13" t="s">
        <v>184</v>
      </c>
      <c r="B30" s="14"/>
      <c r="C30" s="13"/>
      <c r="D30" s="13" t="s">
        <v>1533</v>
      </c>
      <c r="E30" s="32" t="s">
        <v>1121</v>
      </c>
      <c r="F30" s="4"/>
      <c r="G30" s="28" t="s">
        <v>8226</v>
      </c>
      <c r="H30" s="14">
        <v>43600</v>
      </c>
      <c r="I30" s="4" t="s">
        <v>1931</v>
      </c>
      <c r="J30" s="125" t="s">
        <v>526</v>
      </c>
      <c r="K30" s="21"/>
    </row>
    <row r="31" spans="1:12" s="228" customFormat="1" ht="15" customHeight="1" x14ac:dyDescent="0.25">
      <c r="A31" s="13" t="s">
        <v>184</v>
      </c>
      <c r="B31" s="14"/>
      <c r="C31" s="13"/>
      <c r="D31" s="13" t="s">
        <v>1533</v>
      </c>
      <c r="E31" s="32" t="s">
        <v>1121</v>
      </c>
      <c r="F31" s="4"/>
      <c r="G31" s="28" t="s">
        <v>8739</v>
      </c>
      <c r="H31" s="14">
        <v>43619</v>
      </c>
      <c r="I31" s="4" t="s">
        <v>1534</v>
      </c>
      <c r="J31" s="125"/>
      <c r="K31" s="21"/>
    </row>
    <row r="32" spans="1:12" s="20" customFormat="1" ht="15" customHeight="1" x14ac:dyDescent="0.25">
      <c r="A32" s="13" t="s">
        <v>184</v>
      </c>
      <c r="B32" s="14"/>
      <c r="C32" s="13"/>
      <c r="D32" s="13" t="s">
        <v>1533</v>
      </c>
      <c r="E32" s="32" t="s">
        <v>1121</v>
      </c>
      <c r="F32" s="4"/>
      <c r="G32" s="28" t="s">
        <v>8738</v>
      </c>
      <c r="H32" s="14">
        <v>43619</v>
      </c>
      <c r="I32" s="4" t="s">
        <v>1856</v>
      </c>
      <c r="J32" s="125"/>
      <c r="K32" s="21"/>
    </row>
    <row r="33" spans="1:19" s="228" customFormat="1" x14ac:dyDescent="0.25">
      <c r="A33" s="13" t="s">
        <v>184</v>
      </c>
      <c r="B33" s="14"/>
      <c r="C33" s="13"/>
      <c r="D33" s="13" t="s">
        <v>781</v>
      </c>
      <c r="E33" s="13" t="s">
        <v>144</v>
      </c>
      <c r="F33" s="37"/>
      <c r="G33" s="29" t="s">
        <v>173</v>
      </c>
      <c r="H33" s="14">
        <v>43613</v>
      </c>
      <c r="I33" s="4" t="s">
        <v>782</v>
      </c>
      <c r="J33" s="128" t="s">
        <v>526</v>
      </c>
      <c r="K33" s="21"/>
    </row>
    <row r="34" spans="1:19" s="228" customFormat="1" x14ac:dyDescent="0.25">
      <c r="A34" s="13" t="s">
        <v>184</v>
      </c>
      <c r="B34" s="14"/>
      <c r="C34" s="13"/>
      <c r="D34" s="13" t="s">
        <v>781</v>
      </c>
      <c r="E34" s="13" t="s">
        <v>144</v>
      </c>
      <c r="F34" s="37"/>
      <c r="G34" s="29" t="s">
        <v>2910</v>
      </c>
      <c r="H34" s="14">
        <v>43613</v>
      </c>
      <c r="I34" s="4" t="s">
        <v>934</v>
      </c>
      <c r="J34" s="128" t="s">
        <v>526</v>
      </c>
      <c r="K34" s="21"/>
    </row>
    <row r="35" spans="1:19" s="228" customFormat="1" x14ac:dyDescent="0.25">
      <c r="A35" s="13" t="s">
        <v>184</v>
      </c>
      <c r="B35" s="14"/>
      <c r="C35" s="13"/>
      <c r="D35" s="13" t="s">
        <v>781</v>
      </c>
      <c r="E35" s="13" t="s">
        <v>144</v>
      </c>
      <c r="F35" s="37"/>
      <c r="G35" s="29" t="s">
        <v>1146</v>
      </c>
      <c r="H35" s="14">
        <v>43613</v>
      </c>
      <c r="I35" s="4" t="s">
        <v>934</v>
      </c>
      <c r="J35" s="128" t="s">
        <v>526</v>
      </c>
      <c r="K35" s="21"/>
    </row>
    <row r="36" spans="1:19" s="228" customFormat="1" x14ac:dyDescent="0.25">
      <c r="A36" s="13" t="s">
        <v>184</v>
      </c>
      <c r="B36" s="14"/>
      <c r="C36" s="13"/>
      <c r="D36" s="13" t="s">
        <v>1274</v>
      </c>
      <c r="E36" s="13" t="s">
        <v>1121</v>
      </c>
      <c r="F36" s="37"/>
      <c r="G36" s="29" t="s">
        <v>1551</v>
      </c>
      <c r="H36" s="14">
        <v>43602</v>
      </c>
      <c r="I36" s="4" t="s">
        <v>2862</v>
      </c>
      <c r="J36" s="128"/>
      <c r="K36" s="21"/>
    </row>
    <row r="37" spans="1:19" s="228" customFormat="1" ht="16.5" customHeight="1" x14ac:dyDescent="0.25">
      <c r="A37" s="13" t="s">
        <v>184</v>
      </c>
      <c r="B37" s="39"/>
      <c r="C37" s="229"/>
      <c r="D37" s="32" t="s">
        <v>189</v>
      </c>
      <c r="E37" s="13" t="s">
        <v>1121</v>
      </c>
      <c r="F37" s="36"/>
      <c r="G37" s="28" t="s">
        <v>301</v>
      </c>
      <c r="H37" s="14">
        <v>43482</v>
      </c>
      <c r="I37" s="4" t="s">
        <v>927</v>
      </c>
      <c r="J37" s="22" t="s">
        <v>3497</v>
      </c>
      <c r="K37" s="63"/>
      <c r="L37" s="62"/>
    </row>
    <row r="38" spans="1:19" s="228" customFormat="1" ht="16.5" customHeight="1" x14ac:dyDescent="0.25">
      <c r="A38" s="13" t="s">
        <v>184</v>
      </c>
      <c r="B38" s="39"/>
      <c r="C38" s="229"/>
      <c r="D38" s="32" t="s">
        <v>189</v>
      </c>
      <c r="E38" s="13" t="s">
        <v>1121</v>
      </c>
      <c r="F38" s="36"/>
      <c r="G38" s="28" t="s">
        <v>1486</v>
      </c>
      <c r="H38" s="14">
        <v>43320</v>
      </c>
      <c r="I38" s="4" t="s">
        <v>927</v>
      </c>
      <c r="J38" s="22" t="s">
        <v>1815</v>
      </c>
      <c r="K38" s="63"/>
      <c r="L38" s="62"/>
    </row>
    <row r="39" spans="1:19" s="228" customFormat="1" ht="16.5" customHeight="1" x14ac:dyDescent="0.25">
      <c r="A39" s="13" t="s">
        <v>184</v>
      </c>
      <c r="B39" s="14"/>
      <c r="C39" s="67"/>
      <c r="D39" s="32" t="s">
        <v>189</v>
      </c>
      <c r="E39" s="32" t="s">
        <v>1121</v>
      </c>
      <c r="F39" s="4"/>
      <c r="G39" s="28" t="s">
        <v>2955</v>
      </c>
      <c r="H39" s="14">
        <v>43474</v>
      </c>
      <c r="I39" s="4" t="s">
        <v>1069</v>
      </c>
      <c r="J39" s="263" t="s">
        <v>2970</v>
      </c>
      <c r="K39" s="63"/>
      <c r="L39" s="62"/>
    </row>
    <row r="40" spans="1:19" s="228" customFormat="1" ht="16.5" customHeight="1" x14ac:dyDescent="0.25">
      <c r="A40" s="13" t="s">
        <v>184</v>
      </c>
      <c r="B40" s="14"/>
      <c r="C40" s="67"/>
      <c r="D40" s="32" t="s">
        <v>189</v>
      </c>
      <c r="E40" s="32" t="s">
        <v>1121</v>
      </c>
      <c r="F40" s="4"/>
      <c r="G40" s="28" t="s">
        <v>1568</v>
      </c>
      <c r="H40" s="14">
        <v>43565</v>
      </c>
      <c r="I40" s="4" t="s">
        <v>2146</v>
      </c>
      <c r="J40" s="263" t="s">
        <v>6976</v>
      </c>
      <c r="K40" s="63"/>
      <c r="L40" s="62"/>
    </row>
    <row r="41" spans="1:19" s="228" customFormat="1" ht="16.5" customHeight="1" x14ac:dyDescent="0.25">
      <c r="A41" s="13" t="s">
        <v>184</v>
      </c>
      <c r="B41" s="14"/>
      <c r="C41" s="67"/>
      <c r="D41" s="32" t="s">
        <v>189</v>
      </c>
      <c r="E41" s="32" t="s">
        <v>1121</v>
      </c>
      <c r="F41" s="4"/>
      <c r="G41" s="28" t="s">
        <v>458</v>
      </c>
      <c r="H41" s="14">
        <v>43474</v>
      </c>
      <c r="I41" s="4" t="s">
        <v>1648</v>
      </c>
      <c r="J41" s="76" t="s">
        <v>239</v>
      </c>
      <c r="K41" s="63"/>
      <c r="L41" s="62"/>
    </row>
    <row r="42" spans="1:19" s="20" customFormat="1" ht="15" customHeight="1" x14ac:dyDescent="0.25">
      <c r="A42" s="13" t="s">
        <v>184</v>
      </c>
      <c r="B42" s="14" t="s">
        <v>2107</v>
      </c>
      <c r="C42" s="13"/>
      <c r="D42" s="13" t="s">
        <v>2184</v>
      </c>
      <c r="E42" s="32" t="s">
        <v>1121</v>
      </c>
      <c r="F42" s="4"/>
      <c r="G42" s="28" t="s">
        <v>1942</v>
      </c>
      <c r="H42" s="14">
        <v>43403</v>
      </c>
      <c r="I42" s="4" t="s">
        <v>2185</v>
      </c>
      <c r="J42" s="76"/>
      <c r="K42" s="21"/>
    </row>
    <row r="43" spans="1:19" s="228" customFormat="1" ht="13.95" customHeight="1" x14ac:dyDescent="0.25">
      <c r="A43" s="61" t="s">
        <v>184</v>
      </c>
      <c r="B43" s="151"/>
      <c r="C43" s="13"/>
      <c r="D43" s="32" t="s">
        <v>7011</v>
      </c>
      <c r="E43" s="32" t="s">
        <v>1121</v>
      </c>
      <c r="F43" s="4"/>
      <c r="G43" s="29" t="s">
        <v>2933</v>
      </c>
      <c r="H43" s="14">
        <v>43579</v>
      </c>
      <c r="I43" s="84" t="s">
        <v>7203</v>
      </c>
      <c r="J43" s="21"/>
    </row>
    <row r="44" spans="1:19" s="228" customFormat="1" ht="27.6" x14ac:dyDescent="0.25">
      <c r="A44" s="13" t="s">
        <v>184</v>
      </c>
      <c r="B44" s="14"/>
      <c r="C44" s="13"/>
      <c r="D44" s="13" t="s">
        <v>9049</v>
      </c>
      <c r="E44" s="32" t="s">
        <v>144</v>
      </c>
      <c r="F44" s="4">
        <f>55000-27500</f>
        <v>27500</v>
      </c>
      <c r="G44" s="29" t="s">
        <v>727</v>
      </c>
      <c r="H44" s="14">
        <v>43616</v>
      </c>
      <c r="I44" s="4" t="s">
        <v>9050</v>
      </c>
      <c r="J44" s="21"/>
      <c r="K44" s="50"/>
    </row>
    <row r="45" spans="1:19" s="216" customFormat="1" x14ac:dyDescent="0.25">
      <c r="A45" s="13" t="s">
        <v>184</v>
      </c>
      <c r="B45" s="14"/>
      <c r="C45" s="67"/>
      <c r="D45" s="32" t="s">
        <v>798</v>
      </c>
      <c r="E45" s="32" t="s">
        <v>1121</v>
      </c>
      <c r="F45" s="4"/>
      <c r="G45" s="28" t="s">
        <v>1351</v>
      </c>
      <c r="H45" s="14">
        <v>43572</v>
      </c>
      <c r="I45" s="4" t="s">
        <v>7175</v>
      </c>
      <c r="J45" s="76"/>
      <c r="K45" s="63"/>
      <c r="L45" s="62"/>
    </row>
    <row r="46" spans="1:19" s="8" customFormat="1" ht="18.75" customHeight="1" x14ac:dyDescent="0.25">
      <c r="A46" s="11" t="s">
        <v>232</v>
      </c>
      <c r="B46" s="140"/>
      <c r="C46" s="90"/>
      <c r="D46" s="9"/>
      <c r="E46" s="9"/>
      <c r="F46" s="146"/>
      <c r="G46" s="24"/>
      <c r="H46" s="9"/>
      <c r="I46" s="10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1:19" s="20" customFormat="1" ht="15" customHeight="1" x14ac:dyDescent="0.25">
      <c r="A47" s="13" t="s">
        <v>184</v>
      </c>
      <c r="B47" s="14"/>
      <c r="C47" s="13"/>
      <c r="D47" s="13" t="s">
        <v>393</v>
      </c>
      <c r="E47" s="32" t="s">
        <v>1121</v>
      </c>
      <c r="F47" s="4"/>
      <c r="G47" s="28" t="s">
        <v>1811</v>
      </c>
      <c r="H47" s="14">
        <v>43599</v>
      </c>
      <c r="I47" s="4" t="s">
        <v>7896</v>
      </c>
      <c r="J47" s="125" t="s">
        <v>526</v>
      </c>
      <c r="K47" s="21"/>
    </row>
    <row r="48" spans="1:19" s="20" customFormat="1" ht="27.6" x14ac:dyDescent="0.25">
      <c r="A48" s="13" t="s">
        <v>184</v>
      </c>
      <c r="B48" s="14"/>
      <c r="C48" s="13"/>
      <c r="D48" s="13" t="s">
        <v>224</v>
      </c>
      <c r="E48" s="32" t="s">
        <v>1121</v>
      </c>
      <c r="F48" s="4"/>
      <c r="G48" s="28" t="s">
        <v>7917</v>
      </c>
      <c r="H48" s="14">
        <v>43571</v>
      </c>
      <c r="I48" s="4" t="s">
        <v>7918</v>
      </c>
      <c r="J48" s="125">
        <v>43564</v>
      </c>
      <c r="K48" s="21"/>
    </row>
    <row r="49" spans="1:11" s="228" customFormat="1" ht="15" customHeight="1" x14ac:dyDescent="0.25">
      <c r="A49" s="13" t="s">
        <v>184</v>
      </c>
      <c r="B49" s="14"/>
      <c r="C49" s="13"/>
      <c r="D49" s="13" t="s">
        <v>1215</v>
      </c>
      <c r="E49" s="32" t="s">
        <v>1121</v>
      </c>
      <c r="F49" s="4"/>
      <c r="G49" s="28" t="s">
        <v>1495</v>
      </c>
      <c r="H49" s="14">
        <v>43612</v>
      </c>
      <c r="I49" s="4" t="s">
        <v>293</v>
      </c>
      <c r="J49" s="76" t="s">
        <v>526</v>
      </c>
      <c r="K49" s="21"/>
    </row>
    <row r="50" spans="1:11" s="228" customFormat="1" ht="15" customHeight="1" x14ac:dyDescent="0.25">
      <c r="A50" s="13" t="s">
        <v>184</v>
      </c>
      <c r="B50" s="14"/>
      <c r="C50" s="13"/>
      <c r="D50" s="13" t="s">
        <v>1215</v>
      </c>
      <c r="E50" s="32" t="s">
        <v>1121</v>
      </c>
      <c r="F50" s="4"/>
      <c r="G50" s="28" t="s">
        <v>5622</v>
      </c>
      <c r="H50" s="14">
        <v>43581</v>
      </c>
      <c r="I50" s="4" t="s">
        <v>3482</v>
      </c>
      <c r="J50" s="76" t="s">
        <v>1386</v>
      </c>
      <c r="K50" s="21"/>
    </row>
    <row r="51" spans="1:11" s="228" customFormat="1" ht="15" customHeight="1" x14ac:dyDescent="0.25">
      <c r="A51" s="13" t="s">
        <v>184</v>
      </c>
      <c r="B51" s="14"/>
      <c r="C51" s="13"/>
      <c r="D51" s="13" t="s">
        <v>1215</v>
      </c>
      <c r="E51" s="32" t="s">
        <v>1121</v>
      </c>
      <c r="F51" s="4"/>
      <c r="G51" s="28" t="s">
        <v>1342</v>
      </c>
      <c r="H51" s="14">
        <v>43612</v>
      </c>
      <c r="I51" s="4" t="s">
        <v>3482</v>
      </c>
      <c r="J51" s="76" t="s">
        <v>526</v>
      </c>
      <c r="K51" s="21"/>
    </row>
    <row r="52" spans="1:11" s="228" customFormat="1" ht="30" customHeight="1" x14ac:dyDescent="0.25">
      <c r="A52" s="13" t="s">
        <v>184</v>
      </c>
      <c r="B52" s="127"/>
      <c r="C52" s="13"/>
      <c r="D52" s="13" t="s">
        <v>104</v>
      </c>
      <c r="E52" s="32" t="s">
        <v>1121</v>
      </c>
      <c r="F52" s="4"/>
      <c r="G52" s="28" t="s">
        <v>1605</v>
      </c>
      <c r="H52" s="14">
        <v>43609</v>
      </c>
      <c r="I52" s="4" t="s">
        <v>3483</v>
      </c>
      <c r="J52" s="76" t="s">
        <v>8743</v>
      </c>
      <c r="K52" s="21"/>
    </row>
    <row r="53" spans="1:11" s="228" customFormat="1" ht="27.6" x14ac:dyDescent="0.25">
      <c r="A53" s="13" t="s">
        <v>184</v>
      </c>
      <c r="B53" s="14"/>
      <c r="C53" s="13"/>
      <c r="D53" s="13" t="s">
        <v>197</v>
      </c>
      <c r="E53" s="32" t="s">
        <v>1121</v>
      </c>
      <c r="F53" s="4"/>
      <c r="G53" s="28" t="s">
        <v>7025</v>
      </c>
      <c r="H53" s="14">
        <v>43602</v>
      </c>
      <c r="I53" s="4" t="s">
        <v>1181</v>
      </c>
      <c r="J53" s="76" t="s">
        <v>526</v>
      </c>
      <c r="K53" s="21"/>
    </row>
    <row r="54" spans="1:11" s="228" customFormat="1" ht="27.6" x14ac:dyDescent="0.25">
      <c r="A54" s="13" t="s">
        <v>184</v>
      </c>
      <c r="B54" s="14"/>
      <c r="C54" s="13"/>
      <c r="D54" s="13" t="s">
        <v>5844</v>
      </c>
      <c r="E54" s="32" t="s">
        <v>1121</v>
      </c>
      <c r="F54" s="4"/>
      <c r="G54" s="28" t="s">
        <v>480</v>
      </c>
      <c r="H54" s="14">
        <v>43602</v>
      </c>
      <c r="I54" s="4" t="s">
        <v>795</v>
      </c>
      <c r="J54" s="125" t="s">
        <v>1386</v>
      </c>
      <c r="K54" s="21"/>
    </row>
    <row r="55" spans="1:11" s="228" customFormat="1" ht="15" customHeight="1" x14ac:dyDescent="0.25">
      <c r="A55" s="13" t="s">
        <v>184</v>
      </c>
      <c r="B55" s="14"/>
      <c r="C55" s="13"/>
      <c r="D55" s="13" t="s">
        <v>120</v>
      </c>
      <c r="E55" s="32" t="s">
        <v>1121</v>
      </c>
      <c r="F55" s="4"/>
      <c r="G55" s="28" t="s">
        <v>6583</v>
      </c>
      <c r="H55" s="14">
        <v>43549</v>
      </c>
      <c r="I55" s="4" t="s">
        <v>1214</v>
      </c>
      <c r="J55" s="125">
        <v>43555</v>
      </c>
      <c r="K55" s="21"/>
    </row>
    <row r="56" spans="1:11" s="228" customFormat="1" x14ac:dyDescent="0.25">
      <c r="A56" s="13" t="s">
        <v>184</v>
      </c>
      <c r="B56" s="14"/>
      <c r="C56" s="13"/>
      <c r="D56" s="13" t="s">
        <v>491</v>
      </c>
      <c r="E56" s="32" t="s">
        <v>1121</v>
      </c>
      <c r="F56" s="4"/>
      <c r="G56" s="28" t="s">
        <v>9056</v>
      </c>
      <c r="H56" s="14">
        <v>43626</v>
      </c>
      <c r="I56" s="4" t="s">
        <v>571</v>
      </c>
      <c r="J56" s="125">
        <v>43633</v>
      </c>
      <c r="K56" s="21"/>
    </row>
    <row r="57" spans="1:11" s="228" customFormat="1" ht="15" customHeight="1" x14ac:dyDescent="0.25">
      <c r="A57" s="13" t="s">
        <v>184</v>
      </c>
      <c r="B57" s="14"/>
      <c r="C57" s="13"/>
      <c r="D57" s="13" t="s">
        <v>531</v>
      </c>
      <c r="E57" s="32" t="s">
        <v>1121</v>
      </c>
      <c r="F57" s="4"/>
      <c r="G57" s="28" t="s">
        <v>7879</v>
      </c>
      <c r="H57" s="14">
        <v>43591</v>
      </c>
      <c r="I57" s="4" t="s">
        <v>532</v>
      </c>
      <c r="J57" s="125" t="s">
        <v>7880</v>
      </c>
      <c r="K57" s="21"/>
    </row>
    <row r="58" spans="1:11" s="228" customFormat="1" ht="15" customHeight="1" x14ac:dyDescent="0.25">
      <c r="A58" s="13" t="s">
        <v>184</v>
      </c>
      <c r="B58" s="14"/>
      <c r="C58" s="13"/>
      <c r="D58" s="13" t="s">
        <v>3759</v>
      </c>
      <c r="E58" s="32" t="s">
        <v>1121</v>
      </c>
      <c r="F58" s="4"/>
      <c r="G58" s="28" t="s">
        <v>2933</v>
      </c>
      <c r="H58" s="14">
        <v>43578</v>
      </c>
      <c r="I58" s="4" t="s">
        <v>3760</v>
      </c>
      <c r="J58" s="76"/>
      <c r="K58" s="21"/>
    </row>
    <row r="59" spans="1:11" s="20" customFormat="1" ht="15" customHeight="1" x14ac:dyDescent="0.25">
      <c r="A59" s="13" t="s">
        <v>184</v>
      </c>
      <c r="B59" s="14"/>
      <c r="C59" s="13"/>
      <c r="D59" s="13" t="s">
        <v>7212</v>
      </c>
      <c r="E59" s="32" t="s">
        <v>1121</v>
      </c>
      <c r="F59" s="4"/>
      <c r="G59" s="28" t="s">
        <v>7213</v>
      </c>
      <c r="H59" s="14">
        <v>43577</v>
      </c>
      <c r="I59" s="4" t="s">
        <v>7214</v>
      </c>
      <c r="J59" s="76"/>
      <c r="K59" s="21"/>
    </row>
    <row r="60" spans="1:11" s="228" customFormat="1" ht="15" customHeight="1" x14ac:dyDescent="0.25">
      <c r="A60" s="13" t="s">
        <v>184</v>
      </c>
      <c r="B60" s="14"/>
      <c r="C60" s="13"/>
      <c r="D60" s="13" t="s">
        <v>8227</v>
      </c>
      <c r="E60" s="32" t="s">
        <v>1121</v>
      </c>
      <c r="F60" s="4"/>
      <c r="G60" s="28" t="s">
        <v>4852</v>
      </c>
      <c r="H60" s="14">
        <v>43608</v>
      </c>
      <c r="I60" s="4" t="s">
        <v>8228</v>
      </c>
      <c r="J60" s="76"/>
      <c r="K60" s="21"/>
    </row>
    <row r="61" spans="1:11" s="228" customFormat="1" ht="15" customHeight="1" x14ac:dyDescent="0.25">
      <c r="A61" s="13" t="s">
        <v>184</v>
      </c>
      <c r="B61" s="14"/>
      <c r="C61" s="13"/>
      <c r="D61" s="13" t="s">
        <v>897</v>
      </c>
      <c r="E61" s="32" t="s">
        <v>1121</v>
      </c>
      <c r="F61" s="4"/>
      <c r="G61" s="28" t="s">
        <v>9051</v>
      </c>
      <c r="H61" s="14">
        <v>43609</v>
      </c>
      <c r="I61" s="4" t="s">
        <v>9052</v>
      </c>
      <c r="J61" s="76"/>
      <c r="K61" s="21"/>
    </row>
    <row r="62" spans="1:11" s="228" customFormat="1" ht="15" customHeight="1" x14ac:dyDescent="0.25">
      <c r="A62" s="13" t="s">
        <v>184</v>
      </c>
      <c r="B62" s="14"/>
      <c r="C62" s="13"/>
      <c r="D62" s="13" t="s">
        <v>9045</v>
      </c>
      <c r="E62" s="32" t="s">
        <v>1121</v>
      </c>
      <c r="F62" s="4"/>
      <c r="G62" s="28" t="s">
        <v>359</v>
      </c>
      <c r="H62" s="14">
        <v>43630</v>
      </c>
      <c r="I62" s="4" t="s">
        <v>9046</v>
      </c>
      <c r="J62" s="76"/>
      <c r="K62" s="21"/>
    </row>
    <row r="63" spans="1:11" s="228" customFormat="1" ht="15" customHeight="1" x14ac:dyDescent="0.25">
      <c r="A63" s="13" t="s">
        <v>184</v>
      </c>
      <c r="B63" s="14"/>
      <c r="C63" s="13"/>
      <c r="D63" s="13" t="s">
        <v>5803</v>
      </c>
      <c r="E63" s="32" t="s">
        <v>1121</v>
      </c>
      <c r="F63" s="4"/>
      <c r="G63" s="28" t="s">
        <v>9057</v>
      </c>
      <c r="H63" s="14">
        <v>43629</v>
      </c>
      <c r="I63" s="4" t="s">
        <v>1890</v>
      </c>
      <c r="J63" s="125"/>
      <c r="K63" s="21"/>
    </row>
    <row r="64" spans="1:11" s="228" customFormat="1" ht="15" customHeight="1" x14ac:dyDescent="0.25">
      <c r="A64" s="13" t="s">
        <v>184</v>
      </c>
      <c r="B64" s="14"/>
      <c r="C64" s="67"/>
      <c r="D64" s="13" t="s">
        <v>238</v>
      </c>
      <c r="E64" s="32" t="s">
        <v>1121</v>
      </c>
      <c r="F64" s="4"/>
      <c r="G64" s="28" t="s">
        <v>5333</v>
      </c>
      <c r="H64" s="14">
        <v>43627</v>
      </c>
      <c r="I64" s="4" t="s">
        <v>9055</v>
      </c>
      <c r="J64" s="125"/>
      <c r="K64" s="21"/>
    </row>
    <row r="65" spans="1:19" s="228" customFormat="1" ht="15" customHeight="1" x14ac:dyDescent="0.25">
      <c r="A65" s="13" t="s">
        <v>184</v>
      </c>
      <c r="B65" s="14"/>
      <c r="C65" s="67"/>
      <c r="D65" s="13" t="s">
        <v>238</v>
      </c>
      <c r="E65" s="32" t="s">
        <v>1121</v>
      </c>
      <c r="F65" s="4"/>
      <c r="G65" s="28" t="s">
        <v>772</v>
      </c>
      <c r="H65" s="14">
        <v>43640</v>
      </c>
      <c r="I65" s="4" t="s">
        <v>179</v>
      </c>
      <c r="J65" s="125"/>
      <c r="K65" s="21"/>
    </row>
    <row r="66" spans="1:19" s="228" customFormat="1" ht="15" customHeight="1" x14ac:dyDescent="0.25">
      <c r="A66" s="13" t="s">
        <v>184</v>
      </c>
      <c r="B66" s="14"/>
      <c r="C66" s="13"/>
      <c r="D66" s="13" t="s">
        <v>7955</v>
      </c>
      <c r="E66" s="32" t="s">
        <v>1121</v>
      </c>
      <c r="F66" s="4"/>
      <c r="G66" s="28" t="s">
        <v>1960</v>
      </c>
      <c r="H66" s="14">
        <v>43622</v>
      </c>
      <c r="I66" s="4" t="s">
        <v>8744</v>
      </c>
      <c r="J66" s="76" t="s">
        <v>8745</v>
      </c>
      <c r="K66" s="21"/>
    </row>
    <row r="67" spans="1:19" s="8" customFormat="1" ht="12.6" customHeight="1" x14ac:dyDescent="0.25">
      <c r="A67" s="11" t="s">
        <v>235</v>
      </c>
      <c r="B67" s="140"/>
      <c r="C67" s="90"/>
      <c r="D67" s="9"/>
      <c r="E67" s="9"/>
      <c r="F67" s="146"/>
      <c r="G67" s="24"/>
      <c r="H67" s="9"/>
      <c r="I67" s="10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s="228" customFormat="1" x14ac:dyDescent="0.25">
      <c r="A68" s="13" t="s">
        <v>184</v>
      </c>
      <c r="B68" s="14" t="s">
        <v>5734</v>
      </c>
      <c r="C68" s="13"/>
      <c r="D68" s="32" t="s">
        <v>747</v>
      </c>
      <c r="E68" s="32" t="s">
        <v>1121</v>
      </c>
      <c r="F68" s="4"/>
      <c r="G68" s="28" t="s">
        <v>8726</v>
      </c>
      <c r="H68" s="14">
        <v>43614</v>
      </c>
      <c r="I68" s="4" t="s">
        <v>770</v>
      </c>
      <c r="J68" s="76" t="s">
        <v>526</v>
      </c>
      <c r="K68" s="21"/>
    </row>
    <row r="69" spans="1:19" s="228" customFormat="1" x14ac:dyDescent="0.25">
      <c r="A69" s="13" t="s">
        <v>184</v>
      </c>
      <c r="B69" s="14" t="s">
        <v>5734</v>
      </c>
      <c r="C69" s="13"/>
      <c r="D69" s="32" t="s">
        <v>747</v>
      </c>
      <c r="E69" s="32" t="s">
        <v>1121</v>
      </c>
      <c r="F69" s="4"/>
      <c r="G69" s="28" t="s">
        <v>8725</v>
      </c>
      <c r="H69" s="14">
        <v>43614</v>
      </c>
      <c r="I69" s="4" t="s">
        <v>2867</v>
      </c>
      <c r="J69" s="76" t="s">
        <v>526</v>
      </c>
      <c r="K69" s="21"/>
    </row>
    <row r="70" spans="1:19" s="228" customFormat="1" ht="15" customHeight="1" x14ac:dyDescent="0.25">
      <c r="A70" s="13" t="s">
        <v>184</v>
      </c>
      <c r="B70" s="14" t="s">
        <v>5734</v>
      </c>
      <c r="C70" s="13"/>
      <c r="D70" s="32" t="s">
        <v>747</v>
      </c>
      <c r="E70" s="32" t="s">
        <v>1121</v>
      </c>
      <c r="F70" s="4"/>
      <c r="G70" s="28" t="s">
        <v>8724</v>
      </c>
      <c r="H70" s="14">
        <v>43614</v>
      </c>
      <c r="I70" s="4" t="s">
        <v>356</v>
      </c>
      <c r="J70" s="76" t="s">
        <v>526</v>
      </c>
      <c r="K70" s="21"/>
    </row>
    <row r="71" spans="1:19" s="228" customFormat="1" ht="15" customHeight="1" x14ac:dyDescent="0.25">
      <c r="A71" s="13" t="s">
        <v>184</v>
      </c>
      <c r="B71" s="14" t="s">
        <v>5734</v>
      </c>
      <c r="C71" s="13"/>
      <c r="D71" s="32" t="s">
        <v>747</v>
      </c>
      <c r="E71" s="32" t="s">
        <v>1121</v>
      </c>
      <c r="F71" s="4"/>
      <c r="G71" s="28" t="s">
        <v>8723</v>
      </c>
      <c r="H71" s="14">
        <v>43614</v>
      </c>
      <c r="I71" s="4" t="s">
        <v>356</v>
      </c>
      <c r="J71" s="76" t="s">
        <v>526</v>
      </c>
      <c r="K71" s="21"/>
    </row>
    <row r="72" spans="1:19" s="228" customFormat="1" x14ac:dyDescent="0.25">
      <c r="A72" s="13" t="s">
        <v>184</v>
      </c>
      <c r="B72" s="14" t="s">
        <v>5734</v>
      </c>
      <c r="C72" s="13"/>
      <c r="D72" s="32" t="s">
        <v>747</v>
      </c>
      <c r="E72" s="32" t="s">
        <v>1121</v>
      </c>
      <c r="F72" s="4"/>
      <c r="G72" s="28" t="s">
        <v>8722</v>
      </c>
      <c r="H72" s="14">
        <v>43614</v>
      </c>
      <c r="I72" s="4" t="s">
        <v>750</v>
      </c>
      <c r="J72" s="76" t="s">
        <v>526</v>
      </c>
      <c r="K72" s="21"/>
    </row>
    <row r="73" spans="1:19" s="228" customFormat="1" ht="15" customHeight="1" x14ac:dyDescent="0.25">
      <c r="A73" s="13" t="s">
        <v>184</v>
      </c>
      <c r="B73" s="14" t="s">
        <v>5734</v>
      </c>
      <c r="C73" s="13"/>
      <c r="D73" s="32" t="s">
        <v>747</v>
      </c>
      <c r="E73" s="32" t="s">
        <v>1121</v>
      </c>
      <c r="F73" s="4"/>
      <c r="G73" s="28" t="s">
        <v>8720</v>
      </c>
      <c r="H73" s="14">
        <v>43614</v>
      </c>
      <c r="I73" s="4" t="s">
        <v>8721</v>
      </c>
      <c r="J73" s="76" t="s">
        <v>526</v>
      </c>
      <c r="K73" s="21"/>
    </row>
    <row r="74" spans="1:19" s="228" customFormat="1" ht="15" customHeight="1" x14ac:dyDescent="0.25">
      <c r="A74" s="13" t="s">
        <v>184</v>
      </c>
      <c r="B74" s="14" t="s">
        <v>5734</v>
      </c>
      <c r="C74" s="13"/>
      <c r="D74" s="32" t="s">
        <v>747</v>
      </c>
      <c r="E74" s="32" t="s">
        <v>1121</v>
      </c>
      <c r="F74" s="4"/>
      <c r="G74" s="28" t="s">
        <v>8719</v>
      </c>
      <c r="H74" s="14">
        <v>43614</v>
      </c>
      <c r="I74" s="4" t="s">
        <v>748</v>
      </c>
      <c r="J74" s="76" t="s">
        <v>526</v>
      </c>
      <c r="K74" s="21"/>
    </row>
    <row r="75" spans="1:19" s="228" customFormat="1" x14ac:dyDescent="0.25">
      <c r="A75" s="13" t="s">
        <v>184</v>
      </c>
      <c r="B75" s="14" t="s">
        <v>5734</v>
      </c>
      <c r="C75" s="13"/>
      <c r="D75" s="32" t="s">
        <v>747</v>
      </c>
      <c r="E75" s="32" t="s">
        <v>1121</v>
      </c>
      <c r="F75" s="4"/>
      <c r="G75" s="28" t="s">
        <v>7906</v>
      </c>
      <c r="H75" s="14">
        <v>43584</v>
      </c>
      <c r="I75" s="4" t="s">
        <v>7907</v>
      </c>
      <c r="J75" s="76" t="s">
        <v>1386</v>
      </c>
      <c r="K75" s="21"/>
    </row>
    <row r="76" spans="1:19" s="228" customFormat="1" x14ac:dyDescent="0.25">
      <c r="A76" s="13" t="s">
        <v>184</v>
      </c>
      <c r="B76" s="14" t="s">
        <v>5734</v>
      </c>
      <c r="C76" s="13"/>
      <c r="D76" s="32" t="s">
        <v>747</v>
      </c>
      <c r="E76" s="32" t="s">
        <v>1121</v>
      </c>
      <c r="F76" s="4"/>
      <c r="G76" s="28" t="s">
        <v>6248</v>
      </c>
      <c r="H76" s="14">
        <v>43550</v>
      </c>
      <c r="I76" s="4" t="s">
        <v>769</v>
      </c>
      <c r="J76" s="76" t="s">
        <v>771</v>
      </c>
      <c r="K76" s="21"/>
    </row>
    <row r="77" spans="1:19" s="228" customFormat="1" ht="15" customHeight="1" x14ac:dyDescent="0.25">
      <c r="A77" s="13" t="s">
        <v>184</v>
      </c>
      <c r="B77" s="14" t="s">
        <v>5734</v>
      </c>
      <c r="C77" s="13"/>
      <c r="D77" s="32" t="s">
        <v>747</v>
      </c>
      <c r="E77" s="32" t="s">
        <v>1121</v>
      </c>
      <c r="F77" s="4"/>
      <c r="G77" s="28" t="s">
        <v>6249</v>
      </c>
      <c r="H77" s="14">
        <v>43550</v>
      </c>
      <c r="I77" s="4" t="s">
        <v>363</v>
      </c>
      <c r="J77" s="76" t="s">
        <v>771</v>
      </c>
      <c r="K77" s="21"/>
    </row>
    <row r="78" spans="1:19" s="228" customFormat="1" ht="15" customHeight="1" x14ac:dyDescent="0.25">
      <c r="A78" s="13" t="s">
        <v>184</v>
      </c>
      <c r="B78" s="14" t="s">
        <v>5734</v>
      </c>
      <c r="C78" s="13"/>
      <c r="D78" s="32" t="s">
        <v>747</v>
      </c>
      <c r="E78" s="32" t="s">
        <v>1121</v>
      </c>
      <c r="F78" s="4"/>
      <c r="G78" s="28" t="s">
        <v>6250</v>
      </c>
      <c r="H78" s="14">
        <v>43550</v>
      </c>
      <c r="I78" s="4" t="s">
        <v>424</v>
      </c>
      <c r="J78" s="76" t="s">
        <v>771</v>
      </c>
      <c r="K78" s="21"/>
    </row>
    <row r="79" spans="1:19" s="228" customFormat="1" ht="15" customHeight="1" x14ac:dyDescent="0.25">
      <c r="A79" s="13" t="s">
        <v>184</v>
      </c>
      <c r="B79" s="14" t="s">
        <v>5734</v>
      </c>
      <c r="C79" s="13"/>
      <c r="D79" s="32" t="s">
        <v>747</v>
      </c>
      <c r="E79" s="32" t="s">
        <v>1121</v>
      </c>
      <c r="F79" s="4"/>
      <c r="G79" s="28" t="s">
        <v>6251</v>
      </c>
      <c r="H79" s="14">
        <v>43550</v>
      </c>
      <c r="I79" s="4" t="s">
        <v>749</v>
      </c>
      <c r="J79" s="76" t="s">
        <v>771</v>
      </c>
      <c r="K79" s="21"/>
    </row>
    <row r="80" spans="1:19" s="228" customFormat="1" ht="15" customHeight="1" x14ac:dyDescent="0.25">
      <c r="A80" s="13" t="s">
        <v>184</v>
      </c>
      <c r="B80" s="14" t="s">
        <v>5734</v>
      </c>
      <c r="C80" s="13"/>
      <c r="D80" s="32" t="s">
        <v>747</v>
      </c>
      <c r="E80" s="32" t="s">
        <v>1121</v>
      </c>
      <c r="F80" s="4"/>
      <c r="G80" s="28" t="s">
        <v>6253</v>
      </c>
      <c r="H80" s="14">
        <v>43550</v>
      </c>
      <c r="I80" s="4" t="s">
        <v>658</v>
      </c>
      <c r="J80" s="76" t="s">
        <v>771</v>
      </c>
      <c r="K80" s="21"/>
    </row>
    <row r="81" spans="1:11" s="228" customFormat="1" ht="15" customHeight="1" x14ac:dyDescent="0.25">
      <c r="A81" s="13" t="s">
        <v>184</v>
      </c>
      <c r="B81" s="14" t="s">
        <v>5734</v>
      </c>
      <c r="C81" s="13"/>
      <c r="D81" s="32" t="s">
        <v>747</v>
      </c>
      <c r="E81" s="32" t="s">
        <v>1121</v>
      </c>
      <c r="F81" s="4"/>
      <c r="G81" s="28" t="s">
        <v>6254</v>
      </c>
      <c r="H81" s="14">
        <v>43550</v>
      </c>
      <c r="I81" s="4" t="s">
        <v>1139</v>
      </c>
      <c r="J81" s="76" t="s">
        <v>771</v>
      </c>
      <c r="K81" s="21"/>
    </row>
    <row r="82" spans="1:11" s="228" customFormat="1" ht="15" customHeight="1" x14ac:dyDescent="0.25">
      <c r="A82" s="13" t="s">
        <v>184</v>
      </c>
      <c r="B82" s="14" t="s">
        <v>5734</v>
      </c>
      <c r="C82" s="13"/>
      <c r="D82" s="32" t="s">
        <v>747</v>
      </c>
      <c r="E82" s="32" t="s">
        <v>1121</v>
      </c>
      <c r="F82" s="4"/>
      <c r="G82" s="28" t="s">
        <v>6255</v>
      </c>
      <c r="H82" s="14">
        <v>43550</v>
      </c>
      <c r="I82" s="4" t="s">
        <v>3783</v>
      </c>
      <c r="J82" s="76" t="s">
        <v>771</v>
      </c>
      <c r="K82" s="21"/>
    </row>
    <row r="83" spans="1:11" s="228" customFormat="1" ht="15" customHeight="1" x14ac:dyDescent="0.25">
      <c r="A83" s="13" t="s">
        <v>184</v>
      </c>
      <c r="B83" s="14" t="s">
        <v>5734</v>
      </c>
      <c r="C83" s="13"/>
      <c r="D83" s="32" t="s">
        <v>747</v>
      </c>
      <c r="E83" s="32" t="s">
        <v>1121</v>
      </c>
      <c r="F83" s="4"/>
      <c r="G83" s="28" t="s">
        <v>6257</v>
      </c>
      <c r="H83" s="14">
        <v>43550</v>
      </c>
      <c r="I83" s="4" t="s">
        <v>357</v>
      </c>
      <c r="J83" s="76" t="s">
        <v>771</v>
      </c>
      <c r="K83" s="21"/>
    </row>
    <row r="84" spans="1:11" s="228" customFormat="1" x14ac:dyDescent="0.25">
      <c r="A84" s="13" t="s">
        <v>184</v>
      </c>
      <c r="B84" s="14" t="s">
        <v>5734</v>
      </c>
      <c r="C84" s="13"/>
      <c r="D84" s="32" t="s">
        <v>747</v>
      </c>
      <c r="E84" s="32" t="s">
        <v>1121</v>
      </c>
      <c r="F84" s="4"/>
      <c r="G84" s="28" t="s">
        <v>6258</v>
      </c>
      <c r="H84" s="14">
        <v>43550</v>
      </c>
      <c r="I84" s="4" t="s">
        <v>425</v>
      </c>
      <c r="J84" s="76" t="s">
        <v>771</v>
      </c>
      <c r="K84" s="21"/>
    </row>
    <row r="85" spans="1:11" s="228" customFormat="1" ht="15" customHeight="1" x14ac:dyDescent="0.25">
      <c r="A85" s="13" t="s">
        <v>184</v>
      </c>
      <c r="B85" s="14" t="s">
        <v>5734</v>
      </c>
      <c r="C85" s="13"/>
      <c r="D85" s="32" t="s">
        <v>747</v>
      </c>
      <c r="E85" s="32" t="s">
        <v>1121</v>
      </c>
      <c r="F85" s="4"/>
      <c r="G85" s="28" t="s">
        <v>6259</v>
      </c>
      <c r="H85" s="14">
        <v>43550</v>
      </c>
      <c r="I85" s="4" t="s">
        <v>492</v>
      </c>
      <c r="J85" s="76" t="s">
        <v>771</v>
      </c>
      <c r="K85" s="21"/>
    </row>
    <row r="86" spans="1:11" s="228" customFormat="1" ht="15" customHeight="1" x14ac:dyDescent="0.25">
      <c r="A86" s="13" t="s">
        <v>184</v>
      </c>
      <c r="B86" s="14" t="s">
        <v>5734</v>
      </c>
      <c r="C86" s="13"/>
      <c r="D86" s="32" t="s">
        <v>747</v>
      </c>
      <c r="E86" s="32" t="s">
        <v>1121</v>
      </c>
      <c r="F86" s="4"/>
      <c r="G86" s="28" t="s">
        <v>6246</v>
      </c>
      <c r="H86" s="14">
        <v>43550</v>
      </c>
      <c r="I86" s="28">
        <v>78</v>
      </c>
      <c r="J86" s="76" t="s">
        <v>771</v>
      </c>
      <c r="K86" s="21"/>
    </row>
    <row r="87" spans="1:11" s="228" customFormat="1" ht="15" customHeight="1" x14ac:dyDescent="0.25">
      <c r="A87" s="13" t="s">
        <v>184</v>
      </c>
      <c r="B87" s="14" t="s">
        <v>5734</v>
      </c>
      <c r="C87" s="13"/>
      <c r="D87" s="32" t="s">
        <v>747</v>
      </c>
      <c r="E87" s="32" t="s">
        <v>1121</v>
      </c>
      <c r="F87" s="4"/>
      <c r="G87" s="28" t="s">
        <v>6260</v>
      </c>
      <c r="H87" s="14">
        <v>43553</v>
      </c>
      <c r="I87" s="4" t="s">
        <v>6261</v>
      </c>
      <c r="J87" s="76" t="s">
        <v>771</v>
      </c>
      <c r="K87" s="21"/>
    </row>
    <row r="88" spans="1:11" s="228" customFormat="1" ht="15" customHeight="1" x14ac:dyDescent="0.25">
      <c r="A88" s="13" t="s">
        <v>184</v>
      </c>
      <c r="B88" s="14" t="s">
        <v>5734</v>
      </c>
      <c r="C88" s="13"/>
      <c r="D88" s="32" t="s">
        <v>747</v>
      </c>
      <c r="E88" s="32" t="s">
        <v>1121</v>
      </c>
      <c r="F88" s="4"/>
      <c r="G88" s="28" t="s">
        <v>5206</v>
      </c>
      <c r="H88" s="14">
        <v>43517</v>
      </c>
      <c r="I88" s="4" t="s">
        <v>322</v>
      </c>
      <c r="J88" s="76" t="s">
        <v>366</v>
      </c>
      <c r="K88" s="21"/>
    </row>
    <row r="89" spans="1:11" s="228" customFormat="1" ht="15" customHeight="1" x14ac:dyDescent="0.25">
      <c r="A89" s="13" t="s">
        <v>184</v>
      </c>
      <c r="B89" s="14"/>
      <c r="C89" s="13"/>
      <c r="D89" s="13" t="s">
        <v>171</v>
      </c>
      <c r="E89" s="32" t="s">
        <v>1121</v>
      </c>
      <c r="F89" s="4"/>
      <c r="G89" s="28" t="s">
        <v>6267</v>
      </c>
      <c r="H89" s="14">
        <v>43553</v>
      </c>
      <c r="I89" s="4" t="s">
        <v>384</v>
      </c>
      <c r="J89" s="125" t="s">
        <v>6268</v>
      </c>
      <c r="K89" s="21"/>
    </row>
    <row r="90" spans="1:11" s="228" customFormat="1" ht="14.4" customHeight="1" x14ac:dyDescent="0.25">
      <c r="A90" s="13" t="s">
        <v>184</v>
      </c>
      <c r="B90" s="14"/>
      <c r="C90" s="13"/>
      <c r="D90" s="13" t="s">
        <v>645</v>
      </c>
      <c r="E90" s="32" t="s">
        <v>1121</v>
      </c>
      <c r="F90" s="4"/>
      <c r="G90" s="28" t="s">
        <v>5788</v>
      </c>
      <c r="H90" s="14">
        <v>43538</v>
      </c>
      <c r="I90" s="4" t="s">
        <v>646</v>
      </c>
      <c r="J90" s="125" t="s">
        <v>5789</v>
      </c>
      <c r="K90" s="21"/>
    </row>
    <row r="91" spans="1:11" s="228" customFormat="1" ht="15" customHeight="1" x14ac:dyDescent="0.25">
      <c r="A91" s="13" t="s">
        <v>184</v>
      </c>
      <c r="B91" s="14"/>
      <c r="C91" s="13"/>
      <c r="D91" s="13" t="s">
        <v>645</v>
      </c>
      <c r="E91" s="32" t="s">
        <v>1121</v>
      </c>
      <c r="F91" s="4"/>
      <c r="G91" s="28" t="s">
        <v>5790</v>
      </c>
      <c r="H91" s="14">
        <v>43538</v>
      </c>
      <c r="I91" s="4" t="s">
        <v>648</v>
      </c>
      <c r="J91" s="125" t="s">
        <v>5789</v>
      </c>
      <c r="K91" s="21"/>
    </row>
    <row r="92" spans="1:11" s="228" customFormat="1" ht="15" customHeight="1" x14ac:dyDescent="0.25">
      <c r="A92" s="13" t="s">
        <v>184</v>
      </c>
      <c r="B92" s="14"/>
      <c r="C92" s="13"/>
      <c r="D92" s="13" t="s">
        <v>645</v>
      </c>
      <c r="E92" s="32" t="s">
        <v>1121</v>
      </c>
      <c r="F92" s="4"/>
      <c r="G92" s="28" t="s">
        <v>5791</v>
      </c>
      <c r="H92" s="14">
        <v>43538</v>
      </c>
      <c r="I92" s="4" t="s">
        <v>649</v>
      </c>
      <c r="J92" s="125" t="s">
        <v>5789</v>
      </c>
      <c r="K92" s="21"/>
    </row>
    <row r="93" spans="1:11" s="228" customFormat="1" ht="15" customHeight="1" x14ac:dyDescent="0.25">
      <c r="A93" s="13" t="s">
        <v>184</v>
      </c>
      <c r="B93" s="14"/>
      <c r="C93" s="13"/>
      <c r="D93" s="13" t="s">
        <v>645</v>
      </c>
      <c r="E93" s="32" t="s">
        <v>1121</v>
      </c>
      <c r="F93" s="4"/>
      <c r="G93" s="28" t="s">
        <v>5792</v>
      </c>
      <c r="H93" s="14">
        <v>43538</v>
      </c>
      <c r="I93" s="4" t="s">
        <v>647</v>
      </c>
      <c r="J93" s="125" t="s">
        <v>5789</v>
      </c>
      <c r="K93" s="21"/>
    </row>
    <row r="94" spans="1:11" s="228" customFormat="1" ht="15" customHeight="1" x14ac:dyDescent="0.25">
      <c r="A94" s="13" t="s">
        <v>184</v>
      </c>
      <c r="B94" s="14"/>
      <c r="C94" s="13"/>
      <c r="D94" s="13" t="s">
        <v>2340</v>
      </c>
      <c r="E94" s="32" t="s">
        <v>1121</v>
      </c>
      <c r="F94" s="4"/>
      <c r="G94" s="28" t="s">
        <v>7898</v>
      </c>
      <c r="H94" s="14">
        <v>43585</v>
      </c>
      <c r="I94" s="4" t="s">
        <v>2341</v>
      </c>
      <c r="J94" s="76" t="s">
        <v>7899</v>
      </c>
      <c r="K94" s="21"/>
    </row>
    <row r="95" spans="1:11" s="228" customFormat="1" x14ac:dyDescent="0.25">
      <c r="A95" s="13" t="s">
        <v>184</v>
      </c>
      <c r="B95" s="14"/>
      <c r="C95" s="13"/>
      <c r="D95" s="13" t="s">
        <v>2340</v>
      </c>
      <c r="E95" s="32" t="s">
        <v>1121</v>
      </c>
      <c r="F95" s="4"/>
      <c r="G95" s="28" t="s">
        <v>3609</v>
      </c>
      <c r="H95" s="14">
        <v>43585</v>
      </c>
      <c r="I95" s="4" t="s">
        <v>2342</v>
      </c>
      <c r="J95" s="76" t="s">
        <v>7899</v>
      </c>
      <c r="K95" s="21"/>
    </row>
    <row r="96" spans="1:11" s="228" customFormat="1" ht="15.6" customHeight="1" x14ac:dyDescent="0.25">
      <c r="A96" s="13" t="s">
        <v>184</v>
      </c>
      <c r="B96" s="14"/>
      <c r="C96" s="13"/>
      <c r="D96" s="13" t="s">
        <v>444</v>
      </c>
      <c r="E96" s="32" t="s">
        <v>1121</v>
      </c>
      <c r="F96" s="4"/>
      <c r="G96" s="28" t="s">
        <v>878</v>
      </c>
      <c r="H96" s="14">
        <v>43560</v>
      </c>
      <c r="I96" s="4" t="s">
        <v>445</v>
      </c>
      <c r="J96" s="76" t="s">
        <v>4150</v>
      </c>
      <c r="K96" s="21"/>
    </row>
    <row r="97" spans="1:19" s="228" customFormat="1" x14ac:dyDescent="0.25">
      <c r="A97" s="13" t="s">
        <v>184</v>
      </c>
      <c r="B97" s="14"/>
      <c r="C97" s="13"/>
      <c r="D97" s="13" t="s">
        <v>761</v>
      </c>
      <c r="E97" s="32" t="s">
        <v>1121</v>
      </c>
      <c r="F97" s="4"/>
      <c r="G97" s="28" t="s">
        <v>6588</v>
      </c>
      <c r="H97" s="14">
        <v>43553</v>
      </c>
      <c r="I97" s="4" t="s">
        <v>6589</v>
      </c>
      <c r="J97" s="76" t="s">
        <v>771</v>
      </c>
      <c r="K97" s="21"/>
    </row>
    <row r="98" spans="1:19" s="228" customFormat="1" x14ac:dyDescent="0.25">
      <c r="A98" s="13" t="s">
        <v>184</v>
      </c>
      <c r="B98" s="14"/>
      <c r="C98" s="13"/>
      <c r="D98" s="13" t="s">
        <v>761</v>
      </c>
      <c r="E98" s="32" t="s">
        <v>1121</v>
      </c>
      <c r="F98" s="4"/>
      <c r="G98" s="28" t="s">
        <v>4147</v>
      </c>
      <c r="H98" s="14">
        <v>43500</v>
      </c>
      <c r="I98" s="4" t="s">
        <v>860</v>
      </c>
      <c r="J98" s="76" t="s">
        <v>721</v>
      </c>
      <c r="K98" s="21"/>
    </row>
    <row r="99" spans="1:19" s="20" customFormat="1" x14ac:dyDescent="0.25">
      <c r="A99" s="13" t="s">
        <v>184</v>
      </c>
      <c r="B99" s="14"/>
      <c r="C99" s="13"/>
      <c r="D99" s="13" t="s">
        <v>761</v>
      </c>
      <c r="E99" s="32" t="s">
        <v>1121</v>
      </c>
      <c r="F99" s="4"/>
      <c r="G99" s="28" t="s">
        <v>4144</v>
      </c>
      <c r="H99" s="14">
        <v>43500</v>
      </c>
      <c r="I99" s="4" t="s">
        <v>809</v>
      </c>
      <c r="J99" s="76" t="s">
        <v>721</v>
      </c>
      <c r="K99" s="21"/>
    </row>
    <row r="100" spans="1:19" s="228" customFormat="1" x14ac:dyDescent="0.25">
      <c r="A100" s="13" t="s">
        <v>184</v>
      </c>
      <c r="B100" s="14"/>
      <c r="C100" s="13"/>
      <c r="D100" s="13" t="s">
        <v>761</v>
      </c>
      <c r="E100" s="32" t="s">
        <v>1121</v>
      </c>
      <c r="F100" s="4"/>
      <c r="G100" s="28" t="s">
        <v>4148</v>
      </c>
      <c r="H100" s="14">
        <v>43500</v>
      </c>
      <c r="I100" s="4" t="s">
        <v>657</v>
      </c>
      <c r="J100" s="76" t="s">
        <v>721</v>
      </c>
      <c r="K100" s="21"/>
    </row>
    <row r="101" spans="1:19" s="228" customFormat="1" x14ac:dyDescent="0.25">
      <c r="A101" s="13" t="s">
        <v>184</v>
      </c>
      <c r="B101" s="14"/>
      <c r="C101" s="13"/>
      <c r="D101" s="13" t="s">
        <v>5240</v>
      </c>
      <c r="E101" s="32" t="s">
        <v>1121</v>
      </c>
      <c r="F101" s="4"/>
      <c r="G101" s="28" t="s">
        <v>3872</v>
      </c>
      <c r="H101" s="14">
        <v>43599</v>
      </c>
      <c r="I101" s="4" t="s">
        <v>5241</v>
      </c>
      <c r="J101" s="76" t="s">
        <v>9053</v>
      </c>
      <c r="K101" s="21"/>
    </row>
    <row r="102" spans="1:19" s="228" customFormat="1" ht="15" customHeight="1" x14ac:dyDescent="0.25">
      <c r="A102" s="13" t="s">
        <v>184</v>
      </c>
      <c r="B102" s="14" t="s">
        <v>1949</v>
      </c>
      <c r="C102" s="13"/>
      <c r="D102" s="13" t="s">
        <v>817</v>
      </c>
      <c r="E102" s="32" t="s">
        <v>1121</v>
      </c>
      <c r="F102" s="4"/>
      <c r="G102" s="28" t="s">
        <v>375</v>
      </c>
      <c r="H102" s="14">
        <v>43585</v>
      </c>
      <c r="I102" s="4" t="s">
        <v>7883</v>
      </c>
      <c r="J102" s="125" t="s">
        <v>7884</v>
      </c>
      <c r="K102" s="21"/>
    </row>
    <row r="103" spans="1:19" s="228" customFormat="1" ht="15" customHeight="1" x14ac:dyDescent="0.25">
      <c r="A103" s="13" t="s">
        <v>184</v>
      </c>
      <c r="B103" s="14" t="s">
        <v>1949</v>
      </c>
      <c r="C103" s="13"/>
      <c r="D103" s="13" t="s">
        <v>817</v>
      </c>
      <c r="E103" s="32" t="s">
        <v>1121</v>
      </c>
      <c r="F103" s="4"/>
      <c r="G103" s="28" t="s">
        <v>191</v>
      </c>
      <c r="H103" s="14">
        <v>43585</v>
      </c>
      <c r="I103" s="4" t="s">
        <v>913</v>
      </c>
      <c r="J103" s="125" t="s">
        <v>7884</v>
      </c>
      <c r="K103" s="21"/>
    </row>
    <row r="104" spans="1:19" s="228" customFormat="1" ht="15" customHeight="1" x14ac:dyDescent="0.25">
      <c r="A104" s="13" t="s">
        <v>184</v>
      </c>
      <c r="B104" s="14" t="s">
        <v>1949</v>
      </c>
      <c r="C104" s="13"/>
      <c r="D104" s="13" t="s">
        <v>817</v>
      </c>
      <c r="E104" s="32" t="s">
        <v>1121</v>
      </c>
      <c r="F104" s="4"/>
      <c r="G104" s="28" t="s">
        <v>11</v>
      </c>
      <c r="H104" s="14">
        <v>43567</v>
      </c>
      <c r="I104" s="4" t="s">
        <v>928</v>
      </c>
      <c r="J104" s="125" t="s">
        <v>7176</v>
      </c>
      <c r="K104" s="21"/>
    </row>
    <row r="105" spans="1:19" s="228" customFormat="1" ht="15" customHeight="1" x14ac:dyDescent="0.25">
      <c r="A105" s="13" t="s">
        <v>184</v>
      </c>
      <c r="B105" s="14"/>
      <c r="C105" s="13"/>
      <c r="D105" s="13" t="s">
        <v>47</v>
      </c>
      <c r="E105" s="32" t="s">
        <v>1121</v>
      </c>
      <c r="F105" s="4"/>
      <c r="G105" s="28" t="s">
        <v>1759</v>
      </c>
      <c r="H105" s="14">
        <v>43285</v>
      </c>
      <c r="I105" s="4" t="s">
        <v>1213</v>
      </c>
      <c r="J105" s="22"/>
      <c r="K105" s="21"/>
    </row>
    <row r="106" spans="1:19" s="228" customFormat="1" ht="15" customHeight="1" x14ac:dyDescent="0.25">
      <c r="A106" s="13" t="s">
        <v>184</v>
      </c>
      <c r="B106" s="14"/>
      <c r="C106" s="13"/>
      <c r="D106" s="13" t="s">
        <v>47</v>
      </c>
      <c r="E106" s="32" t="s">
        <v>1121</v>
      </c>
      <c r="F106" s="4"/>
      <c r="G106" s="28" t="s">
        <v>8216</v>
      </c>
      <c r="H106" s="14">
        <v>43605</v>
      </c>
      <c r="I106" s="4" t="s">
        <v>5255</v>
      </c>
      <c r="J106" s="22"/>
      <c r="K106" s="21"/>
    </row>
    <row r="107" spans="1:19" s="228" customFormat="1" ht="15" customHeight="1" x14ac:dyDescent="0.25">
      <c r="A107" s="13" t="s">
        <v>184</v>
      </c>
      <c r="B107" s="14"/>
      <c r="C107" s="13"/>
      <c r="D107" s="13" t="s">
        <v>47</v>
      </c>
      <c r="E107" s="32" t="s">
        <v>1121</v>
      </c>
      <c r="F107" s="4"/>
      <c r="G107" s="28" t="s">
        <v>8217</v>
      </c>
      <c r="H107" s="14">
        <v>43602</v>
      </c>
      <c r="I107" s="4" t="s">
        <v>746</v>
      </c>
      <c r="J107" s="22"/>
      <c r="K107" s="21"/>
    </row>
    <row r="108" spans="1:19" s="228" customFormat="1" ht="15" customHeight="1" x14ac:dyDescent="0.25">
      <c r="A108" s="13" t="s">
        <v>184</v>
      </c>
      <c r="B108" s="14"/>
      <c r="C108" s="13"/>
      <c r="D108" s="13" t="s">
        <v>47</v>
      </c>
      <c r="E108" s="32" t="s">
        <v>1121</v>
      </c>
      <c r="F108" s="4"/>
      <c r="G108" s="28" t="s">
        <v>7882</v>
      </c>
      <c r="H108" s="14">
        <v>43593</v>
      </c>
      <c r="I108" s="4" t="s">
        <v>746</v>
      </c>
      <c r="J108" s="22"/>
      <c r="K108" s="21"/>
    </row>
    <row r="109" spans="1:19" s="228" customFormat="1" x14ac:dyDescent="0.25">
      <c r="A109" s="13" t="s">
        <v>184</v>
      </c>
      <c r="B109" s="14"/>
      <c r="C109" s="13"/>
      <c r="D109" s="13" t="s">
        <v>662</v>
      </c>
      <c r="E109" s="32" t="s">
        <v>1121</v>
      </c>
      <c r="F109" s="4"/>
      <c r="G109" s="29" t="s">
        <v>724</v>
      </c>
      <c r="H109" s="14">
        <v>43606</v>
      </c>
      <c r="I109" s="4" t="s">
        <v>8220</v>
      </c>
      <c r="J109" s="125" t="s">
        <v>358</v>
      </c>
      <c r="K109" s="21"/>
    </row>
    <row r="110" spans="1:19" s="228" customFormat="1" x14ac:dyDescent="0.25">
      <c r="A110" s="13" t="s">
        <v>184</v>
      </c>
      <c r="B110" s="14"/>
      <c r="C110" s="13"/>
      <c r="D110" s="13" t="s">
        <v>2651</v>
      </c>
      <c r="E110" s="32" t="s">
        <v>1121</v>
      </c>
      <c r="F110" s="4"/>
      <c r="G110" s="29" t="s">
        <v>9054</v>
      </c>
      <c r="H110" s="14">
        <v>43627</v>
      </c>
      <c r="I110" s="4" t="s">
        <v>6592</v>
      </c>
      <c r="J110" s="125" t="s">
        <v>651</v>
      </c>
      <c r="K110" s="21"/>
    </row>
    <row r="111" spans="1:19" s="8" customFormat="1" ht="18.75" customHeight="1" x14ac:dyDescent="0.25">
      <c r="A111" s="11" t="s">
        <v>233</v>
      </c>
      <c r="B111" s="140"/>
      <c r="C111" s="90"/>
      <c r="D111" s="9"/>
      <c r="E111" s="9"/>
      <c r="F111" s="146"/>
      <c r="G111" s="24"/>
      <c r="H111" s="9"/>
      <c r="I111" s="10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19" s="226" customFormat="1" ht="15" customHeight="1" x14ac:dyDescent="0.25">
      <c r="A112" s="13" t="s">
        <v>184</v>
      </c>
      <c r="B112" s="14"/>
      <c r="C112" s="13"/>
      <c r="D112" s="13" t="s">
        <v>348</v>
      </c>
      <c r="E112" s="32" t="s">
        <v>1121</v>
      </c>
      <c r="F112" s="4"/>
      <c r="G112" s="28" t="s">
        <v>9040</v>
      </c>
      <c r="H112" s="14">
        <v>43617</v>
      </c>
      <c r="I112" s="4" t="s">
        <v>1124</v>
      </c>
      <c r="J112" s="76" t="s">
        <v>526</v>
      </c>
      <c r="K112" s="21"/>
    </row>
    <row r="113" spans="1:11" s="206" customFormat="1" ht="15" customHeight="1" x14ac:dyDescent="0.25">
      <c r="A113" s="13" t="s">
        <v>184</v>
      </c>
      <c r="B113" s="14"/>
      <c r="C113" s="13"/>
      <c r="D113" s="13" t="s">
        <v>348</v>
      </c>
      <c r="E113" s="32" t="s">
        <v>1121</v>
      </c>
      <c r="F113" s="4"/>
      <c r="G113" s="28" t="s">
        <v>9041</v>
      </c>
      <c r="H113" s="14">
        <v>43617</v>
      </c>
      <c r="I113" s="4" t="s">
        <v>309</v>
      </c>
      <c r="J113" s="76" t="s">
        <v>526</v>
      </c>
      <c r="K113" s="21"/>
    </row>
    <row r="114" spans="1:11" s="228" customFormat="1" x14ac:dyDescent="0.25">
      <c r="A114" s="13" t="s">
        <v>184</v>
      </c>
      <c r="B114" s="14"/>
      <c r="C114" s="13"/>
      <c r="D114" s="13" t="s">
        <v>348</v>
      </c>
      <c r="E114" s="32" t="s">
        <v>1121</v>
      </c>
      <c r="F114" s="4"/>
      <c r="G114" s="28" t="s">
        <v>132</v>
      </c>
      <c r="H114" s="14">
        <v>43516</v>
      </c>
      <c r="I114" s="4" t="s">
        <v>4823</v>
      </c>
      <c r="J114" s="76" t="s">
        <v>4824</v>
      </c>
      <c r="K114" s="21"/>
    </row>
    <row r="115" spans="1:11" s="228" customFormat="1" ht="15" customHeight="1" x14ac:dyDescent="0.25">
      <c r="A115" s="13" t="s">
        <v>184</v>
      </c>
      <c r="B115" s="14"/>
      <c r="C115" s="13"/>
      <c r="D115" s="13" t="s">
        <v>348</v>
      </c>
      <c r="E115" s="32" t="s">
        <v>1121</v>
      </c>
      <c r="F115" s="4"/>
      <c r="G115" s="28" t="s">
        <v>8224</v>
      </c>
      <c r="H115" s="14">
        <v>43606</v>
      </c>
      <c r="I115" s="4" t="s">
        <v>6366</v>
      </c>
      <c r="J115" s="76" t="s">
        <v>8225</v>
      </c>
      <c r="K115" s="21"/>
    </row>
    <row r="116" spans="1:11" s="228" customFormat="1" ht="15" customHeight="1" x14ac:dyDescent="0.25">
      <c r="A116" s="13" t="s">
        <v>184</v>
      </c>
      <c r="B116" s="14"/>
      <c r="C116" s="13"/>
      <c r="D116" s="13" t="s">
        <v>348</v>
      </c>
      <c r="E116" s="32" t="s">
        <v>1121</v>
      </c>
      <c r="F116" s="4"/>
      <c r="G116" s="28" t="s">
        <v>3152</v>
      </c>
      <c r="H116" s="14">
        <v>43614</v>
      </c>
      <c r="I116" s="4" t="s">
        <v>8727</v>
      </c>
      <c r="J116" s="76" t="s">
        <v>8728</v>
      </c>
      <c r="K116" s="21"/>
    </row>
    <row r="117" spans="1:11" s="228" customFormat="1" ht="15" customHeight="1" x14ac:dyDescent="0.25">
      <c r="A117" s="13" t="s">
        <v>184</v>
      </c>
      <c r="B117" s="14"/>
      <c r="C117" s="13"/>
      <c r="D117" s="13" t="s">
        <v>348</v>
      </c>
      <c r="E117" s="32" t="s">
        <v>1121</v>
      </c>
      <c r="F117" s="4"/>
      <c r="G117" s="28" t="s">
        <v>8730</v>
      </c>
      <c r="H117" s="14">
        <v>43614</v>
      </c>
      <c r="I117" s="4" t="s">
        <v>8729</v>
      </c>
      <c r="J117" s="76" t="s">
        <v>8728</v>
      </c>
      <c r="K117" s="21"/>
    </row>
    <row r="118" spans="1:11" s="206" customFormat="1" ht="15" customHeight="1" x14ac:dyDescent="0.25">
      <c r="A118" s="13" t="s">
        <v>184</v>
      </c>
      <c r="B118" s="14"/>
      <c r="C118" s="13"/>
      <c r="D118" s="13" t="s">
        <v>348</v>
      </c>
      <c r="E118" s="32" t="s">
        <v>1121</v>
      </c>
      <c r="F118" s="4"/>
      <c r="G118" s="28" t="s">
        <v>1154</v>
      </c>
      <c r="H118" s="14">
        <v>43497</v>
      </c>
      <c r="I118" s="4" t="s">
        <v>3771</v>
      </c>
      <c r="J118" s="76" t="s">
        <v>3772</v>
      </c>
      <c r="K118" s="21"/>
    </row>
    <row r="119" spans="1:11" s="228" customFormat="1" ht="15" customHeight="1" x14ac:dyDescent="0.25">
      <c r="A119" s="13" t="s">
        <v>184</v>
      </c>
      <c r="B119" s="14"/>
      <c r="C119" s="13"/>
      <c r="D119" s="13" t="s">
        <v>348</v>
      </c>
      <c r="E119" s="32" t="s">
        <v>1121</v>
      </c>
      <c r="F119" s="4"/>
      <c r="G119" s="28" t="s">
        <v>5797</v>
      </c>
      <c r="H119" s="14">
        <v>43542</v>
      </c>
      <c r="I119" s="4" t="s">
        <v>5798</v>
      </c>
      <c r="J119" s="76" t="s">
        <v>5799</v>
      </c>
      <c r="K119" s="21"/>
    </row>
    <row r="120" spans="1:11" s="228" customFormat="1" ht="15" customHeight="1" x14ac:dyDescent="0.25">
      <c r="A120" s="13" t="s">
        <v>184</v>
      </c>
      <c r="B120" s="14"/>
      <c r="C120" s="13"/>
      <c r="D120" s="13" t="s">
        <v>348</v>
      </c>
      <c r="E120" s="32" t="s">
        <v>1121</v>
      </c>
      <c r="F120" s="4"/>
      <c r="G120" s="28" t="s">
        <v>8731</v>
      </c>
      <c r="H120" s="14">
        <v>43620</v>
      </c>
      <c r="I120" s="4" t="s">
        <v>6578</v>
      </c>
      <c r="J120" s="76" t="s">
        <v>8732</v>
      </c>
      <c r="K120" s="21"/>
    </row>
    <row r="121" spans="1:11" s="228" customFormat="1" x14ac:dyDescent="0.25">
      <c r="A121" s="13" t="s">
        <v>184</v>
      </c>
      <c r="B121" s="14"/>
      <c r="C121" s="13"/>
      <c r="D121" s="13" t="s">
        <v>5567</v>
      </c>
      <c r="E121" s="32" t="s">
        <v>1121</v>
      </c>
      <c r="F121" s="4"/>
      <c r="G121" s="28" t="s">
        <v>6593</v>
      </c>
      <c r="H121" s="14">
        <v>43564</v>
      </c>
      <c r="I121" s="4" t="s">
        <v>5569</v>
      </c>
      <c r="J121" s="125"/>
      <c r="K121" s="21"/>
    </row>
    <row r="122" spans="1:11" s="228" customFormat="1" x14ac:dyDescent="0.25">
      <c r="A122" s="13" t="s">
        <v>184</v>
      </c>
      <c r="B122" s="14"/>
      <c r="C122" s="13"/>
      <c r="D122" s="13" t="s">
        <v>812</v>
      </c>
      <c r="E122" s="32" t="s">
        <v>1121</v>
      </c>
      <c r="F122" s="4"/>
      <c r="G122" s="28" t="s">
        <v>7893</v>
      </c>
      <c r="H122" s="14">
        <v>43556</v>
      </c>
      <c r="I122" s="4" t="s">
        <v>1483</v>
      </c>
      <c r="J122" s="125" t="s">
        <v>771</v>
      </c>
      <c r="K122" s="21"/>
    </row>
    <row r="123" spans="1:11" s="228" customFormat="1" x14ac:dyDescent="0.25">
      <c r="A123" s="13" t="s">
        <v>184</v>
      </c>
      <c r="B123" s="14"/>
      <c r="C123" s="13"/>
      <c r="D123" s="13" t="s">
        <v>394</v>
      </c>
      <c r="E123" s="32" t="s">
        <v>1121</v>
      </c>
      <c r="F123" s="4"/>
      <c r="G123" s="28" t="s">
        <v>7877</v>
      </c>
      <c r="H123" s="14">
        <v>43585</v>
      </c>
      <c r="I123" s="4" t="s">
        <v>295</v>
      </c>
      <c r="J123" s="76"/>
      <c r="K123" s="21"/>
    </row>
    <row r="124" spans="1:11" s="228" customFormat="1" ht="14.25" customHeight="1" x14ac:dyDescent="0.25">
      <c r="A124" s="13" t="s">
        <v>184</v>
      </c>
      <c r="B124" s="14"/>
      <c r="C124" s="13"/>
      <c r="D124" s="13" t="s">
        <v>394</v>
      </c>
      <c r="E124" s="32" t="s">
        <v>1121</v>
      </c>
      <c r="F124" s="4"/>
      <c r="G124" s="28" t="s">
        <v>2099</v>
      </c>
      <c r="H124" s="14">
        <v>43404</v>
      </c>
      <c r="I124" s="4" t="s">
        <v>1261</v>
      </c>
      <c r="J124" s="76" t="s">
        <v>622</v>
      </c>
      <c r="K124" s="21"/>
    </row>
    <row r="125" spans="1:11" s="228" customFormat="1" ht="26.4" customHeight="1" x14ac:dyDescent="0.25">
      <c r="A125" s="13" t="s">
        <v>184</v>
      </c>
      <c r="B125" s="14"/>
      <c r="C125" s="13"/>
      <c r="D125" s="13" t="s">
        <v>7268</v>
      </c>
      <c r="E125" s="32" t="s">
        <v>1121</v>
      </c>
      <c r="F125" s="4"/>
      <c r="G125" s="28" t="s">
        <v>7248</v>
      </c>
      <c r="H125" s="14">
        <v>43580</v>
      </c>
      <c r="I125" s="4" t="s">
        <v>7249</v>
      </c>
      <c r="J125" s="76" t="s">
        <v>366</v>
      </c>
      <c r="K125" s="21"/>
    </row>
    <row r="126" spans="1:11" s="20" customFormat="1" ht="26.4" customHeight="1" x14ac:dyDescent="0.25">
      <c r="A126" s="13" t="s">
        <v>184</v>
      </c>
      <c r="B126" s="14"/>
      <c r="C126" s="13"/>
      <c r="D126" s="13" t="s">
        <v>7177</v>
      </c>
      <c r="E126" s="32" t="s">
        <v>1121</v>
      </c>
      <c r="F126" s="4"/>
      <c r="G126" s="28" t="s">
        <v>68</v>
      </c>
      <c r="H126" s="14">
        <v>43566</v>
      </c>
      <c r="I126" s="4" t="s">
        <v>7178</v>
      </c>
      <c r="J126" s="76" t="s">
        <v>366</v>
      </c>
      <c r="K126" s="21"/>
    </row>
    <row r="127" spans="1:11" s="228" customFormat="1" ht="26.4" customHeight="1" x14ac:dyDescent="0.25">
      <c r="A127" s="13" t="s">
        <v>184</v>
      </c>
      <c r="B127" s="14"/>
      <c r="C127" s="13"/>
      <c r="D127" s="13" t="s">
        <v>7177</v>
      </c>
      <c r="E127" s="32" t="s">
        <v>1121</v>
      </c>
      <c r="F127" s="4"/>
      <c r="G127" s="28" t="s">
        <v>32</v>
      </c>
      <c r="H127" s="14">
        <v>43574</v>
      </c>
      <c r="I127" s="4" t="s">
        <v>7178</v>
      </c>
      <c r="J127" s="76" t="s">
        <v>7215</v>
      </c>
      <c r="K127" s="21"/>
    </row>
    <row r="128" spans="1:11" s="228" customFormat="1" ht="15" customHeight="1" x14ac:dyDescent="0.25">
      <c r="A128" s="13" t="s">
        <v>184</v>
      </c>
      <c r="B128" s="14"/>
      <c r="C128" s="13"/>
      <c r="D128" s="13" t="s">
        <v>48</v>
      </c>
      <c r="E128" s="32" t="s">
        <v>1121</v>
      </c>
      <c r="F128" s="4"/>
      <c r="G128" s="28" t="s">
        <v>1295</v>
      </c>
      <c r="H128" s="14">
        <v>43634</v>
      </c>
      <c r="I128" s="4" t="s">
        <v>1028</v>
      </c>
      <c r="J128" s="76"/>
      <c r="K128" s="21"/>
    </row>
    <row r="129" spans="1:19" s="228" customFormat="1" ht="15" customHeight="1" x14ac:dyDescent="0.25">
      <c r="A129" s="13" t="s">
        <v>184</v>
      </c>
      <c r="B129" s="14"/>
      <c r="C129" s="13"/>
      <c r="D129" s="32" t="s">
        <v>7890</v>
      </c>
      <c r="E129" s="32" t="s">
        <v>1121</v>
      </c>
      <c r="F129" s="4"/>
      <c r="G129" s="28" t="s">
        <v>7891</v>
      </c>
      <c r="H129" s="14">
        <v>43593</v>
      </c>
      <c r="I129" s="4" t="s">
        <v>7892</v>
      </c>
      <c r="J129" s="76"/>
      <c r="K129" s="21"/>
    </row>
    <row r="130" spans="1:19" s="228" customFormat="1" ht="15" customHeight="1" x14ac:dyDescent="0.25">
      <c r="A130" s="13" t="s">
        <v>184</v>
      </c>
      <c r="B130" s="14"/>
      <c r="C130" s="13"/>
      <c r="D130" s="32" t="s">
        <v>7971</v>
      </c>
      <c r="E130" s="32" t="s">
        <v>1121</v>
      </c>
      <c r="F130" s="4"/>
      <c r="G130" s="28" t="s">
        <v>886</v>
      </c>
      <c r="H130" s="14">
        <v>42379</v>
      </c>
      <c r="I130" s="4" t="s">
        <v>7972</v>
      </c>
      <c r="J130" s="76"/>
      <c r="K130" s="21"/>
    </row>
    <row r="131" spans="1:19" s="228" customFormat="1" ht="15" customHeight="1" x14ac:dyDescent="0.25">
      <c r="A131" s="13" t="s">
        <v>184</v>
      </c>
      <c r="B131" s="14"/>
      <c r="C131" s="13"/>
      <c r="D131" s="32" t="s">
        <v>1969</v>
      </c>
      <c r="E131" s="32" t="s">
        <v>1121</v>
      </c>
      <c r="F131" s="4"/>
      <c r="G131" s="28" t="s">
        <v>8780</v>
      </c>
      <c r="H131" s="14">
        <v>43626</v>
      </c>
      <c r="I131" s="4" t="s">
        <v>1970</v>
      </c>
      <c r="J131" s="76"/>
      <c r="K131" s="21"/>
    </row>
    <row r="132" spans="1:19" s="228" customFormat="1" x14ac:dyDescent="0.25">
      <c r="A132" s="13" t="s">
        <v>184</v>
      </c>
      <c r="B132" s="14"/>
      <c r="C132" s="13"/>
      <c r="D132" s="32" t="s">
        <v>7887</v>
      </c>
      <c r="E132" s="32" t="s">
        <v>1121</v>
      </c>
      <c r="F132" s="4"/>
      <c r="G132" s="28" t="s">
        <v>8733</v>
      </c>
      <c r="H132" s="14">
        <v>43616</v>
      </c>
      <c r="I132" s="4" t="s">
        <v>7889</v>
      </c>
      <c r="J132" s="22" t="s">
        <v>1386</v>
      </c>
      <c r="K132" s="63"/>
      <c r="L132" s="62"/>
    </row>
    <row r="133" spans="1:19" s="228" customFormat="1" x14ac:dyDescent="0.25">
      <c r="A133" s="13" t="s">
        <v>184</v>
      </c>
      <c r="B133" s="14"/>
      <c r="C133" s="13"/>
      <c r="D133" s="32" t="s">
        <v>8734</v>
      </c>
      <c r="E133" s="32" t="s">
        <v>1121</v>
      </c>
      <c r="F133" s="4"/>
      <c r="G133" s="28" t="s">
        <v>8735</v>
      </c>
      <c r="H133" s="14">
        <v>43616</v>
      </c>
      <c r="I133" s="4" t="s">
        <v>7889</v>
      </c>
      <c r="J133" s="22" t="s">
        <v>1386</v>
      </c>
      <c r="K133" s="63"/>
      <c r="L133" s="62"/>
    </row>
    <row r="134" spans="1:19" s="228" customFormat="1" x14ac:dyDescent="0.25">
      <c r="A134" s="13" t="s">
        <v>184</v>
      </c>
      <c r="B134" s="14"/>
      <c r="C134" s="13"/>
      <c r="D134" s="32" t="s">
        <v>1546</v>
      </c>
      <c r="E134" s="32" t="s">
        <v>1121</v>
      </c>
      <c r="F134" s="4"/>
      <c r="G134" s="28" t="s">
        <v>8737</v>
      </c>
      <c r="H134" s="14">
        <v>43616</v>
      </c>
      <c r="I134" s="4" t="s">
        <v>915</v>
      </c>
      <c r="J134" s="22" t="s">
        <v>1386</v>
      </c>
      <c r="K134" s="63"/>
      <c r="L134" s="62"/>
    </row>
    <row r="135" spans="1:19" s="228" customFormat="1" x14ac:dyDescent="0.25">
      <c r="A135" s="13" t="s">
        <v>184</v>
      </c>
      <c r="B135" s="14"/>
      <c r="C135" s="13"/>
      <c r="D135" s="32" t="s">
        <v>914</v>
      </c>
      <c r="E135" s="32" t="s">
        <v>1121</v>
      </c>
      <c r="F135" s="4"/>
      <c r="G135" s="28" t="s">
        <v>8736</v>
      </c>
      <c r="H135" s="14">
        <v>43616</v>
      </c>
      <c r="I135" s="4" t="s">
        <v>1260</v>
      </c>
      <c r="J135" s="22" t="s">
        <v>1386</v>
      </c>
      <c r="K135" s="63"/>
      <c r="L135" s="62"/>
    </row>
    <row r="136" spans="1:19" s="228" customFormat="1" ht="15" customHeight="1" x14ac:dyDescent="0.25">
      <c r="A136" s="13" t="s">
        <v>184</v>
      </c>
      <c r="B136" s="14"/>
      <c r="C136" s="13"/>
      <c r="D136" s="13" t="s">
        <v>399</v>
      </c>
      <c r="E136" s="32" t="s">
        <v>1121</v>
      </c>
      <c r="F136" s="4"/>
      <c r="G136" s="28" t="s">
        <v>4735</v>
      </c>
      <c r="H136" s="14">
        <v>43521</v>
      </c>
      <c r="I136" s="4" t="s">
        <v>1258</v>
      </c>
      <c r="J136" s="76"/>
      <c r="K136" s="21"/>
    </row>
    <row r="137" spans="1:19" s="8" customFormat="1" ht="18.75" customHeight="1" x14ac:dyDescent="0.25">
      <c r="A137" s="11" t="s">
        <v>230</v>
      </c>
      <c r="B137" s="140"/>
      <c r="C137" s="90"/>
      <c r="D137" s="9"/>
      <c r="E137" s="9"/>
      <c r="F137" s="146"/>
      <c r="G137" s="24"/>
      <c r="H137" s="9"/>
      <c r="I137" s="10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s="228" customFormat="1" ht="27.6" x14ac:dyDescent="0.25">
      <c r="A138" s="13" t="s">
        <v>184</v>
      </c>
      <c r="B138" s="14"/>
      <c r="C138" s="13"/>
      <c r="D138" s="32" t="s">
        <v>4645</v>
      </c>
      <c r="E138" s="32" t="s">
        <v>1121</v>
      </c>
      <c r="F138" s="4"/>
      <c r="G138" s="28" t="s">
        <v>207</v>
      </c>
      <c r="H138" s="14">
        <v>43517</v>
      </c>
      <c r="I138" s="4" t="s">
        <v>4646</v>
      </c>
      <c r="J138" s="76"/>
      <c r="K138" s="21"/>
    </row>
    <row r="139" spans="1:19" s="20" customFormat="1" x14ac:dyDescent="0.25">
      <c r="A139" s="13" t="s">
        <v>184</v>
      </c>
      <c r="B139" s="14" t="s">
        <v>3706</v>
      </c>
      <c r="C139" s="13"/>
      <c r="D139" s="13" t="s">
        <v>1484</v>
      </c>
      <c r="E139" s="32" t="s">
        <v>1121</v>
      </c>
      <c r="F139" s="4"/>
      <c r="G139" s="29" t="s">
        <v>3707</v>
      </c>
      <c r="H139" s="14">
        <v>43488</v>
      </c>
      <c r="I139" s="4" t="s">
        <v>1150</v>
      </c>
      <c r="J139" s="125" t="s">
        <v>3708</v>
      </c>
      <c r="K139" s="21"/>
    </row>
    <row r="140" spans="1:19" s="228" customFormat="1" ht="27.6" x14ac:dyDescent="0.25">
      <c r="A140" s="13" t="s">
        <v>184</v>
      </c>
      <c r="B140" s="14"/>
      <c r="C140" s="13"/>
      <c r="D140" s="13" t="s">
        <v>377</v>
      </c>
      <c r="E140" s="32" t="s">
        <v>1121</v>
      </c>
      <c r="F140" s="4"/>
      <c r="G140" s="29" t="s">
        <v>3184</v>
      </c>
      <c r="H140" s="14">
        <v>43513</v>
      </c>
      <c r="I140" s="4" t="s">
        <v>2863</v>
      </c>
      <c r="J140" s="125" t="s">
        <v>213</v>
      </c>
      <c r="K140" s="21"/>
    </row>
    <row r="141" spans="1:19" s="228" customFormat="1" ht="16.5" customHeight="1" x14ac:dyDescent="0.25">
      <c r="A141" s="13" t="s">
        <v>184</v>
      </c>
      <c r="B141" s="14"/>
      <c r="C141" s="67"/>
      <c r="D141" s="32" t="s">
        <v>2147</v>
      </c>
      <c r="E141" s="32" t="s">
        <v>144</v>
      </c>
      <c r="F141" s="4"/>
      <c r="G141" s="28" t="s">
        <v>8740</v>
      </c>
      <c r="H141" s="14">
        <v>43616</v>
      </c>
      <c r="I141" s="4" t="s">
        <v>2148</v>
      </c>
      <c r="J141" s="263"/>
      <c r="K141" s="63"/>
      <c r="L141" s="62"/>
    </row>
    <row r="142" spans="1:19" s="228" customFormat="1" ht="15" customHeight="1" x14ac:dyDescent="0.25">
      <c r="A142" s="13" t="s">
        <v>184</v>
      </c>
      <c r="B142" s="14"/>
      <c r="C142" s="13"/>
      <c r="D142" s="13" t="s">
        <v>389</v>
      </c>
      <c r="E142" s="32" t="s">
        <v>1121</v>
      </c>
      <c r="F142" s="4"/>
      <c r="G142" s="28" t="s">
        <v>922</v>
      </c>
      <c r="H142" s="14">
        <v>43430</v>
      </c>
      <c r="I142" s="4" t="s">
        <v>1259</v>
      </c>
      <c r="J142" s="76"/>
      <c r="K142" s="21"/>
    </row>
    <row r="143" spans="1:19" s="228" customFormat="1" ht="15" customHeight="1" x14ac:dyDescent="0.25">
      <c r="A143" s="13" t="s">
        <v>184</v>
      </c>
      <c r="B143" s="14"/>
      <c r="C143" s="13"/>
      <c r="D143" s="13" t="s">
        <v>6666</v>
      </c>
      <c r="E143" s="32" t="s">
        <v>1121</v>
      </c>
      <c r="F143" s="4"/>
      <c r="G143" s="28" t="s">
        <v>1794</v>
      </c>
      <c r="H143" s="14">
        <v>43566</v>
      </c>
      <c r="I143" s="4" t="s">
        <v>6667</v>
      </c>
      <c r="J143" s="76"/>
      <c r="K143" s="21"/>
    </row>
    <row r="144" spans="1:19" s="228" customFormat="1" x14ac:dyDescent="0.25">
      <c r="A144" s="13" t="s">
        <v>184</v>
      </c>
      <c r="B144" s="14"/>
      <c r="C144" s="13"/>
      <c r="D144" s="13" t="s">
        <v>163</v>
      </c>
      <c r="E144" s="32" t="s">
        <v>1121</v>
      </c>
      <c r="F144" s="4"/>
      <c r="G144" s="28" t="s">
        <v>714</v>
      </c>
      <c r="H144" s="14">
        <v>43634</v>
      </c>
      <c r="I144" s="4" t="s">
        <v>9059</v>
      </c>
      <c r="J144" s="76"/>
      <c r="K144" s="21"/>
    </row>
    <row r="145" spans="1:12" s="228" customFormat="1" x14ac:dyDescent="0.25">
      <c r="A145" s="13" t="s">
        <v>184</v>
      </c>
      <c r="B145" s="14"/>
      <c r="C145" s="13"/>
      <c r="D145" s="13" t="s">
        <v>163</v>
      </c>
      <c r="E145" s="32" t="s">
        <v>1121</v>
      </c>
      <c r="F145" s="4"/>
      <c r="G145" s="28" t="s">
        <v>248</v>
      </c>
      <c r="H145" s="14">
        <v>43566</v>
      </c>
      <c r="I145" s="4" t="s">
        <v>6665</v>
      </c>
      <c r="J145" s="76"/>
      <c r="K145" s="21"/>
    </row>
    <row r="146" spans="1:12" s="228" customFormat="1" ht="15" customHeight="1" x14ac:dyDescent="0.25">
      <c r="A146" s="13" t="s">
        <v>184</v>
      </c>
      <c r="B146" s="14"/>
      <c r="C146" s="13"/>
      <c r="D146" s="13" t="s">
        <v>1745</v>
      </c>
      <c r="E146" s="32" t="s">
        <v>1121</v>
      </c>
      <c r="F146" s="4"/>
      <c r="G146" s="28" t="s">
        <v>3432</v>
      </c>
      <c r="H146" s="14">
        <v>43573</v>
      </c>
      <c r="I146" s="4" t="s">
        <v>7217</v>
      </c>
      <c r="J146" s="76"/>
      <c r="K146" s="21"/>
    </row>
    <row r="147" spans="1:12" s="205" customFormat="1" x14ac:dyDescent="0.25">
      <c r="A147" s="13" t="s">
        <v>184</v>
      </c>
      <c r="B147" s="14"/>
      <c r="C147" s="13"/>
      <c r="D147" s="13" t="s">
        <v>2337</v>
      </c>
      <c r="E147" s="32" t="s">
        <v>1121</v>
      </c>
      <c r="F147" s="4"/>
      <c r="G147" s="29" t="s">
        <v>2338</v>
      </c>
      <c r="H147" s="14">
        <v>43439</v>
      </c>
      <c r="I147" s="4" t="s">
        <v>2339</v>
      </c>
      <c r="J147" s="125"/>
      <c r="K147" s="21"/>
    </row>
    <row r="148" spans="1:12" s="228" customFormat="1" x14ac:dyDescent="0.25">
      <c r="A148" s="13" t="s">
        <v>184</v>
      </c>
      <c r="B148" s="14"/>
      <c r="C148" s="13"/>
      <c r="D148" s="13" t="s">
        <v>1256</v>
      </c>
      <c r="E148" s="32" t="s">
        <v>1121</v>
      </c>
      <c r="F148" s="4"/>
      <c r="G148" s="28" t="s">
        <v>1158</v>
      </c>
      <c r="H148" s="14">
        <v>43138</v>
      </c>
      <c r="I148" s="4" t="s">
        <v>1257</v>
      </c>
      <c r="J148" s="76"/>
      <c r="K148" s="21"/>
    </row>
    <row r="149" spans="1:12" s="228" customFormat="1" ht="15" customHeight="1" x14ac:dyDescent="0.25">
      <c r="A149" s="13" t="s">
        <v>184</v>
      </c>
      <c r="B149" s="14"/>
      <c r="C149" s="13"/>
      <c r="D149" s="32" t="s">
        <v>1914</v>
      </c>
      <c r="E149" s="32" t="s">
        <v>1121</v>
      </c>
      <c r="F149" s="4"/>
      <c r="G149" s="28" t="s">
        <v>478</v>
      </c>
      <c r="H149" s="14">
        <v>43377</v>
      </c>
      <c r="I149" s="4" t="s">
        <v>1915</v>
      </c>
      <c r="J149" s="358" t="s">
        <v>1973</v>
      </c>
      <c r="K149" s="21"/>
    </row>
    <row r="150" spans="1:12" s="228" customFormat="1" ht="27.6" x14ac:dyDescent="0.25">
      <c r="A150" s="13" t="s">
        <v>184</v>
      </c>
      <c r="B150" s="14"/>
      <c r="C150" s="13"/>
      <c r="D150" s="32" t="s">
        <v>1914</v>
      </c>
      <c r="E150" s="32" t="s">
        <v>1121</v>
      </c>
      <c r="F150" s="4"/>
      <c r="G150" s="28" t="s">
        <v>1155</v>
      </c>
      <c r="H150" s="14">
        <v>43377</v>
      </c>
      <c r="I150" s="4" t="s">
        <v>1917</v>
      </c>
      <c r="J150" s="358" t="s">
        <v>1973</v>
      </c>
      <c r="K150" s="21"/>
    </row>
    <row r="151" spans="1:12" s="20" customFormat="1" x14ac:dyDescent="0.25">
      <c r="A151" s="13"/>
      <c r="B151" s="14"/>
      <c r="C151" s="13"/>
      <c r="D151" s="13"/>
      <c r="E151" s="13"/>
      <c r="F151" s="4"/>
      <c r="G151" s="28"/>
      <c r="H151" s="14"/>
      <c r="I151" s="4"/>
      <c r="J151" s="76"/>
      <c r="K151" s="21"/>
    </row>
    <row r="155" spans="1:12" s="227" customFormat="1" ht="16.5" customHeight="1" x14ac:dyDescent="0.25">
      <c r="A155" s="2"/>
      <c r="B155" s="30"/>
      <c r="C155" s="49"/>
      <c r="D155" s="32" t="s">
        <v>189</v>
      </c>
      <c r="E155" s="2"/>
      <c r="F155" s="31"/>
      <c r="G155" s="28" t="s">
        <v>720</v>
      </c>
      <c r="H155" s="14">
        <v>42941</v>
      </c>
      <c r="I155" s="4" t="s">
        <v>738</v>
      </c>
      <c r="J155" s="76" t="s">
        <v>926</v>
      </c>
      <c r="K155" s="63"/>
      <c r="L155" s="62"/>
    </row>
    <row r="156" spans="1:12" s="228" customFormat="1" ht="16.5" customHeight="1" x14ac:dyDescent="0.25">
      <c r="A156" s="2"/>
      <c r="B156" s="30"/>
      <c r="C156" s="49"/>
      <c r="D156" s="32" t="s">
        <v>189</v>
      </c>
      <c r="E156" s="2"/>
      <c r="F156" s="31"/>
      <c r="G156" s="28" t="s">
        <v>919</v>
      </c>
      <c r="H156" s="14">
        <v>42941</v>
      </c>
      <c r="I156" s="4" t="s">
        <v>927</v>
      </c>
      <c r="J156" s="22" t="s">
        <v>959</v>
      </c>
      <c r="K156" s="63"/>
      <c r="L156" s="62"/>
    </row>
    <row r="157" spans="1:12" s="5" customFormat="1" x14ac:dyDescent="0.25">
      <c r="B157" s="135"/>
      <c r="C157" s="87"/>
      <c r="F157" s="71"/>
      <c r="G157" s="51"/>
      <c r="H157" s="53"/>
      <c r="J157" s="120"/>
    </row>
    <row r="158" spans="1:12" x14ac:dyDescent="0.25">
      <c r="B158" s="31"/>
    </row>
  </sheetData>
  <autoFilter ref="A2:J151"/>
  <pageMargins left="0.19685039370078741" right="0.31496062992125984" top="0.19685039370078741" bottom="0.19685039370078741" header="0" footer="0"/>
  <pageSetup paperSize="9" scale="88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 filterMode="1">
    <tabColor rgb="FFE1FFFF"/>
    <pageSetUpPr fitToPage="1"/>
  </sheetPr>
  <dimension ref="A1:S68"/>
  <sheetViews>
    <sheetView zoomScaleNormal="100" workbookViewId="0">
      <pane ySplit="3" topLeftCell="A4" activePane="bottomLeft" state="frozen"/>
      <selection activeCell="D24" sqref="D23:D24"/>
      <selection pane="bottomLeft" activeCell="F7" sqref="F7:F16"/>
    </sheetView>
  </sheetViews>
  <sheetFormatPr defaultColWidth="9.44140625" defaultRowHeight="13.8" x14ac:dyDescent="0.25"/>
  <cols>
    <col min="1" max="1" width="12.5546875" style="152" customWidth="1"/>
    <col min="2" max="2" width="11.44140625" style="201" customWidth="1"/>
    <col min="3" max="3" width="8.5546875" style="202" customWidth="1"/>
    <col min="4" max="4" width="25.5546875" style="152" bestFit="1" customWidth="1"/>
    <col min="5" max="5" width="10.5546875" style="152" customWidth="1"/>
    <col min="6" max="6" width="16.5546875" style="176" customWidth="1"/>
    <col min="7" max="7" width="16.5546875" style="203" customWidth="1"/>
    <col min="8" max="8" width="12.5546875" style="152" customWidth="1"/>
    <col min="9" max="9" width="28.5546875" style="152" customWidth="1"/>
    <col min="10" max="10" width="13.44140625" style="178" customWidth="1"/>
    <col min="11" max="11" width="11.44140625" style="178" customWidth="1"/>
    <col min="12" max="12" width="11.5546875" style="178" customWidth="1"/>
    <col min="13" max="13" width="12.44140625" style="176" customWidth="1"/>
    <col min="14" max="14" width="9.44140625" style="176"/>
    <col min="15" max="19" width="9.44140625" style="178"/>
    <col min="20" max="16384" width="9.44140625" style="152"/>
  </cols>
  <sheetData>
    <row r="1" spans="1:19" s="159" customFormat="1" ht="13.5" customHeight="1" x14ac:dyDescent="0.25">
      <c r="B1" s="175"/>
      <c r="C1" s="176"/>
      <c r="E1" s="177"/>
      <c r="F1" s="177"/>
      <c r="G1" s="177"/>
      <c r="J1" s="178"/>
      <c r="K1" s="178"/>
      <c r="L1" s="178"/>
      <c r="M1" s="176"/>
      <c r="N1" s="176"/>
      <c r="O1" s="176"/>
      <c r="P1" s="176"/>
      <c r="Q1" s="176"/>
      <c r="R1" s="176"/>
      <c r="S1" s="176"/>
    </row>
    <row r="2" spans="1:19" s="180" customFormat="1" ht="36" customHeight="1" x14ac:dyDescent="0.25">
      <c r="A2" s="154" t="s">
        <v>192</v>
      </c>
      <c r="B2" s="157" t="s">
        <v>37</v>
      </c>
      <c r="C2" s="156" t="s">
        <v>51</v>
      </c>
      <c r="D2" s="154" t="s">
        <v>109</v>
      </c>
      <c r="E2" s="154" t="s">
        <v>121</v>
      </c>
      <c r="F2" s="219" t="s">
        <v>56</v>
      </c>
      <c r="G2" s="155" t="s">
        <v>58</v>
      </c>
      <c r="H2" s="154" t="s">
        <v>57</v>
      </c>
      <c r="I2" s="154" t="s">
        <v>10</v>
      </c>
      <c r="J2" s="178"/>
      <c r="K2" s="178"/>
      <c r="L2" s="178"/>
      <c r="M2" s="179"/>
      <c r="N2" s="179"/>
      <c r="O2" s="179"/>
      <c r="P2" s="179"/>
      <c r="Q2" s="179"/>
      <c r="R2" s="179"/>
      <c r="S2" s="179"/>
    </row>
    <row r="3" spans="1:19" s="180" customFormat="1" ht="18.75" customHeight="1" x14ac:dyDescent="0.25">
      <c r="A3" s="181" t="s">
        <v>242</v>
      </c>
      <c r="B3" s="182"/>
      <c r="C3" s="146">
        <f>SUM(C4:C55)</f>
        <v>10.85</v>
      </c>
      <c r="D3" s="183"/>
      <c r="E3" s="183"/>
      <c r="F3" s="146">
        <f>SUM(F4:F55)</f>
        <v>8649472.3800000008</v>
      </c>
      <c r="G3" s="223"/>
      <c r="H3" s="183"/>
      <c r="I3" s="184"/>
      <c r="J3" s="178"/>
      <c r="K3" s="178"/>
      <c r="L3" s="178"/>
      <c r="M3" s="179"/>
      <c r="N3" s="179"/>
      <c r="O3" s="179"/>
      <c r="P3" s="179"/>
      <c r="Q3" s="179"/>
      <c r="R3" s="179"/>
      <c r="S3" s="179"/>
    </row>
    <row r="4" spans="1:19" s="192" customFormat="1" ht="6.6" hidden="1" customHeight="1" x14ac:dyDescent="0.25">
      <c r="A4" s="185">
        <v>0</v>
      </c>
      <c r="B4" s="186"/>
      <c r="C4" s="187"/>
      <c r="D4" s="187"/>
      <c r="E4" s="187"/>
      <c r="F4" s="188"/>
      <c r="G4" s="189"/>
      <c r="H4" s="164"/>
      <c r="I4" s="188"/>
      <c r="J4" s="190"/>
      <c r="K4" s="190"/>
      <c r="L4" s="190"/>
      <c r="M4" s="191"/>
      <c r="N4" s="191"/>
      <c r="O4" s="190"/>
      <c r="P4" s="190"/>
      <c r="Q4" s="190"/>
      <c r="R4" s="190"/>
      <c r="S4" s="190"/>
    </row>
    <row r="5" spans="1:19" s="192" customFormat="1" hidden="1" x14ac:dyDescent="0.25">
      <c r="A5" s="147" t="s">
        <v>242</v>
      </c>
      <c r="B5" s="164"/>
      <c r="C5" s="195"/>
      <c r="D5" s="233" t="s">
        <v>784</v>
      </c>
      <c r="E5" s="147" t="s">
        <v>140</v>
      </c>
      <c r="F5" s="158"/>
      <c r="G5" s="150" t="s">
        <v>3339</v>
      </c>
      <c r="H5" s="148">
        <v>43592</v>
      </c>
      <c r="I5" s="233" t="s">
        <v>143</v>
      </c>
      <c r="J5" s="193"/>
      <c r="K5" s="194"/>
      <c r="L5" s="190"/>
    </row>
    <row r="6" spans="1:19" s="192" customFormat="1" hidden="1" x14ac:dyDescent="0.25">
      <c r="A6" s="147" t="s">
        <v>242</v>
      </c>
      <c r="B6" s="164"/>
      <c r="C6" s="195"/>
      <c r="D6" s="233" t="s">
        <v>784</v>
      </c>
      <c r="E6" s="147" t="s">
        <v>140</v>
      </c>
      <c r="F6" s="158"/>
      <c r="G6" s="150" t="s">
        <v>3273</v>
      </c>
      <c r="H6" s="148">
        <v>43592</v>
      </c>
      <c r="I6" s="233" t="s">
        <v>143</v>
      </c>
      <c r="J6" s="193"/>
      <c r="K6" s="194"/>
      <c r="L6" s="190"/>
    </row>
    <row r="7" spans="1:19" s="192" customFormat="1" x14ac:dyDescent="0.25">
      <c r="A7" s="147" t="s">
        <v>242</v>
      </c>
      <c r="B7" s="164"/>
      <c r="C7" s="195"/>
      <c r="D7" s="149" t="s">
        <v>784</v>
      </c>
      <c r="E7" s="147" t="s">
        <v>1121</v>
      </c>
      <c r="F7" s="158">
        <v>94824</v>
      </c>
      <c r="G7" s="150" t="s">
        <v>5527</v>
      </c>
      <c r="H7" s="148">
        <v>43616</v>
      </c>
      <c r="I7" s="149" t="s">
        <v>143</v>
      </c>
      <c r="J7" s="193"/>
      <c r="K7" s="194"/>
      <c r="L7" s="190"/>
    </row>
    <row r="8" spans="1:19" s="192" customFormat="1" x14ac:dyDescent="0.25">
      <c r="A8" s="147" t="s">
        <v>242</v>
      </c>
      <c r="B8" s="164"/>
      <c r="C8" s="195"/>
      <c r="D8" s="149" t="s">
        <v>784</v>
      </c>
      <c r="E8" s="147" t="s">
        <v>1121</v>
      </c>
      <c r="F8" s="158">
        <v>252002.52</v>
      </c>
      <c r="G8" s="150" t="s">
        <v>4607</v>
      </c>
      <c r="H8" s="148">
        <v>43616</v>
      </c>
      <c r="I8" s="149" t="s">
        <v>143</v>
      </c>
      <c r="J8" s="193"/>
      <c r="K8" s="194"/>
      <c r="L8" s="190"/>
    </row>
    <row r="9" spans="1:19" s="192" customFormat="1" x14ac:dyDescent="0.25">
      <c r="A9" s="147" t="s">
        <v>242</v>
      </c>
      <c r="B9" s="164"/>
      <c r="C9" s="195">
        <v>4.9000000000000004</v>
      </c>
      <c r="D9" s="149" t="s">
        <v>784</v>
      </c>
      <c r="E9" s="147" t="s">
        <v>1121</v>
      </c>
      <c r="F9" s="158">
        <v>227082.59</v>
      </c>
      <c r="G9" s="150" t="s">
        <v>731</v>
      </c>
      <c r="H9" s="148">
        <v>43616</v>
      </c>
      <c r="I9" s="149" t="s">
        <v>143</v>
      </c>
      <c r="J9" s="193"/>
      <c r="K9" s="194"/>
      <c r="L9" s="190"/>
    </row>
    <row r="10" spans="1:19" s="192" customFormat="1" x14ac:dyDescent="0.25">
      <c r="A10" s="147" t="s">
        <v>242</v>
      </c>
      <c r="B10" s="164"/>
      <c r="C10" s="195"/>
      <c r="D10" s="149" t="s">
        <v>784</v>
      </c>
      <c r="E10" s="147" t="s">
        <v>1121</v>
      </c>
      <c r="F10" s="158">
        <v>559057.4</v>
      </c>
      <c r="G10" s="150" t="s">
        <v>85</v>
      </c>
      <c r="H10" s="148">
        <v>43616</v>
      </c>
      <c r="I10" s="149" t="s">
        <v>143</v>
      </c>
      <c r="J10" s="193"/>
      <c r="K10" s="194"/>
      <c r="L10" s="190"/>
    </row>
    <row r="11" spans="1:19" s="192" customFormat="1" x14ac:dyDescent="0.25">
      <c r="A11" s="147" t="s">
        <v>242</v>
      </c>
      <c r="B11" s="164"/>
      <c r="C11" s="195"/>
      <c r="D11" s="149" t="s">
        <v>784</v>
      </c>
      <c r="E11" s="147" t="s">
        <v>1121</v>
      </c>
      <c r="F11" s="158">
        <v>226848</v>
      </c>
      <c r="G11" s="150" t="s">
        <v>878</v>
      </c>
      <c r="H11" s="148">
        <v>43630</v>
      </c>
      <c r="I11" s="149" t="s">
        <v>143</v>
      </c>
      <c r="J11" s="193"/>
      <c r="K11" s="194"/>
      <c r="L11" s="190"/>
    </row>
    <row r="12" spans="1:19" s="192" customFormat="1" x14ac:dyDescent="0.25">
      <c r="A12" s="147" t="s">
        <v>242</v>
      </c>
      <c r="B12" s="164"/>
      <c r="C12" s="195"/>
      <c r="D12" s="149" t="s">
        <v>784</v>
      </c>
      <c r="E12" s="147" t="s">
        <v>1121</v>
      </c>
      <c r="F12" s="158">
        <v>83804</v>
      </c>
      <c r="G12" s="150" t="s">
        <v>1243</v>
      </c>
      <c r="H12" s="148">
        <v>43630</v>
      </c>
      <c r="I12" s="149" t="s">
        <v>143</v>
      </c>
      <c r="J12" s="193"/>
      <c r="K12" s="194"/>
      <c r="L12" s="190"/>
    </row>
    <row r="13" spans="1:19" s="192" customFormat="1" x14ac:dyDescent="0.25">
      <c r="A13" s="147" t="s">
        <v>242</v>
      </c>
      <c r="B13" s="164"/>
      <c r="C13" s="195"/>
      <c r="D13" s="149" t="s">
        <v>784</v>
      </c>
      <c r="E13" s="147" t="s">
        <v>1121</v>
      </c>
      <c r="F13" s="158">
        <v>112653.6</v>
      </c>
      <c r="G13" s="150" t="s">
        <v>5369</v>
      </c>
      <c r="H13" s="148">
        <v>43630</v>
      </c>
      <c r="I13" s="149" t="s">
        <v>143</v>
      </c>
      <c r="J13" s="193"/>
      <c r="K13" s="194"/>
      <c r="L13" s="190"/>
    </row>
    <row r="14" spans="1:19" s="192" customFormat="1" x14ac:dyDescent="0.25">
      <c r="A14" s="147" t="s">
        <v>242</v>
      </c>
      <c r="B14" s="164"/>
      <c r="C14" s="195"/>
      <c r="D14" s="149" t="s">
        <v>784</v>
      </c>
      <c r="E14" s="147" t="s">
        <v>1121</v>
      </c>
      <c r="F14" s="158">
        <v>133388.4</v>
      </c>
      <c r="G14" s="150" t="s">
        <v>375</v>
      </c>
      <c r="H14" s="148">
        <v>43630</v>
      </c>
      <c r="I14" s="149" t="s">
        <v>143</v>
      </c>
      <c r="J14" s="193"/>
      <c r="K14" s="194"/>
      <c r="L14" s="190"/>
    </row>
    <row r="15" spans="1:19" s="192" customFormat="1" x14ac:dyDescent="0.25">
      <c r="A15" s="147" t="s">
        <v>242</v>
      </c>
      <c r="B15" s="164"/>
      <c r="C15" s="195"/>
      <c r="D15" s="149" t="s">
        <v>784</v>
      </c>
      <c r="E15" s="147" t="s">
        <v>1121</v>
      </c>
      <c r="F15" s="158">
        <v>113160</v>
      </c>
      <c r="G15" s="150" t="s">
        <v>5946</v>
      </c>
      <c r="H15" s="148">
        <v>43630</v>
      </c>
      <c r="I15" s="149" t="s">
        <v>143</v>
      </c>
      <c r="J15" s="193"/>
      <c r="K15" s="194"/>
      <c r="L15" s="190"/>
    </row>
    <row r="16" spans="1:19" s="192" customFormat="1" x14ac:dyDescent="0.25">
      <c r="A16" s="147" t="s">
        <v>242</v>
      </c>
      <c r="B16" s="164"/>
      <c r="C16" s="195"/>
      <c r="D16" s="149" t="s">
        <v>784</v>
      </c>
      <c r="E16" s="147" t="s">
        <v>144</v>
      </c>
      <c r="F16" s="158">
        <v>118892.5</v>
      </c>
      <c r="G16" s="150" t="s">
        <v>150</v>
      </c>
      <c r="H16" s="148">
        <v>43616</v>
      </c>
      <c r="I16" s="149" t="s">
        <v>143</v>
      </c>
      <c r="J16" s="193"/>
      <c r="K16" s="194"/>
      <c r="L16" s="190"/>
    </row>
    <row r="17" spans="1:12" s="192" customFormat="1" hidden="1" x14ac:dyDescent="0.25">
      <c r="A17" s="147" t="s">
        <v>242</v>
      </c>
      <c r="B17" s="164" t="s">
        <v>8313</v>
      </c>
      <c r="C17" s="187"/>
      <c r="D17" s="149" t="s">
        <v>291</v>
      </c>
      <c r="E17" s="147" t="s">
        <v>140</v>
      </c>
      <c r="F17" s="158"/>
      <c r="G17" s="150" t="s">
        <v>299</v>
      </c>
      <c r="H17" s="148">
        <v>43551</v>
      </c>
      <c r="I17" s="149" t="s">
        <v>143</v>
      </c>
      <c r="J17" s="193"/>
      <c r="K17" s="194"/>
      <c r="L17" s="190"/>
    </row>
    <row r="18" spans="1:12" s="192" customFormat="1" hidden="1" x14ac:dyDescent="0.25">
      <c r="A18" s="147" t="s">
        <v>242</v>
      </c>
      <c r="B18" s="164" t="s">
        <v>8313</v>
      </c>
      <c r="C18" s="187"/>
      <c r="D18" s="149" t="s">
        <v>291</v>
      </c>
      <c r="E18" s="147" t="s">
        <v>1121</v>
      </c>
      <c r="F18" s="158"/>
      <c r="G18" s="150" t="s">
        <v>4094</v>
      </c>
      <c r="H18" s="148">
        <v>43630</v>
      </c>
      <c r="I18" s="149" t="s">
        <v>143</v>
      </c>
      <c r="J18" s="193"/>
      <c r="K18" s="194"/>
      <c r="L18" s="190"/>
    </row>
    <row r="19" spans="1:12" s="192" customFormat="1" hidden="1" x14ac:dyDescent="0.25">
      <c r="A19" s="147" t="s">
        <v>242</v>
      </c>
      <c r="B19" s="164" t="s">
        <v>8313</v>
      </c>
      <c r="C19" s="187"/>
      <c r="D19" s="149" t="s">
        <v>291</v>
      </c>
      <c r="E19" s="147" t="s">
        <v>1121</v>
      </c>
      <c r="F19" s="158"/>
      <c r="G19" s="150" t="s">
        <v>3383</v>
      </c>
      <c r="H19" s="148">
        <v>43630</v>
      </c>
      <c r="I19" s="149" t="s">
        <v>143</v>
      </c>
      <c r="J19" s="193"/>
      <c r="K19" s="194"/>
      <c r="L19" s="190"/>
    </row>
    <row r="20" spans="1:12" s="192" customFormat="1" hidden="1" x14ac:dyDescent="0.25">
      <c r="A20" s="147" t="s">
        <v>242</v>
      </c>
      <c r="B20" s="164" t="s">
        <v>8313</v>
      </c>
      <c r="C20" s="187"/>
      <c r="D20" s="149" t="s">
        <v>291</v>
      </c>
      <c r="E20" s="147" t="s">
        <v>1121</v>
      </c>
      <c r="F20" s="158"/>
      <c r="G20" s="150" t="s">
        <v>4725</v>
      </c>
      <c r="H20" s="148">
        <v>43630</v>
      </c>
      <c r="I20" s="149" t="s">
        <v>143</v>
      </c>
      <c r="J20" s="193"/>
      <c r="K20" s="194"/>
      <c r="L20" s="190"/>
    </row>
    <row r="21" spans="1:12" s="192" customFormat="1" hidden="1" x14ac:dyDescent="0.25">
      <c r="A21" s="147" t="s">
        <v>242</v>
      </c>
      <c r="B21" s="164" t="s">
        <v>8313</v>
      </c>
      <c r="C21" s="187"/>
      <c r="D21" s="149" t="s">
        <v>291</v>
      </c>
      <c r="E21" s="147" t="s">
        <v>144</v>
      </c>
      <c r="F21" s="158"/>
      <c r="G21" s="150" t="s">
        <v>3218</v>
      </c>
      <c r="H21" s="148">
        <v>43630</v>
      </c>
      <c r="I21" s="149" t="s">
        <v>143</v>
      </c>
      <c r="J21" s="193"/>
      <c r="K21" s="194"/>
      <c r="L21" s="190"/>
    </row>
    <row r="22" spans="1:12" s="192" customFormat="1" hidden="1" x14ac:dyDescent="0.25">
      <c r="A22" s="147" t="s">
        <v>242</v>
      </c>
      <c r="B22" s="164" t="s">
        <v>8313</v>
      </c>
      <c r="C22" s="187"/>
      <c r="D22" s="149" t="s">
        <v>291</v>
      </c>
      <c r="E22" s="147" t="s">
        <v>144</v>
      </c>
      <c r="F22" s="158"/>
      <c r="G22" s="150" t="s">
        <v>1493</v>
      </c>
      <c r="H22" s="148">
        <v>43630</v>
      </c>
      <c r="I22" s="149" t="s">
        <v>143</v>
      </c>
      <c r="J22" s="193"/>
      <c r="K22" s="194"/>
      <c r="L22" s="190"/>
    </row>
    <row r="23" spans="1:12" s="192" customFormat="1" ht="14.85" hidden="1" customHeight="1" x14ac:dyDescent="0.25">
      <c r="A23" s="147" t="s">
        <v>242</v>
      </c>
      <c r="B23" s="164"/>
      <c r="C23" s="195"/>
      <c r="D23" s="149" t="s">
        <v>1816</v>
      </c>
      <c r="E23" s="147" t="s">
        <v>140</v>
      </c>
      <c r="F23" s="158"/>
      <c r="G23" s="150" t="s">
        <v>2819</v>
      </c>
      <c r="H23" s="148">
        <v>43537</v>
      </c>
      <c r="I23" s="149" t="s">
        <v>143</v>
      </c>
      <c r="J23" s="193"/>
      <c r="K23" s="194"/>
      <c r="L23" s="190"/>
    </row>
    <row r="24" spans="1:12" s="192" customFormat="1" ht="14.85" hidden="1" customHeight="1" x14ac:dyDescent="0.25">
      <c r="A24" s="147" t="s">
        <v>242</v>
      </c>
      <c r="B24" s="164"/>
      <c r="C24" s="195"/>
      <c r="D24" s="149" t="s">
        <v>1816</v>
      </c>
      <c r="E24" s="147" t="s">
        <v>1121</v>
      </c>
      <c r="F24" s="158"/>
      <c r="G24" s="150" t="s">
        <v>3852</v>
      </c>
      <c r="H24" s="148">
        <v>43537</v>
      </c>
      <c r="I24" s="149" t="s">
        <v>143</v>
      </c>
      <c r="J24" s="193"/>
      <c r="K24" s="194"/>
      <c r="L24" s="190"/>
    </row>
    <row r="25" spans="1:12" s="192" customFormat="1" ht="14.85" customHeight="1" x14ac:dyDescent="0.25">
      <c r="A25" s="147" t="s">
        <v>242</v>
      </c>
      <c r="B25" s="164"/>
      <c r="C25" s="195">
        <v>0.1</v>
      </c>
      <c r="D25" s="149" t="s">
        <v>1816</v>
      </c>
      <c r="E25" s="147" t="s">
        <v>144</v>
      </c>
      <c r="F25" s="158">
        <v>110911.12</v>
      </c>
      <c r="G25" s="150" t="s">
        <v>12</v>
      </c>
      <c r="H25" s="148">
        <v>43630</v>
      </c>
      <c r="I25" s="149" t="s">
        <v>143</v>
      </c>
      <c r="J25" s="190"/>
    </row>
    <row r="26" spans="1:12" s="192" customFormat="1" hidden="1" x14ac:dyDescent="0.25">
      <c r="A26" s="147" t="s">
        <v>242</v>
      </c>
      <c r="B26" s="164"/>
      <c r="C26" s="187"/>
      <c r="D26" s="149" t="s">
        <v>3988</v>
      </c>
      <c r="E26" s="147" t="s">
        <v>1121</v>
      </c>
      <c r="F26" s="158"/>
      <c r="G26" s="150" t="s">
        <v>1199</v>
      </c>
      <c r="H26" s="148">
        <v>43489</v>
      </c>
      <c r="I26" s="149" t="s">
        <v>143</v>
      </c>
      <c r="J26" s="193"/>
      <c r="K26" s="194"/>
      <c r="L26" s="190"/>
    </row>
    <row r="27" spans="1:12" s="192" customFormat="1" hidden="1" x14ac:dyDescent="0.25">
      <c r="A27" s="147" t="s">
        <v>242</v>
      </c>
      <c r="B27" s="164"/>
      <c r="C27" s="187"/>
      <c r="D27" s="149" t="s">
        <v>2426</v>
      </c>
      <c r="E27" s="147" t="s">
        <v>140</v>
      </c>
      <c r="F27" s="158"/>
      <c r="G27" s="150" t="s">
        <v>1158</v>
      </c>
      <c r="H27" s="148">
        <v>43537</v>
      </c>
      <c r="I27" s="149" t="s">
        <v>143</v>
      </c>
      <c r="J27" s="193"/>
      <c r="K27" s="194"/>
      <c r="L27" s="190"/>
    </row>
    <row r="28" spans="1:12" s="192" customFormat="1" hidden="1" x14ac:dyDescent="0.25">
      <c r="A28" s="147" t="s">
        <v>242</v>
      </c>
      <c r="B28" s="164"/>
      <c r="C28" s="187">
        <v>0.2</v>
      </c>
      <c r="D28" s="149" t="s">
        <v>2426</v>
      </c>
      <c r="E28" s="147" t="s">
        <v>1121</v>
      </c>
      <c r="F28" s="158"/>
      <c r="G28" s="150" t="s">
        <v>5412</v>
      </c>
      <c r="H28" s="148">
        <v>43615</v>
      </c>
      <c r="I28" s="149" t="s">
        <v>143</v>
      </c>
      <c r="J28" s="193"/>
      <c r="K28" s="194"/>
      <c r="L28" s="190"/>
    </row>
    <row r="29" spans="1:12" s="192" customFormat="1" x14ac:dyDescent="0.25">
      <c r="A29" s="147" t="s">
        <v>242</v>
      </c>
      <c r="B29" s="164"/>
      <c r="C29" s="187"/>
      <c r="D29" s="149" t="s">
        <v>2426</v>
      </c>
      <c r="E29" s="147" t="s">
        <v>144</v>
      </c>
      <c r="F29" s="158">
        <v>71188</v>
      </c>
      <c r="G29" s="150" t="s">
        <v>8979</v>
      </c>
      <c r="H29" s="148">
        <v>43615</v>
      </c>
      <c r="I29" s="149" t="s">
        <v>143</v>
      </c>
      <c r="J29" s="193"/>
      <c r="K29" s="194"/>
      <c r="L29" s="190"/>
    </row>
    <row r="30" spans="1:12" s="192" customFormat="1" hidden="1" x14ac:dyDescent="0.25">
      <c r="A30" s="147" t="s">
        <v>242</v>
      </c>
      <c r="B30" s="164"/>
      <c r="C30" s="195"/>
      <c r="D30" s="233" t="s">
        <v>413</v>
      </c>
      <c r="E30" s="147" t="s">
        <v>140</v>
      </c>
      <c r="F30" s="158"/>
      <c r="G30" s="150" t="s">
        <v>13</v>
      </c>
      <c r="H30" s="151">
        <v>43293</v>
      </c>
      <c r="I30" s="233" t="s">
        <v>143</v>
      </c>
      <c r="J30" s="193"/>
      <c r="K30" s="194"/>
      <c r="L30" s="190"/>
    </row>
    <row r="31" spans="1:12" s="192" customFormat="1" hidden="1" x14ac:dyDescent="0.25">
      <c r="A31" s="147" t="s">
        <v>242</v>
      </c>
      <c r="B31" s="164"/>
      <c r="C31" s="187"/>
      <c r="D31" s="149" t="s">
        <v>413</v>
      </c>
      <c r="E31" s="147" t="s">
        <v>1121</v>
      </c>
      <c r="F31" s="158"/>
      <c r="G31" s="150" t="s">
        <v>878</v>
      </c>
      <c r="H31" s="148">
        <v>43293</v>
      </c>
      <c r="I31" s="149" t="s">
        <v>143</v>
      </c>
      <c r="J31" s="193"/>
      <c r="K31" s="194"/>
      <c r="L31" s="190"/>
    </row>
    <row r="32" spans="1:12" s="192" customFormat="1" hidden="1" x14ac:dyDescent="0.25">
      <c r="A32" s="147" t="s">
        <v>242</v>
      </c>
      <c r="B32" s="164"/>
      <c r="C32" s="187"/>
      <c r="D32" s="149" t="s">
        <v>413</v>
      </c>
      <c r="E32" s="147" t="s">
        <v>144</v>
      </c>
      <c r="F32" s="158"/>
      <c r="G32" s="150" t="s">
        <v>106</v>
      </c>
      <c r="H32" s="148">
        <v>43340</v>
      </c>
      <c r="I32" s="149" t="s">
        <v>143</v>
      </c>
      <c r="J32" s="193"/>
      <c r="K32" s="194"/>
      <c r="L32" s="190"/>
    </row>
    <row r="33" spans="1:12" s="192" customFormat="1" x14ac:dyDescent="0.25">
      <c r="A33" s="147" t="s">
        <v>242</v>
      </c>
      <c r="B33" s="164"/>
      <c r="C33" s="195">
        <v>0.35</v>
      </c>
      <c r="D33" s="149" t="s">
        <v>324</v>
      </c>
      <c r="E33" s="147" t="s">
        <v>140</v>
      </c>
      <c r="F33" s="158">
        <v>104656</v>
      </c>
      <c r="G33" s="150" t="s">
        <v>3432</v>
      </c>
      <c r="H33" s="148">
        <v>43630</v>
      </c>
      <c r="I33" s="149" t="s">
        <v>143</v>
      </c>
      <c r="J33" s="193"/>
      <c r="K33" s="190"/>
    </row>
    <row r="34" spans="1:12" s="192" customFormat="1" x14ac:dyDescent="0.25">
      <c r="A34" s="147" t="s">
        <v>242</v>
      </c>
      <c r="B34" s="164"/>
      <c r="C34" s="195"/>
      <c r="D34" s="149" t="s">
        <v>324</v>
      </c>
      <c r="E34" s="147" t="s">
        <v>140</v>
      </c>
      <c r="F34" s="158">
        <v>74558.880000000005</v>
      </c>
      <c r="G34" s="150" t="s">
        <v>25</v>
      </c>
      <c r="H34" s="148">
        <v>43630</v>
      </c>
      <c r="I34" s="149" t="s">
        <v>143</v>
      </c>
      <c r="J34" s="193"/>
      <c r="K34" s="190"/>
    </row>
    <row r="35" spans="1:12" s="192" customFormat="1" x14ac:dyDescent="0.25">
      <c r="A35" s="147" t="s">
        <v>242</v>
      </c>
      <c r="B35" s="164"/>
      <c r="C35" s="195"/>
      <c r="D35" s="149" t="s">
        <v>324</v>
      </c>
      <c r="E35" s="147" t="s">
        <v>1121</v>
      </c>
      <c r="F35" s="158">
        <v>79978.5</v>
      </c>
      <c r="G35" s="150" t="s">
        <v>3403</v>
      </c>
      <c r="H35" s="148">
        <v>43630</v>
      </c>
      <c r="I35" s="149" t="s">
        <v>143</v>
      </c>
      <c r="J35" s="193"/>
      <c r="K35" s="190"/>
    </row>
    <row r="36" spans="1:12" s="192" customFormat="1" x14ac:dyDescent="0.25">
      <c r="A36" s="147" t="s">
        <v>242</v>
      </c>
      <c r="B36" s="164"/>
      <c r="C36" s="195"/>
      <c r="D36" s="149" t="s">
        <v>324</v>
      </c>
      <c r="E36" s="147" t="s">
        <v>144</v>
      </c>
      <c r="F36" s="158">
        <v>95290</v>
      </c>
      <c r="G36" s="150" t="s">
        <v>13</v>
      </c>
      <c r="H36" s="148">
        <v>43630</v>
      </c>
      <c r="I36" s="149" t="s">
        <v>143</v>
      </c>
      <c r="J36" s="193"/>
      <c r="K36" s="194"/>
      <c r="L36" s="190"/>
    </row>
    <row r="37" spans="1:12" s="192" customFormat="1" ht="14.85" customHeight="1" x14ac:dyDescent="0.25">
      <c r="A37" s="147" t="s">
        <v>242</v>
      </c>
      <c r="B37" s="164"/>
      <c r="C37" s="195">
        <v>5.3</v>
      </c>
      <c r="D37" s="149" t="s">
        <v>490</v>
      </c>
      <c r="E37" s="147" t="s">
        <v>140</v>
      </c>
      <c r="F37" s="158">
        <v>113262.5</v>
      </c>
      <c r="G37" s="150" t="s">
        <v>8972</v>
      </c>
      <c r="H37" s="148">
        <v>43607</v>
      </c>
      <c r="I37" s="149" t="s">
        <v>143</v>
      </c>
      <c r="J37" s="193"/>
      <c r="K37" s="194"/>
      <c r="L37" s="190"/>
    </row>
    <row r="38" spans="1:12" s="192" customFormat="1" x14ac:dyDescent="0.25">
      <c r="A38" s="147" t="s">
        <v>242</v>
      </c>
      <c r="B38" s="164"/>
      <c r="C38" s="195"/>
      <c r="D38" s="149" t="s">
        <v>490</v>
      </c>
      <c r="E38" s="147" t="s">
        <v>1121</v>
      </c>
      <c r="F38" s="158">
        <v>86602</v>
      </c>
      <c r="G38" s="150" t="s">
        <v>8989</v>
      </c>
      <c r="H38" s="148">
        <v>43607</v>
      </c>
      <c r="I38" s="149" t="s">
        <v>143</v>
      </c>
      <c r="J38" s="193"/>
      <c r="K38" s="194"/>
      <c r="L38" s="190"/>
    </row>
    <row r="39" spans="1:12" s="192" customFormat="1" x14ac:dyDescent="0.25">
      <c r="A39" s="147" t="s">
        <v>242</v>
      </c>
      <c r="B39" s="164"/>
      <c r="C39" s="195"/>
      <c r="D39" s="149" t="s">
        <v>490</v>
      </c>
      <c r="E39" s="147" t="s">
        <v>1121</v>
      </c>
      <c r="F39" s="158">
        <v>739498</v>
      </c>
      <c r="G39" s="150" t="s">
        <v>8987</v>
      </c>
      <c r="H39" s="148">
        <v>43613</v>
      </c>
      <c r="I39" s="149" t="s">
        <v>143</v>
      </c>
      <c r="J39" s="193"/>
      <c r="K39" s="194"/>
      <c r="L39" s="190"/>
    </row>
    <row r="40" spans="1:12" s="192" customFormat="1" x14ac:dyDescent="0.25">
      <c r="A40" s="147" t="s">
        <v>242</v>
      </c>
      <c r="B40" s="164"/>
      <c r="C40" s="195"/>
      <c r="D40" s="149" t="s">
        <v>490</v>
      </c>
      <c r="E40" s="147" t="s">
        <v>1121</v>
      </c>
      <c r="F40" s="158">
        <v>594361.59999999998</v>
      </c>
      <c r="G40" s="150" t="s">
        <v>8988</v>
      </c>
      <c r="H40" s="148">
        <v>43613</v>
      </c>
      <c r="I40" s="149" t="s">
        <v>143</v>
      </c>
      <c r="J40" s="193"/>
      <c r="K40" s="194"/>
      <c r="L40" s="190"/>
    </row>
    <row r="41" spans="1:12" s="192" customFormat="1" x14ac:dyDescent="0.25">
      <c r="A41" s="147" t="s">
        <v>242</v>
      </c>
      <c r="B41" s="164"/>
      <c r="C41" s="195"/>
      <c r="D41" s="149" t="s">
        <v>490</v>
      </c>
      <c r="E41" s="147" t="s">
        <v>1121</v>
      </c>
      <c r="F41" s="158">
        <v>506694.52</v>
      </c>
      <c r="G41" s="150" t="s">
        <v>9222</v>
      </c>
      <c r="H41" s="148">
        <v>43621</v>
      </c>
      <c r="I41" s="149" t="s">
        <v>143</v>
      </c>
      <c r="J41" s="193"/>
      <c r="K41" s="194"/>
      <c r="L41" s="190"/>
    </row>
    <row r="42" spans="1:12" s="192" customFormat="1" x14ac:dyDescent="0.25">
      <c r="A42" s="147" t="s">
        <v>242</v>
      </c>
      <c r="B42" s="164"/>
      <c r="C42" s="195"/>
      <c r="D42" s="149" t="s">
        <v>490</v>
      </c>
      <c r="E42" s="147" t="s">
        <v>144</v>
      </c>
      <c r="F42" s="158">
        <v>231265.5</v>
      </c>
      <c r="G42" s="150" t="s">
        <v>8496</v>
      </c>
      <c r="H42" s="148">
        <v>43592</v>
      </c>
      <c r="I42" s="149" t="s">
        <v>143</v>
      </c>
      <c r="J42" s="193"/>
      <c r="K42" s="194"/>
      <c r="L42" s="190"/>
    </row>
    <row r="43" spans="1:12" s="192" customFormat="1" x14ac:dyDescent="0.25">
      <c r="A43" s="147" t="s">
        <v>242</v>
      </c>
      <c r="B43" s="164"/>
      <c r="C43" s="195"/>
      <c r="D43" s="149" t="s">
        <v>490</v>
      </c>
      <c r="E43" s="147" t="s">
        <v>144</v>
      </c>
      <c r="F43" s="158">
        <v>291024.5</v>
      </c>
      <c r="G43" s="150" t="s">
        <v>8975</v>
      </c>
      <c r="H43" s="148">
        <v>43581</v>
      </c>
      <c r="I43" s="149" t="s">
        <v>143</v>
      </c>
      <c r="J43" s="193"/>
      <c r="K43" s="194"/>
      <c r="L43" s="190"/>
    </row>
    <row r="44" spans="1:12" s="192" customFormat="1" x14ac:dyDescent="0.25">
      <c r="A44" s="147" t="s">
        <v>242</v>
      </c>
      <c r="B44" s="164"/>
      <c r="C44" s="195"/>
      <c r="D44" s="149" t="s">
        <v>490</v>
      </c>
      <c r="E44" s="147" t="s">
        <v>144</v>
      </c>
      <c r="F44" s="158">
        <v>202599</v>
      </c>
      <c r="G44" s="150" t="s">
        <v>8974</v>
      </c>
      <c r="H44" s="148">
        <v>43607</v>
      </c>
      <c r="I44" s="149" t="s">
        <v>143</v>
      </c>
      <c r="J44" s="193"/>
      <c r="K44" s="194"/>
      <c r="L44" s="190"/>
    </row>
    <row r="45" spans="1:12" s="192" customFormat="1" x14ac:dyDescent="0.25">
      <c r="A45" s="147" t="s">
        <v>242</v>
      </c>
      <c r="B45" s="164"/>
      <c r="C45" s="195"/>
      <c r="D45" s="149" t="s">
        <v>490</v>
      </c>
      <c r="E45" s="147" t="s">
        <v>144</v>
      </c>
      <c r="F45" s="158">
        <v>383042</v>
      </c>
      <c r="G45" s="150" t="s">
        <v>8976</v>
      </c>
      <c r="H45" s="148">
        <v>43613</v>
      </c>
      <c r="I45" s="149" t="s">
        <v>143</v>
      </c>
      <c r="J45" s="193"/>
      <c r="K45" s="194"/>
      <c r="L45" s="190"/>
    </row>
    <row r="46" spans="1:12" s="192" customFormat="1" x14ac:dyDescent="0.25">
      <c r="A46" s="147" t="s">
        <v>242</v>
      </c>
      <c r="B46" s="164"/>
      <c r="C46" s="195"/>
      <c r="D46" s="149" t="s">
        <v>490</v>
      </c>
      <c r="E46" s="147" t="s">
        <v>144</v>
      </c>
      <c r="F46" s="158">
        <v>734414.95</v>
      </c>
      <c r="G46" s="150" t="s">
        <v>8973</v>
      </c>
      <c r="H46" s="148">
        <v>43613</v>
      </c>
      <c r="I46" s="149" t="s">
        <v>143</v>
      </c>
      <c r="J46" s="193"/>
      <c r="K46" s="194"/>
      <c r="L46" s="190"/>
    </row>
    <row r="47" spans="1:12" s="192" customFormat="1" x14ac:dyDescent="0.25">
      <c r="A47" s="147" t="s">
        <v>242</v>
      </c>
      <c r="B47" s="164"/>
      <c r="C47" s="195"/>
      <c r="D47" s="149" t="s">
        <v>490</v>
      </c>
      <c r="E47" s="147" t="s">
        <v>144</v>
      </c>
      <c r="F47" s="158">
        <v>138944</v>
      </c>
      <c r="G47" s="150" t="s">
        <v>9221</v>
      </c>
      <c r="H47" s="148">
        <v>43621</v>
      </c>
      <c r="I47" s="149" t="s">
        <v>143</v>
      </c>
      <c r="J47" s="193"/>
      <c r="K47" s="194"/>
      <c r="L47" s="190"/>
    </row>
    <row r="48" spans="1:12" s="192" customFormat="1" hidden="1" x14ac:dyDescent="0.25">
      <c r="A48" s="147" t="s">
        <v>242</v>
      </c>
      <c r="B48" s="164" t="s">
        <v>7380</v>
      </c>
      <c r="C48" s="187"/>
      <c r="D48" s="149" t="s">
        <v>388</v>
      </c>
      <c r="E48" s="147" t="s">
        <v>140</v>
      </c>
      <c r="F48" s="158"/>
      <c r="G48" s="150" t="s">
        <v>3852</v>
      </c>
      <c r="H48" s="148">
        <v>43592</v>
      </c>
      <c r="I48" s="149" t="s">
        <v>143</v>
      </c>
      <c r="J48" s="193"/>
      <c r="K48" s="194"/>
      <c r="L48" s="190"/>
    </row>
    <row r="49" spans="1:19" s="192" customFormat="1" x14ac:dyDescent="0.25">
      <c r="A49" s="147" t="s">
        <v>242</v>
      </c>
      <c r="B49" s="164" t="s">
        <v>7380</v>
      </c>
      <c r="C49" s="187"/>
      <c r="D49" s="149" t="s">
        <v>388</v>
      </c>
      <c r="E49" s="147" t="s">
        <v>1121</v>
      </c>
      <c r="F49" s="158"/>
      <c r="G49" s="150" t="s">
        <v>6784</v>
      </c>
      <c r="H49" s="148">
        <v>43630</v>
      </c>
      <c r="I49" s="149" t="s">
        <v>143</v>
      </c>
      <c r="J49" s="193"/>
      <c r="K49" s="194"/>
      <c r="L49" s="190"/>
    </row>
    <row r="50" spans="1:19" s="192" customFormat="1" x14ac:dyDescent="0.25">
      <c r="A50" s="147" t="s">
        <v>242</v>
      </c>
      <c r="B50" s="164" t="s">
        <v>7380</v>
      </c>
      <c r="C50" s="195"/>
      <c r="D50" s="149" t="s">
        <v>388</v>
      </c>
      <c r="E50" s="147" t="s">
        <v>144</v>
      </c>
      <c r="F50" s="158">
        <v>776268.9</v>
      </c>
      <c r="G50" s="150" t="s">
        <v>1164</v>
      </c>
      <c r="H50" s="148">
        <v>43630</v>
      </c>
      <c r="I50" s="149" t="s">
        <v>143</v>
      </c>
      <c r="J50" s="193"/>
      <c r="K50" s="194"/>
      <c r="L50" s="190"/>
    </row>
    <row r="51" spans="1:19" s="192" customFormat="1" x14ac:dyDescent="0.25">
      <c r="A51" s="147" t="s">
        <v>242</v>
      </c>
      <c r="B51" s="164" t="s">
        <v>7380</v>
      </c>
      <c r="C51" s="195"/>
      <c r="D51" s="149" t="s">
        <v>388</v>
      </c>
      <c r="E51" s="147" t="s">
        <v>144</v>
      </c>
      <c r="F51" s="158">
        <v>1200145.6000000001</v>
      </c>
      <c r="G51" s="150" t="s">
        <v>341</v>
      </c>
      <c r="H51" s="148">
        <v>43630</v>
      </c>
      <c r="I51" s="149" t="s">
        <v>143</v>
      </c>
      <c r="J51" s="193"/>
      <c r="K51" s="194"/>
      <c r="L51" s="190"/>
    </row>
    <row r="52" spans="1:19" s="192" customFormat="1" ht="14.85" hidden="1" customHeight="1" x14ac:dyDescent="0.25">
      <c r="A52" s="147" t="s">
        <v>242</v>
      </c>
      <c r="B52" s="164"/>
      <c r="C52" s="195"/>
      <c r="D52" s="149" t="s">
        <v>840</v>
      </c>
      <c r="E52" s="147" t="s">
        <v>140</v>
      </c>
      <c r="F52" s="158"/>
      <c r="G52" s="150" t="s">
        <v>6882</v>
      </c>
      <c r="H52" s="148">
        <v>43565</v>
      </c>
      <c r="I52" s="149" t="s">
        <v>143</v>
      </c>
      <c r="J52" s="193"/>
      <c r="K52" s="194"/>
      <c r="L52" s="190"/>
    </row>
    <row r="53" spans="1:19" s="192" customFormat="1" ht="14.85" hidden="1" customHeight="1" x14ac:dyDescent="0.25">
      <c r="A53" s="147" t="s">
        <v>242</v>
      </c>
      <c r="B53" s="164"/>
      <c r="C53" s="195"/>
      <c r="D53" s="149" t="s">
        <v>840</v>
      </c>
      <c r="E53" s="147" t="s">
        <v>1121</v>
      </c>
      <c r="F53" s="158"/>
      <c r="G53" s="150" t="s">
        <v>5459</v>
      </c>
      <c r="H53" s="148">
        <v>43537</v>
      </c>
      <c r="I53" s="149" t="s">
        <v>143</v>
      </c>
      <c r="J53" s="193"/>
      <c r="K53" s="194"/>
      <c r="L53" s="190"/>
    </row>
    <row r="54" spans="1:19" s="192" customFormat="1" ht="14.85" customHeight="1" x14ac:dyDescent="0.25">
      <c r="A54" s="147" t="s">
        <v>242</v>
      </c>
      <c r="B54" s="164"/>
      <c r="C54" s="195"/>
      <c r="D54" s="149" t="s">
        <v>840</v>
      </c>
      <c r="E54" s="147" t="s">
        <v>144</v>
      </c>
      <c r="F54" s="158">
        <v>193053.8</v>
      </c>
      <c r="G54" s="150" t="s">
        <v>1578</v>
      </c>
      <c r="H54" s="148">
        <v>43616</v>
      </c>
      <c r="I54" s="149" t="s">
        <v>143</v>
      </c>
      <c r="J54" s="193"/>
      <c r="K54" s="194"/>
      <c r="L54" s="190"/>
    </row>
    <row r="55" spans="1:19" s="192" customFormat="1" ht="6.6" hidden="1" customHeight="1" x14ac:dyDescent="0.25">
      <c r="A55" s="187">
        <v>0</v>
      </c>
      <c r="B55" s="186"/>
      <c r="C55" s="187"/>
      <c r="D55" s="187"/>
      <c r="E55" s="187"/>
      <c r="F55" s="188"/>
      <c r="G55" s="189"/>
      <c r="H55" s="164"/>
      <c r="I55" s="188"/>
      <c r="J55" s="190"/>
      <c r="K55" s="190"/>
      <c r="L55" s="190"/>
      <c r="M55" s="191"/>
      <c r="N55" s="191"/>
      <c r="O55" s="190"/>
      <c r="P55" s="190"/>
      <c r="Q55" s="190"/>
      <c r="R55" s="190"/>
      <c r="S55" s="190"/>
    </row>
    <row r="68" spans="2:19" s="168" customFormat="1" x14ac:dyDescent="0.25">
      <c r="B68" s="196"/>
      <c r="C68" s="197"/>
      <c r="F68" s="198"/>
      <c r="G68" s="197"/>
      <c r="J68" s="199"/>
      <c r="K68" s="199"/>
      <c r="L68" s="199"/>
      <c r="M68" s="153"/>
      <c r="N68" s="153"/>
      <c r="O68" s="200"/>
      <c r="P68" s="200"/>
      <c r="Q68" s="200"/>
      <c r="R68" s="200"/>
      <c r="S68" s="200"/>
    </row>
  </sheetData>
  <autoFilter ref="A2:I55">
    <filterColumn colId="5">
      <customFilters>
        <customFilter operator="notEqual" val=" "/>
      </customFilters>
    </filterColumn>
  </autoFilter>
  <pageMargins left="0.39370078740157483" right="0.39370078740157483" top="0.19685039370078741" bottom="0.19685039370078741" header="0.51181102362204722" footer="0.51181102362204722"/>
  <pageSetup paperSize="9" scale="99" fitToHeight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rgb="FFE1FFFF"/>
    <pageSetUpPr fitToPage="1"/>
  </sheetPr>
  <dimension ref="A1:K27"/>
  <sheetViews>
    <sheetView zoomScaleNormal="100" workbookViewId="0">
      <pane ySplit="3" topLeftCell="A4" activePane="bottomLeft" state="frozen"/>
      <selection activeCell="F116" sqref="F116"/>
      <selection pane="bottomLeft" activeCell="A20" sqref="A20"/>
    </sheetView>
  </sheetViews>
  <sheetFormatPr defaultColWidth="9.44140625" defaultRowHeight="13.8" x14ac:dyDescent="0.25"/>
  <cols>
    <col min="1" max="1" width="16" style="1" customWidth="1"/>
    <col min="2" max="2" width="10.5546875" style="1" customWidth="1"/>
    <col min="3" max="3" width="10.44140625" style="54" customWidth="1"/>
    <col min="4" max="4" width="23.44140625" style="1" customWidth="1"/>
    <col min="5" max="5" width="10.5546875" style="1" customWidth="1"/>
    <col min="6" max="6" width="16.5546875" style="31" customWidth="1"/>
    <col min="7" max="7" width="18.44140625" style="1" customWidth="1"/>
    <col min="8" max="8" width="12.5546875" style="30" customWidth="1"/>
    <col min="9" max="9" width="30.5546875" style="1" customWidth="1"/>
    <col min="10" max="10" width="7.5546875" style="121" customWidth="1"/>
    <col min="11" max="11" width="6.44140625" style="5" customWidth="1"/>
    <col min="12" max="16384" width="9.44140625" style="2"/>
  </cols>
  <sheetData>
    <row r="1" spans="1:11" x14ac:dyDescent="0.25">
      <c r="C1" s="484">
        <f>1000-303.1-C3</f>
        <v>696.9</v>
      </c>
      <c r="G1" s="31"/>
    </row>
    <row r="2" spans="1:11" s="8" customFormat="1" ht="36" customHeight="1" x14ac:dyDescent="0.25">
      <c r="A2" s="6" t="s">
        <v>192</v>
      </c>
      <c r="B2" s="6" t="s">
        <v>59</v>
      </c>
      <c r="C2" s="42" t="s">
        <v>51</v>
      </c>
      <c r="D2" s="6" t="s">
        <v>109</v>
      </c>
      <c r="E2" s="6" t="s">
        <v>121</v>
      </c>
      <c r="F2" s="243" t="s">
        <v>56</v>
      </c>
      <c r="G2" s="6" t="s">
        <v>58</v>
      </c>
      <c r="H2" s="43" t="s">
        <v>57</v>
      </c>
      <c r="I2" s="7" t="s">
        <v>10</v>
      </c>
      <c r="J2" s="122"/>
      <c r="K2" s="15"/>
    </row>
    <row r="3" spans="1:11" s="8" customFormat="1" ht="18.75" customHeight="1" x14ac:dyDescent="0.25">
      <c r="A3" s="11" t="s">
        <v>217</v>
      </c>
      <c r="B3" s="9"/>
      <c r="C3" s="59">
        <f>SUM(C7:C23)</f>
        <v>0</v>
      </c>
      <c r="D3" s="24"/>
      <c r="E3" s="9"/>
      <c r="F3" s="59">
        <f>SUM(F4:F23)</f>
        <v>3804160.7</v>
      </c>
      <c r="G3" s="12"/>
      <c r="H3" s="56"/>
      <c r="I3" s="10"/>
      <c r="J3" s="123"/>
      <c r="K3" s="15"/>
    </row>
    <row r="4" spans="1:11" ht="5.4" customHeight="1" x14ac:dyDescent="0.25">
      <c r="A4" s="13">
        <v>0</v>
      </c>
      <c r="B4" s="14"/>
      <c r="C4" s="13"/>
      <c r="D4" s="13"/>
      <c r="E4" s="13"/>
      <c r="F4" s="37"/>
      <c r="G4" s="29"/>
      <c r="H4" s="14"/>
      <c r="I4" s="4"/>
    </row>
    <row r="5" spans="1:11" s="228" customFormat="1" x14ac:dyDescent="0.25">
      <c r="A5" s="61" t="s">
        <v>741</v>
      </c>
      <c r="B5" s="14"/>
      <c r="C5" s="13"/>
      <c r="D5" s="13" t="s">
        <v>1513</v>
      </c>
      <c r="E5" s="13" t="s">
        <v>434</v>
      </c>
      <c r="F5" s="37">
        <v>1564800</v>
      </c>
      <c r="G5" s="29" t="s">
        <v>301</v>
      </c>
      <c r="H5" s="14">
        <v>43633</v>
      </c>
      <c r="I5" s="4" t="s">
        <v>9380</v>
      </c>
      <c r="J5" s="128"/>
      <c r="K5" s="21"/>
    </row>
    <row r="6" spans="1:11" s="228" customFormat="1" x14ac:dyDescent="0.25">
      <c r="A6" s="61" t="s">
        <v>103</v>
      </c>
      <c r="B6" s="14"/>
      <c r="C6" s="13"/>
      <c r="D6" s="13" t="s">
        <v>1513</v>
      </c>
      <c r="E6" s="13" t="s">
        <v>62</v>
      </c>
      <c r="F6" s="37">
        <v>635700</v>
      </c>
      <c r="G6" s="29" t="s">
        <v>33</v>
      </c>
      <c r="H6" s="14">
        <v>43633</v>
      </c>
      <c r="I6" s="4" t="s">
        <v>7721</v>
      </c>
      <c r="J6" s="128"/>
      <c r="K6" s="21"/>
    </row>
    <row r="7" spans="1:11" x14ac:dyDescent="0.25">
      <c r="A7" s="61" t="s">
        <v>103</v>
      </c>
      <c r="B7" s="14"/>
      <c r="C7" s="13"/>
      <c r="D7" s="13" t="s">
        <v>5631</v>
      </c>
      <c r="E7" s="13" t="s">
        <v>62</v>
      </c>
      <c r="F7" s="37">
        <v>557124</v>
      </c>
      <c r="G7" s="29" t="s">
        <v>8328</v>
      </c>
      <c r="H7" s="14">
        <v>43614</v>
      </c>
      <c r="I7" s="4" t="s">
        <v>5632</v>
      </c>
    </row>
    <row r="8" spans="1:11" s="228" customFormat="1" x14ac:dyDescent="0.25">
      <c r="A8" s="61" t="s">
        <v>741</v>
      </c>
      <c r="B8" s="14" t="s">
        <v>8994</v>
      </c>
      <c r="C8" s="13"/>
      <c r="D8" s="13" t="s">
        <v>2047</v>
      </c>
      <c r="E8" s="13" t="s">
        <v>434</v>
      </c>
      <c r="F8" s="4">
        <v>48000</v>
      </c>
      <c r="G8" s="28" t="s">
        <v>960</v>
      </c>
      <c r="H8" s="14">
        <v>43614</v>
      </c>
      <c r="I8" s="4" t="s">
        <v>95</v>
      </c>
      <c r="J8" s="128"/>
      <c r="K8" s="21"/>
    </row>
    <row r="9" spans="1:11" x14ac:dyDescent="0.25">
      <c r="A9" s="61" t="s">
        <v>741</v>
      </c>
      <c r="B9" s="14"/>
      <c r="C9" s="13"/>
      <c r="D9" s="13" t="s">
        <v>6788</v>
      </c>
      <c r="E9" s="13" t="s">
        <v>434</v>
      </c>
      <c r="F9" s="4">
        <v>13750</v>
      </c>
      <c r="G9" s="28" t="s">
        <v>6793</v>
      </c>
      <c r="H9" s="14">
        <v>43558</v>
      </c>
      <c r="I9" s="4" t="s">
        <v>354</v>
      </c>
    </row>
    <row r="10" spans="1:11" s="228" customFormat="1" x14ac:dyDescent="0.25">
      <c r="A10" s="211" t="s">
        <v>103</v>
      </c>
      <c r="B10" s="14"/>
      <c r="C10" s="13"/>
      <c r="D10" s="13" t="s">
        <v>1690</v>
      </c>
      <c r="E10" s="13" t="s">
        <v>62</v>
      </c>
      <c r="F10" s="37">
        <v>17600</v>
      </c>
      <c r="G10" s="29" t="s">
        <v>8272</v>
      </c>
      <c r="H10" s="14">
        <v>43605</v>
      </c>
      <c r="I10" s="32" t="s">
        <v>1301</v>
      </c>
      <c r="J10" s="128"/>
      <c r="K10" s="21"/>
    </row>
    <row r="11" spans="1:11" s="228" customFormat="1" x14ac:dyDescent="0.25">
      <c r="A11" s="211" t="s">
        <v>103</v>
      </c>
      <c r="B11" s="14"/>
      <c r="C11" s="13"/>
      <c r="D11" s="13" t="s">
        <v>1690</v>
      </c>
      <c r="E11" s="13" t="s">
        <v>62</v>
      </c>
      <c r="F11" s="37">
        <v>3500</v>
      </c>
      <c r="G11" s="29" t="s">
        <v>8273</v>
      </c>
      <c r="H11" s="14">
        <v>43608</v>
      </c>
      <c r="I11" s="32" t="s">
        <v>1301</v>
      </c>
      <c r="J11" s="128"/>
      <c r="K11" s="21"/>
    </row>
    <row r="12" spans="1:11" s="228" customFormat="1" x14ac:dyDescent="0.25">
      <c r="A12" s="61" t="s">
        <v>741</v>
      </c>
      <c r="B12" s="14"/>
      <c r="C12" s="13"/>
      <c r="D12" s="13" t="s">
        <v>1690</v>
      </c>
      <c r="E12" s="13" t="s">
        <v>434</v>
      </c>
      <c r="F12" s="4">
        <v>4000</v>
      </c>
      <c r="G12" s="28" t="s">
        <v>8599</v>
      </c>
      <c r="H12" s="14">
        <v>43609</v>
      </c>
      <c r="I12" s="4" t="s">
        <v>1301</v>
      </c>
      <c r="J12" s="128"/>
      <c r="K12" s="21"/>
    </row>
    <row r="13" spans="1:11" s="228" customFormat="1" x14ac:dyDescent="0.25">
      <c r="A13" s="61" t="s">
        <v>103</v>
      </c>
      <c r="B13" s="14"/>
      <c r="C13" s="13"/>
      <c r="D13" s="13" t="s">
        <v>1690</v>
      </c>
      <c r="E13" s="13" t="s">
        <v>62</v>
      </c>
      <c r="F13" s="37">
        <v>16000</v>
      </c>
      <c r="G13" s="29" t="s">
        <v>8600</v>
      </c>
      <c r="H13" s="14">
        <v>43615</v>
      </c>
      <c r="I13" s="4" t="s">
        <v>1301</v>
      </c>
      <c r="J13" s="128"/>
      <c r="K13" s="21"/>
    </row>
    <row r="14" spans="1:11" s="228" customFormat="1" x14ac:dyDescent="0.25">
      <c r="A14" s="61" t="s">
        <v>103</v>
      </c>
      <c r="B14" s="14"/>
      <c r="C14" s="13"/>
      <c r="D14" s="13" t="s">
        <v>8597</v>
      </c>
      <c r="E14" s="13" t="s">
        <v>62</v>
      </c>
      <c r="F14" s="4">
        <v>49990.7</v>
      </c>
      <c r="G14" s="28" t="s">
        <v>2893</v>
      </c>
      <c r="H14" s="14">
        <v>43615</v>
      </c>
      <c r="I14" s="4" t="s">
        <v>8598</v>
      </c>
      <c r="J14" s="128"/>
      <c r="K14" s="21"/>
    </row>
    <row r="15" spans="1:11" s="228" customFormat="1" x14ac:dyDescent="0.25">
      <c r="A15" s="61" t="s">
        <v>103</v>
      </c>
      <c r="B15" s="14"/>
      <c r="C15" s="13"/>
      <c r="D15" s="13" t="s">
        <v>8597</v>
      </c>
      <c r="E15" s="13" t="s">
        <v>62</v>
      </c>
      <c r="F15" s="4">
        <v>113870</v>
      </c>
      <c r="G15" s="28" t="s">
        <v>3424</v>
      </c>
      <c r="H15" s="14">
        <v>43616</v>
      </c>
      <c r="I15" s="4" t="s">
        <v>3410</v>
      </c>
      <c r="J15" s="128"/>
      <c r="K15" s="21"/>
    </row>
    <row r="16" spans="1:11" s="228" customFormat="1" x14ac:dyDescent="0.25">
      <c r="A16" s="61" t="s">
        <v>103</v>
      </c>
      <c r="B16" s="14"/>
      <c r="C16" s="13"/>
      <c r="D16" s="13" t="s">
        <v>307</v>
      </c>
      <c r="E16" s="13" t="s">
        <v>62</v>
      </c>
      <c r="F16" s="37">
        <v>212290</v>
      </c>
      <c r="G16" s="29" t="s">
        <v>9377</v>
      </c>
      <c r="H16" s="14">
        <v>43627</v>
      </c>
      <c r="I16" s="4" t="s">
        <v>9378</v>
      </c>
      <c r="J16" s="128"/>
      <c r="K16" s="21"/>
    </row>
    <row r="17" spans="1:11" s="228" customFormat="1" x14ac:dyDescent="0.25">
      <c r="A17" s="61" t="s">
        <v>741</v>
      </c>
      <c r="B17" s="14"/>
      <c r="C17" s="13"/>
      <c r="D17" s="13" t="s">
        <v>307</v>
      </c>
      <c r="E17" s="13" t="s">
        <v>434</v>
      </c>
      <c r="F17" s="37">
        <v>162440</v>
      </c>
      <c r="G17" s="29" t="s">
        <v>9379</v>
      </c>
      <c r="H17" s="14">
        <v>43627</v>
      </c>
      <c r="I17" s="4" t="s">
        <v>9378</v>
      </c>
      <c r="J17" s="128"/>
      <c r="K17" s="21"/>
    </row>
    <row r="18" spans="1:11" s="228" customFormat="1" x14ac:dyDescent="0.25">
      <c r="A18" s="61" t="s">
        <v>741</v>
      </c>
      <c r="B18" s="14"/>
      <c r="C18" s="13"/>
      <c r="D18" s="13" t="s">
        <v>115</v>
      </c>
      <c r="E18" s="13" t="s">
        <v>434</v>
      </c>
      <c r="F18" s="37">
        <v>8096</v>
      </c>
      <c r="G18" s="29" t="s">
        <v>7944</v>
      </c>
      <c r="H18" s="14">
        <v>43620</v>
      </c>
      <c r="I18" s="4" t="s">
        <v>3175</v>
      </c>
      <c r="J18" s="128"/>
      <c r="K18" s="21"/>
    </row>
    <row r="19" spans="1:11" s="228" customFormat="1" x14ac:dyDescent="0.25">
      <c r="A19" s="61" t="s">
        <v>103</v>
      </c>
      <c r="B19" s="14"/>
      <c r="C19" s="13"/>
      <c r="D19" s="13" t="s">
        <v>1156</v>
      </c>
      <c r="E19" s="13" t="s">
        <v>62</v>
      </c>
      <c r="F19" s="37">
        <v>397000</v>
      </c>
      <c r="G19" s="29" t="s">
        <v>139</v>
      </c>
      <c r="H19" s="14">
        <v>43616</v>
      </c>
      <c r="I19" s="4" t="s">
        <v>3177</v>
      </c>
      <c r="J19" s="128"/>
      <c r="K19" s="21"/>
    </row>
    <row r="20" spans="1:11" x14ac:dyDescent="0.25">
      <c r="A20" s="13"/>
      <c r="B20" s="14"/>
      <c r="C20" s="13"/>
      <c r="D20" s="13"/>
      <c r="E20" s="13"/>
      <c r="F20" s="37"/>
      <c r="G20" s="29"/>
      <c r="H20" s="14"/>
      <c r="I20" s="4"/>
    </row>
    <row r="23" spans="1:11" x14ac:dyDescent="0.25">
      <c r="B23" s="1" t="s">
        <v>46</v>
      </c>
    </row>
    <row r="27" spans="1:11" x14ac:dyDescent="0.25">
      <c r="B27" s="1" t="s">
        <v>46</v>
      </c>
    </row>
  </sheetData>
  <autoFilter ref="A2:I23"/>
  <sortState ref="A4:I12">
    <sortCondition ref="H4:H12"/>
  </sortState>
  <pageMargins left="0.19685039370078741" right="0.19685039370078741" top="0.19685039370078741" bottom="0.19685039370078741" header="0.51181102362204722" footer="0.51181102362204722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E1FFFF"/>
    <pageSetUpPr fitToPage="1"/>
  </sheetPr>
  <dimension ref="A1:S100"/>
  <sheetViews>
    <sheetView zoomScaleNormal="100" workbookViewId="0">
      <pane ySplit="2" topLeftCell="A66" activePane="bottomLeft" state="frozen"/>
      <selection pane="bottomLeft" activeCell="I73" sqref="I73"/>
    </sheetView>
  </sheetViews>
  <sheetFormatPr defaultColWidth="9.44140625" defaultRowHeight="13.8" x14ac:dyDescent="0.25"/>
  <cols>
    <col min="1" max="1" width="12.5546875" style="2" customWidth="1"/>
    <col min="2" max="2" width="15.88671875" style="33" customWidth="1"/>
    <col min="3" max="3" width="7.44140625" style="49" customWidth="1"/>
    <col min="4" max="4" width="24.33203125" style="2" customWidth="1"/>
    <col min="5" max="5" width="10.5546875" style="2" customWidth="1"/>
    <col min="6" max="6" width="16.5546875" style="31" customWidth="1"/>
    <col min="7" max="7" width="16.5546875" style="26" customWidth="1"/>
    <col min="8" max="8" width="12.5546875" style="2" customWidth="1"/>
    <col min="9" max="9" width="32.88671875" style="2" customWidth="1"/>
    <col min="10" max="10" width="8.5546875" style="341" customWidth="1"/>
    <col min="11" max="11" width="13.5546875" style="31" customWidth="1"/>
    <col min="12" max="12" width="15.5546875" style="31" customWidth="1"/>
    <col min="13" max="13" width="16.5546875" style="31" customWidth="1"/>
    <col min="14" max="14" width="9.44140625" style="31"/>
    <col min="15" max="19" width="9.44140625" style="34"/>
    <col min="20" max="16384" width="9.44140625" style="2"/>
  </cols>
  <sheetData>
    <row r="1" spans="1:19" s="8" customFormat="1" ht="36" customHeight="1" x14ac:dyDescent="0.25">
      <c r="A1" s="6" t="s">
        <v>192</v>
      </c>
      <c r="B1" s="43" t="s">
        <v>37</v>
      </c>
      <c r="C1" s="42" t="s">
        <v>51</v>
      </c>
      <c r="D1" s="6" t="s">
        <v>109</v>
      </c>
      <c r="E1" s="6" t="s">
        <v>121</v>
      </c>
      <c r="F1" s="46" t="s">
        <v>56</v>
      </c>
      <c r="G1" s="27" t="s">
        <v>58</v>
      </c>
      <c r="H1" s="6" t="s">
        <v>57</v>
      </c>
      <c r="I1" s="7" t="s">
        <v>10</v>
      </c>
      <c r="J1" s="342"/>
      <c r="K1" s="23"/>
      <c r="L1" s="23"/>
      <c r="M1" s="23"/>
      <c r="N1" s="23"/>
      <c r="O1" s="23"/>
      <c r="P1" s="23"/>
      <c r="Q1" s="23"/>
      <c r="R1" s="23"/>
      <c r="S1" s="23"/>
    </row>
    <row r="2" spans="1:19" s="8" customFormat="1" ht="18.75" customHeight="1" x14ac:dyDescent="0.25">
      <c r="A2" s="141" t="s">
        <v>570</v>
      </c>
      <c r="B2" s="142"/>
      <c r="C2" s="145">
        <f>SUM(C3:C95)</f>
        <v>0</v>
      </c>
      <c r="D2" s="143"/>
      <c r="E2" s="143"/>
      <c r="F2" s="145">
        <f>SUM(F3:F95)</f>
        <v>187000</v>
      </c>
      <c r="G2" s="145"/>
      <c r="H2" s="143"/>
      <c r="I2" s="143"/>
      <c r="J2" s="342"/>
      <c r="K2" s="23"/>
      <c r="L2" s="23"/>
      <c r="M2" s="23"/>
      <c r="N2" s="23"/>
      <c r="O2" s="23"/>
      <c r="P2" s="23"/>
      <c r="Q2" s="23"/>
      <c r="R2" s="23"/>
      <c r="S2" s="23"/>
    </row>
    <row r="3" spans="1:19" ht="6" customHeight="1" x14ac:dyDescent="0.25">
      <c r="A3" s="88">
        <v>0</v>
      </c>
    </row>
    <row r="4" spans="1:19" s="115" customFormat="1" ht="15.6" x14ac:dyDescent="0.25">
      <c r="A4" s="32" t="s">
        <v>6</v>
      </c>
      <c r="B4" s="14" t="s">
        <v>774</v>
      </c>
      <c r="C4" s="13"/>
      <c r="D4" s="32" t="s">
        <v>1555</v>
      </c>
      <c r="E4" s="13" t="s">
        <v>183</v>
      </c>
      <c r="F4" s="4"/>
      <c r="G4" s="13" t="s">
        <v>8140</v>
      </c>
      <c r="H4" s="14">
        <v>43585</v>
      </c>
      <c r="I4" s="4" t="s">
        <v>118</v>
      </c>
      <c r="J4" s="21" t="s">
        <v>771</v>
      </c>
      <c r="K4" s="116"/>
      <c r="L4" s="116"/>
      <c r="M4" s="116"/>
      <c r="N4" s="116"/>
      <c r="O4" s="117"/>
      <c r="P4" s="117"/>
      <c r="Q4" s="117"/>
      <c r="R4" s="117"/>
      <c r="S4" s="117"/>
    </row>
    <row r="5" spans="1:19" x14ac:dyDescent="0.25">
      <c r="A5" s="13" t="s">
        <v>6</v>
      </c>
      <c r="B5" s="14"/>
      <c r="C5" s="13"/>
      <c r="D5" s="13" t="s">
        <v>1678</v>
      </c>
      <c r="E5" s="13" t="s">
        <v>183</v>
      </c>
      <c r="F5" s="4"/>
      <c r="G5" s="29" t="s">
        <v>4392</v>
      </c>
      <c r="H5" s="14">
        <v>43497</v>
      </c>
      <c r="I5" s="4" t="s">
        <v>4393</v>
      </c>
    </row>
    <row r="6" spans="1:19" x14ac:dyDescent="0.25">
      <c r="A6" s="13" t="s">
        <v>6</v>
      </c>
      <c r="B6" s="14"/>
      <c r="C6" s="13"/>
      <c r="D6" s="13" t="s">
        <v>8768</v>
      </c>
      <c r="E6" s="13" t="s">
        <v>183</v>
      </c>
      <c r="F6" s="4"/>
      <c r="G6" s="29" t="s">
        <v>8769</v>
      </c>
      <c r="H6" s="14">
        <v>43621</v>
      </c>
      <c r="I6" s="4" t="s">
        <v>8770</v>
      </c>
    </row>
    <row r="7" spans="1:19" x14ac:dyDescent="0.25">
      <c r="A7" s="13" t="s">
        <v>6</v>
      </c>
      <c r="B7" s="14"/>
      <c r="C7" s="13"/>
      <c r="D7" s="13" t="s">
        <v>4170</v>
      </c>
      <c r="E7" s="13" t="s">
        <v>183</v>
      </c>
      <c r="F7" s="4"/>
      <c r="G7" s="29" t="s">
        <v>2963</v>
      </c>
      <c r="H7" s="14">
        <v>43509</v>
      </c>
      <c r="I7" s="4" t="s">
        <v>4171</v>
      </c>
    </row>
    <row r="8" spans="1:19" ht="27.6" x14ac:dyDescent="0.25">
      <c r="A8" s="13" t="s">
        <v>6</v>
      </c>
      <c r="B8" s="14"/>
      <c r="C8" s="13"/>
      <c r="D8" s="13" t="s">
        <v>1526</v>
      </c>
      <c r="E8" s="13" t="s">
        <v>183</v>
      </c>
      <c r="F8" s="4"/>
      <c r="G8" s="29" t="s">
        <v>6701</v>
      </c>
      <c r="H8" s="14">
        <v>43553</v>
      </c>
      <c r="I8" s="4" t="s">
        <v>6702</v>
      </c>
    </row>
    <row r="9" spans="1:19" ht="15" customHeight="1" x14ac:dyDescent="0.25">
      <c r="A9" s="13" t="s">
        <v>6</v>
      </c>
      <c r="B9" s="14"/>
      <c r="C9" s="13"/>
      <c r="D9" s="13" t="s">
        <v>1416</v>
      </c>
      <c r="E9" s="13" t="s">
        <v>183</v>
      </c>
      <c r="F9" s="4"/>
      <c r="G9" s="29" t="s">
        <v>1713</v>
      </c>
      <c r="H9" s="14">
        <v>43280</v>
      </c>
      <c r="I9" s="4" t="s">
        <v>1714</v>
      </c>
    </row>
    <row r="10" spans="1:19" ht="15" customHeight="1" x14ac:dyDescent="0.25">
      <c r="A10" s="13" t="s">
        <v>6</v>
      </c>
      <c r="B10" s="14"/>
      <c r="C10" s="13"/>
      <c r="D10" s="13" t="s">
        <v>1416</v>
      </c>
      <c r="E10" s="13" t="s">
        <v>183</v>
      </c>
      <c r="F10" s="4"/>
      <c r="G10" s="29" t="s">
        <v>3508</v>
      </c>
      <c r="H10" s="14">
        <v>43461</v>
      </c>
      <c r="I10" s="4" t="s">
        <v>398</v>
      </c>
      <c r="J10" s="341" t="s">
        <v>327</v>
      </c>
    </row>
    <row r="11" spans="1:19" ht="15" customHeight="1" x14ac:dyDescent="0.25">
      <c r="A11" s="13" t="s">
        <v>6</v>
      </c>
      <c r="B11" s="14"/>
      <c r="C11" s="13"/>
      <c r="D11" s="13" t="s">
        <v>1416</v>
      </c>
      <c r="E11" s="13" t="s">
        <v>183</v>
      </c>
      <c r="F11" s="4"/>
      <c r="G11" s="29" t="s">
        <v>8236</v>
      </c>
      <c r="H11" s="14">
        <v>43612</v>
      </c>
      <c r="I11" s="4" t="s">
        <v>1417</v>
      </c>
      <c r="J11" s="341" t="s">
        <v>526</v>
      </c>
    </row>
    <row r="12" spans="1:19" ht="15" customHeight="1" x14ac:dyDescent="0.25">
      <c r="A12" s="13" t="s">
        <v>6</v>
      </c>
      <c r="B12" s="14"/>
      <c r="C12" s="13"/>
      <c r="D12" s="13" t="s">
        <v>1391</v>
      </c>
      <c r="E12" s="13" t="s">
        <v>183</v>
      </c>
      <c r="F12" s="4"/>
      <c r="G12" s="29" t="s">
        <v>1666</v>
      </c>
      <c r="H12" s="14">
        <v>43260</v>
      </c>
      <c r="I12" s="4" t="s">
        <v>1437</v>
      </c>
    </row>
    <row r="13" spans="1:19" ht="15" customHeight="1" x14ac:dyDescent="0.25">
      <c r="A13" s="13" t="s">
        <v>6</v>
      </c>
      <c r="B13" s="14"/>
      <c r="C13" s="13"/>
      <c r="D13" s="13" t="s">
        <v>1438</v>
      </c>
      <c r="E13" s="13" t="s">
        <v>183</v>
      </c>
      <c r="F13" s="4"/>
      <c r="G13" s="29" t="s">
        <v>8237</v>
      </c>
      <c r="H13" s="14">
        <v>43612</v>
      </c>
      <c r="I13" s="4" t="s">
        <v>1439</v>
      </c>
    </row>
    <row r="14" spans="1:19" s="115" customFormat="1" ht="15.6" x14ac:dyDescent="0.25">
      <c r="A14" s="32" t="s">
        <v>6</v>
      </c>
      <c r="B14" s="14"/>
      <c r="C14" s="13"/>
      <c r="D14" s="32" t="s">
        <v>3055</v>
      </c>
      <c r="E14" s="13" t="s">
        <v>183</v>
      </c>
      <c r="F14" s="4"/>
      <c r="G14" s="13">
        <v>267103</v>
      </c>
      <c r="H14" s="14">
        <v>43577</v>
      </c>
      <c r="I14" s="4" t="s">
        <v>7202</v>
      </c>
      <c r="J14" s="258"/>
      <c r="K14" s="116"/>
      <c r="L14" s="116"/>
      <c r="M14" s="116"/>
      <c r="N14" s="116"/>
      <c r="O14" s="117"/>
      <c r="P14" s="117"/>
      <c r="Q14" s="117"/>
      <c r="R14" s="117"/>
      <c r="S14" s="117"/>
    </row>
    <row r="15" spans="1:19" s="115" customFormat="1" ht="27.6" x14ac:dyDescent="0.25">
      <c r="A15" s="32" t="s">
        <v>6</v>
      </c>
      <c r="B15" s="14"/>
      <c r="C15" s="13"/>
      <c r="D15" s="32" t="s">
        <v>1657</v>
      </c>
      <c r="E15" s="13" t="s">
        <v>183</v>
      </c>
      <c r="F15" s="4"/>
      <c r="G15" s="13" t="s">
        <v>8354</v>
      </c>
      <c r="H15" s="14">
        <v>43616</v>
      </c>
      <c r="I15" s="4" t="s">
        <v>1582</v>
      </c>
      <c r="J15" s="258"/>
      <c r="K15" s="116"/>
      <c r="L15" s="116"/>
      <c r="M15" s="116"/>
      <c r="N15" s="116"/>
      <c r="O15" s="117"/>
      <c r="P15" s="117"/>
      <c r="Q15" s="117"/>
      <c r="R15" s="117"/>
      <c r="S15" s="117"/>
    </row>
    <row r="16" spans="1:19" ht="15" customHeight="1" x14ac:dyDescent="0.25">
      <c r="A16" s="61" t="s">
        <v>6</v>
      </c>
      <c r="B16" s="14"/>
      <c r="C16" s="13"/>
      <c r="D16" s="13" t="s">
        <v>9027</v>
      </c>
      <c r="E16" s="13" t="s">
        <v>183</v>
      </c>
      <c r="F16" s="4"/>
      <c r="G16" s="29" t="s">
        <v>9028</v>
      </c>
      <c r="H16" s="14">
        <v>43633</v>
      </c>
      <c r="I16" s="4" t="s">
        <v>9029</v>
      </c>
    </row>
    <row r="17" spans="1:12" ht="15" customHeight="1" x14ac:dyDescent="0.25">
      <c r="A17" s="61" t="s">
        <v>6</v>
      </c>
      <c r="B17" s="14"/>
      <c r="C17" s="13"/>
      <c r="D17" s="13" t="s">
        <v>225</v>
      </c>
      <c r="E17" s="13" t="s">
        <v>183</v>
      </c>
      <c r="F17" s="4"/>
      <c r="G17" s="29" t="s">
        <v>8449</v>
      </c>
      <c r="H17" s="14">
        <v>43616</v>
      </c>
      <c r="I17" s="4" t="s">
        <v>1441</v>
      </c>
      <c r="J17" s="341" t="s">
        <v>526</v>
      </c>
    </row>
    <row r="18" spans="1:12" x14ac:dyDescent="0.25">
      <c r="A18" s="13" t="s">
        <v>6</v>
      </c>
      <c r="B18" s="14"/>
      <c r="C18" s="13"/>
      <c r="D18" s="13" t="s">
        <v>585</v>
      </c>
      <c r="E18" s="13" t="s">
        <v>183</v>
      </c>
      <c r="F18" s="4"/>
      <c r="G18" s="28" t="s">
        <v>8929</v>
      </c>
      <c r="H18" s="14">
        <v>43626</v>
      </c>
      <c r="I18" s="4" t="s">
        <v>1</v>
      </c>
    </row>
    <row r="19" spans="1:12" ht="27.6" x14ac:dyDescent="0.25">
      <c r="A19" s="13" t="s">
        <v>6</v>
      </c>
      <c r="B19" s="14"/>
      <c r="C19" s="13"/>
      <c r="D19" s="13" t="s">
        <v>9340</v>
      </c>
      <c r="E19" s="13" t="s">
        <v>183</v>
      </c>
      <c r="F19" s="4"/>
      <c r="G19" s="28" t="s">
        <v>9341</v>
      </c>
      <c r="H19" s="14">
        <v>43635</v>
      </c>
      <c r="I19" s="4" t="s">
        <v>9342</v>
      </c>
    </row>
    <row r="20" spans="1:12" ht="15" customHeight="1" x14ac:dyDescent="0.25">
      <c r="A20" s="13" t="s">
        <v>6</v>
      </c>
      <c r="B20" s="14"/>
      <c r="C20" s="13"/>
      <c r="D20" s="13" t="s">
        <v>568</v>
      </c>
      <c r="E20" s="13" t="s">
        <v>183</v>
      </c>
      <c r="F20" s="4"/>
      <c r="G20" s="29" t="s">
        <v>8306</v>
      </c>
      <c r="H20" s="14">
        <v>43600</v>
      </c>
      <c r="I20" s="4" t="s">
        <v>8307</v>
      </c>
    </row>
    <row r="21" spans="1:12" ht="15" customHeight="1" x14ac:dyDescent="0.25">
      <c r="A21" s="13" t="s">
        <v>6</v>
      </c>
      <c r="B21" s="14"/>
      <c r="C21" s="13"/>
      <c r="D21" s="13" t="s">
        <v>2073</v>
      </c>
      <c r="E21" s="13" t="s">
        <v>183</v>
      </c>
      <c r="F21" s="4"/>
      <c r="G21" s="29" t="s">
        <v>2074</v>
      </c>
      <c r="H21" s="14">
        <v>43406</v>
      </c>
      <c r="I21" s="4" t="s">
        <v>641</v>
      </c>
    </row>
    <row r="22" spans="1:12" ht="15" customHeight="1" x14ac:dyDescent="0.25">
      <c r="A22" s="13" t="s">
        <v>6</v>
      </c>
      <c r="B22" s="14"/>
      <c r="C22" s="13"/>
      <c r="D22" s="13" t="s">
        <v>464</v>
      </c>
      <c r="E22" s="13" t="s">
        <v>183</v>
      </c>
      <c r="F22" s="4"/>
      <c r="G22" s="29" t="s">
        <v>878</v>
      </c>
      <c r="H22" s="14">
        <v>43609</v>
      </c>
      <c r="I22" s="4" t="s">
        <v>4815</v>
      </c>
    </row>
    <row r="23" spans="1:12" s="97" customFormat="1" x14ac:dyDescent="0.25">
      <c r="A23" s="13" t="s">
        <v>6</v>
      </c>
      <c r="B23" s="14"/>
      <c r="C23" s="67"/>
      <c r="D23" s="13" t="s">
        <v>776</v>
      </c>
      <c r="E23" s="13" t="s">
        <v>183</v>
      </c>
      <c r="F23" s="4"/>
      <c r="G23" s="29" t="s">
        <v>476</v>
      </c>
      <c r="H23" s="14">
        <v>43612</v>
      </c>
      <c r="I23" s="4" t="s">
        <v>7200</v>
      </c>
      <c r="J23" s="22"/>
      <c r="K23" s="22"/>
      <c r="L23" s="134"/>
    </row>
    <row r="24" spans="1:12" ht="15" customHeight="1" x14ac:dyDescent="0.25">
      <c r="A24" s="13" t="s">
        <v>6</v>
      </c>
      <c r="B24" s="14"/>
      <c r="C24" s="13"/>
      <c r="D24" s="13" t="s">
        <v>258</v>
      </c>
      <c r="E24" s="13" t="s">
        <v>183</v>
      </c>
      <c r="F24" s="4"/>
      <c r="G24" s="29" t="s">
        <v>4369</v>
      </c>
      <c r="H24" s="14">
        <v>43566</v>
      </c>
      <c r="I24" s="4" t="s">
        <v>187</v>
      </c>
    </row>
    <row r="25" spans="1:12" ht="15" customHeight="1" x14ac:dyDescent="0.25">
      <c r="A25" s="13" t="s">
        <v>6</v>
      </c>
      <c r="B25" s="14"/>
      <c r="C25" s="13"/>
      <c r="D25" s="13" t="s">
        <v>3261</v>
      </c>
      <c r="E25" s="13" t="s">
        <v>183</v>
      </c>
      <c r="F25" s="4"/>
      <c r="G25" s="29" t="s">
        <v>6933</v>
      </c>
      <c r="H25" s="14">
        <v>43572</v>
      </c>
      <c r="I25" s="4" t="s">
        <v>187</v>
      </c>
    </row>
    <row r="26" spans="1:12" s="97" customFormat="1" x14ac:dyDescent="0.25">
      <c r="A26" s="13" t="s">
        <v>6</v>
      </c>
      <c r="B26" s="14"/>
      <c r="C26" s="67"/>
      <c r="D26" s="13" t="s">
        <v>1572</v>
      </c>
      <c r="E26" s="13" t="s">
        <v>183</v>
      </c>
      <c r="F26" s="4"/>
      <c r="G26" s="29" t="s">
        <v>9338</v>
      </c>
      <c r="H26" s="14">
        <v>43634</v>
      </c>
      <c r="I26" s="4" t="s">
        <v>1573</v>
      </c>
      <c r="J26" s="22"/>
      <c r="K26" s="22"/>
      <c r="L26" s="134"/>
    </row>
    <row r="27" spans="1:12" s="97" customFormat="1" x14ac:dyDescent="0.25">
      <c r="A27" s="13" t="s">
        <v>6</v>
      </c>
      <c r="B27" s="14"/>
      <c r="C27" s="67"/>
      <c r="D27" s="13" t="s">
        <v>2050</v>
      </c>
      <c r="E27" s="13" t="s">
        <v>183</v>
      </c>
      <c r="F27" s="4"/>
      <c r="G27" s="29" t="s">
        <v>7528</v>
      </c>
      <c r="H27" s="14">
        <v>43615</v>
      </c>
      <c r="I27" s="4" t="s">
        <v>1251</v>
      </c>
      <c r="J27" s="22" t="s">
        <v>1386</v>
      </c>
      <c r="K27" s="22"/>
      <c r="L27" s="134"/>
    </row>
    <row r="28" spans="1:12" s="97" customFormat="1" ht="27.6" x14ac:dyDescent="0.25">
      <c r="A28" s="13" t="s">
        <v>6</v>
      </c>
      <c r="B28" s="14"/>
      <c r="C28" s="67"/>
      <c r="D28" s="13" t="s">
        <v>1071</v>
      </c>
      <c r="E28" s="13" t="s">
        <v>183</v>
      </c>
      <c r="F28" s="4"/>
      <c r="G28" s="29" t="s">
        <v>1072</v>
      </c>
      <c r="H28" s="14">
        <v>43599</v>
      </c>
      <c r="I28" s="4" t="s">
        <v>1073</v>
      </c>
      <c r="J28" s="22"/>
      <c r="K28" s="22"/>
      <c r="L28" s="134"/>
    </row>
    <row r="29" spans="1:12" ht="27.6" x14ac:dyDescent="0.25">
      <c r="A29" s="61" t="s">
        <v>6</v>
      </c>
      <c r="B29" s="14"/>
      <c r="C29" s="13"/>
      <c r="D29" s="32" t="s">
        <v>3014</v>
      </c>
      <c r="E29" s="13" t="s">
        <v>183</v>
      </c>
      <c r="F29" s="4"/>
      <c r="G29" s="29" t="s">
        <v>4390</v>
      </c>
      <c r="H29" s="14">
        <v>43516</v>
      </c>
      <c r="I29" s="4" t="s">
        <v>3016</v>
      </c>
    </row>
    <row r="30" spans="1:12" x14ac:dyDescent="0.25">
      <c r="A30" s="61" t="s">
        <v>6</v>
      </c>
      <c r="B30" s="14"/>
      <c r="C30" s="13"/>
      <c r="D30" s="32" t="s">
        <v>3455</v>
      </c>
      <c r="E30" s="13" t="s">
        <v>183</v>
      </c>
      <c r="F30" s="4"/>
      <c r="G30" s="13">
        <v>57</v>
      </c>
      <c r="H30" s="14">
        <v>43543</v>
      </c>
      <c r="I30" s="4" t="s">
        <v>5712</v>
      </c>
    </row>
    <row r="31" spans="1:12" ht="15" customHeight="1" x14ac:dyDescent="0.25">
      <c r="A31" s="61" t="s">
        <v>6</v>
      </c>
      <c r="B31" s="14"/>
      <c r="C31" s="13"/>
      <c r="D31" s="13" t="s">
        <v>545</v>
      </c>
      <c r="E31" s="13" t="s">
        <v>183</v>
      </c>
      <c r="F31" s="4"/>
      <c r="G31" s="29" t="s">
        <v>8498</v>
      </c>
      <c r="H31" s="14">
        <v>43618</v>
      </c>
      <c r="I31" s="4" t="s">
        <v>1366</v>
      </c>
    </row>
    <row r="32" spans="1:12" x14ac:dyDescent="0.25">
      <c r="A32" s="61" t="s">
        <v>6</v>
      </c>
      <c r="B32" s="14"/>
      <c r="C32" s="13"/>
      <c r="D32" s="32" t="s">
        <v>3017</v>
      </c>
      <c r="E32" s="13" t="s">
        <v>183</v>
      </c>
      <c r="F32" s="4"/>
      <c r="G32" s="13" t="s">
        <v>4001</v>
      </c>
      <c r="H32" s="14">
        <v>43503</v>
      </c>
      <c r="I32" s="4" t="s">
        <v>3018</v>
      </c>
    </row>
    <row r="33" spans="1:17" s="228" customFormat="1" ht="27.6" x14ac:dyDescent="0.25">
      <c r="A33" s="61" t="s">
        <v>6</v>
      </c>
      <c r="B33" s="14"/>
      <c r="C33" s="13"/>
      <c r="D33" s="13" t="s">
        <v>1708</v>
      </c>
      <c r="E33" s="13" t="s">
        <v>183</v>
      </c>
      <c r="F33" s="37"/>
      <c r="G33" s="29" t="s">
        <v>111</v>
      </c>
      <c r="H33" s="14">
        <v>43552</v>
      </c>
      <c r="I33" s="4" t="s">
        <v>6307</v>
      </c>
      <c r="J33" s="71"/>
      <c r="K33" s="62"/>
      <c r="L33" s="62"/>
      <c r="M33" s="35"/>
      <c r="N33" s="35"/>
      <c r="O33" s="35"/>
      <c r="P33" s="35"/>
      <c r="Q33" s="35"/>
    </row>
    <row r="34" spans="1:17" x14ac:dyDescent="0.25">
      <c r="A34" s="13" t="s">
        <v>6</v>
      </c>
      <c r="B34" s="14"/>
      <c r="C34" s="13" t="s">
        <v>1669</v>
      </c>
      <c r="D34" s="32" t="s">
        <v>5714</v>
      </c>
      <c r="E34" s="13" t="s">
        <v>183</v>
      </c>
      <c r="F34" s="299"/>
      <c r="G34" s="29" t="s">
        <v>1304</v>
      </c>
      <c r="H34" s="14">
        <v>43543</v>
      </c>
      <c r="I34" s="4" t="s">
        <v>5715</v>
      </c>
    </row>
    <row r="35" spans="1:17" x14ac:dyDescent="0.25">
      <c r="A35" s="13" t="s">
        <v>6</v>
      </c>
      <c r="B35" s="14"/>
      <c r="C35" s="13" t="s">
        <v>1669</v>
      </c>
      <c r="D35" s="32" t="s">
        <v>3019</v>
      </c>
      <c r="E35" s="13" t="s">
        <v>183</v>
      </c>
      <c r="F35" s="299"/>
      <c r="G35" s="29" t="s">
        <v>8931</v>
      </c>
      <c r="H35" s="14">
        <v>43626</v>
      </c>
      <c r="I35" s="4" t="s">
        <v>8932</v>
      </c>
    </row>
    <row r="36" spans="1:17" x14ac:dyDescent="0.25">
      <c r="A36" s="61" t="s">
        <v>6</v>
      </c>
      <c r="B36" s="14"/>
      <c r="C36" s="13"/>
      <c r="D36" s="32" t="s">
        <v>5716</v>
      </c>
      <c r="E36" s="13" t="s">
        <v>183</v>
      </c>
      <c r="F36" s="4"/>
      <c r="G36" s="29" t="s">
        <v>5717</v>
      </c>
      <c r="H36" s="14">
        <v>43545</v>
      </c>
      <c r="I36" s="4" t="s">
        <v>5718</v>
      </c>
    </row>
    <row r="37" spans="1:17" ht="15" customHeight="1" x14ac:dyDescent="0.25">
      <c r="A37" s="13" t="s">
        <v>6</v>
      </c>
      <c r="B37" s="14"/>
      <c r="C37" s="13"/>
      <c r="D37" s="13" t="s">
        <v>3103</v>
      </c>
      <c r="E37" s="13" t="s">
        <v>183</v>
      </c>
      <c r="F37" s="4"/>
      <c r="G37" s="29" t="s">
        <v>1495</v>
      </c>
      <c r="H37" s="14">
        <v>43566</v>
      </c>
      <c r="I37" s="4" t="s">
        <v>6602</v>
      </c>
    </row>
    <row r="38" spans="1:17" x14ac:dyDescent="0.25">
      <c r="A38" s="61" t="s">
        <v>6</v>
      </c>
      <c r="B38" s="14"/>
      <c r="C38" s="13"/>
      <c r="D38" s="32" t="s">
        <v>5745</v>
      </c>
      <c r="E38" s="13" t="s">
        <v>183</v>
      </c>
      <c r="F38" s="4"/>
      <c r="G38" s="29" t="s">
        <v>3228</v>
      </c>
      <c r="H38" s="14">
        <v>43545</v>
      </c>
      <c r="I38" s="4" t="s">
        <v>5746</v>
      </c>
    </row>
    <row r="39" spans="1:17" x14ac:dyDescent="0.25">
      <c r="A39" s="61" t="s">
        <v>6</v>
      </c>
      <c r="B39" s="14"/>
      <c r="C39" s="13"/>
      <c r="D39" s="32" t="s">
        <v>902</v>
      </c>
      <c r="E39" s="13" t="s">
        <v>183</v>
      </c>
      <c r="F39" s="4"/>
      <c r="G39" s="29" t="s">
        <v>9337</v>
      </c>
      <c r="H39" s="14">
        <v>43634</v>
      </c>
      <c r="I39" s="4" t="s">
        <v>1067</v>
      </c>
    </row>
    <row r="40" spans="1:17" x14ac:dyDescent="0.25">
      <c r="A40" s="61" t="s">
        <v>6</v>
      </c>
      <c r="B40" s="14"/>
      <c r="C40" s="13"/>
      <c r="D40" s="32" t="s">
        <v>1802</v>
      </c>
      <c r="E40" s="13" t="s">
        <v>183</v>
      </c>
      <c r="F40" s="4"/>
      <c r="G40" s="29" t="s">
        <v>1803</v>
      </c>
      <c r="H40" s="14">
        <v>43314</v>
      </c>
      <c r="I40" s="4" t="s">
        <v>1804</v>
      </c>
    </row>
    <row r="41" spans="1:17" x14ac:dyDescent="0.25">
      <c r="A41" s="61" t="s">
        <v>6</v>
      </c>
      <c r="B41" s="14"/>
      <c r="C41" s="13"/>
      <c r="D41" s="32" t="s">
        <v>1882</v>
      </c>
      <c r="E41" s="13" t="s">
        <v>183</v>
      </c>
      <c r="F41" s="4"/>
      <c r="G41" s="29" t="s">
        <v>3316</v>
      </c>
      <c r="H41" s="14">
        <v>43530</v>
      </c>
      <c r="I41" s="4" t="s">
        <v>246</v>
      </c>
    </row>
    <row r="42" spans="1:17" x14ac:dyDescent="0.25">
      <c r="A42" s="61" t="s">
        <v>6</v>
      </c>
      <c r="B42" s="14"/>
      <c r="C42" s="13"/>
      <c r="D42" s="32" t="s">
        <v>3901</v>
      </c>
      <c r="E42" s="13" t="s">
        <v>183</v>
      </c>
      <c r="F42" s="4"/>
      <c r="G42" s="29" t="s">
        <v>8771</v>
      </c>
      <c r="H42" s="14">
        <v>43615</v>
      </c>
      <c r="I42" s="4" t="s">
        <v>8772</v>
      </c>
    </row>
    <row r="43" spans="1:17" ht="15" customHeight="1" x14ac:dyDescent="0.25">
      <c r="A43" s="13" t="s">
        <v>6</v>
      </c>
      <c r="B43" s="14"/>
      <c r="C43" s="13"/>
      <c r="D43" s="13" t="s">
        <v>4751</v>
      </c>
      <c r="E43" s="13" t="s">
        <v>183</v>
      </c>
      <c r="F43" s="4"/>
      <c r="G43" s="29" t="s">
        <v>3890</v>
      </c>
      <c r="H43" s="14">
        <v>43524</v>
      </c>
      <c r="I43" s="4" t="s">
        <v>1957</v>
      </c>
    </row>
    <row r="44" spans="1:17" ht="15" customHeight="1" x14ac:dyDescent="0.25">
      <c r="A44" s="13" t="s">
        <v>6</v>
      </c>
      <c r="B44" s="14"/>
      <c r="C44" s="13"/>
      <c r="D44" s="13" t="s">
        <v>1958</v>
      </c>
      <c r="E44" s="13" t="s">
        <v>183</v>
      </c>
      <c r="F44" s="4"/>
      <c r="G44" s="29" t="s">
        <v>3390</v>
      </c>
      <c r="H44" s="14">
        <v>43511</v>
      </c>
      <c r="I44" s="4" t="s">
        <v>4534</v>
      </c>
    </row>
    <row r="45" spans="1:17" ht="16.8" customHeight="1" x14ac:dyDescent="0.25">
      <c r="A45" s="13" t="s">
        <v>6</v>
      </c>
      <c r="B45" s="14"/>
      <c r="C45" s="13"/>
      <c r="D45" s="13" t="s">
        <v>3905</v>
      </c>
      <c r="E45" s="13" t="s">
        <v>183</v>
      </c>
      <c r="F45" s="4"/>
      <c r="G45" s="29" t="s">
        <v>8309</v>
      </c>
      <c r="H45" s="14">
        <v>43613</v>
      </c>
      <c r="I45" s="4" t="s">
        <v>8310</v>
      </c>
    </row>
    <row r="46" spans="1:17" ht="27.6" x14ac:dyDescent="0.25">
      <c r="A46" s="13" t="s">
        <v>6</v>
      </c>
      <c r="B46" s="14"/>
      <c r="C46" s="13"/>
      <c r="D46" s="13" t="s">
        <v>1814</v>
      </c>
      <c r="E46" s="13" t="s">
        <v>183</v>
      </c>
      <c r="F46" s="4"/>
      <c r="G46" s="29" t="s">
        <v>1158</v>
      </c>
      <c r="H46" s="14">
        <v>43529</v>
      </c>
      <c r="I46" s="4" t="s">
        <v>5160</v>
      </c>
    </row>
    <row r="47" spans="1:17" ht="15" customHeight="1" x14ac:dyDescent="0.25">
      <c r="A47" s="13" t="s">
        <v>6</v>
      </c>
      <c r="B47" s="14"/>
      <c r="C47" s="13"/>
      <c r="D47" s="13" t="s">
        <v>1591</v>
      </c>
      <c r="E47" s="13" t="s">
        <v>183</v>
      </c>
      <c r="F47" s="4"/>
      <c r="G47" s="29" t="s">
        <v>9025</v>
      </c>
      <c r="H47" s="14">
        <v>43630</v>
      </c>
      <c r="I47" s="4" t="s">
        <v>9026</v>
      </c>
    </row>
    <row r="48" spans="1:17" ht="15" customHeight="1" x14ac:dyDescent="0.25">
      <c r="A48" s="13" t="s">
        <v>6</v>
      </c>
      <c r="B48" s="14"/>
      <c r="C48" s="13"/>
      <c r="D48" s="13" t="s">
        <v>5810</v>
      </c>
      <c r="E48" s="13" t="s">
        <v>183</v>
      </c>
      <c r="F48" s="4"/>
      <c r="G48" s="29" t="s">
        <v>3432</v>
      </c>
      <c r="H48" s="14">
        <v>43546</v>
      </c>
      <c r="I48" s="4" t="s">
        <v>5811</v>
      </c>
    </row>
    <row r="49" spans="1:9" ht="15" customHeight="1" x14ac:dyDescent="0.25">
      <c r="A49" s="13" t="s">
        <v>6</v>
      </c>
      <c r="B49" s="14"/>
      <c r="C49" s="13"/>
      <c r="D49" s="13" t="s">
        <v>1499</v>
      </c>
      <c r="E49" s="13" t="s">
        <v>183</v>
      </c>
      <c r="F49" s="4"/>
      <c r="G49" s="29" t="s">
        <v>375</v>
      </c>
      <c r="H49" s="14">
        <v>43574</v>
      </c>
      <c r="I49" s="4" t="s">
        <v>344</v>
      </c>
    </row>
    <row r="50" spans="1:9" ht="15" customHeight="1" x14ac:dyDescent="0.25">
      <c r="A50" s="13" t="s">
        <v>6</v>
      </c>
      <c r="B50" s="14"/>
      <c r="C50" s="13"/>
      <c r="D50" s="13" t="s">
        <v>2331</v>
      </c>
      <c r="E50" s="13" t="s">
        <v>183</v>
      </c>
      <c r="F50" s="4"/>
      <c r="G50" s="29" t="s">
        <v>1404</v>
      </c>
      <c r="H50" s="14">
        <v>43440</v>
      </c>
      <c r="I50" s="4" t="s">
        <v>2332</v>
      </c>
    </row>
    <row r="51" spans="1:9" ht="15" customHeight="1" x14ac:dyDescent="0.25">
      <c r="A51" s="13" t="s">
        <v>6</v>
      </c>
      <c r="B51" s="14"/>
      <c r="C51" s="13"/>
      <c r="D51" s="13" t="s">
        <v>2051</v>
      </c>
      <c r="E51" s="13" t="s">
        <v>183</v>
      </c>
      <c r="F51" s="4"/>
      <c r="G51" s="29" t="s">
        <v>6613</v>
      </c>
      <c r="H51" s="14">
        <v>43566</v>
      </c>
      <c r="I51" s="4" t="s">
        <v>2052</v>
      </c>
    </row>
    <row r="52" spans="1:9" ht="15" customHeight="1" x14ac:dyDescent="0.25">
      <c r="A52" s="13" t="s">
        <v>6</v>
      </c>
      <c r="B52" s="14"/>
      <c r="C52" s="13"/>
      <c r="D52" s="13" t="s">
        <v>4386</v>
      </c>
      <c r="E52" s="13" t="s">
        <v>183</v>
      </c>
      <c r="F52" s="4"/>
      <c r="G52" s="29" t="s">
        <v>4</v>
      </c>
      <c r="H52" s="14">
        <v>43514</v>
      </c>
      <c r="I52" s="4" t="s">
        <v>4387</v>
      </c>
    </row>
    <row r="53" spans="1:9" ht="15" customHeight="1" x14ac:dyDescent="0.25">
      <c r="A53" s="13" t="s">
        <v>6</v>
      </c>
      <c r="B53" s="14"/>
      <c r="C53" s="13"/>
      <c r="D53" s="13" t="s">
        <v>1828</v>
      </c>
      <c r="E53" s="13" t="s">
        <v>183</v>
      </c>
      <c r="F53" s="4"/>
      <c r="G53" s="29" t="s">
        <v>86</v>
      </c>
      <c r="H53" s="14">
        <v>43458</v>
      </c>
      <c r="I53" s="4" t="s">
        <v>2762</v>
      </c>
    </row>
    <row r="54" spans="1:9" ht="15" customHeight="1" x14ac:dyDescent="0.25">
      <c r="A54" s="13" t="s">
        <v>6</v>
      </c>
      <c r="B54" s="14"/>
      <c r="C54" s="13"/>
      <c r="D54" s="13" t="s">
        <v>1394</v>
      </c>
      <c r="E54" s="13" t="s">
        <v>183</v>
      </c>
      <c r="F54" s="4"/>
      <c r="G54" s="29" t="s">
        <v>5527</v>
      </c>
      <c r="H54" s="14">
        <v>43637</v>
      </c>
      <c r="I54" s="4" t="s">
        <v>9339</v>
      </c>
    </row>
    <row r="55" spans="1:9" ht="15" customHeight="1" x14ac:dyDescent="0.25">
      <c r="A55" s="13" t="s">
        <v>6</v>
      </c>
      <c r="B55" s="14"/>
      <c r="C55" s="13"/>
      <c r="D55" s="13" t="s">
        <v>1394</v>
      </c>
      <c r="E55" s="13" t="s">
        <v>183</v>
      </c>
      <c r="F55" s="4"/>
      <c r="G55" s="29" t="s">
        <v>5200</v>
      </c>
      <c r="H55" s="14">
        <v>43621</v>
      </c>
      <c r="I55" s="4" t="s">
        <v>7987</v>
      </c>
    </row>
    <row r="56" spans="1:9" ht="15" customHeight="1" x14ac:dyDescent="0.25">
      <c r="A56" s="13" t="s">
        <v>6</v>
      </c>
      <c r="B56" s="14"/>
      <c r="C56" s="13"/>
      <c r="D56" s="13" t="s">
        <v>1394</v>
      </c>
      <c r="E56" s="13" t="s">
        <v>183</v>
      </c>
      <c r="F56" s="4"/>
      <c r="G56" s="29" t="s">
        <v>1529</v>
      </c>
      <c r="H56" s="14">
        <v>43614</v>
      </c>
      <c r="I56" s="4" t="s">
        <v>4813</v>
      </c>
    </row>
    <row r="57" spans="1:9" ht="15" customHeight="1" x14ac:dyDescent="0.25">
      <c r="A57" s="13" t="s">
        <v>6</v>
      </c>
      <c r="B57" s="14"/>
      <c r="C57" s="13"/>
      <c r="D57" s="13" t="s">
        <v>6699</v>
      </c>
      <c r="E57" s="13" t="s">
        <v>183</v>
      </c>
      <c r="F57" s="4"/>
      <c r="G57" s="29" t="s">
        <v>7204</v>
      </c>
      <c r="H57" s="14">
        <v>43570</v>
      </c>
      <c r="I57" s="4" t="s">
        <v>7205</v>
      </c>
    </row>
    <row r="58" spans="1:9" ht="15" customHeight="1" x14ac:dyDescent="0.25">
      <c r="A58" s="13" t="s">
        <v>6</v>
      </c>
      <c r="B58" s="14"/>
      <c r="C58" s="13"/>
      <c r="D58" s="13" t="s">
        <v>1278</v>
      </c>
      <c r="E58" s="13" t="s">
        <v>183</v>
      </c>
      <c r="F58" s="4"/>
      <c r="G58" s="29" t="s">
        <v>2253</v>
      </c>
      <c r="H58" s="14">
        <v>43439</v>
      </c>
      <c r="I58" s="4" t="s">
        <v>1279</v>
      </c>
    </row>
    <row r="59" spans="1:9" ht="15" customHeight="1" x14ac:dyDescent="0.25">
      <c r="A59" s="13" t="s">
        <v>6</v>
      </c>
      <c r="B59" s="14"/>
      <c r="C59" s="13"/>
      <c r="D59" s="13" t="s">
        <v>1679</v>
      </c>
      <c r="E59" s="13" t="s">
        <v>183</v>
      </c>
      <c r="F59" s="4"/>
      <c r="G59" s="29" t="s">
        <v>350</v>
      </c>
      <c r="H59" s="14">
        <v>43578</v>
      </c>
      <c r="I59" s="4" t="s">
        <v>6998</v>
      </c>
    </row>
    <row r="60" spans="1:9" ht="15" customHeight="1" x14ac:dyDescent="0.25">
      <c r="A60" s="13" t="s">
        <v>6</v>
      </c>
      <c r="B60" s="14"/>
      <c r="C60" s="13"/>
      <c r="D60" s="13" t="s">
        <v>221</v>
      </c>
      <c r="E60" s="13" t="s">
        <v>183</v>
      </c>
      <c r="F60" s="4"/>
      <c r="G60" s="29" t="s">
        <v>1965</v>
      </c>
      <c r="H60" s="14">
        <v>43374</v>
      </c>
      <c r="I60" s="4" t="s">
        <v>246</v>
      </c>
    </row>
    <row r="61" spans="1:9" x14ac:dyDescent="0.25">
      <c r="A61" s="13" t="s">
        <v>6</v>
      </c>
      <c r="B61" s="14"/>
      <c r="C61" s="13"/>
      <c r="D61" s="13" t="s">
        <v>1190</v>
      </c>
      <c r="E61" s="13" t="s">
        <v>183</v>
      </c>
      <c r="F61" s="4"/>
      <c r="G61" s="29" t="s">
        <v>6885</v>
      </c>
      <c r="H61" s="14">
        <v>43572</v>
      </c>
      <c r="I61" s="4" t="s">
        <v>6886</v>
      </c>
    </row>
    <row r="62" spans="1:9" ht="15" customHeight="1" x14ac:dyDescent="0.25">
      <c r="A62" s="13" t="s">
        <v>6</v>
      </c>
      <c r="B62" s="14"/>
      <c r="C62" s="13"/>
      <c r="D62" s="32" t="s">
        <v>1500</v>
      </c>
      <c r="E62" s="13" t="s">
        <v>183</v>
      </c>
      <c r="F62" s="4"/>
      <c r="G62" s="29" t="s">
        <v>5596</v>
      </c>
      <c r="H62" s="14">
        <v>43553</v>
      </c>
      <c r="I62" s="4" t="s">
        <v>6220</v>
      </c>
    </row>
    <row r="63" spans="1:9" x14ac:dyDescent="0.25">
      <c r="A63" s="13" t="s">
        <v>6</v>
      </c>
      <c r="B63" s="14"/>
      <c r="C63" s="13"/>
      <c r="D63" s="32" t="s">
        <v>94</v>
      </c>
      <c r="E63" s="13" t="s">
        <v>183</v>
      </c>
      <c r="F63" s="4"/>
      <c r="G63" s="29" t="s">
        <v>7985</v>
      </c>
      <c r="H63" s="14">
        <v>43601</v>
      </c>
      <c r="I63" s="4" t="s">
        <v>7986</v>
      </c>
    </row>
    <row r="64" spans="1:9" ht="15" customHeight="1" x14ac:dyDescent="0.25">
      <c r="A64" s="13" t="s">
        <v>6</v>
      </c>
      <c r="B64" s="14"/>
      <c r="C64" s="13"/>
      <c r="D64" s="13" t="s">
        <v>3100</v>
      </c>
      <c r="E64" s="13" t="s">
        <v>183</v>
      </c>
      <c r="F64" s="4"/>
      <c r="G64" s="29" t="s">
        <v>3101</v>
      </c>
      <c r="H64" s="14">
        <v>43481</v>
      </c>
      <c r="I64" s="4" t="s">
        <v>3102</v>
      </c>
    </row>
    <row r="65" spans="1:9" x14ac:dyDescent="0.25">
      <c r="A65" s="13" t="s">
        <v>6</v>
      </c>
      <c r="B65" s="14"/>
      <c r="C65" s="13"/>
      <c r="D65" s="13" t="s">
        <v>768</v>
      </c>
      <c r="E65" s="13" t="s">
        <v>183</v>
      </c>
      <c r="F65" s="4"/>
      <c r="G65" s="29" t="s">
        <v>2819</v>
      </c>
      <c r="H65" s="14">
        <v>43563</v>
      </c>
      <c r="I65" s="4" t="s">
        <v>6399</v>
      </c>
    </row>
    <row r="66" spans="1:9" ht="15" customHeight="1" x14ac:dyDescent="0.25">
      <c r="A66" s="13" t="s">
        <v>6</v>
      </c>
      <c r="B66" s="14"/>
      <c r="C66" s="13"/>
      <c r="D66" s="13" t="s">
        <v>6423</v>
      </c>
      <c r="E66" s="13" t="s">
        <v>183</v>
      </c>
      <c r="F66" s="4"/>
      <c r="G66" s="29" t="s">
        <v>169</v>
      </c>
      <c r="H66" s="14">
        <v>43565</v>
      </c>
      <c r="I66" s="4" t="s">
        <v>6424</v>
      </c>
    </row>
    <row r="67" spans="1:9" ht="15" customHeight="1" x14ac:dyDescent="0.25">
      <c r="A67" s="13" t="s">
        <v>6</v>
      </c>
      <c r="B67" s="14"/>
      <c r="C67" s="13"/>
      <c r="D67" s="13" t="s">
        <v>9031</v>
      </c>
      <c r="E67" s="13" t="s">
        <v>183</v>
      </c>
      <c r="F67" s="4"/>
      <c r="G67" s="29" t="s">
        <v>5587</v>
      </c>
      <c r="H67" s="14">
        <v>43623</v>
      </c>
      <c r="I67" s="4" t="s">
        <v>9032</v>
      </c>
    </row>
    <row r="68" spans="1:9" x14ac:dyDescent="0.25">
      <c r="A68" s="13" t="s">
        <v>6</v>
      </c>
      <c r="B68" s="14"/>
      <c r="C68" s="13"/>
      <c r="D68" s="13" t="s">
        <v>8766</v>
      </c>
      <c r="E68" s="13" t="s">
        <v>183</v>
      </c>
      <c r="F68" s="4"/>
      <c r="G68" s="29" t="s">
        <v>132</v>
      </c>
      <c r="H68" s="14">
        <v>43619</v>
      </c>
      <c r="I68" s="4" t="s">
        <v>8767</v>
      </c>
    </row>
    <row r="69" spans="1:9" ht="15" customHeight="1" x14ac:dyDescent="0.25">
      <c r="A69" s="13" t="s">
        <v>6</v>
      </c>
      <c r="B69" s="14"/>
      <c r="C69" s="13"/>
      <c r="D69" s="13" t="s">
        <v>1179</v>
      </c>
      <c r="E69" s="13" t="s">
        <v>183</v>
      </c>
      <c r="F69" s="4"/>
      <c r="G69" s="29" t="s">
        <v>4416</v>
      </c>
      <c r="H69" s="14">
        <v>43517</v>
      </c>
      <c r="I69" s="4" t="s">
        <v>4417</v>
      </c>
    </row>
    <row r="70" spans="1:9" ht="15" customHeight="1" x14ac:dyDescent="0.25">
      <c r="A70" s="13" t="s">
        <v>6</v>
      </c>
      <c r="B70" s="14"/>
      <c r="C70" s="13"/>
      <c r="D70" s="13" t="s">
        <v>896</v>
      </c>
      <c r="E70" s="13" t="s">
        <v>183</v>
      </c>
      <c r="F70" s="4"/>
      <c r="G70" s="29" t="s">
        <v>8764</v>
      </c>
      <c r="H70" s="14">
        <v>43607</v>
      </c>
      <c r="I70" s="4" t="s">
        <v>8765</v>
      </c>
    </row>
    <row r="71" spans="1:9" x14ac:dyDescent="0.25">
      <c r="A71" s="13" t="s">
        <v>6</v>
      </c>
      <c r="B71" s="14"/>
      <c r="C71" s="13"/>
      <c r="D71" s="13" t="s">
        <v>7334</v>
      </c>
      <c r="E71" s="13" t="s">
        <v>183</v>
      </c>
      <c r="F71" s="4"/>
      <c r="G71" s="29" t="s">
        <v>766</v>
      </c>
      <c r="H71" s="14">
        <v>43616</v>
      </c>
      <c r="I71" s="4" t="s">
        <v>105</v>
      </c>
    </row>
    <row r="72" spans="1:9" x14ac:dyDescent="0.25">
      <c r="A72" s="13" t="s">
        <v>6</v>
      </c>
      <c r="B72" s="14"/>
      <c r="C72" s="13"/>
      <c r="D72" s="13" t="s">
        <v>743</v>
      </c>
      <c r="E72" s="13" t="s">
        <v>183</v>
      </c>
      <c r="F72" s="4">
        <v>11000</v>
      </c>
      <c r="G72" s="29" t="s">
        <v>9465</v>
      </c>
      <c r="H72" s="14">
        <v>43626</v>
      </c>
      <c r="I72" s="4" t="s">
        <v>165</v>
      </c>
    </row>
    <row r="73" spans="1:9" x14ac:dyDescent="0.25">
      <c r="A73" s="13" t="s">
        <v>6</v>
      </c>
      <c r="B73" s="14"/>
      <c r="C73" s="13"/>
      <c r="D73" s="13" t="s">
        <v>743</v>
      </c>
      <c r="E73" s="13" t="s">
        <v>183</v>
      </c>
      <c r="F73" s="4">
        <v>57000</v>
      </c>
      <c r="G73" s="29" t="s">
        <v>9464</v>
      </c>
      <c r="H73" s="14">
        <v>43635</v>
      </c>
      <c r="I73" s="4" t="s">
        <v>208</v>
      </c>
    </row>
    <row r="74" spans="1:9" x14ac:dyDescent="0.25">
      <c r="A74" s="13" t="s">
        <v>6</v>
      </c>
      <c r="B74" s="14"/>
      <c r="C74" s="13"/>
      <c r="D74" s="13" t="s">
        <v>743</v>
      </c>
      <c r="E74" s="13" t="s">
        <v>183</v>
      </c>
      <c r="F74" s="4">
        <v>119000</v>
      </c>
      <c r="G74" s="29" t="s">
        <v>9463</v>
      </c>
      <c r="H74" s="14">
        <v>43634</v>
      </c>
      <c r="I74" s="4" t="s">
        <v>208</v>
      </c>
    </row>
    <row r="75" spans="1:9" ht="15" customHeight="1" x14ac:dyDescent="0.25">
      <c r="A75" s="13" t="s">
        <v>6</v>
      </c>
      <c r="B75" s="14"/>
      <c r="C75" s="13"/>
      <c r="D75" s="32" t="s">
        <v>8352</v>
      </c>
      <c r="E75" s="13" t="s">
        <v>183</v>
      </c>
      <c r="F75" s="4"/>
      <c r="G75" s="29" t="s">
        <v>8716</v>
      </c>
      <c r="H75" s="14">
        <v>43616</v>
      </c>
      <c r="I75" s="4" t="s">
        <v>263</v>
      </c>
    </row>
    <row r="76" spans="1:9" ht="15" customHeight="1" x14ac:dyDescent="0.25">
      <c r="A76" s="13" t="s">
        <v>6</v>
      </c>
      <c r="B76" s="14"/>
      <c r="C76" s="13"/>
      <c r="D76" s="32" t="s">
        <v>6703</v>
      </c>
      <c r="E76" s="13" t="s">
        <v>183</v>
      </c>
      <c r="F76" s="4"/>
      <c r="G76" s="29" t="s">
        <v>4091</v>
      </c>
      <c r="H76" s="14">
        <v>43616</v>
      </c>
      <c r="I76" s="4" t="s">
        <v>8930</v>
      </c>
    </row>
    <row r="77" spans="1:9" ht="15" customHeight="1" x14ac:dyDescent="0.25">
      <c r="A77" s="13" t="s">
        <v>6</v>
      </c>
      <c r="B77" s="14"/>
      <c r="C77" s="13"/>
      <c r="D77" s="32" t="s">
        <v>7285</v>
      </c>
      <c r="E77" s="13" t="s">
        <v>183</v>
      </c>
      <c r="F77" s="4"/>
      <c r="G77" s="29" t="s">
        <v>8360</v>
      </c>
      <c r="H77" s="14">
        <v>43617</v>
      </c>
      <c r="I77" s="4" t="s">
        <v>7283</v>
      </c>
    </row>
    <row r="78" spans="1:9" ht="15" customHeight="1" x14ac:dyDescent="0.25">
      <c r="A78" s="13" t="s">
        <v>6</v>
      </c>
      <c r="B78" s="14"/>
      <c r="C78" s="13"/>
      <c r="D78" s="13" t="s">
        <v>128</v>
      </c>
      <c r="E78" s="13" t="s">
        <v>183</v>
      </c>
      <c r="F78" s="4"/>
      <c r="G78" s="29" t="s">
        <v>2252</v>
      </c>
      <c r="H78" s="14">
        <v>43434</v>
      </c>
      <c r="I78" s="4" t="s">
        <v>165</v>
      </c>
    </row>
    <row r="79" spans="1:9" ht="15" customHeight="1" x14ac:dyDescent="0.25">
      <c r="A79" s="13" t="s">
        <v>6</v>
      </c>
      <c r="B79" s="14"/>
      <c r="C79" s="13"/>
      <c r="D79" s="32" t="s">
        <v>863</v>
      </c>
      <c r="E79" s="13" t="s">
        <v>183</v>
      </c>
      <c r="F79" s="4"/>
      <c r="G79" s="29" t="s">
        <v>8522</v>
      </c>
      <c r="H79" s="14">
        <v>43615</v>
      </c>
      <c r="I79" s="4" t="s">
        <v>354</v>
      </c>
    </row>
    <row r="80" spans="1:9" x14ac:dyDescent="0.25">
      <c r="A80" s="13" t="s">
        <v>6</v>
      </c>
      <c r="B80" s="14"/>
      <c r="C80" s="13"/>
      <c r="D80" s="32" t="s">
        <v>530</v>
      </c>
      <c r="E80" s="13" t="s">
        <v>183</v>
      </c>
      <c r="F80" s="4"/>
      <c r="G80" s="29" t="s">
        <v>2835</v>
      </c>
      <c r="H80" s="14">
        <v>43629</v>
      </c>
      <c r="I80" s="4" t="s">
        <v>165</v>
      </c>
    </row>
    <row r="81" spans="1:12" x14ac:dyDescent="0.25">
      <c r="A81" s="13" t="s">
        <v>6</v>
      </c>
      <c r="B81" s="14"/>
      <c r="C81" s="13"/>
      <c r="D81" s="32" t="s">
        <v>530</v>
      </c>
      <c r="E81" s="13" t="s">
        <v>183</v>
      </c>
      <c r="F81" s="4"/>
      <c r="G81" s="29" t="s">
        <v>8717</v>
      </c>
      <c r="H81" s="14">
        <v>43613</v>
      </c>
      <c r="I81" s="4" t="s">
        <v>208</v>
      </c>
    </row>
    <row r="82" spans="1:12" ht="15" customHeight="1" x14ac:dyDescent="0.25">
      <c r="A82" s="13" t="s">
        <v>6</v>
      </c>
      <c r="B82" s="14"/>
      <c r="C82" s="13"/>
      <c r="D82" s="32" t="s">
        <v>2104</v>
      </c>
      <c r="E82" s="13" t="s">
        <v>183</v>
      </c>
      <c r="F82" s="4"/>
      <c r="G82" s="29" t="s">
        <v>2105</v>
      </c>
      <c r="H82" s="14">
        <v>43412</v>
      </c>
      <c r="I82" s="4" t="s">
        <v>2106</v>
      </c>
    </row>
    <row r="83" spans="1:12" ht="15" customHeight="1" x14ac:dyDescent="0.25">
      <c r="A83" s="13" t="s">
        <v>6</v>
      </c>
      <c r="B83" s="14"/>
      <c r="C83" s="13"/>
      <c r="D83" s="32" t="s">
        <v>2907</v>
      </c>
      <c r="E83" s="13" t="s">
        <v>183</v>
      </c>
      <c r="F83" s="4"/>
      <c r="G83" s="29" t="s">
        <v>2908</v>
      </c>
      <c r="H83" s="14">
        <v>43452</v>
      </c>
      <c r="I83" s="4" t="s">
        <v>2909</v>
      </c>
      <c r="J83" s="341" t="s">
        <v>327</v>
      </c>
    </row>
    <row r="84" spans="1:12" ht="15" customHeight="1" x14ac:dyDescent="0.25">
      <c r="A84" s="13" t="s">
        <v>6</v>
      </c>
      <c r="B84" s="14"/>
      <c r="C84" s="13"/>
      <c r="D84" s="13" t="s">
        <v>1521</v>
      </c>
      <c r="E84" s="13" t="s">
        <v>183</v>
      </c>
      <c r="F84" s="4"/>
      <c r="G84" s="29" t="s">
        <v>1382</v>
      </c>
      <c r="H84" s="14">
        <v>43216</v>
      </c>
      <c r="I84" s="4" t="s">
        <v>1522</v>
      </c>
    </row>
    <row r="85" spans="1:12" ht="15" customHeight="1" x14ac:dyDescent="0.25">
      <c r="A85" s="13" t="s">
        <v>6</v>
      </c>
      <c r="B85" s="14"/>
      <c r="C85" s="13"/>
      <c r="D85" s="13" t="s">
        <v>4162</v>
      </c>
      <c r="E85" s="13" t="s">
        <v>183</v>
      </c>
      <c r="F85" s="4"/>
      <c r="G85" s="29" t="s">
        <v>5780</v>
      </c>
      <c r="H85" s="14">
        <v>43546</v>
      </c>
      <c r="I85" s="4" t="s">
        <v>5781</v>
      </c>
    </row>
    <row r="86" spans="1:12" s="97" customFormat="1" x14ac:dyDescent="0.25">
      <c r="A86" s="13" t="s">
        <v>6</v>
      </c>
      <c r="B86" s="14"/>
      <c r="C86" s="13"/>
      <c r="D86" s="13" t="s">
        <v>5</v>
      </c>
      <c r="E86" s="13" t="s">
        <v>183</v>
      </c>
      <c r="F86" s="4"/>
      <c r="G86" s="29"/>
      <c r="H86" s="14"/>
      <c r="I86" s="4" t="s">
        <v>1140</v>
      </c>
      <c r="J86" s="22"/>
      <c r="K86" s="22"/>
      <c r="L86" s="134"/>
    </row>
    <row r="87" spans="1:12" ht="15" customHeight="1" x14ac:dyDescent="0.25">
      <c r="A87" s="13" t="s">
        <v>6</v>
      </c>
      <c r="B87" s="14"/>
      <c r="C87" s="13"/>
      <c r="D87" s="13" t="s">
        <v>378</v>
      </c>
      <c r="E87" s="13" t="s">
        <v>183</v>
      </c>
      <c r="F87" s="4"/>
      <c r="G87" s="29" t="s">
        <v>1801</v>
      </c>
      <c r="H87" s="14">
        <v>43315</v>
      </c>
      <c r="I87" s="4" t="s">
        <v>313</v>
      </c>
    </row>
    <row r="88" spans="1:12" ht="15" customHeight="1" x14ac:dyDescent="0.25">
      <c r="A88" s="61" t="s">
        <v>6</v>
      </c>
      <c r="B88" s="14"/>
      <c r="C88" s="13"/>
      <c r="D88" s="13" t="s">
        <v>903</v>
      </c>
      <c r="E88" s="13" t="s">
        <v>183</v>
      </c>
      <c r="F88" s="4"/>
      <c r="G88" s="29" t="s">
        <v>8347</v>
      </c>
      <c r="H88" s="14">
        <v>43614</v>
      </c>
      <c r="I88" s="4" t="s">
        <v>313</v>
      </c>
    </row>
    <row r="89" spans="1:12" ht="15" customHeight="1" x14ac:dyDescent="0.25">
      <c r="A89" s="61" t="s">
        <v>6</v>
      </c>
      <c r="B89" s="14"/>
      <c r="C89" s="13"/>
      <c r="D89" s="13" t="s">
        <v>8933</v>
      </c>
      <c r="E89" s="13" t="s">
        <v>183</v>
      </c>
      <c r="F89" s="4"/>
      <c r="G89" s="29" t="s">
        <v>8934</v>
      </c>
      <c r="H89" s="14">
        <v>43627</v>
      </c>
      <c r="I89" s="4" t="s">
        <v>313</v>
      </c>
    </row>
    <row r="90" spans="1:12" ht="15" customHeight="1" x14ac:dyDescent="0.25">
      <c r="A90" s="13" t="s">
        <v>6</v>
      </c>
      <c r="B90" s="14"/>
      <c r="C90" s="13"/>
      <c r="D90" s="13" t="s">
        <v>1166</v>
      </c>
      <c r="E90" s="13" t="s">
        <v>183</v>
      </c>
      <c r="F90" s="4"/>
      <c r="G90" s="29" t="s">
        <v>2947</v>
      </c>
      <c r="H90" s="14">
        <v>43479</v>
      </c>
      <c r="I90" s="4" t="s">
        <v>2948</v>
      </c>
    </row>
    <row r="91" spans="1:12" ht="15" customHeight="1" x14ac:dyDescent="0.25">
      <c r="A91" s="13" t="s">
        <v>6</v>
      </c>
      <c r="B91" s="14"/>
      <c r="C91" s="13"/>
      <c r="D91" s="13" t="s">
        <v>828</v>
      </c>
      <c r="E91" s="13" t="s">
        <v>183</v>
      </c>
      <c r="F91" s="4"/>
      <c r="G91" s="29" t="s">
        <v>350</v>
      </c>
      <c r="H91" s="14">
        <v>42852</v>
      </c>
      <c r="I91" s="4" t="s">
        <v>827</v>
      </c>
    </row>
    <row r="92" spans="1:12" ht="15" customHeight="1" x14ac:dyDescent="0.25">
      <c r="A92" s="13" t="s">
        <v>6</v>
      </c>
      <c r="B92" s="14"/>
      <c r="C92" s="13"/>
      <c r="D92" s="13" t="s">
        <v>807</v>
      </c>
      <c r="E92" s="13" t="s">
        <v>183</v>
      </c>
      <c r="F92" s="4"/>
      <c r="G92" s="29" t="s">
        <v>8348</v>
      </c>
      <c r="H92" s="14">
        <v>43614</v>
      </c>
      <c r="I92" s="4" t="s">
        <v>8349</v>
      </c>
    </row>
    <row r="93" spans="1:12" s="97" customFormat="1" x14ac:dyDescent="0.25">
      <c r="A93" s="13" t="s">
        <v>6</v>
      </c>
      <c r="B93" s="14"/>
      <c r="C93" s="13"/>
      <c r="D93" s="13" t="s">
        <v>989</v>
      </c>
      <c r="E93" s="13" t="s">
        <v>183</v>
      </c>
      <c r="F93" s="4"/>
      <c r="G93" s="29" t="s">
        <v>700</v>
      </c>
      <c r="H93" s="14">
        <v>43021</v>
      </c>
      <c r="I93" s="4" t="s">
        <v>990</v>
      </c>
      <c r="J93" s="22"/>
      <c r="K93" s="22"/>
      <c r="L93" s="134"/>
    </row>
    <row r="94" spans="1:12" ht="15" customHeight="1" x14ac:dyDescent="0.25"/>
    <row r="95" spans="1:12" ht="15" customHeight="1" x14ac:dyDescent="0.25"/>
    <row r="96" spans="1:12" ht="15" customHeight="1" x14ac:dyDescent="0.25"/>
    <row r="98" ht="15" customHeight="1" x14ac:dyDescent="0.25"/>
    <row r="99" ht="15" customHeight="1" x14ac:dyDescent="0.25"/>
    <row r="100" ht="15" customHeight="1" x14ac:dyDescent="0.25"/>
  </sheetData>
  <autoFilter ref="A1:I95"/>
  <sortState ref="A4:I17">
    <sortCondition ref="H4:H17"/>
  </sortState>
  <pageMargins left="0.39370078740157483" right="0.39370078740157483" top="0.19685039370078741" bottom="0.19685039370078741" header="0.51181102362204722" footer="0.51181102362204722"/>
  <pageSetup paperSize="9" scale="94" fitToHeight="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rgb="FFE1FFFF"/>
    <pageSetUpPr fitToPage="1"/>
  </sheetPr>
  <dimension ref="A1:K27"/>
  <sheetViews>
    <sheetView zoomScaleNormal="100" workbookViewId="0">
      <pane ySplit="3" topLeftCell="A4" activePane="bottomLeft" state="frozen"/>
      <selection activeCell="F116" sqref="F116"/>
      <selection pane="bottomLeft" activeCell="B9" sqref="B9"/>
    </sheetView>
  </sheetViews>
  <sheetFormatPr defaultColWidth="9.44140625" defaultRowHeight="13.8" x14ac:dyDescent="0.25"/>
  <cols>
    <col min="1" max="1" width="16" style="1" customWidth="1"/>
    <col min="2" max="2" width="10.5546875" style="1" customWidth="1"/>
    <col min="3" max="3" width="7.5546875" style="54" customWidth="1"/>
    <col min="4" max="4" width="23.44140625" style="1" customWidth="1"/>
    <col min="5" max="5" width="10.5546875" style="1" customWidth="1"/>
    <col min="6" max="6" width="16.5546875" style="60" customWidth="1"/>
    <col min="7" max="7" width="16.5546875" style="1" customWidth="1"/>
    <col min="8" max="8" width="12.5546875" style="30" customWidth="1"/>
    <col min="9" max="9" width="31.5546875" style="1" customWidth="1"/>
    <col min="10" max="10" width="9.5546875" style="121" customWidth="1"/>
    <col min="11" max="11" width="6.44140625" style="5" customWidth="1"/>
    <col min="12" max="16384" width="9.44140625" style="2"/>
  </cols>
  <sheetData>
    <row r="1" spans="1:11" x14ac:dyDescent="0.25">
      <c r="F1" s="1"/>
      <c r="G1" s="31"/>
    </row>
    <row r="2" spans="1:11" s="8" customFormat="1" ht="36" customHeight="1" x14ac:dyDescent="0.25">
      <c r="A2" s="6" t="s">
        <v>192</v>
      </c>
      <c r="B2" s="6" t="s">
        <v>59</v>
      </c>
      <c r="C2" s="42" t="s">
        <v>51</v>
      </c>
      <c r="D2" s="6" t="s">
        <v>109</v>
      </c>
      <c r="E2" s="6" t="s">
        <v>121</v>
      </c>
      <c r="F2" s="58" t="s">
        <v>56</v>
      </c>
      <c r="G2" s="6" t="s">
        <v>58</v>
      </c>
      <c r="H2" s="43" t="s">
        <v>57</v>
      </c>
      <c r="I2" s="7" t="s">
        <v>10</v>
      </c>
      <c r="J2" s="122"/>
      <c r="K2" s="15"/>
    </row>
    <row r="3" spans="1:11" s="8" customFormat="1" ht="18.75" customHeight="1" x14ac:dyDescent="0.25">
      <c r="A3" s="11" t="s">
        <v>574</v>
      </c>
      <c r="B3" s="9"/>
      <c r="C3" s="59">
        <f>SUM(C10:C27)</f>
        <v>0</v>
      </c>
      <c r="D3" s="24"/>
      <c r="E3" s="9"/>
      <c r="F3" s="59">
        <f>SUM(F4:F27)</f>
        <v>899500</v>
      </c>
      <c r="G3" s="12"/>
      <c r="H3" s="56"/>
      <c r="I3" s="10"/>
      <c r="J3" s="123"/>
      <c r="K3" s="15"/>
    </row>
    <row r="4" spans="1:11" s="228" customFormat="1" x14ac:dyDescent="0.25">
      <c r="A4" s="13" t="s">
        <v>637</v>
      </c>
      <c r="B4" s="14"/>
      <c r="C4" s="13"/>
      <c r="D4" s="13" t="s">
        <v>1739</v>
      </c>
      <c r="E4" s="13" t="s">
        <v>691</v>
      </c>
      <c r="F4" s="4">
        <v>138000</v>
      </c>
      <c r="G4" s="28" t="s">
        <v>3874</v>
      </c>
      <c r="H4" s="14">
        <v>43602</v>
      </c>
      <c r="I4" s="4" t="s">
        <v>1237</v>
      </c>
      <c r="J4" s="128"/>
      <c r="K4" s="21"/>
    </row>
    <row r="5" spans="1:11" s="228" customFormat="1" x14ac:dyDescent="0.25">
      <c r="A5" s="61" t="s">
        <v>1148</v>
      </c>
      <c r="B5" s="14"/>
      <c r="C5" s="13"/>
      <c r="D5" s="13" t="s">
        <v>447</v>
      </c>
      <c r="E5" s="13" t="s">
        <v>808</v>
      </c>
      <c r="F5" s="37">
        <v>235000</v>
      </c>
      <c r="G5" s="29" t="s">
        <v>1164</v>
      </c>
      <c r="H5" s="14">
        <v>43612</v>
      </c>
      <c r="I5" s="4" t="s">
        <v>1315</v>
      </c>
      <c r="J5" s="128"/>
      <c r="K5" s="21"/>
    </row>
    <row r="6" spans="1:11" s="228" customFormat="1" x14ac:dyDescent="0.25">
      <c r="A6" s="61" t="s">
        <v>1148</v>
      </c>
      <c r="B6" s="14"/>
      <c r="C6" s="13"/>
      <c r="D6" s="13" t="s">
        <v>447</v>
      </c>
      <c r="E6" s="13" t="s">
        <v>808</v>
      </c>
      <c r="F6" s="37">
        <v>235000</v>
      </c>
      <c r="G6" s="29" t="s">
        <v>11</v>
      </c>
      <c r="H6" s="14">
        <v>43626</v>
      </c>
      <c r="I6" s="4" t="s">
        <v>1315</v>
      </c>
      <c r="J6" s="128"/>
      <c r="K6" s="21"/>
    </row>
    <row r="8" spans="1:11" s="228" customFormat="1" x14ac:dyDescent="0.25">
      <c r="A8" s="61" t="s">
        <v>495</v>
      </c>
      <c r="B8" s="14"/>
      <c r="C8" s="13"/>
      <c r="D8" s="13" t="s">
        <v>371</v>
      </c>
      <c r="E8" s="13" t="s">
        <v>808</v>
      </c>
      <c r="F8" s="37">
        <v>46000</v>
      </c>
      <c r="G8" s="29" t="s">
        <v>4079</v>
      </c>
      <c r="H8" s="14">
        <v>43598</v>
      </c>
      <c r="I8" s="4" t="s">
        <v>319</v>
      </c>
      <c r="J8" s="128"/>
      <c r="K8" s="21"/>
    </row>
    <row r="9" spans="1:11" s="228" customFormat="1" x14ac:dyDescent="0.25">
      <c r="A9" s="61" t="s">
        <v>495</v>
      </c>
      <c r="B9" s="14"/>
      <c r="C9" s="13"/>
      <c r="D9" s="13" t="s">
        <v>371</v>
      </c>
      <c r="E9" s="13" t="s">
        <v>808</v>
      </c>
      <c r="F9" s="4">
        <v>46000</v>
      </c>
      <c r="G9" s="28" t="s">
        <v>8838</v>
      </c>
      <c r="H9" s="14">
        <v>43619</v>
      </c>
      <c r="I9" s="4" t="s">
        <v>319</v>
      </c>
      <c r="J9" s="128"/>
      <c r="K9" s="21"/>
    </row>
    <row r="10" spans="1:11" s="228" customFormat="1" x14ac:dyDescent="0.25">
      <c r="A10" s="61" t="s">
        <v>495</v>
      </c>
      <c r="B10" s="14"/>
      <c r="C10" s="13"/>
      <c r="D10" s="13" t="s">
        <v>381</v>
      </c>
      <c r="E10" s="13" t="s">
        <v>808</v>
      </c>
      <c r="F10" s="37">
        <v>9950</v>
      </c>
      <c r="G10" s="29" t="s">
        <v>145</v>
      </c>
      <c r="H10" s="14">
        <v>43598</v>
      </c>
      <c r="I10" s="4" t="s">
        <v>441</v>
      </c>
      <c r="J10" s="128"/>
      <c r="K10" s="21"/>
    </row>
    <row r="11" spans="1:11" s="228" customFormat="1" x14ac:dyDescent="0.25">
      <c r="A11" s="13" t="s">
        <v>495</v>
      </c>
      <c r="B11" s="14"/>
      <c r="C11" s="13"/>
      <c r="D11" s="13" t="s">
        <v>381</v>
      </c>
      <c r="E11" s="13" t="s">
        <v>808</v>
      </c>
      <c r="F11" s="4">
        <v>9950</v>
      </c>
      <c r="G11" s="28" t="s">
        <v>7</v>
      </c>
      <c r="H11" s="14">
        <v>43616</v>
      </c>
      <c r="I11" s="4" t="s">
        <v>441</v>
      </c>
      <c r="J11" s="128"/>
      <c r="K11" s="21"/>
    </row>
    <row r="12" spans="1:11" s="228" customFormat="1" x14ac:dyDescent="0.25">
      <c r="A12" s="13" t="s">
        <v>442</v>
      </c>
      <c r="B12" s="14"/>
      <c r="C12" s="13"/>
      <c r="D12" s="13" t="s">
        <v>381</v>
      </c>
      <c r="E12" s="13" t="s">
        <v>62</v>
      </c>
      <c r="F12" s="4">
        <v>14500</v>
      </c>
      <c r="G12" s="28" t="s">
        <v>479</v>
      </c>
      <c r="H12" s="14">
        <v>43616</v>
      </c>
      <c r="I12" s="4" t="s">
        <v>1328</v>
      </c>
      <c r="J12" s="128"/>
      <c r="K12" s="21"/>
    </row>
    <row r="13" spans="1:11" s="228" customFormat="1" x14ac:dyDescent="0.25">
      <c r="A13" s="61" t="s">
        <v>495</v>
      </c>
      <c r="B13" s="14"/>
      <c r="C13" s="13"/>
      <c r="D13" s="13" t="s">
        <v>381</v>
      </c>
      <c r="E13" s="13" t="s">
        <v>808</v>
      </c>
      <c r="F13" s="37">
        <v>9950</v>
      </c>
      <c r="G13" s="29" t="s">
        <v>308</v>
      </c>
      <c r="H13" s="14">
        <v>43636</v>
      </c>
      <c r="I13" s="4" t="s">
        <v>441</v>
      </c>
      <c r="J13" s="128"/>
      <c r="K13" s="21"/>
    </row>
    <row r="14" spans="1:11" s="228" customFormat="1" x14ac:dyDescent="0.25">
      <c r="A14" s="61" t="s">
        <v>637</v>
      </c>
      <c r="B14" s="14"/>
      <c r="C14" s="13"/>
      <c r="D14" s="13" t="s">
        <v>340</v>
      </c>
      <c r="E14" s="13" t="s">
        <v>691</v>
      </c>
      <c r="F14" s="37">
        <v>6900</v>
      </c>
      <c r="G14" s="29" t="s">
        <v>176</v>
      </c>
      <c r="H14" s="14">
        <v>43600</v>
      </c>
      <c r="I14" s="4" t="s">
        <v>1346</v>
      </c>
      <c r="J14" s="128"/>
      <c r="K14" s="21"/>
    </row>
    <row r="15" spans="1:11" s="228" customFormat="1" x14ac:dyDescent="0.25">
      <c r="A15" s="61" t="s">
        <v>442</v>
      </c>
      <c r="B15" s="14"/>
      <c r="C15" s="13"/>
      <c r="D15" s="13" t="s">
        <v>340</v>
      </c>
      <c r="E15" s="13" t="s">
        <v>62</v>
      </c>
      <c r="F15" s="37">
        <v>3600</v>
      </c>
      <c r="G15" s="29" t="s">
        <v>700</v>
      </c>
      <c r="H15" s="14">
        <v>43600</v>
      </c>
      <c r="I15" s="4" t="s">
        <v>767</v>
      </c>
      <c r="J15" s="128"/>
      <c r="K15" s="21"/>
    </row>
    <row r="16" spans="1:11" s="228" customFormat="1" x14ac:dyDescent="0.25">
      <c r="A16" s="61" t="s">
        <v>92</v>
      </c>
      <c r="B16" s="14"/>
      <c r="C16" s="13"/>
      <c r="D16" s="13" t="s">
        <v>340</v>
      </c>
      <c r="E16" s="13" t="s">
        <v>62</v>
      </c>
      <c r="F16" s="37">
        <v>8800</v>
      </c>
      <c r="G16" s="29" t="s">
        <v>1128</v>
      </c>
      <c r="H16" s="14">
        <v>43615</v>
      </c>
      <c r="I16" s="4" t="s">
        <v>767</v>
      </c>
      <c r="J16" s="128"/>
      <c r="K16" s="21"/>
    </row>
    <row r="17" spans="1:11" s="228" customFormat="1" x14ac:dyDescent="0.25">
      <c r="A17" s="61" t="s">
        <v>1148</v>
      </c>
      <c r="B17" s="14"/>
      <c r="C17" s="13"/>
      <c r="D17" s="13" t="s">
        <v>340</v>
      </c>
      <c r="E17" s="13" t="s">
        <v>808</v>
      </c>
      <c r="F17" s="37">
        <v>6100</v>
      </c>
      <c r="G17" s="29" t="s">
        <v>6789</v>
      </c>
      <c r="H17" s="14">
        <v>43615</v>
      </c>
      <c r="I17" s="4" t="s">
        <v>767</v>
      </c>
      <c r="J17" s="128"/>
      <c r="K17" s="21"/>
    </row>
    <row r="18" spans="1:11" s="228" customFormat="1" x14ac:dyDescent="0.25">
      <c r="A18" s="61" t="s">
        <v>1316</v>
      </c>
      <c r="B18" s="14"/>
      <c r="C18" s="13"/>
      <c r="D18" s="13" t="s">
        <v>340</v>
      </c>
      <c r="E18" s="13" t="s">
        <v>808</v>
      </c>
      <c r="F18" s="37">
        <v>12800</v>
      </c>
      <c r="G18" s="29" t="s">
        <v>6782</v>
      </c>
      <c r="H18" s="14">
        <v>43615</v>
      </c>
      <c r="I18" s="4" t="s">
        <v>1345</v>
      </c>
      <c r="J18" s="128"/>
      <c r="K18" s="21"/>
    </row>
    <row r="19" spans="1:11" s="228" customFormat="1" x14ac:dyDescent="0.25">
      <c r="A19" s="61" t="s">
        <v>310</v>
      </c>
      <c r="B19" s="14"/>
      <c r="C19" s="13"/>
      <c r="D19" s="13" t="s">
        <v>8834</v>
      </c>
      <c r="E19" s="13" t="s">
        <v>958</v>
      </c>
      <c r="F19" s="4">
        <v>80150</v>
      </c>
      <c r="G19" s="28" t="s">
        <v>77</v>
      </c>
      <c r="H19" s="14">
        <v>43623</v>
      </c>
      <c r="I19" s="4" t="s">
        <v>8836</v>
      </c>
      <c r="J19" s="128"/>
      <c r="K19" s="21"/>
    </row>
    <row r="20" spans="1:11" s="228" customFormat="1" x14ac:dyDescent="0.25">
      <c r="A20" s="61" t="s">
        <v>151</v>
      </c>
      <c r="B20" s="14"/>
      <c r="C20" s="13"/>
      <c r="D20" s="13" t="s">
        <v>1690</v>
      </c>
      <c r="E20" s="13" t="s">
        <v>62</v>
      </c>
      <c r="F20" s="37">
        <v>4000</v>
      </c>
      <c r="G20" s="29" t="s">
        <v>9381</v>
      </c>
      <c r="H20" s="14">
        <v>43630</v>
      </c>
      <c r="I20" s="4" t="s">
        <v>9382</v>
      </c>
      <c r="J20" s="128"/>
      <c r="K20" s="21"/>
    </row>
    <row r="21" spans="1:11" s="228" customFormat="1" x14ac:dyDescent="0.25">
      <c r="A21" s="61" t="s">
        <v>659</v>
      </c>
      <c r="B21" s="14"/>
      <c r="C21" s="13"/>
      <c r="D21" s="13" t="s">
        <v>1130</v>
      </c>
      <c r="E21" s="13" t="s">
        <v>808</v>
      </c>
      <c r="F21" s="37">
        <v>8700</v>
      </c>
      <c r="G21" s="29" t="s">
        <v>1125</v>
      </c>
      <c r="H21" s="14">
        <v>43636</v>
      </c>
      <c r="I21" s="4" t="s">
        <v>1131</v>
      </c>
      <c r="J21" s="128"/>
      <c r="K21" s="21"/>
    </row>
    <row r="22" spans="1:11" s="228" customFormat="1" x14ac:dyDescent="0.25">
      <c r="A22" s="61" t="s">
        <v>442</v>
      </c>
      <c r="B22" s="14"/>
      <c r="C22" s="13"/>
      <c r="D22" s="13" t="s">
        <v>1130</v>
      </c>
      <c r="E22" s="13" t="s">
        <v>62</v>
      </c>
      <c r="F22" s="37">
        <v>8700</v>
      </c>
      <c r="G22" s="29" t="s">
        <v>173</v>
      </c>
      <c r="H22" s="14">
        <v>43636</v>
      </c>
      <c r="I22" s="4" t="s">
        <v>1131</v>
      </c>
      <c r="J22" s="128"/>
      <c r="K22" s="21"/>
    </row>
    <row r="23" spans="1:11" s="228" customFormat="1" x14ac:dyDescent="0.25">
      <c r="A23" s="61" t="s">
        <v>8591</v>
      </c>
      <c r="B23" s="14"/>
      <c r="C23" s="13"/>
      <c r="D23" s="13" t="s">
        <v>1130</v>
      </c>
      <c r="E23" s="13" t="s">
        <v>958</v>
      </c>
      <c r="F23" s="37">
        <v>17400</v>
      </c>
      <c r="G23" s="29" t="s">
        <v>177</v>
      </c>
      <c r="H23" s="14">
        <v>43636</v>
      </c>
      <c r="I23" s="4" t="s">
        <v>1131</v>
      </c>
      <c r="J23" s="128"/>
      <c r="K23" s="21"/>
    </row>
    <row r="24" spans="1:11" s="129" customFormat="1" x14ac:dyDescent="0.25">
      <c r="A24" s="328" t="s">
        <v>455</v>
      </c>
      <c r="B24" s="102"/>
      <c r="C24" s="355"/>
      <c r="D24" s="328" t="s">
        <v>7872</v>
      </c>
      <c r="E24" s="340" t="s">
        <v>958</v>
      </c>
      <c r="F24" s="327">
        <v>-2000</v>
      </c>
      <c r="G24" s="355" t="s">
        <v>7625</v>
      </c>
      <c r="H24" s="102"/>
      <c r="I24" s="327" t="s">
        <v>7873</v>
      </c>
      <c r="J24" s="144" t="s">
        <v>7874</v>
      </c>
      <c r="K24" s="474"/>
    </row>
    <row r="25" spans="1:11" x14ac:dyDescent="0.25">
      <c r="A25" s="13"/>
      <c r="B25" s="14"/>
      <c r="C25" s="13"/>
      <c r="D25" s="13"/>
      <c r="E25" s="13"/>
      <c r="F25" s="37"/>
      <c r="G25" s="29"/>
      <c r="H25" s="14"/>
      <c r="I25" s="4"/>
    </row>
    <row r="27" spans="1:11" ht="41.4" x14ac:dyDescent="0.25">
      <c r="D27" s="162" t="s">
        <v>5215</v>
      </c>
    </row>
  </sheetData>
  <autoFilter ref="A2:I19"/>
  <phoneticPr fontId="8" type="noConversion"/>
  <pageMargins left="0.19685039370078741" right="0.19685039370078741" top="0.19685039370078741" bottom="0.19685039370078741" header="0.51181102362204722" footer="0.51181102362204722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снаб</vt:lpstr>
      <vt:lpstr>Тане</vt:lpstr>
      <vt:lpstr>эн.снабж</vt:lpstr>
      <vt:lpstr>расторж</vt:lpstr>
      <vt:lpstr>рекл</vt:lpstr>
      <vt:lpstr>аг-ва</vt:lpstr>
      <vt:lpstr>св.</vt:lpstr>
      <vt:lpstr>ЛК</vt:lpstr>
      <vt:lpstr>Сок.</vt:lpstr>
      <vt:lpstr>тех.</vt:lpstr>
      <vt:lpstr>мат.</vt:lpstr>
      <vt:lpstr>ПС</vt:lpstr>
      <vt:lpstr>СЗ</vt:lpstr>
      <vt:lpstr>болван</vt:lpstr>
      <vt:lpstr>реестр26</vt:lpstr>
      <vt:lpstr>26пл-ф</vt:lpstr>
      <vt:lpstr>0</vt:lpstr>
      <vt:lpstr>оплачено</vt:lpstr>
      <vt:lpstr>май</vt:lpstr>
      <vt:lpstr>апрель</vt:lpstr>
      <vt:lpstr>март</vt:lpstr>
      <vt:lpstr>февр</vt:lpstr>
      <vt:lpstr>январь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Ольга Михайловна Брынцева</cp:lastModifiedBy>
  <cp:lastPrinted>2019-06-24T11:04:38Z</cp:lastPrinted>
  <dcterms:created xsi:type="dcterms:W3CDTF">2007-05-15T07:51:53Z</dcterms:created>
  <dcterms:modified xsi:type="dcterms:W3CDTF">2019-06-28T14:01:06Z</dcterms:modified>
</cp:coreProperties>
</file>