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de\Documents\"/>
    </mc:Choice>
  </mc:AlternateContent>
  <xr:revisionPtr revIDLastSave="0" documentId="13_ncr:1_{04750CB4-2D16-40C7-AB17-0948CFD4FF90}" xr6:coauthVersionLast="47" xr6:coauthVersionMax="47" xr10:uidLastSave="{00000000-0000-0000-0000-000000000000}"/>
  <bookViews>
    <workbookView xWindow="-80" yWindow="-80" windowWidth="25760" windowHeight="15440" activeTab="2" xr2:uid="{07F47054-D41F-4380-B558-3349941BE9B1}"/>
  </bookViews>
  <sheets>
    <sheet name="Inputs" sheetId="1" r:id="rId1"/>
    <sheet name="TTM Calculation" sheetId="3" r:id="rId2"/>
    <sheet name="Valuation" sheetId="2" r:id="rId3"/>
    <sheet name="Sheet2" sheetId="5" r:id="rId4"/>
    <sheet name="WACC" sheetId="4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H4" i="2"/>
  <c r="M4" i="2"/>
  <c r="B2" i="2"/>
  <c r="E12" i="3"/>
  <c r="K4" i="3"/>
  <c r="L9" i="3" s="1"/>
  <c r="E11" i="3" s="1"/>
  <c r="K7" i="3"/>
  <c r="L16" i="4" l="1"/>
  <c r="B15" i="5"/>
  <c r="F3" i="5"/>
  <c r="C11" i="2"/>
  <c r="D11" i="2" s="1"/>
  <c r="E11" i="2" s="1"/>
  <c r="F11" i="2" s="1"/>
  <c r="G11" i="2" s="1"/>
  <c r="F13" i="4"/>
  <c r="E23" i="2" s="1"/>
  <c r="L13" i="1"/>
  <c r="M13" i="1"/>
  <c r="G11" i="4"/>
  <c r="G10" i="4"/>
  <c r="G2" i="4"/>
  <c r="M11" i="2" l="1"/>
  <c r="I11" i="2" l="1"/>
  <c r="J11" i="2"/>
  <c r="K11" i="2"/>
  <c r="L11" i="2"/>
  <c r="H11" i="2"/>
  <c r="G3" i="4" l="1"/>
  <c r="M2" i="2"/>
  <c r="C2" i="2" l="1"/>
  <c r="K19" i="1"/>
  <c r="K14" i="1"/>
  <c r="K12" i="1"/>
  <c r="K13" i="1" s="1"/>
  <c r="E5" i="3"/>
  <c r="J14" i="1" s="1"/>
  <c r="B5" i="2" s="1"/>
  <c r="E6" i="3"/>
  <c r="J19" i="1" s="1"/>
  <c r="E7" i="3"/>
  <c r="B10" i="1" s="1"/>
  <c r="B2" i="4" s="1"/>
  <c r="E9" i="3"/>
  <c r="J21" i="1" s="1"/>
  <c r="B12" i="5" s="1"/>
  <c r="E10" i="3"/>
  <c r="E4" i="3"/>
  <c r="J12" i="1" s="1"/>
  <c r="D8" i="3"/>
  <c r="D12" i="3" s="1"/>
  <c r="C8" i="3"/>
  <c r="C12" i="3" s="1"/>
  <c r="B8" i="3"/>
  <c r="B12" i="3" s="1"/>
  <c r="K17" i="1" s="1"/>
  <c r="K20" i="1" l="1"/>
  <c r="K16" i="1"/>
  <c r="J20" i="1"/>
  <c r="B1" i="1" s="1"/>
  <c r="B6" i="2" s="1"/>
  <c r="H6" i="2" s="1"/>
  <c r="B3" i="2"/>
  <c r="B4" i="2" s="1"/>
  <c r="C4" i="2" s="1"/>
  <c r="D4" i="2" s="1"/>
  <c r="E4" i="2" s="1"/>
  <c r="F4" i="2" s="1"/>
  <c r="G4" i="2" s="1"/>
  <c r="J16" i="1"/>
  <c r="K18" i="1"/>
  <c r="E8" i="3"/>
  <c r="B27" i="2"/>
  <c r="J13" i="1"/>
  <c r="B10" i="5"/>
  <c r="B11" i="5" s="1"/>
  <c r="D2" i="2"/>
  <c r="E2" i="2" s="1"/>
  <c r="F2" i="2" s="1"/>
  <c r="G2" i="2" s="1"/>
  <c r="J15" i="1"/>
  <c r="C6" i="2" l="1"/>
  <c r="L6" i="2"/>
  <c r="G6" i="2"/>
  <c r="K6" i="2"/>
  <c r="E6" i="2"/>
  <c r="D6" i="2"/>
  <c r="F6" i="2"/>
  <c r="I6" i="2"/>
  <c r="J6" i="2"/>
  <c r="B7" i="2"/>
  <c r="J22" i="1"/>
  <c r="B13" i="5" s="1"/>
  <c r="B14" i="5" s="1"/>
  <c r="B16" i="5" s="1"/>
  <c r="B11" i="1"/>
  <c r="B1" i="4" s="1"/>
  <c r="J2" i="4" s="1"/>
  <c r="B26" i="2"/>
  <c r="J17" i="1"/>
  <c r="C3" i="2"/>
  <c r="D3" i="2" s="1"/>
  <c r="K2" i="2"/>
  <c r="L2" i="2"/>
  <c r="H2" i="2"/>
  <c r="I2" i="2"/>
  <c r="J2" i="2"/>
  <c r="C5" i="2" l="1"/>
  <c r="C7" i="2" s="1"/>
  <c r="B19" i="2"/>
  <c r="B18" i="2" s="1"/>
  <c r="C18" i="2" s="1"/>
  <c r="D18" i="2" s="1"/>
  <c r="E18" i="2" s="1"/>
  <c r="F18" i="2" s="1"/>
  <c r="G18" i="2" s="1"/>
  <c r="H18" i="2" s="1"/>
  <c r="I18" i="2" s="1"/>
  <c r="J18" i="2" s="1"/>
  <c r="J18" i="1"/>
  <c r="J3" i="4"/>
  <c r="F5" i="4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E3" i="2"/>
  <c r="D5" i="2"/>
  <c r="D7" i="2" s="1"/>
  <c r="D8" i="2" l="1"/>
  <c r="D9" i="2" s="1"/>
  <c r="C8" i="2"/>
  <c r="C19" i="2" s="1"/>
  <c r="D19" i="2" s="1"/>
  <c r="D20" i="2" s="1"/>
  <c r="E8" i="2"/>
  <c r="F3" i="2"/>
  <c r="E5" i="2"/>
  <c r="E7" i="2" s="1"/>
  <c r="K18" i="2"/>
  <c r="C20" i="2" l="1"/>
  <c r="C9" i="2"/>
  <c r="C14" i="2" s="1"/>
  <c r="E19" i="2"/>
  <c r="E9" i="2"/>
  <c r="E14" i="2" s="1"/>
  <c r="E20" i="2"/>
  <c r="D14" i="2"/>
  <c r="F5" i="2"/>
  <c r="F7" i="2" s="1"/>
  <c r="G3" i="2"/>
  <c r="F8" i="2"/>
  <c r="L18" i="2"/>
  <c r="F19" i="2" l="1"/>
  <c r="F20" i="2"/>
  <c r="F9" i="2"/>
  <c r="F14" i="2"/>
  <c r="G5" i="2"/>
  <c r="G7" i="2" s="1"/>
  <c r="G8" i="2"/>
  <c r="G19" i="2" s="1"/>
  <c r="G20" i="2" l="1"/>
  <c r="G9" i="2"/>
  <c r="G14" i="2"/>
  <c r="H3" i="2" l="1"/>
  <c r="I3" i="2" l="1"/>
  <c r="J3" i="2" s="1"/>
  <c r="H8" i="2"/>
  <c r="H19" i="2" s="1"/>
  <c r="I8" i="2" l="1"/>
  <c r="I19" i="2" s="1"/>
  <c r="J8" i="2"/>
  <c r="K3" i="2"/>
  <c r="J19" i="2" l="1"/>
  <c r="K8" i="2"/>
  <c r="K19" i="2" s="1"/>
  <c r="L3" i="2"/>
  <c r="L8" i="2" l="1"/>
  <c r="L19" i="2" s="1"/>
  <c r="M3" i="2"/>
  <c r="M8" i="2" l="1"/>
  <c r="I5" i="2" l="1"/>
  <c r="I7" i="2" s="1"/>
  <c r="J5" i="2"/>
  <c r="J7" i="2" s="1"/>
  <c r="L5" i="2"/>
  <c r="L7" i="2" s="1"/>
  <c r="L20" i="2" s="1"/>
  <c r="H5" i="2"/>
  <c r="H7" i="2" s="1"/>
  <c r="K5" i="2"/>
  <c r="K7" i="2" s="1"/>
  <c r="K9" i="2" s="1"/>
  <c r="K14" i="2" s="1"/>
  <c r="M5" i="2"/>
  <c r="M7" i="2" s="1"/>
  <c r="M9" i="2" s="1"/>
  <c r="B23" i="2" s="1"/>
  <c r="B24" i="2" s="1"/>
  <c r="K20" i="2" l="1"/>
  <c r="H9" i="2"/>
  <c r="H14" i="2" s="1"/>
  <c r="H20" i="2"/>
  <c r="J9" i="2"/>
  <c r="J14" i="2" s="1"/>
  <c r="J20" i="2"/>
  <c r="I9" i="2"/>
  <c r="I14" i="2" s="1"/>
  <c r="I20" i="2"/>
  <c r="L9" i="2"/>
  <c r="L14" i="2" s="1"/>
  <c r="B22" i="2" l="1"/>
  <c r="B25" i="2" s="1"/>
  <c r="B29" i="2" s="1"/>
  <c r="B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tc={5739E735-A73F-4660-B932-15FFF3B03D7D}</author>
  </authors>
  <commentList>
    <comment ref="B8" authorId="0" shapeId="0" xr:uid="{5739E735-A73F-4660-B932-15FFF3B03D7D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Operating Lease liabilities since Palantir has no debt at this point</t>
      </text>
    </comment>
  </commentList>
</comments>
</file>

<file path=xl/sharedStrings.xml><?xml version="1.0" encoding="utf-8"?>
<sst xmlns="http://schemas.openxmlformats.org/spreadsheetml/2006/main" count="115" uniqueCount="92">
  <si>
    <t>Revnue</t>
  </si>
  <si>
    <t>Revenue Growth</t>
  </si>
  <si>
    <t>Operating Margin</t>
  </si>
  <si>
    <t>FCFF</t>
  </si>
  <si>
    <t>EBIT</t>
  </si>
  <si>
    <t>Tax Rate</t>
  </si>
  <si>
    <t>EBIT(1-t)</t>
  </si>
  <si>
    <t>Reinvestment</t>
  </si>
  <si>
    <t>Effective Tax Rate</t>
  </si>
  <si>
    <t>Marginal Tax Rate</t>
  </si>
  <si>
    <t>Initial Revenue Growth</t>
  </si>
  <si>
    <t>Terminal Revenue Growth</t>
  </si>
  <si>
    <t>Current GDP Growth</t>
  </si>
  <si>
    <t>Interest Free Rate</t>
  </si>
  <si>
    <t>Base</t>
  </si>
  <si>
    <t>Terminal Value</t>
  </si>
  <si>
    <t>Latest Financials</t>
  </si>
  <si>
    <t>Revenue</t>
  </si>
  <si>
    <t>Rev growth</t>
  </si>
  <si>
    <t>EBIT Growth</t>
  </si>
  <si>
    <t>Debt</t>
  </si>
  <si>
    <t>Invested Capital</t>
  </si>
  <si>
    <t xml:space="preserve">TTM </t>
  </si>
  <si>
    <t>10k 2024</t>
  </si>
  <si>
    <t>Q1 2025</t>
  </si>
  <si>
    <t>Q1 2024</t>
  </si>
  <si>
    <t xml:space="preserve">Revenue </t>
  </si>
  <si>
    <t xml:space="preserve">Equity </t>
  </si>
  <si>
    <t>TTM</t>
  </si>
  <si>
    <t xml:space="preserve">Tax Provision </t>
  </si>
  <si>
    <t>Cash &amp; Cash Equivalents</t>
  </si>
  <si>
    <t>Markatable Securities</t>
  </si>
  <si>
    <t>Q1 2025 TTM</t>
  </si>
  <si>
    <t>2024 TTM</t>
  </si>
  <si>
    <t>Sales/Invested Capital</t>
  </si>
  <si>
    <t>Need to adjust this so that it's straight lined to a lower value</t>
  </si>
  <si>
    <t>Sales To IC Ratio</t>
  </si>
  <si>
    <t>IC</t>
  </si>
  <si>
    <t>Implied Variables</t>
  </si>
  <si>
    <t>ROIC</t>
  </si>
  <si>
    <t>Tax Provision</t>
  </si>
  <si>
    <t>WACC</t>
  </si>
  <si>
    <t>Cost of Capital</t>
  </si>
  <si>
    <t>PV(FCFF)</t>
  </si>
  <si>
    <t>Need to adjust</t>
  </si>
  <si>
    <t>Cumulated Discount Factor</t>
  </si>
  <si>
    <t>PV (Excluding Terminal Value)</t>
  </si>
  <si>
    <t>Terminal Year</t>
  </si>
  <si>
    <t>Common Stock</t>
  </si>
  <si>
    <t>PV(TV)</t>
  </si>
  <si>
    <t>Total PV (EV)</t>
  </si>
  <si>
    <t>Total Debt</t>
  </si>
  <si>
    <t>Cash</t>
  </si>
  <si>
    <t>MC</t>
  </si>
  <si>
    <t>PPS</t>
  </si>
  <si>
    <t>in thousands of dollars</t>
  </si>
  <si>
    <t>Equity</t>
  </si>
  <si>
    <t>Risk Free Rate (10 year US treasury)</t>
  </si>
  <si>
    <t>Firm Beta</t>
  </si>
  <si>
    <t xml:space="preserve">Cost of Equity </t>
  </si>
  <si>
    <t>Risk Free Rate</t>
  </si>
  <si>
    <t>Implied ERP (currently coppied from damodaran)</t>
  </si>
  <si>
    <t>Cost of Debt</t>
  </si>
  <si>
    <t>Equity Proportion</t>
  </si>
  <si>
    <t>Debt Proportion</t>
  </si>
  <si>
    <t>Synthetic Default Spread</t>
  </si>
  <si>
    <t>GGDP Nominal Growth</t>
  </si>
  <si>
    <t>Terminal WACC</t>
  </si>
  <si>
    <t>Target Risk Free Rate</t>
  </si>
  <si>
    <t>Terminal Value WACC</t>
  </si>
  <si>
    <t>Cost of Equity</t>
  </si>
  <si>
    <t>Terminal Equity Proportion</t>
  </si>
  <si>
    <t>Terminal Debt Proportion</t>
  </si>
  <si>
    <t>Multiples valuation</t>
  </si>
  <si>
    <t>EV/Revenue</t>
  </si>
  <si>
    <t>Snowflake</t>
  </si>
  <si>
    <t>Datadog</t>
  </si>
  <si>
    <t>Crowdstrike</t>
  </si>
  <si>
    <t>Palantir</t>
  </si>
  <si>
    <t>EV</t>
  </si>
  <si>
    <t>Number of Shares</t>
  </si>
  <si>
    <t>CAGR</t>
  </si>
  <si>
    <t>MC (equity value)</t>
  </si>
  <si>
    <t>R&amp;D Conversion</t>
  </si>
  <si>
    <t>TTM-1</t>
  </si>
  <si>
    <t>10k 2023</t>
  </si>
  <si>
    <t>Q1 2023</t>
  </si>
  <si>
    <t>R&amp;D Expnese</t>
  </si>
  <si>
    <t>Amortization weight</t>
  </si>
  <si>
    <t>Total Unamoritised R&amp;D assets</t>
  </si>
  <si>
    <t>R&amp;D Assets</t>
  </si>
  <si>
    <t>Terminal 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</si>
</sst>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3" formatCode="_-* #,##0.00_-;\-* #,##0.00_-;_-* &quot;-&quot;??_-;_-@_-"/>
    <numFmt numFmtId="164" formatCode="0.0%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3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8" fontId="0" fillId="0" borderId="0" xfId="0" applyNumberFormat="1"/>
    <xf numFmtId="43" fontId="0" fillId="0" borderId="0" xfId="1" applyFont="1"/>
    <xf numFmtId="10" fontId="2" fillId="0" borderId="0" xfId="0" applyNumberFormat="1" applyFont="1"/>
    <xf numFmtId="10" fontId="3" fillId="0" borderId="0" xfId="0" applyNumberFormat="1" applyFont="1" applyAlignment="1">
      <alignment vertical="center"/>
    </xf>
    <xf numFmtId="43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char Wolf" id="{026B5088-2709-42A8-9386-4BAC18EDA6A9}" userId="S::shacharwolf@mail.tau.ac.il::b2c2dea0-dde1-4787-856c-fa622d3e95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5-06-14T12:33:17.49" personId="{026B5088-2709-42A8-9386-4BAC18EDA6A9}" id="{5739E735-A73F-4660-B932-15FFF3B03D7D}">
    <text>Only Operating Lease liabilities since Palantir has no debt at this point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3857-008F-478C-BB0B-5F207D40ACE7}">
  <dimension ref="A1:N22"/>
  <sheetViews>
    <sheetView zoomScale="145" zoomScaleNormal="145" workbookViewId="0">
      <selection activeCell="C4" sqref="C4"/>
    </sheetView>
  </sheetViews>
  <sheetFormatPr defaultRowHeight="14.5" x14ac:dyDescent="0.35"/>
  <cols>
    <col min="1" max="1" width="21.1796875" customWidth="1"/>
    <col min="2" max="2" width="9.08984375" bestFit="1" customWidth="1"/>
    <col min="9" max="9" width="14.90625" customWidth="1"/>
    <col min="10" max="11" width="8.90625" bestFit="1" customWidth="1"/>
    <col min="12" max="13" width="9.08984375" bestFit="1" customWidth="1"/>
  </cols>
  <sheetData>
    <row r="1" spans="1:14" x14ac:dyDescent="0.35">
      <c r="A1" t="s">
        <v>8</v>
      </c>
      <c r="B1" s="6">
        <f>J20</f>
        <v>3.6889938397674835E-2</v>
      </c>
    </row>
    <row r="2" spans="1:14" x14ac:dyDescent="0.35">
      <c r="A2" t="s">
        <v>9</v>
      </c>
      <c r="B2" s="3">
        <v>0.25</v>
      </c>
    </row>
    <row r="3" spans="1:14" x14ac:dyDescent="0.35">
      <c r="A3" t="s">
        <v>10</v>
      </c>
      <c r="B3" s="3">
        <v>0.4</v>
      </c>
    </row>
    <row r="4" spans="1:14" x14ac:dyDescent="0.35">
      <c r="A4" t="s">
        <v>11</v>
      </c>
      <c r="B4" s="15">
        <v>0.03</v>
      </c>
      <c r="K4" t="s">
        <v>12</v>
      </c>
    </row>
    <row r="5" spans="1:14" x14ac:dyDescent="0.35">
      <c r="A5" t="s">
        <v>66</v>
      </c>
      <c r="K5" t="s">
        <v>13</v>
      </c>
    </row>
    <row r="6" spans="1:14" x14ac:dyDescent="0.35">
      <c r="A6" t="s">
        <v>91</v>
      </c>
      <c r="B6" s="3">
        <v>0.3</v>
      </c>
    </row>
    <row r="9" spans="1:14" x14ac:dyDescent="0.35">
      <c r="A9" t="s">
        <v>57</v>
      </c>
    </row>
    <row r="10" spans="1:14" x14ac:dyDescent="0.35">
      <c r="A10" t="s">
        <v>56</v>
      </c>
      <c r="B10" s="2">
        <f>'TTM Calculation'!E7</f>
        <v>6752208</v>
      </c>
      <c r="J10" t="s">
        <v>16</v>
      </c>
    </row>
    <row r="11" spans="1:14" x14ac:dyDescent="0.35">
      <c r="A11" t="s">
        <v>20</v>
      </c>
      <c r="B11" s="2">
        <f>'TTM Calculation'!E8</f>
        <v>266746</v>
      </c>
      <c r="J11" t="s">
        <v>32</v>
      </c>
      <c r="K11" t="s">
        <v>33</v>
      </c>
      <c r="L11">
        <v>2023</v>
      </c>
    </row>
    <row r="12" spans="1:14" x14ac:dyDescent="0.35">
      <c r="I12" t="s">
        <v>17</v>
      </c>
      <c r="J12" s="2">
        <f>'TTM Calculation'!E4</f>
        <v>3115024</v>
      </c>
      <c r="K12" s="2">
        <f>'TTM Calculation'!B4</f>
        <v>2865507</v>
      </c>
      <c r="L12" s="2">
        <v>2225012</v>
      </c>
      <c r="M12" s="2">
        <v>1905871</v>
      </c>
      <c r="N12" s="2">
        <v>1541889</v>
      </c>
    </row>
    <row r="13" spans="1:14" x14ac:dyDescent="0.35">
      <c r="I13" t="s">
        <v>18</v>
      </c>
      <c r="J13" s="1">
        <f>J12/K12-1</f>
        <v>8.7076039248900727E-2</v>
      </c>
      <c r="K13" s="1">
        <f>K12/L12-1</f>
        <v>0.2878613688375613</v>
      </c>
      <c r="L13" s="1">
        <f t="shared" ref="L13:M13" si="0">L12/M12-1</f>
        <v>0.16745152216493131</v>
      </c>
      <c r="M13" s="1">
        <f t="shared" si="0"/>
        <v>0.23606238840798532</v>
      </c>
    </row>
    <row r="14" spans="1:14" x14ac:dyDescent="0.35">
      <c r="I14" t="s">
        <v>4</v>
      </c>
      <c r="J14" s="2">
        <f>'TTM Calculation'!E5</f>
        <v>601763</v>
      </c>
      <c r="K14" s="2">
        <f>'TTM Calculation'!B5</f>
        <v>489173</v>
      </c>
    </row>
    <row r="15" spans="1:14" x14ac:dyDescent="0.35">
      <c r="I15" t="s">
        <v>19</v>
      </c>
      <c r="J15" s="1">
        <f>J14/K14-1</f>
        <v>0.23016397061980109</v>
      </c>
    </row>
    <row r="16" spans="1:14" x14ac:dyDescent="0.35">
      <c r="I16" t="s">
        <v>2</v>
      </c>
      <c r="J16" s="1">
        <f>J14/J12</f>
        <v>0.19318085510737637</v>
      </c>
      <c r="K16" s="1">
        <f>K14/K12</f>
        <v>0.17071080266075078</v>
      </c>
    </row>
    <row r="17" spans="9:11" x14ac:dyDescent="0.35">
      <c r="I17" t="s">
        <v>21</v>
      </c>
      <c r="J17" s="2">
        <f>'TTM Calculation'!E12</f>
        <v>971187</v>
      </c>
      <c r="K17" s="2">
        <f>'TTM Calculation'!B12</f>
        <v>103639</v>
      </c>
    </row>
    <row r="18" spans="9:11" x14ac:dyDescent="0.35">
      <c r="I18" t="s">
        <v>34</v>
      </c>
      <c r="J18" s="8">
        <f>J12/J17</f>
        <v>3.2074399677919905</v>
      </c>
      <c r="K18" s="2">
        <f>K12/K17</f>
        <v>27.648925597506729</v>
      </c>
    </row>
    <row r="19" spans="9:11" x14ac:dyDescent="0.35">
      <c r="I19" t="s">
        <v>40</v>
      </c>
      <c r="J19" s="2">
        <f>'TTM Calculation'!E6</f>
        <v>22199</v>
      </c>
      <c r="K19" s="2">
        <f>'TTM Calculation'!B6</f>
        <v>21255</v>
      </c>
    </row>
    <row r="20" spans="9:11" x14ac:dyDescent="0.35">
      <c r="I20" t="s">
        <v>8</v>
      </c>
      <c r="J20">
        <f>J19/J14</f>
        <v>3.6889938397674835E-2</v>
      </c>
      <c r="K20">
        <f>K19/K14</f>
        <v>4.3450885474055193E-2</v>
      </c>
    </row>
    <row r="21" spans="9:11" x14ac:dyDescent="0.35">
      <c r="I21" t="s">
        <v>52</v>
      </c>
      <c r="J21" s="2">
        <f>'TTM Calculation'!E9</f>
        <v>2571600</v>
      </c>
    </row>
    <row r="22" spans="9:11" x14ac:dyDescent="0.35">
      <c r="I22" t="s">
        <v>20</v>
      </c>
      <c r="J22" s="2">
        <f>'TTM Calculation'!E8</f>
        <v>266746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C0D-C6F8-493B-9E16-CECD4EB8B5A9}">
  <dimension ref="A1:L15"/>
  <sheetViews>
    <sheetView zoomScale="158" workbookViewId="0">
      <selection activeCell="G16" sqref="G16"/>
    </sheetView>
  </sheetViews>
  <sheetFormatPr defaultRowHeight="14.5" x14ac:dyDescent="0.35"/>
  <cols>
    <col min="1" max="1" width="21.54296875" customWidth="1"/>
    <col min="2" max="2" width="15.1796875" customWidth="1"/>
    <col min="3" max="3" width="9.08984375" bestFit="1" customWidth="1"/>
    <col min="5" max="6" width="9.08984375" bestFit="1" customWidth="1"/>
  </cols>
  <sheetData>
    <row r="1" spans="1:12" x14ac:dyDescent="0.35">
      <c r="A1" t="s">
        <v>22</v>
      </c>
    </row>
    <row r="2" spans="1:12" x14ac:dyDescent="0.35">
      <c r="H2" t="s">
        <v>83</v>
      </c>
    </row>
    <row r="3" spans="1:12" x14ac:dyDescent="0.35">
      <c r="B3" t="s">
        <v>23</v>
      </c>
      <c r="C3" t="s">
        <v>24</v>
      </c>
      <c r="D3" t="s">
        <v>25</v>
      </c>
      <c r="E3" t="s">
        <v>28</v>
      </c>
      <c r="F3" t="s">
        <v>84</v>
      </c>
      <c r="H3" t="s">
        <v>23</v>
      </c>
      <c r="I3" t="s">
        <v>24</v>
      </c>
      <c r="J3" t="s">
        <v>25</v>
      </c>
      <c r="K3" t="s">
        <v>28</v>
      </c>
      <c r="L3" t="s">
        <v>88</v>
      </c>
    </row>
    <row r="4" spans="1:12" x14ac:dyDescent="0.35">
      <c r="A4" t="s">
        <v>26</v>
      </c>
      <c r="B4" s="2">
        <v>2865507</v>
      </c>
      <c r="C4" s="2">
        <v>883855</v>
      </c>
      <c r="D4" s="2">
        <v>634338</v>
      </c>
      <c r="E4" s="2">
        <f>B4+C4-D4</f>
        <v>3115024</v>
      </c>
      <c r="G4" t="s">
        <v>87</v>
      </c>
      <c r="H4" s="2">
        <v>507878</v>
      </c>
      <c r="I4" s="2">
        <v>134889</v>
      </c>
      <c r="J4" s="2">
        <v>110040</v>
      </c>
      <c r="K4" s="2">
        <f t="shared" ref="K4" si="0">H4+I4-J4</f>
        <v>532727</v>
      </c>
      <c r="L4" s="2">
        <v>1</v>
      </c>
    </row>
    <row r="5" spans="1:12" x14ac:dyDescent="0.35">
      <c r="A5" t="s">
        <v>4</v>
      </c>
      <c r="B5" s="2">
        <v>489173</v>
      </c>
      <c r="C5" s="2">
        <v>223316</v>
      </c>
      <c r="D5" s="2">
        <v>110726</v>
      </c>
      <c r="E5" s="2">
        <f t="shared" ref="E5:E10" si="1">B5+C5-D5</f>
        <v>601763</v>
      </c>
    </row>
    <row r="6" spans="1:12" x14ac:dyDescent="0.35">
      <c r="A6" t="s">
        <v>29</v>
      </c>
      <c r="B6" s="2">
        <v>21255</v>
      </c>
      <c r="C6" s="2">
        <v>5599</v>
      </c>
      <c r="D6" s="2">
        <v>4655</v>
      </c>
      <c r="E6" s="2">
        <f t="shared" si="1"/>
        <v>22199</v>
      </c>
      <c r="H6" t="s">
        <v>85</v>
      </c>
      <c r="I6" t="s">
        <v>25</v>
      </c>
      <c r="J6" t="s">
        <v>86</v>
      </c>
      <c r="K6" t="s">
        <v>84</v>
      </c>
    </row>
    <row r="7" spans="1:12" x14ac:dyDescent="0.35">
      <c r="A7" t="s">
        <v>27</v>
      </c>
      <c r="B7" s="2">
        <v>5094407</v>
      </c>
      <c r="C7" s="2">
        <v>5518973</v>
      </c>
      <c r="D7" s="2">
        <v>3861172</v>
      </c>
      <c r="E7" s="2">
        <f t="shared" si="1"/>
        <v>6752208</v>
      </c>
      <c r="G7" t="s">
        <v>87</v>
      </c>
      <c r="H7" s="2">
        <v>404624</v>
      </c>
      <c r="I7" s="2">
        <v>110040</v>
      </c>
      <c r="J7" s="2">
        <v>90100</v>
      </c>
      <c r="K7" s="2">
        <f>H7-J7+I7</f>
        <v>424564</v>
      </c>
      <c r="L7" s="8">
        <v>0.5</v>
      </c>
    </row>
    <row r="8" spans="1:12" x14ac:dyDescent="0.35">
      <c r="A8" t="s">
        <v>20</v>
      </c>
      <c r="B8" s="2">
        <f>43993+195226</f>
        <v>239219</v>
      </c>
      <c r="C8">
        <f>44419+200177</f>
        <v>244596</v>
      </c>
      <c r="D8">
        <f>54056+163013</f>
        <v>217069</v>
      </c>
      <c r="E8" s="2">
        <f t="shared" si="1"/>
        <v>266746</v>
      </c>
    </row>
    <row r="9" spans="1:12" x14ac:dyDescent="0.35">
      <c r="A9" t="s">
        <v>30</v>
      </c>
      <c r="B9" s="2">
        <v>2098524</v>
      </c>
      <c r="C9" s="2">
        <v>993464</v>
      </c>
      <c r="D9" s="2">
        <v>520388</v>
      </c>
      <c r="E9" s="2">
        <f t="shared" si="1"/>
        <v>2571600</v>
      </c>
      <c r="F9" s="2"/>
      <c r="K9" t="s">
        <v>89</v>
      </c>
      <c r="L9">
        <f>K4*L4+K7*L7</f>
        <v>745009</v>
      </c>
    </row>
    <row r="10" spans="1:12" x14ac:dyDescent="0.35">
      <c r="A10" t="s">
        <v>31</v>
      </c>
      <c r="B10" s="2">
        <v>3131463</v>
      </c>
      <c r="C10" s="2">
        <v>4437225</v>
      </c>
      <c r="D10" s="2">
        <v>3347512</v>
      </c>
      <c r="E10" s="2">
        <f t="shared" si="1"/>
        <v>4221176</v>
      </c>
    </row>
    <row r="11" spans="1:12" x14ac:dyDescent="0.35">
      <c r="A11" t="s">
        <v>90</v>
      </c>
      <c r="B11" s="2"/>
      <c r="C11" s="2"/>
      <c r="D11" s="2"/>
      <c r="E11" s="2">
        <f>L9</f>
        <v>745009</v>
      </c>
    </row>
    <row r="12" spans="1:12" x14ac:dyDescent="0.35">
      <c r="A12" t="s">
        <v>21</v>
      </c>
      <c r="B12" s="2">
        <f>B7+B8-(B9+B10)</f>
        <v>103639</v>
      </c>
      <c r="C12" s="2">
        <f>C7+C8-(C9+C10)</f>
        <v>332880</v>
      </c>
      <c r="D12" s="2">
        <f>D7+D8-(D9+D10)</f>
        <v>210341</v>
      </c>
      <c r="E12" s="2">
        <f>E7+E8-(E9+E10)+E11</f>
        <v>971187</v>
      </c>
    </row>
    <row r="14" spans="1:12" x14ac:dyDescent="0.35">
      <c r="B14" s="11"/>
    </row>
    <row r="15" spans="1:12" x14ac:dyDescent="0.35">
      <c r="B15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85E8-FAB2-4065-AD7D-282F7DC96602}">
  <dimension ref="A1:O32"/>
  <sheetViews>
    <sheetView tabSelected="1" topLeftCell="A10" zoomScale="115" zoomScaleNormal="115" workbookViewId="0">
      <selection activeCell="C38" sqref="C38"/>
    </sheetView>
  </sheetViews>
  <sheetFormatPr defaultRowHeight="14.5" x14ac:dyDescent="0.35"/>
  <cols>
    <col min="1" max="1" width="12.453125" customWidth="1"/>
    <col min="2" max="2" width="18.54296875" customWidth="1"/>
    <col min="3" max="3" width="21.1796875" bestFit="1" customWidth="1"/>
    <col min="4" max="11" width="21.08984375" bestFit="1" customWidth="1"/>
    <col min="12" max="12" width="22.26953125" bestFit="1" customWidth="1"/>
    <col min="13" max="13" width="13.08984375" bestFit="1" customWidth="1"/>
  </cols>
  <sheetData>
    <row r="1" spans="1:15" x14ac:dyDescent="0.35">
      <c r="B1" t="s">
        <v>14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47</v>
      </c>
    </row>
    <row r="2" spans="1:15" x14ac:dyDescent="0.35">
      <c r="A2" t="s">
        <v>1</v>
      </c>
      <c r="B2" s="3">
        <f>Inputs!B3</f>
        <v>0.4</v>
      </c>
      <c r="C2" s="3">
        <f>B2</f>
        <v>0.4</v>
      </c>
      <c r="D2" s="3">
        <f t="shared" ref="D2:G2" si="0">C2</f>
        <v>0.4</v>
      </c>
      <c r="E2" s="3">
        <f t="shared" si="0"/>
        <v>0.4</v>
      </c>
      <c r="F2" s="3">
        <f t="shared" si="0"/>
        <v>0.4</v>
      </c>
      <c r="G2" s="3">
        <f t="shared" si="0"/>
        <v>0.4</v>
      </c>
      <c r="H2" s="3">
        <f>$G$2-($G$2-$M$2)/COLUMNS($H$2:$L$2)*(H$1-5)</f>
        <v>0.32600000000000001</v>
      </c>
      <c r="I2" s="3">
        <f t="shared" ref="I2:L2" si="1">$G$2-($G$2-$M$2)/COLUMNS($H$2:$L$2)*(I$1-5)</f>
        <v>0.252</v>
      </c>
      <c r="J2" s="3">
        <f t="shared" si="1"/>
        <v>0.17800000000000005</v>
      </c>
      <c r="K2" s="3">
        <f t="shared" si="1"/>
        <v>0.10400000000000004</v>
      </c>
      <c r="L2" s="3">
        <f t="shared" si="1"/>
        <v>3.0000000000000027E-2</v>
      </c>
      <c r="M2" s="3">
        <f>Inputs!B4</f>
        <v>0.03</v>
      </c>
      <c r="N2" t="s">
        <v>35</v>
      </c>
    </row>
    <row r="3" spans="1:15" x14ac:dyDescent="0.35">
      <c r="A3" t="s">
        <v>0</v>
      </c>
      <c r="B3" s="2">
        <f>Inputs!J12</f>
        <v>3115024</v>
      </c>
      <c r="C3">
        <f>B3*(1+C2)</f>
        <v>4361033.5999999996</v>
      </c>
      <c r="D3">
        <f t="shared" ref="D3:M3" si="2">C3*(1+D2)</f>
        <v>6105447.0399999991</v>
      </c>
      <c r="E3">
        <f t="shared" si="2"/>
        <v>8547625.8559999987</v>
      </c>
      <c r="F3">
        <f t="shared" si="2"/>
        <v>11966676.198399998</v>
      </c>
      <c r="G3">
        <f t="shared" si="2"/>
        <v>16753346.677759996</v>
      </c>
      <c r="H3">
        <f t="shared" si="2"/>
        <v>22214937.694709755</v>
      </c>
      <c r="I3">
        <f t="shared" si="2"/>
        <v>27813101.993776616</v>
      </c>
      <c r="J3">
        <f t="shared" si="2"/>
        <v>32763834.148668852</v>
      </c>
      <c r="K3">
        <f t="shared" si="2"/>
        <v>36171272.900130413</v>
      </c>
      <c r="L3">
        <f t="shared" si="2"/>
        <v>37256411.087134324</v>
      </c>
      <c r="M3">
        <f t="shared" si="2"/>
        <v>38374103.419748358</v>
      </c>
    </row>
    <row r="4" spans="1:15" x14ac:dyDescent="0.35">
      <c r="A4" t="s">
        <v>2</v>
      </c>
      <c r="B4" s="5">
        <f>B5/B3</f>
        <v>0.19318085510737637</v>
      </c>
      <c r="C4" s="6">
        <f>B4</f>
        <v>0.19318085510737637</v>
      </c>
      <c r="D4" s="6">
        <f t="shared" ref="D4:M4" si="3">C4</f>
        <v>0.19318085510737637</v>
      </c>
      <c r="E4" s="6">
        <f t="shared" si="3"/>
        <v>0.19318085510737637</v>
      </c>
      <c r="F4" s="6">
        <f t="shared" si="3"/>
        <v>0.19318085510737637</v>
      </c>
      <c r="G4" s="6">
        <f t="shared" si="3"/>
        <v>0.19318085510737637</v>
      </c>
      <c r="H4" s="6">
        <f>$G$4+($M$4-$G$4)/COLUMNS($H$4:$M$10)*(H1-5)</f>
        <v>0.21098404592281364</v>
      </c>
      <c r="I4" s="6">
        <f t="shared" ref="I4:L4" si="4">$G$4+($M$4-$G$4)/COLUMNS($H$4:$M$10)*(I1-5)</f>
        <v>0.22878723673825091</v>
      </c>
      <c r="J4" s="6">
        <f t="shared" si="4"/>
        <v>0.24659042755368818</v>
      </c>
      <c r="K4" s="6">
        <f t="shared" si="4"/>
        <v>0.26439361836912545</v>
      </c>
      <c r="L4" s="6">
        <f t="shared" si="4"/>
        <v>0.28219680918456269</v>
      </c>
      <c r="M4" s="6">
        <f>Inputs!B6</f>
        <v>0.3</v>
      </c>
    </row>
    <row r="5" spans="1:15" x14ac:dyDescent="0.35">
      <c r="A5" t="s">
        <v>4</v>
      </c>
      <c r="B5" s="11">
        <f>Inputs!J14</f>
        <v>601763</v>
      </c>
      <c r="C5" s="11">
        <f>C3*C4</f>
        <v>842468.19999999984</v>
      </c>
      <c r="D5" s="11">
        <f t="shared" ref="D5:M5" si="5">D3*D4</f>
        <v>1179455.4799999997</v>
      </c>
      <c r="E5" s="11">
        <f t="shared" si="5"/>
        <v>1651237.6719999998</v>
      </c>
      <c r="F5" s="11">
        <f t="shared" si="5"/>
        <v>2311732.7407999993</v>
      </c>
      <c r="G5" s="11">
        <f t="shared" si="5"/>
        <v>3236425.8371199989</v>
      </c>
      <c r="H5" s="11">
        <f t="shared" si="5"/>
        <v>4686997.4347530864</v>
      </c>
      <c r="I5" s="11">
        <f t="shared" si="5"/>
        <v>6363282.7502752887</v>
      </c>
      <c r="J5" s="11">
        <f t="shared" si="5"/>
        <v>8079247.8710183809</v>
      </c>
      <c r="K5" s="11">
        <f t="shared" si="5"/>
        <v>9563453.7230825704</v>
      </c>
      <c r="L5" s="11">
        <f t="shared" si="5"/>
        <v>10513640.330457671</v>
      </c>
      <c r="M5" s="11">
        <f t="shared" si="5"/>
        <v>11512231.025924508</v>
      </c>
    </row>
    <row r="6" spans="1:15" x14ac:dyDescent="0.35">
      <c r="A6" t="s">
        <v>5</v>
      </c>
      <c r="B6" s="4">
        <f>Inputs!B1</f>
        <v>3.6889938397674835E-2</v>
      </c>
      <c r="C6" s="6">
        <f>$B$6+($M$6-$B$6)/COLUMNS($C$6:$L$6)*C1</f>
        <v>5.820094455790735E-2</v>
      </c>
      <c r="D6" s="6">
        <f t="shared" ref="D6:L6" si="6">$B$6+($M$6-$B$6)/COLUMNS($C$6:$L$6)*D1</f>
        <v>7.9511950718139865E-2</v>
      </c>
      <c r="E6" s="6">
        <f t="shared" si="6"/>
        <v>0.10082295687837238</v>
      </c>
      <c r="F6" s="6">
        <f t="shared" si="6"/>
        <v>0.1221339630386049</v>
      </c>
      <c r="G6" s="6">
        <f t="shared" si="6"/>
        <v>0.14344496919883742</v>
      </c>
      <c r="H6" s="6">
        <f t="shared" si="6"/>
        <v>0.16475597535906994</v>
      </c>
      <c r="I6" s="6">
        <f t="shared" si="6"/>
        <v>0.18606698151930245</v>
      </c>
      <c r="J6" s="6">
        <f t="shared" si="6"/>
        <v>0.20737798767953497</v>
      </c>
      <c r="K6" s="6">
        <f t="shared" si="6"/>
        <v>0.22868899383976748</v>
      </c>
      <c r="L6" s="6">
        <f t="shared" si="6"/>
        <v>0.25</v>
      </c>
      <c r="M6" s="3">
        <v>0.25</v>
      </c>
    </row>
    <row r="7" spans="1:15" x14ac:dyDescent="0.35">
      <c r="A7" t="s">
        <v>6</v>
      </c>
      <c r="B7" s="11">
        <f>B5*(1-B6)</f>
        <v>579564</v>
      </c>
      <c r="C7" s="11">
        <f t="shared" ref="C7:M7" si="7">C5*(1-C6)</f>
        <v>793435.75499999989</v>
      </c>
      <c r="D7" s="11">
        <f t="shared" si="7"/>
        <v>1085674.6739999996</v>
      </c>
      <c r="E7" s="11">
        <f t="shared" si="7"/>
        <v>1484755.0073999998</v>
      </c>
      <c r="F7" s="11">
        <f t="shared" si="7"/>
        <v>2029391.6596799993</v>
      </c>
      <c r="G7" s="11">
        <f t="shared" si="7"/>
        <v>2772176.8325999989</v>
      </c>
      <c r="H7" s="11">
        <f t="shared" si="7"/>
        <v>3914786.6008848827</v>
      </c>
      <c r="I7" s="11">
        <f t="shared" si="7"/>
        <v>5179285.9363777209</v>
      </c>
      <c r="J7" s="11">
        <f t="shared" si="7"/>
        <v>6403789.7055624221</v>
      </c>
      <c r="K7" s="11">
        <f t="shared" si="7"/>
        <v>7376397.1135176392</v>
      </c>
      <c r="L7" s="11">
        <f t="shared" si="7"/>
        <v>7885230.2478432525</v>
      </c>
      <c r="M7" s="11">
        <f t="shared" si="7"/>
        <v>8634173.2694433816</v>
      </c>
    </row>
    <row r="8" spans="1:15" x14ac:dyDescent="0.35">
      <c r="A8" t="s">
        <v>7</v>
      </c>
      <c r="C8" s="7">
        <f>(C3-B3)/B18</f>
        <v>388474.79999999993</v>
      </c>
      <c r="D8" s="7">
        <f t="shared" ref="D8:M8" si="8">(D3-C3)/C18</f>
        <v>543864.71999999986</v>
      </c>
      <c r="E8" s="7">
        <f t="shared" si="8"/>
        <v>761410.60799999989</v>
      </c>
      <c r="F8" s="7">
        <f t="shared" si="8"/>
        <v>1065974.8511999999</v>
      </c>
      <c r="G8" s="7">
        <f t="shared" si="8"/>
        <v>1492364.7916799993</v>
      </c>
      <c r="H8" s="7">
        <f t="shared" si="8"/>
        <v>1702788.2273068801</v>
      </c>
      <c r="I8" s="7">
        <f t="shared" si="8"/>
        <v>1745368.379543094</v>
      </c>
      <c r="J8" s="7">
        <f t="shared" si="8"/>
        <v>1543515.1412359348</v>
      </c>
      <c r="K8" s="7">
        <f t="shared" si="8"/>
        <v>1062354.6459724547</v>
      </c>
      <c r="L8" s="7">
        <f t="shared" si="8"/>
        <v>338319.09494815028</v>
      </c>
      <c r="M8" s="7">
        <f t="shared" si="8"/>
        <v>348468.66779659683</v>
      </c>
    </row>
    <row r="9" spans="1:15" x14ac:dyDescent="0.35">
      <c r="A9" t="s">
        <v>3</v>
      </c>
      <c r="C9" s="11">
        <f>C7-C8</f>
        <v>404960.95499999996</v>
      </c>
      <c r="D9" s="11">
        <f t="shared" ref="D9:M9" si="9">D7-D8</f>
        <v>541809.95399999979</v>
      </c>
      <c r="E9" s="11">
        <f t="shared" si="9"/>
        <v>723344.39939999988</v>
      </c>
      <c r="F9" s="11">
        <f t="shared" si="9"/>
        <v>963416.80847999942</v>
      </c>
      <c r="G9" s="11">
        <f t="shared" si="9"/>
        <v>1279812.0409199996</v>
      </c>
      <c r="H9" s="11">
        <f t="shared" si="9"/>
        <v>2211998.3735780027</v>
      </c>
      <c r="I9" s="11">
        <f t="shared" si="9"/>
        <v>3433917.5568346269</v>
      </c>
      <c r="J9" s="11">
        <f t="shared" si="9"/>
        <v>4860274.5643264875</v>
      </c>
      <c r="K9" s="11">
        <f t="shared" si="9"/>
        <v>6314042.4675451843</v>
      </c>
      <c r="L9" s="11">
        <f t="shared" si="9"/>
        <v>7546911.1528951023</v>
      </c>
      <c r="M9" s="11">
        <f t="shared" si="9"/>
        <v>8285704.6016467847</v>
      </c>
    </row>
    <row r="11" spans="1:15" x14ac:dyDescent="0.35">
      <c r="A11" t="s">
        <v>42</v>
      </c>
      <c r="C11" s="6">
        <f>WACC!G2</f>
        <v>0.129361</v>
      </c>
      <c r="D11" s="6">
        <f>C11</f>
        <v>0.129361</v>
      </c>
      <c r="E11" s="6">
        <f t="shared" ref="E11:G11" si="10">D11</f>
        <v>0.129361</v>
      </c>
      <c r="F11" s="6">
        <f t="shared" si="10"/>
        <v>0.129361</v>
      </c>
      <c r="G11" s="6">
        <f t="shared" si="10"/>
        <v>0.129361</v>
      </c>
      <c r="H11" s="6">
        <f>$G$11-($G$11-$M$11)/COLUMNS($H$11:$L$11)*(H1-5)</f>
        <v>0.1147673</v>
      </c>
      <c r="I11" s="6">
        <f t="shared" ref="I11:L11" si="11">$G$11-($G$11-$M$11)/COLUMNS($H$11:$L$11)*(I1-5)</f>
        <v>0.1001736</v>
      </c>
      <c r="J11" s="6">
        <f t="shared" si="11"/>
        <v>8.55799E-2</v>
      </c>
      <c r="K11" s="6">
        <f t="shared" si="11"/>
        <v>7.0986199999999999E-2</v>
      </c>
      <c r="L11" s="6">
        <f t="shared" si="11"/>
        <v>5.6392499999999998E-2</v>
      </c>
      <c r="M11" s="6">
        <f>WACC!F13</f>
        <v>5.6392499999999998E-2</v>
      </c>
      <c r="O11" t="s">
        <v>44</v>
      </c>
    </row>
    <row r="12" spans="1:15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5" x14ac:dyDescent="0.35">
      <c r="A13" t="s">
        <v>45</v>
      </c>
      <c r="C13" s="6">
        <f>WACC!F5</f>
        <v>0.12580039830835194</v>
      </c>
      <c r="D13" s="6">
        <f>(1+C13)*(1+D11)-1</f>
        <v>0.27143506363391867</v>
      </c>
      <c r="E13" s="6">
        <f t="shared" ref="E13:M13" si="12">(1+D13)*(1+E11)-1</f>
        <v>0.43590917490066605</v>
      </c>
      <c r="F13" s="6">
        <f t="shared" si="12"/>
        <v>0.62165982167499112</v>
      </c>
      <c r="G13" s="6">
        <f t="shared" si="12"/>
        <v>0.83143935786668965</v>
      </c>
      <c r="H13" s="6">
        <f t="shared" si="12"/>
        <v>1.0416287080827833</v>
      </c>
      <c r="I13" s="6">
        <f t="shared" si="12"/>
        <v>1.2461460056347846</v>
      </c>
      <c r="J13" s="6">
        <f t="shared" si="12"/>
        <v>1.4383709561824087</v>
      </c>
      <c r="K13" s="6">
        <f t="shared" si="12"/>
        <v>1.6114616445521648</v>
      </c>
      <c r="L13" s="6">
        <f t="shared" si="12"/>
        <v>1.7587284953425728</v>
      </c>
      <c r="M13" s="6">
        <f t="shared" si="12"/>
        <v>1.914300092016179</v>
      </c>
    </row>
    <row r="14" spans="1:15" x14ac:dyDescent="0.35">
      <c r="A14" t="s">
        <v>43</v>
      </c>
      <c r="C14" s="11">
        <f>C9/(1+C13)</f>
        <v>359709.37264589849</v>
      </c>
      <c r="D14" s="11">
        <f t="shared" ref="D14" si="13">D9/(1+D13)</f>
        <v>426140.48447857017</v>
      </c>
      <c r="E14" s="11">
        <f t="shared" ref="E14" si="14">E9/(1+E13)</f>
        <v>503753.58834937436</v>
      </c>
      <c r="F14" s="11">
        <f t="shared" ref="F14" si="15">F9/(1+F13)</f>
        <v>594093.03702480521</v>
      </c>
      <c r="G14" s="11">
        <f t="shared" ref="G14" si="16">G9/(1+G13)</f>
        <v>698801.21087424888</v>
      </c>
      <c r="H14" s="11">
        <f t="shared" ref="H14" si="17">H9/(1+H13)</f>
        <v>1083447.918233481</v>
      </c>
      <c r="I14" s="11">
        <f t="shared" ref="I14" si="18">I9/(1+I13)</f>
        <v>1528804.2487977827</v>
      </c>
      <c r="J14" s="11">
        <f t="shared" ref="J14" si="19">J9/(1+J13)</f>
        <v>1993246.5780087409</v>
      </c>
      <c r="K14" s="11">
        <f t="shared" ref="K14" si="20">K9/(1+K13)</f>
        <v>2417819.3391111316</v>
      </c>
      <c r="L14" s="11">
        <f t="shared" ref="L14" si="21">L9/(1+L13)</f>
        <v>2735648.3849846716</v>
      </c>
      <c r="M14" s="11"/>
    </row>
    <row r="16" spans="1:15" x14ac:dyDescent="0.35">
      <c r="A16" t="s">
        <v>38</v>
      </c>
    </row>
    <row r="18" spans="1:12" x14ac:dyDescent="0.35">
      <c r="A18" t="s">
        <v>36</v>
      </c>
      <c r="B18">
        <f>B3/B19</f>
        <v>3.2074399677919905</v>
      </c>
      <c r="C18">
        <f>B18</f>
        <v>3.2074399677919905</v>
      </c>
      <c r="D18">
        <f t="shared" ref="D18:L18" si="22">C18</f>
        <v>3.2074399677919905</v>
      </c>
      <c r="E18">
        <f t="shared" si="22"/>
        <v>3.2074399677919905</v>
      </c>
      <c r="F18">
        <f t="shared" si="22"/>
        <v>3.2074399677919905</v>
      </c>
      <c r="G18">
        <f t="shared" si="22"/>
        <v>3.2074399677919905</v>
      </c>
      <c r="H18">
        <f t="shared" si="22"/>
        <v>3.2074399677919905</v>
      </c>
      <c r="I18">
        <f t="shared" si="22"/>
        <v>3.2074399677919905</v>
      </c>
      <c r="J18">
        <f t="shared" si="22"/>
        <v>3.2074399677919905</v>
      </c>
      <c r="K18">
        <f t="shared" si="22"/>
        <v>3.2074399677919905</v>
      </c>
      <c r="L18">
        <f t="shared" si="22"/>
        <v>3.2074399677919905</v>
      </c>
    </row>
    <row r="19" spans="1:12" s="9" customFormat="1" x14ac:dyDescent="0.35">
      <c r="A19" t="s">
        <v>37</v>
      </c>
      <c r="B19" s="9">
        <f>Inputs!J17</f>
        <v>971187</v>
      </c>
      <c r="C19" s="9">
        <f>B19+C8</f>
        <v>1359661.7999999998</v>
      </c>
      <c r="D19" s="9">
        <f t="shared" ref="D19:L19" si="23">C19+D8</f>
        <v>1903526.5199999996</v>
      </c>
      <c r="E19" s="9">
        <f t="shared" si="23"/>
        <v>2664937.1279999996</v>
      </c>
      <c r="F19" s="9">
        <f t="shared" si="23"/>
        <v>3730911.9791999995</v>
      </c>
      <c r="G19" s="9">
        <f t="shared" si="23"/>
        <v>5223276.7708799988</v>
      </c>
      <c r="H19" s="9">
        <f t="shared" si="23"/>
        <v>6926064.9981868789</v>
      </c>
      <c r="I19" s="9">
        <f t="shared" si="23"/>
        <v>8671433.3777299728</v>
      </c>
      <c r="J19" s="9">
        <f t="shared" si="23"/>
        <v>10214948.518965907</v>
      </c>
      <c r="K19" s="9">
        <f t="shared" si="23"/>
        <v>11277303.164938362</v>
      </c>
      <c r="L19" s="9">
        <f t="shared" si="23"/>
        <v>11615622.259886513</v>
      </c>
    </row>
    <row r="20" spans="1:12" x14ac:dyDescent="0.35">
      <c r="A20" t="s">
        <v>39</v>
      </c>
      <c r="C20" s="14">
        <f>C7/C19</f>
        <v>0.58355375947165689</v>
      </c>
      <c r="D20" s="14">
        <f t="shared" ref="D20:L20" si="24">D7/D19</f>
        <v>0.57034911917066433</v>
      </c>
      <c r="E20" s="14">
        <f t="shared" si="24"/>
        <v>0.55714447886967189</v>
      </c>
      <c r="F20" s="14">
        <f t="shared" si="24"/>
        <v>0.54393983856867922</v>
      </c>
      <c r="G20" s="14">
        <f t="shared" si="24"/>
        <v>0.53073519826768678</v>
      </c>
      <c r="H20" s="14">
        <f t="shared" si="24"/>
        <v>0.565225218346883</v>
      </c>
      <c r="I20" s="14">
        <f t="shared" si="24"/>
        <v>0.5972814079018578</v>
      </c>
      <c r="J20" s="14">
        <f t="shared" si="24"/>
        <v>0.62690376693261085</v>
      </c>
      <c r="K20" s="14">
        <f t="shared" si="24"/>
        <v>0.65409229543914238</v>
      </c>
      <c r="L20" s="14">
        <f t="shared" si="24"/>
        <v>0.67884699342145216</v>
      </c>
    </row>
    <row r="22" spans="1:12" x14ac:dyDescent="0.35">
      <c r="A22" t="s">
        <v>46</v>
      </c>
      <c r="B22" s="11">
        <f>SUM(C14:L14)</f>
        <v>12341464.162508706</v>
      </c>
    </row>
    <row r="23" spans="1:12" x14ac:dyDescent="0.35">
      <c r="A23" t="s">
        <v>15</v>
      </c>
      <c r="B23" s="11">
        <f>M9/(E23-M2)</f>
        <v>313941634.99656284</v>
      </c>
      <c r="D23" t="s">
        <v>67</v>
      </c>
      <c r="E23" s="6">
        <f>WACC!F13</f>
        <v>5.6392499999999998E-2</v>
      </c>
    </row>
    <row r="24" spans="1:12" x14ac:dyDescent="0.35">
      <c r="A24" t="s">
        <v>49</v>
      </c>
      <c r="B24" s="11">
        <f>B23/(1+M13)</f>
        <v>107724539.36937252</v>
      </c>
    </row>
    <row r="25" spans="1:12" x14ac:dyDescent="0.35">
      <c r="A25" t="s">
        <v>50</v>
      </c>
      <c r="B25" s="11">
        <f>SUM(B22,B24)</f>
        <v>120066003.53188123</v>
      </c>
      <c r="C25" t="s">
        <v>55</v>
      </c>
    </row>
    <row r="26" spans="1:12" x14ac:dyDescent="0.35">
      <c r="A26" t="s">
        <v>51</v>
      </c>
      <c r="B26" s="11">
        <f>'TTM Calculation'!E8</f>
        <v>266746</v>
      </c>
    </row>
    <row r="27" spans="1:12" x14ac:dyDescent="0.35">
      <c r="A27" t="s">
        <v>52</v>
      </c>
      <c r="B27" s="11">
        <f>'TTM Calculation'!E9</f>
        <v>2571600</v>
      </c>
      <c r="C27" s="2"/>
    </row>
    <row r="28" spans="1:12" x14ac:dyDescent="0.35">
      <c r="B28" s="11"/>
      <c r="C28" s="2"/>
    </row>
    <row r="29" spans="1:12" x14ac:dyDescent="0.35">
      <c r="A29" t="s">
        <v>82</v>
      </c>
      <c r="B29" s="11">
        <f>B25-B26+B27</f>
        <v>122370857.53188123</v>
      </c>
    </row>
    <row r="30" spans="1:12" x14ac:dyDescent="0.35">
      <c r="A30" t="s">
        <v>48</v>
      </c>
      <c r="B30" s="11">
        <v>2359663</v>
      </c>
      <c r="C30" s="2"/>
    </row>
    <row r="31" spans="1:12" x14ac:dyDescent="0.35">
      <c r="A31" t="s">
        <v>54</v>
      </c>
      <c r="B31" s="11">
        <f>B29/B30</f>
        <v>51.859463631832696</v>
      </c>
    </row>
    <row r="32" spans="1:12" x14ac:dyDescent="0.35">
      <c r="A3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1715-E734-4AEB-9094-A77C215F3A81}">
  <dimension ref="A1:F16"/>
  <sheetViews>
    <sheetView workbookViewId="0">
      <selection activeCell="B16" sqref="B16"/>
    </sheetView>
  </sheetViews>
  <sheetFormatPr defaultRowHeight="14.5" x14ac:dyDescent="0.35"/>
  <cols>
    <col min="2" max="2" width="10.81640625" bestFit="1" customWidth="1"/>
  </cols>
  <sheetData>
    <row r="1" spans="1:6" x14ac:dyDescent="0.35">
      <c r="A1" t="s">
        <v>73</v>
      </c>
    </row>
    <row r="2" spans="1:6" x14ac:dyDescent="0.35">
      <c r="C2" t="s">
        <v>75</v>
      </c>
      <c r="D2" t="s">
        <v>76</v>
      </c>
      <c r="E2" t="s">
        <v>77</v>
      </c>
    </row>
    <row r="3" spans="1:6" x14ac:dyDescent="0.35">
      <c r="B3" t="s">
        <v>74</v>
      </c>
      <c r="C3">
        <v>17.77</v>
      </c>
      <c r="D3">
        <v>13.77</v>
      </c>
      <c r="E3">
        <v>28.04</v>
      </c>
      <c r="F3">
        <f>AVERAGE(C3:E3)</f>
        <v>19.86</v>
      </c>
    </row>
    <row r="9" spans="1:6" x14ac:dyDescent="0.35">
      <c r="A9" t="s">
        <v>78</v>
      </c>
    </row>
    <row r="10" spans="1:6" x14ac:dyDescent="0.35">
      <c r="A10" t="s">
        <v>17</v>
      </c>
      <c r="B10" s="2">
        <f>Inputs!J12</f>
        <v>3115024</v>
      </c>
    </row>
    <row r="11" spans="1:6" x14ac:dyDescent="0.35">
      <c r="A11" t="s">
        <v>79</v>
      </c>
      <c r="B11">
        <f>B10*F3</f>
        <v>61864376.640000001</v>
      </c>
    </row>
    <row r="12" spans="1:6" x14ac:dyDescent="0.35">
      <c r="A12" t="s">
        <v>52</v>
      </c>
      <c r="B12" s="2">
        <f>Inputs!J21</f>
        <v>2571600</v>
      </c>
    </row>
    <row r="13" spans="1:6" x14ac:dyDescent="0.35">
      <c r="A13" t="s">
        <v>20</v>
      </c>
      <c r="B13" s="2">
        <f>Inputs!J22</f>
        <v>266746</v>
      </c>
    </row>
    <row r="14" spans="1:6" x14ac:dyDescent="0.35">
      <c r="A14" t="s">
        <v>53</v>
      </c>
      <c r="B14" s="2">
        <f>B11-B13+B12</f>
        <v>64169230.640000001</v>
      </c>
    </row>
    <row r="15" spans="1:6" x14ac:dyDescent="0.35">
      <c r="A15" t="s">
        <v>80</v>
      </c>
      <c r="B15" s="2">
        <f>Valuation!B30</f>
        <v>2359663</v>
      </c>
    </row>
    <row r="16" spans="1:6" x14ac:dyDescent="0.35">
      <c r="A16" t="s">
        <v>54</v>
      </c>
      <c r="B16">
        <f>B14/B15</f>
        <v>27.194235210705937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187-52CF-4595-AA07-789B9DB61219}">
  <dimension ref="A1:L16"/>
  <sheetViews>
    <sheetView workbookViewId="0">
      <selection activeCell="D24" sqref="D24"/>
    </sheetView>
  </sheetViews>
  <sheetFormatPr defaultRowHeight="14.5" x14ac:dyDescent="0.35"/>
  <cols>
    <col min="2" max="2" width="9.453125" bestFit="1" customWidth="1"/>
    <col min="6" max="6" width="9.453125" bestFit="1" customWidth="1"/>
  </cols>
  <sheetData>
    <row r="1" spans="1:12" x14ac:dyDescent="0.35">
      <c r="A1" t="s">
        <v>20</v>
      </c>
      <c r="B1" s="2">
        <f>Inputs!B11</f>
        <v>266746</v>
      </c>
    </row>
    <row r="2" spans="1:12" x14ac:dyDescent="0.35">
      <c r="A2" t="s">
        <v>56</v>
      </c>
      <c r="B2" s="2">
        <f>Inputs!B10</f>
        <v>6752208</v>
      </c>
      <c r="F2" t="s">
        <v>59</v>
      </c>
      <c r="G2" s="6">
        <f>B4+B3*(B5)</f>
        <v>0.129361</v>
      </c>
      <c r="I2" t="s">
        <v>63</v>
      </c>
      <c r="J2">
        <f>B2/SUM(B1:B2)</f>
        <v>0.96199633164713716</v>
      </c>
    </row>
    <row r="3" spans="1:12" x14ac:dyDescent="0.35">
      <c r="A3" t="s">
        <v>58</v>
      </c>
      <c r="B3">
        <v>1.97</v>
      </c>
      <c r="F3" t="s">
        <v>62</v>
      </c>
      <c r="G3" s="6">
        <f>B4+B6</f>
        <v>4.7560000000000005E-2</v>
      </c>
      <c r="I3" t="s">
        <v>64</v>
      </c>
      <c r="J3">
        <f>1-J2</f>
        <v>3.8003668352862841E-2</v>
      </c>
    </row>
    <row r="4" spans="1:12" ht="23.5" x14ac:dyDescent="0.35">
      <c r="A4" t="s">
        <v>60</v>
      </c>
      <c r="B4" s="13">
        <v>4.4060000000000002E-2</v>
      </c>
    </row>
    <row r="5" spans="1:12" x14ac:dyDescent="0.35">
      <c r="A5" t="s">
        <v>61</v>
      </c>
      <c r="B5" s="12">
        <v>4.3299999999999998E-2</v>
      </c>
      <c r="E5" t="s">
        <v>41</v>
      </c>
      <c r="F5" s="6">
        <f>J2*G2+G3*J3*(1-Inputs!B2)</f>
        <v>0.12580039830835194</v>
      </c>
    </row>
    <row r="6" spans="1:12" x14ac:dyDescent="0.35">
      <c r="A6" t="s">
        <v>65</v>
      </c>
      <c r="B6" s="6">
        <v>3.5000000000000001E-3</v>
      </c>
    </row>
    <row r="7" spans="1:12" x14ac:dyDescent="0.35">
      <c r="A7" t="s">
        <v>68</v>
      </c>
      <c r="B7" s="6">
        <v>0.02</v>
      </c>
    </row>
    <row r="9" spans="1:12" x14ac:dyDescent="0.35">
      <c r="F9" t="s">
        <v>69</v>
      </c>
    </row>
    <row r="10" spans="1:12" x14ac:dyDescent="0.35">
      <c r="F10" t="s">
        <v>70</v>
      </c>
      <c r="G10" s="6">
        <f>B7+B5</f>
        <v>6.3299999999999995E-2</v>
      </c>
      <c r="I10" t="s">
        <v>71</v>
      </c>
      <c r="J10">
        <v>0.75</v>
      </c>
    </row>
    <row r="11" spans="1:12" x14ac:dyDescent="0.35">
      <c r="F11" t="s">
        <v>62</v>
      </c>
      <c r="G11" s="6">
        <f>G3</f>
        <v>4.7560000000000005E-2</v>
      </c>
      <c r="I11" t="s">
        <v>72</v>
      </c>
      <c r="J11">
        <v>0.25</v>
      </c>
    </row>
    <row r="13" spans="1:12" x14ac:dyDescent="0.35">
      <c r="E13" t="s">
        <v>67</v>
      </c>
      <c r="F13" s="6">
        <f>G10*J10+G11*J11*(1-Inputs!B2)</f>
        <v>5.6392499999999998E-2</v>
      </c>
    </row>
    <row r="16" spans="1:12" x14ac:dyDescent="0.35">
      <c r="L16">
        <f>0.25/0.75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TTM Calculation</vt:lpstr>
      <vt:lpstr>Valuation</vt:lpstr>
      <vt:lpstr>Sheet2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Wolf</dc:creator>
  <cp:lastModifiedBy>Shachar Wolf</cp:lastModifiedBy>
  <dcterms:created xsi:type="dcterms:W3CDTF">2025-06-12T21:44:57Z</dcterms:created>
  <dcterms:modified xsi:type="dcterms:W3CDTF">2025-06-29T11:07:50Z</dcterms:modified>
</cp:coreProperties>
</file>