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data" sheetId="2" r:id="rId5"/>
    <sheet state="visible" name="Dropdowns" sheetId="3" r:id="rId6"/>
    <sheet state="visible" name="last7days" sheetId="4" r:id="rId7"/>
    <sheet state="visible" name="monthly_avg_slp_player" sheetId="5" r:id="rId8"/>
    <sheet state="visible" name="winrate_player" sheetId="6" r:id="rId9"/>
    <sheet state="visible" name="Hoja 3" sheetId="7" r:id="rId10"/>
    <sheet state="visible" name="Hoja 7" sheetId="8" r:id="rId11"/>
  </sheets>
  <definedNames/>
  <calcPr/>
</workbook>
</file>

<file path=xl/sharedStrings.xml><?xml version="1.0" encoding="utf-8"?>
<sst xmlns="http://schemas.openxmlformats.org/spreadsheetml/2006/main" count="230" uniqueCount="58">
  <si>
    <t>Titulo o nombre</t>
  </si>
  <si>
    <t>Résumen de los últimos 7 días</t>
  </si>
  <si>
    <t>Total SLP</t>
  </si>
  <si>
    <t>Rango de tiempo</t>
  </si>
  <si>
    <t>Résumen por mes</t>
  </si>
  <si>
    <t>TOTAL SLP</t>
  </si>
  <si>
    <t>-</t>
  </si>
  <si>
    <t>Desempeño de jugadores por mes</t>
  </si>
  <si>
    <t>Por jugador</t>
  </si>
  <si>
    <t>Yarfraz</t>
  </si>
  <si>
    <t>Marca temporal</t>
  </si>
  <si>
    <t>Nombre</t>
  </si>
  <si>
    <t>Fecha</t>
  </si>
  <si>
    <t>Victorias</t>
  </si>
  <si>
    <t>Derrotas</t>
  </si>
  <si>
    <t>SLP obtenido</t>
  </si>
  <si>
    <t>Trofeos obtenidos</t>
  </si>
  <si>
    <t>Mes</t>
  </si>
  <si>
    <t>Meses unicos</t>
  </si>
  <si>
    <t xml:space="preserve">Nombre </t>
  </si>
  <si>
    <t>Promedios de los ultimos 7 dias</t>
  </si>
  <si>
    <t>winrate de los ultimos 7 dias</t>
  </si>
  <si>
    <t>Promedio de SLP por Jugador</t>
  </si>
  <si>
    <t>formula dia</t>
  </si>
  <si>
    <t>winrate</t>
  </si>
  <si>
    <t>dic 99</t>
  </si>
  <si>
    <t>abr 54</t>
  </si>
  <si>
    <t>para el  query de la broma mensual</t>
  </si>
  <si>
    <t>date """&amp;text(B2, "yyyy-MM-dd")&amp;"""</t>
  </si>
  <si>
    <t>para jugador</t>
  </si>
  <si>
    <t>"""&amp;cell&amp;"""</t>
  </si>
  <si>
    <t>formula para lapso de tiempo</t>
  </si>
  <si>
    <t>QUERY(data!B:K; "select H, avg(F), sum(D) / (sum(D) + sum(E)) where B is not null and H &gt;= date """&amp;TEXTO(C3; "yyyy-MM-dd")&amp;""" and H &lt;= date """&amp;TEXTO(C4; "yyyy-MM-dd")&amp;""" group by H label avg(F) 'Promedio de SLP' , sum(D) / (sum(D) + sum(E)) 'Win rate' ")</t>
  </si>
  <si>
    <t>formula para jugador</t>
  </si>
  <si>
    <t>QUERY(data!B:K; "select H, avg(F), sum(D) / (sum(D) + sum(E)) 
where B is not null 
and H &gt;= date """&amp;TEXTO(C3; "yyyy-MM-dd")&amp;""" and H &lt;= date """&amp;TEXTO(C4; "yyyy-MM-dd")&amp;"""
and B """&amp;cell&amp;"""
group by H
label avg(F) 'Promedio de SLP' , sum(D) / (sum(D) + sum(E)) 'Win rate' ")</t>
  </si>
  <si>
    <t>may 00</t>
  </si>
  <si>
    <t>Contra</t>
  </si>
  <si>
    <t>axie</t>
  </si>
  <si>
    <t>carta</t>
  </si>
  <si>
    <t>sola</t>
  </si>
  <si>
    <t>en combo</t>
  </si>
  <si>
    <t>efecto</t>
  </si>
  <si>
    <t>PRD</t>
  </si>
  <si>
    <t>planta</t>
  </si>
  <si>
    <t>serius</t>
  </si>
  <si>
    <t>cactus</t>
  </si>
  <si>
    <t>carrot</t>
  </si>
  <si>
    <t>bestia</t>
  </si>
  <si>
    <t>ronin</t>
  </si>
  <si>
    <t>ivory</t>
  </si>
  <si>
    <t>goda</t>
  </si>
  <si>
    <t>pajaro</t>
  </si>
  <si>
    <t>dark swoop</t>
  </si>
  <si>
    <t>eggbomb</t>
  </si>
  <si>
    <t>cupid</t>
  </si>
  <si>
    <t>last one</t>
  </si>
  <si>
    <t>BAD</t>
  </si>
  <si>
    <t>BBM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</si>
</sst>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&quot; &quot;yy"/>
    <numFmt numFmtId="165" formatCode="0.0%"/>
    <numFmt numFmtId="166" formatCode="d/MM/yyyy"/>
    <numFmt numFmtId="167" formatCode="m/d/yyyy h:mm:ss"/>
    <numFmt numFmtId="168" formatCode="dd/mm/yyyy"/>
  </numFmts>
  <fonts count="15">
    <font>
      <sz val="10.0"/>
      <color rgb="FF000000"/>
      <name val="Arial"/>
    </font>
    <font>
      <sz val="12.0"/>
      <color theme="1"/>
      <name val="Open Sans"/>
    </font>
    <font>
      <color theme="1"/>
      <name val="Arial"/>
    </font>
    <font>
      <b/>
      <i/>
      <sz val="24.0"/>
      <color rgb="FFFFFFFF"/>
      <name val="Open Sans"/>
    </font>
    <font>
      <sz val="12.0"/>
      <color rgb="FF000000"/>
      <name val="Open Sans"/>
    </font>
    <font>
      <color rgb="FF000000"/>
      <name val="Arial"/>
    </font>
    <font>
      <sz val="12.0"/>
      <color rgb="FF000000"/>
      <name val="Arial"/>
    </font>
    <font>
      <b/>
      <sz val="18.0"/>
      <color rgb="FFFFFFFF"/>
      <name val="Open Sans"/>
    </font>
    <font>
      <b/>
      <sz val="14.0"/>
      <color rgb="FFFFFFFF"/>
      <name val="Open Sans"/>
    </font>
    <font/>
    <font>
      <sz val="12.0"/>
      <color rgb="FFFFFFFF"/>
      <name val="Open Sans"/>
    </font>
    <font>
      <b/>
      <sz val="12.0"/>
      <color rgb="FFFFFFFF"/>
      <name val="Open Sans"/>
    </font>
    <font>
      <sz val="11.0"/>
      <color rgb="FF000000"/>
      <name val="Inconsolata"/>
    </font>
    <font>
      <sz val="11.0"/>
      <color rgb="FF008000"/>
      <name val="Inconsolata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1D8A99"/>
        <bgColor rgb="FF1D8A99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3">
    <border/>
    <border>
      <left style="thick">
        <color rgb="FFFFFFFF"/>
      </left>
      <right style="thick">
        <color rgb="FFFFFFFF"/>
      </right>
      <top style="thick">
        <color rgb="FFFFFFFF"/>
      </top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right style="thick">
        <color rgb="FFFFFFFF"/>
      </right>
      <bottom style="thick">
        <color rgb="FFFFFFFF"/>
      </bottom>
    </border>
    <border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0"/>
    </xf>
    <xf borderId="0" fillId="2" fontId="1" numFmtId="2" xfId="0" applyAlignment="1" applyFont="1" applyNumberFormat="1">
      <alignment shrinkToFit="0" vertical="center" wrapText="1"/>
    </xf>
    <xf borderId="0" fillId="2" fontId="1" numFmtId="0" xfId="0" applyAlignment="1" applyFont="1">
      <alignment shrinkToFit="0" vertical="center" wrapText="1"/>
    </xf>
    <xf borderId="0" fillId="2" fontId="2" numFmtId="0" xfId="0" applyFont="1"/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2" fontId="3" numFmtId="0" xfId="0" applyAlignment="1" applyFont="1">
      <alignment readingOrder="0" shrinkToFit="0" vertical="center" wrapText="0"/>
    </xf>
    <xf borderId="0" fillId="2" fontId="4" numFmtId="2" xfId="0" applyAlignment="1" applyFont="1" applyNumberFormat="1">
      <alignment shrinkToFit="0" vertical="center" wrapText="1"/>
    </xf>
    <xf borderId="0" fillId="2" fontId="4" numFmtId="0" xfId="0" applyAlignment="1" applyFont="1">
      <alignment shrinkToFit="0" vertical="center" wrapText="1"/>
    </xf>
    <xf borderId="0" fillId="2" fontId="5" numFmtId="0" xfId="0" applyFont="1"/>
    <xf borderId="0" fillId="2" fontId="6" numFmtId="0" xfId="0" applyAlignment="1" applyFont="1">
      <alignment readingOrder="0"/>
    </xf>
    <xf borderId="0" fillId="2" fontId="4" numFmtId="0" xfId="0" applyAlignment="1" applyFont="1">
      <alignment readingOrder="0" shrinkToFit="0" vertical="center" wrapText="1"/>
    </xf>
    <xf borderId="0" fillId="2" fontId="4" numFmtId="0" xfId="0" applyAlignment="1" applyFont="1">
      <alignment readingOrder="0" shrinkToFit="0" vertical="center" wrapText="0"/>
    </xf>
    <xf borderId="0" fillId="2" fontId="7" numFmtId="0" xfId="0" applyAlignment="1" applyFont="1">
      <alignment readingOrder="0" shrinkToFit="0" vertical="center" wrapText="0"/>
    </xf>
    <xf borderId="0" fillId="2" fontId="8" numFmtId="0" xfId="0" applyAlignment="1" applyFont="1">
      <alignment horizontal="center" readingOrder="0"/>
    </xf>
    <xf borderId="0" fillId="2" fontId="8" numFmtId="0" xfId="0" applyAlignment="1" applyFont="1">
      <alignment horizontal="center"/>
    </xf>
    <xf borderId="0" fillId="0" fontId="4" numFmtId="0" xfId="0" applyAlignment="1" applyFont="1">
      <alignment readingOrder="0" shrinkToFit="0" vertical="center" wrapText="0"/>
    </xf>
    <xf borderId="0" fillId="0" fontId="4" numFmtId="2" xfId="0" applyAlignment="1" applyFont="1" applyNumberForma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4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shrinkToFit="0" vertical="center" wrapText="1"/>
    </xf>
    <xf borderId="0" fillId="3" fontId="5" numFmtId="0" xfId="0" applyFont="1"/>
    <xf borderId="1" fillId="2" fontId="8" numFmtId="0" xfId="0" applyAlignment="1" applyBorder="1" applyFont="1">
      <alignment readingOrder="0" shrinkToFit="0" vertical="center" wrapText="1"/>
    </xf>
    <xf borderId="2" fillId="2" fontId="8" numFmtId="164" xfId="0" applyAlignment="1" applyBorder="1" applyFont="1" applyNumberFormat="1">
      <alignment readingOrder="0"/>
    </xf>
    <xf borderId="3" fillId="0" fontId="9" numFmtId="0" xfId="0" applyBorder="1" applyFont="1"/>
    <xf borderId="4" fillId="2" fontId="8" numFmtId="164" xfId="0" applyAlignment="1" applyBorder="1" applyFont="1" applyNumberFormat="1">
      <alignment readingOrder="0"/>
    </xf>
    <xf borderId="0" fillId="2" fontId="1" numFmtId="0" xfId="0" applyFont="1"/>
    <xf borderId="0" fillId="2" fontId="10" numFmtId="0" xfId="0" applyFont="1"/>
    <xf borderId="0" fillId="2" fontId="4" numFmtId="0" xfId="0" applyFont="1"/>
    <xf borderId="0" fillId="2" fontId="7" numFmtId="0" xfId="0" applyAlignment="1" applyFont="1">
      <alignment readingOrder="0"/>
    </xf>
    <xf borderId="5" fillId="2" fontId="4" numFmtId="0" xfId="0" applyAlignment="1" applyBorder="1" applyFont="1">
      <alignment readingOrder="0" shrinkToFit="0" vertical="center" wrapText="1"/>
    </xf>
    <xf borderId="5" fillId="2" fontId="4" numFmtId="0" xfId="0" applyAlignment="1" applyBorder="1" applyFont="1">
      <alignment shrinkToFit="0" vertical="center" wrapText="1"/>
    </xf>
    <xf borderId="5" fillId="2" fontId="7" numFmtId="0" xfId="0" applyAlignment="1" applyBorder="1" applyFont="1">
      <alignment readingOrder="0" shrinkToFit="0" vertical="center" wrapText="0"/>
    </xf>
    <xf borderId="5" fillId="2" fontId="8" numFmtId="0" xfId="0" applyAlignment="1" applyBorder="1" applyFont="1">
      <alignment readingOrder="0" shrinkToFit="0" vertical="center" wrapText="0"/>
    </xf>
    <xf borderId="5" fillId="2" fontId="8" numFmtId="3" xfId="0" applyAlignment="1" applyBorder="1" applyFont="1" applyNumberFormat="1">
      <alignment horizontal="center" shrinkToFit="0" vertical="center" wrapText="1"/>
    </xf>
    <xf borderId="6" fillId="4" fontId="1" numFmtId="0" xfId="0" applyAlignment="1" applyBorder="1" applyFill="1" applyFont="1">
      <alignment horizontal="center" vertical="center"/>
    </xf>
    <xf borderId="7" fillId="4" fontId="1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vertical="center"/>
    </xf>
    <xf borderId="8" fillId="4" fontId="1" numFmtId="0" xfId="0" applyAlignment="1" applyBorder="1" applyFont="1">
      <alignment shrinkToFit="0" vertical="center" wrapText="1"/>
    </xf>
    <xf borderId="9" fillId="2" fontId="2" numFmtId="0" xfId="0" applyBorder="1" applyFont="1"/>
    <xf borderId="10" fillId="4" fontId="1" numFmtId="164" xfId="0" applyAlignment="1" applyBorder="1" applyFont="1" applyNumberFormat="1">
      <alignment horizontal="center" vertical="center"/>
    </xf>
    <xf borderId="0" fillId="4" fontId="1" numFmtId="3" xfId="0" applyAlignment="1" applyFont="1" applyNumberFormat="1">
      <alignment horizontal="center" vertical="center"/>
    </xf>
    <xf borderId="0" fillId="4" fontId="1" numFmtId="1" xfId="0" applyAlignment="1" applyFont="1" applyNumberFormat="1">
      <alignment horizontal="center" vertical="center"/>
    </xf>
    <xf borderId="11" fillId="4" fontId="1" numFmtId="0" xfId="0" applyAlignment="1" applyBorder="1" applyFont="1">
      <alignment horizontal="center" shrinkToFit="0" vertical="center" wrapText="1"/>
    </xf>
    <xf borderId="10" fillId="4" fontId="1" numFmtId="164" xfId="0" applyAlignment="1" applyBorder="1" applyFont="1" applyNumberFormat="1">
      <alignment horizontal="center" shrinkToFit="0" vertical="center" wrapText="1"/>
    </xf>
    <xf borderId="0" fillId="4" fontId="1" numFmtId="3" xfId="0" applyAlignment="1" applyFont="1" applyNumberFormat="1">
      <alignment horizontal="center" shrinkToFit="0" vertical="center" wrapText="1"/>
    </xf>
    <xf borderId="0" fillId="4" fontId="1" numFmtId="1" xfId="0" applyAlignment="1" applyFont="1" applyNumberFormat="1">
      <alignment horizontal="center" shrinkToFit="0" vertical="center" wrapText="1"/>
    </xf>
    <xf borderId="9" fillId="2" fontId="1" numFmtId="0" xfId="0" applyAlignment="1" applyBorder="1" applyFont="1">
      <alignment shrinkToFit="0" vertical="center" wrapText="1"/>
    </xf>
    <xf borderId="10" fillId="4" fontId="1" numFmtId="164" xfId="0" applyAlignment="1" applyBorder="1" applyFont="1" applyNumberFormat="1">
      <alignment horizontal="center" readingOrder="0" shrinkToFit="0" vertical="center" wrapText="1"/>
    </xf>
    <xf borderId="0" fillId="4" fontId="1" numFmtId="3" xfId="0" applyAlignment="1" applyFont="1" applyNumberFormat="1">
      <alignment horizontal="center" readingOrder="0" shrinkToFit="0" vertical="center" wrapText="1"/>
    </xf>
    <xf borderId="0" fillId="4" fontId="1" numFmtId="1" xfId="0" applyAlignment="1" applyFont="1" applyNumberFormat="1">
      <alignment horizontal="center" readingOrder="0" shrinkToFit="0" vertical="center" wrapText="1"/>
    </xf>
    <xf borderId="12" fillId="4" fontId="1" numFmtId="164" xfId="0" applyAlignment="1" applyBorder="1" applyFont="1" applyNumberFormat="1">
      <alignment horizontal="center" shrinkToFit="0" vertical="center" wrapText="1"/>
    </xf>
    <xf borderId="13" fillId="4" fontId="1" numFmtId="3" xfId="0" applyAlignment="1" applyBorder="1" applyFont="1" applyNumberFormat="1">
      <alignment horizontal="center" shrinkToFit="0" vertical="center" wrapText="1"/>
    </xf>
    <xf borderId="13" fillId="4" fontId="1" numFmtId="1" xfId="0" applyAlignment="1" applyBorder="1" applyFont="1" applyNumberFormat="1">
      <alignment horizontal="center" shrinkToFit="0" vertical="center" wrapText="1"/>
    </xf>
    <xf borderId="14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shrinkToFit="0" vertical="center" wrapText="1"/>
    </xf>
    <xf borderId="15" fillId="2" fontId="1" numFmtId="0" xfId="0" applyAlignment="1" applyBorder="1" applyFont="1">
      <alignment shrinkToFit="0" vertical="center" wrapText="1"/>
    </xf>
    <xf borderId="11" fillId="2" fontId="1" numFmtId="0" xfId="0" applyAlignment="1" applyBorder="1" applyFont="1">
      <alignment shrinkToFit="0" vertical="center" wrapText="1"/>
    </xf>
    <xf borderId="15" fillId="2" fontId="2" numFmtId="0" xfId="0" applyBorder="1" applyFont="1"/>
    <xf borderId="11" fillId="2" fontId="2" numFmtId="0" xfId="0" applyBorder="1" applyFont="1"/>
    <xf borderId="16" fillId="2" fontId="2" numFmtId="0" xfId="0" applyBorder="1" applyFont="1"/>
    <xf borderId="5" fillId="2" fontId="2" numFmtId="0" xfId="0" applyBorder="1" applyFont="1"/>
    <xf borderId="17" fillId="2" fontId="2" numFmtId="0" xfId="0" applyBorder="1" applyFont="1"/>
    <xf borderId="5" fillId="2" fontId="1" numFmtId="0" xfId="0" applyAlignment="1" applyBorder="1" applyFont="1">
      <alignment shrinkToFit="0" vertical="center" wrapText="1"/>
    </xf>
    <xf borderId="18" fillId="2" fontId="1" numFmtId="0" xfId="0" applyAlignment="1" applyBorder="1" applyFont="1">
      <alignment shrinkToFit="0" vertical="center" wrapText="1"/>
    </xf>
    <xf borderId="0" fillId="2" fontId="1" numFmtId="164" xfId="0" applyAlignment="1" applyFont="1" applyNumberFormat="1">
      <alignment shrinkToFit="0" vertical="center" wrapText="1"/>
    </xf>
    <xf borderId="0" fillId="2" fontId="1" numFmtId="3" xfId="0" applyAlignment="1" applyFont="1" applyNumberFormat="1">
      <alignment shrinkToFit="0" vertical="center" wrapText="1"/>
    </xf>
    <xf borderId="9" fillId="2" fontId="1" numFmtId="9" xfId="0" applyAlignment="1" applyBorder="1" applyFont="1" applyNumberFormat="1">
      <alignment shrinkToFit="0" vertical="center" wrapText="1"/>
    </xf>
    <xf borderId="0" fillId="2" fontId="1" numFmtId="164" xfId="0" applyAlignment="1" applyFont="1" applyNumberFormat="1">
      <alignment readingOrder="0" shrinkToFit="0" vertical="center" wrapText="1"/>
    </xf>
    <xf borderId="0" fillId="2" fontId="4" numFmtId="3" xfId="0" applyAlignment="1" applyFont="1" applyNumberFormat="1">
      <alignment shrinkToFit="0" vertical="center" wrapText="1"/>
    </xf>
    <xf borderId="0" fillId="2" fontId="2" numFmtId="164" xfId="0" applyFont="1" applyNumberFormat="1"/>
    <xf borderId="0" fillId="2" fontId="2" numFmtId="3" xfId="0" applyFont="1" applyNumberFormat="1"/>
    <xf borderId="19" fillId="2" fontId="1" numFmtId="3" xfId="0" applyAlignment="1" applyBorder="1" applyFont="1" applyNumberFormat="1">
      <alignment shrinkToFit="0" vertical="center" wrapText="1"/>
    </xf>
    <xf borderId="20" fillId="2" fontId="1" numFmtId="9" xfId="0" applyAlignment="1" applyBorder="1" applyFont="1" applyNumberFormat="1">
      <alignment shrinkToFit="0" vertical="center" wrapText="1"/>
    </xf>
    <xf borderId="0" fillId="2" fontId="11" numFmtId="0" xfId="0" applyAlignment="1" applyFont="1">
      <alignment readingOrder="0" shrinkToFit="0" vertical="center" wrapText="1"/>
    </xf>
    <xf borderId="0" fillId="2" fontId="11" numFmtId="0" xfId="0" applyAlignment="1" applyFont="1">
      <alignment horizontal="right" readingOrder="0" shrinkToFit="0" vertical="center" wrapText="0"/>
    </xf>
    <xf borderId="0" fillId="2" fontId="8" numFmtId="0" xfId="0" applyAlignment="1" applyFont="1">
      <alignment horizontal="center" readingOrder="0" shrinkToFit="0" vertical="center" wrapText="1"/>
    </xf>
    <xf borderId="0" fillId="2" fontId="8" numFmtId="3" xfId="0" applyAlignment="1" applyFont="1" applyNumberForma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21" fillId="2" fontId="1" numFmtId="0" xfId="0" applyAlignment="1" applyBorder="1" applyFont="1">
      <alignment shrinkToFit="0" vertical="center" wrapText="1"/>
    </xf>
    <xf borderId="22" fillId="2" fontId="1" numFmtId="0" xfId="0" applyAlignment="1" applyBorder="1" applyFont="1">
      <alignment shrinkToFit="0" vertical="center" wrapText="1"/>
    </xf>
    <xf borderId="11" fillId="4" fontId="1" numFmtId="165" xfId="0" applyAlignment="1" applyBorder="1" applyFont="1" applyNumberFormat="1">
      <alignment horizontal="center" shrinkToFit="0" vertical="center" wrapText="1"/>
    </xf>
    <xf borderId="14" fillId="4" fontId="1" numFmtId="165" xfId="0" applyAlignment="1" applyBorder="1" applyFont="1" applyNumberFormat="1">
      <alignment horizontal="center" shrinkToFit="0" vertical="center" wrapText="1"/>
    </xf>
    <xf borderId="0" fillId="0" fontId="2" numFmtId="0" xfId="0" applyFont="1"/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14" xfId="0" applyFont="1" applyNumberFormat="1"/>
    <xf borderId="0" fillId="0" fontId="2" numFmtId="168" xfId="0" applyAlignment="1" applyFont="1" applyNumberFormat="1">
      <alignment readingOrder="0"/>
    </xf>
    <xf borderId="0" fillId="0" fontId="2" numFmtId="166" xfId="0" applyFont="1" applyNumberFormat="1"/>
    <xf borderId="0" fillId="0" fontId="2" numFmtId="168" xfId="0" applyFont="1" applyNumberFormat="1"/>
    <xf borderId="0" fillId="4" fontId="12" numFmtId="0" xfId="0" applyFont="1"/>
    <xf borderId="0" fillId="0" fontId="2" numFmtId="9" xfId="0" applyFont="1" applyNumberFormat="1"/>
    <xf borderId="0" fillId="0" fontId="2" numFmtId="3" xfId="0" applyFont="1" applyNumberFormat="1"/>
    <xf borderId="0" fillId="0" fontId="1" numFmtId="0" xfId="0" applyAlignment="1" applyFont="1">
      <alignment readingOrder="0" shrinkToFit="0" vertical="center" wrapText="0"/>
    </xf>
    <xf borderId="0" fillId="0" fontId="2" numFmtId="3" xfId="0" applyAlignment="1" applyFont="1" applyNumberFormat="1">
      <alignment shrinkToFit="0" wrapText="0"/>
    </xf>
    <xf borderId="0" fillId="4" fontId="12" numFmtId="164" xfId="0" applyFont="1" applyNumberFormat="1"/>
    <xf borderId="0" fillId="0" fontId="2" numFmtId="164" xfId="0" applyFont="1" applyNumberFormat="1"/>
    <xf borderId="0" fillId="0" fontId="2" numFmtId="9" xfId="0" applyAlignment="1" applyFont="1" applyNumberFormat="1">
      <alignment shrinkToFit="0" wrapText="0"/>
    </xf>
    <xf borderId="0" fillId="0" fontId="1" numFmtId="0" xfId="0" applyAlignment="1" applyFont="1">
      <alignment readingOrder="0" shrinkToFit="0" vertical="center" wrapText="1"/>
    </xf>
    <xf borderId="0" fillId="4" fontId="12" numFmtId="0" xfId="0" applyAlignment="1" applyFont="1">
      <alignment horizontal="left" readingOrder="0"/>
    </xf>
    <xf borderId="0" fillId="4" fontId="13" numFmtId="0" xfId="0" applyAlignment="1" applyFont="1">
      <alignment horizontal="left"/>
    </xf>
    <xf borderId="0" fillId="0" fontId="2" numFmtId="0" xfId="0" applyAlignment="1" applyFont="1">
      <alignment horizontal="center" readingOrder="0" vertical="center"/>
    </xf>
    <xf borderId="0" fillId="4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000000"/>
                </a:solidFill>
                <a:latin typeface="Roboto"/>
              </a:defRPr>
            </a:pPr>
            <a:r>
              <a:rPr b="1" sz="1800">
                <a:solidFill>
                  <a:srgbClr val="000000"/>
                </a:solidFill>
                <a:latin typeface="Roboto"/>
              </a:rPr>
              <a:t>Promedio de producción diaria de SLP por mes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Dashboard!$D$41</c:f>
            </c:strRef>
          </c:tx>
          <c:spPr>
            <a:ln cmpd="sng">
              <a:solidFill>
                <a:srgbClr val="FF00FF"/>
              </a:solidFill>
            </a:ln>
          </c:spPr>
          <c:marker>
            <c:symbol val="circle"/>
            <c:size val="7"/>
            <c:spPr>
              <a:solidFill>
                <a:srgbClr val="FF00FF"/>
              </a:solidFill>
              <a:ln cmpd="sng">
                <a:solidFill>
                  <a:srgbClr val="FF00FF"/>
                </a:solidFill>
              </a:ln>
            </c:spPr>
          </c:marker>
          <c:cat>
            <c:strRef>
              <c:f>Dashboard!$C$42:$C$53</c:f>
            </c:strRef>
          </c:cat>
          <c:val>
            <c:numRef>
              <c:f>Dashboard!$D$42:$D$53</c:f>
              <c:numCache/>
            </c:numRef>
          </c:val>
          <c:smooth val="0"/>
        </c:ser>
        <c:axId val="860354231"/>
        <c:axId val="859858352"/>
      </c:lineChart>
      <c:catAx>
        <c:axId val="860354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>
          <a:ln>
            <a:solidFill/>
          </a:ln>
        </c:spPr>
        <c:txPr>
          <a:bodyPr rot="0"/>
          <a:lstStyle/>
          <a:p>
            <a:pPr lvl="0">
              <a:defRPr b="1" sz="1400">
                <a:solidFill>
                  <a:srgbClr val="000000"/>
                </a:solidFill>
                <a:latin typeface="Roboto"/>
              </a:defRPr>
            </a:pPr>
          </a:p>
        </c:txPr>
        <c:crossAx val="859858352"/>
      </c:catAx>
      <c:valAx>
        <c:axId val="859858352"/>
        <c:scaling>
          <c:orientation val="minMax"/>
          <c:min val="75.0"/>
        </c:scaling>
        <c:delete val="0"/>
        <c:axPos val="l"/>
        <c:majorGridlines>
          <c:spPr>
            <a:ln>
              <a:solidFill>
                <a:srgbClr val="B4A7D6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Roboto"/>
              </a:defRPr>
            </a:pPr>
          </a:p>
        </c:txPr>
        <c:crossAx val="8603542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b="1">
                <a:solidFill>
                  <a:srgbClr val="000000"/>
                </a:solidFill>
                <a:latin typeface="Roboto"/>
              </a:rPr>
              <a:t>Promedio de SLP diario por jugador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monthly_avg_slp_player!$C$3</c:f>
            </c:strRef>
          </c:tx>
          <c:spPr>
            <a:solidFill>
              <a:srgbClr val="B4A7D6"/>
            </a:solidFill>
            <a:ln cmpd="sng">
              <a:solidFill>
                <a:srgbClr val="000000"/>
              </a:solidFill>
            </a:ln>
          </c:spPr>
          <c:cat>
            <c:strRef>
              <c:f>monthly_avg_slp_player!$B$4:$B$50</c:f>
            </c:strRef>
          </c:cat>
          <c:val>
            <c:numRef>
              <c:f>monthly_avg_slp_player!$C$4:$C$50</c:f>
              <c:numCache/>
            </c:numRef>
          </c:val>
        </c:ser>
        <c:ser>
          <c:idx val="1"/>
          <c:order val="1"/>
          <c:tx>
            <c:strRef>
              <c:f>monthly_avg_slp_player!$D$3</c:f>
            </c:strRef>
          </c:tx>
          <c:cat>
            <c:strRef>
              <c:f>monthly_avg_slp_player!$B$4:$B$50</c:f>
            </c:strRef>
          </c:cat>
          <c:val>
            <c:numRef>
              <c:f>monthly_avg_slp_player!$D$4:$D$50</c:f>
              <c:numCache/>
            </c:numRef>
          </c:val>
        </c:ser>
        <c:ser>
          <c:idx val="2"/>
          <c:order val="2"/>
          <c:tx>
            <c:strRef>
              <c:f>monthly_avg_slp_player!$E$3</c:f>
            </c:strRef>
          </c:tx>
          <c:cat>
            <c:strRef>
              <c:f>monthly_avg_slp_player!$B$4:$B$50</c:f>
            </c:strRef>
          </c:cat>
          <c:val>
            <c:numRef>
              <c:f>monthly_avg_slp_player!$E$4:$E$50</c:f>
              <c:numCache/>
            </c:numRef>
          </c:val>
        </c:ser>
        <c:ser>
          <c:idx val="3"/>
          <c:order val="3"/>
          <c:tx>
            <c:strRef>
              <c:f>monthly_avg_slp_player!$F$3</c:f>
            </c:strRef>
          </c:tx>
          <c:cat>
            <c:strRef>
              <c:f>monthly_avg_slp_player!$B$4:$B$50</c:f>
            </c:strRef>
          </c:cat>
          <c:val>
            <c:numRef>
              <c:f>monthly_avg_slp_player!$F$4:$F$50</c:f>
              <c:numCache/>
            </c:numRef>
          </c:val>
        </c:ser>
        <c:ser>
          <c:idx val="4"/>
          <c:order val="4"/>
          <c:tx>
            <c:strRef>
              <c:f>monthly_avg_slp_player!$G$3</c:f>
            </c:strRef>
          </c:tx>
          <c:cat>
            <c:strRef>
              <c:f>monthly_avg_slp_player!$B$4:$B$50</c:f>
            </c:strRef>
          </c:cat>
          <c:val>
            <c:numRef>
              <c:f>monthly_avg_slp_player!$G$4:$G$50</c:f>
              <c:numCache/>
            </c:numRef>
          </c:val>
        </c:ser>
        <c:ser>
          <c:idx val="5"/>
          <c:order val="5"/>
          <c:tx>
            <c:strRef>
              <c:f>monthly_avg_slp_player!$H$3</c:f>
            </c:strRef>
          </c:tx>
          <c:cat>
            <c:strRef>
              <c:f>monthly_avg_slp_player!$B$4:$B$50</c:f>
            </c:strRef>
          </c:cat>
          <c:val>
            <c:numRef>
              <c:f>monthly_avg_slp_player!$H$4:$H$50</c:f>
              <c:numCache/>
            </c:numRef>
          </c:val>
        </c:ser>
        <c:ser>
          <c:idx val="6"/>
          <c:order val="6"/>
          <c:tx>
            <c:strRef>
              <c:f>monthly_avg_slp_player!$I$3</c:f>
            </c:strRef>
          </c:tx>
          <c:cat>
            <c:strRef>
              <c:f>monthly_avg_slp_player!$B$4:$B$50</c:f>
            </c:strRef>
          </c:cat>
          <c:val>
            <c:numRef>
              <c:f>monthly_avg_slp_player!$I$4:$I$50</c:f>
              <c:numCache/>
            </c:numRef>
          </c:val>
        </c:ser>
        <c:ser>
          <c:idx val="7"/>
          <c:order val="7"/>
          <c:tx>
            <c:strRef>
              <c:f>monthly_avg_slp_player!$J$3</c:f>
            </c:strRef>
          </c:tx>
          <c:cat>
            <c:strRef>
              <c:f>monthly_avg_slp_player!$B$4:$B$50</c:f>
            </c:strRef>
          </c:cat>
          <c:val>
            <c:numRef>
              <c:f>monthly_avg_slp_player!$J$4:$J$50</c:f>
              <c:numCache/>
            </c:numRef>
          </c:val>
        </c:ser>
        <c:ser>
          <c:idx val="8"/>
          <c:order val="8"/>
          <c:tx>
            <c:strRef>
              <c:f>monthly_avg_slp_player!$K$3</c:f>
            </c:strRef>
          </c:tx>
          <c:cat>
            <c:strRef>
              <c:f>monthly_avg_slp_player!$B$4:$B$50</c:f>
            </c:strRef>
          </c:cat>
          <c:val>
            <c:numRef>
              <c:f>monthly_avg_slp_player!$K$4:$K$50</c:f>
              <c:numCache/>
            </c:numRef>
          </c:val>
        </c:ser>
        <c:ser>
          <c:idx val="9"/>
          <c:order val="9"/>
          <c:tx>
            <c:strRef>
              <c:f>monthly_avg_slp_player!$L$3</c:f>
            </c:strRef>
          </c:tx>
          <c:cat>
            <c:strRef>
              <c:f>monthly_avg_slp_player!$B$4:$B$50</c:f>
            </c:strRef>
          </c:cat>
          <c:val>
            <c:numRef>
              <c:f>monthly_avg_slp_player!$L$4:$L$50</c:f>
              <c:numCache/>
            </c:numRef>
          </c:val>
        </c:ser>
        <c:ser>
          <c:idx val="10"/>
          <c:order val="10"/>
          <c:tx>
            <c:strRef>
              <c:f>monthly_avg_slp_player!$M$3</c:f>
            </c:strRef>
          </c:tx>
          <c:cat>
            <c:strRef>
              <c:f>monthly_avg_slp_player!$B$4:$B$50</c:f>
            </c:strRef>
          </c:cat>
          <c:val>
            <c:numRef>
              <c:f>monthly_avg_slp_player!$M$4:$M$50</c:f>
              <c:numCache/>
            </c:numRef>
          </c:val>
        </c:ser>
        <c:axId val="962974040"/>
        <c:axId val="1921277172"/>
      </c:barChart>
      <c:catAx>
        <c:axId val="962974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>
          <a:ln>
            <a:solidFill/>
          </a:ln>
        </c:spPr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</a:p>
        </c:txPr>
        <c:crossAx val="1921277172"/>
      </c:catAx>
      <c:valAx>
        <c:axId val="1921277172"/>
        <c:scaling>
          <c:orientation val="minMax"/>
          <c:min val="75.0"/>
        </c:scaling>
        <c:delete val="0"/>
        <c:axPos val="l"/>
        <c:majorGridlines>
          <c:spPr>
            <a:ln>
              <a:solidFill>
                <a:srgbClr val="D5A6BD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400">
                <a:solidFill>
                  <a:srgbClr val="000000"/>
                </a:solidFill>
                <a:latin typeface="+mn-lt"/>
              </a:defRPr>
            </a:pPr>
          </a:p>
        </c:txPr>
        <c:crossAx val="962974040"/>
      </c:valAx>
    </c:plotArea>
    <c:legend>
      <c:legendPos val="t"/>
      <c:overlay val="0"/>
      <c:txPr>
        <a:bodyPr/>
        <a:lstStyle/>
        <a:p>
          <a:pPr lvl="0">
            <a:defRPr b="1" sz="140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b="1">
                <a:solidFill>
                  <a:srgbClr val="000000"/>
                </a:solidFill>
                <a:latin typeface="Roboto"/>
              </a:rPr>
              <a:t>Winrate de jugadores por 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winrate_player!$C$1</c:f>
            </c:strRef>
          </c:tx>
          <c:spPr>
            <a:solidFill>
              <a:srgbClr val="B4A7D6"/>
            </a:solidFill>
            <a:ln cmpd="sng">
              <a:solidFill>
                <a:srgbClr val="000000"/>
              </a:solidFill>
            </a:ln>
          </c:spPr>
          <c:dPt>
            <c:idx val="1"/>
          </c:dPt>
          <c:cat>
            <c:strRef>
              <c:f>winrate_player!$B$2:$B$1000</c:f>
            </c:strRef>
          </c:cat>
          <c:val>
            <c:numRef>
              <c:f>winrate_player!$C$2:$C$1000</c:f>
              <c:numCache/>
            </c:numRef>
          </c:val>
        </c:ser>
        <c:ser>
          <c:idx val="1"/>
          <c:order val="1"/>
          <c:tx>
            <c:strRef>
              <c:f>winrate_player!$D$1</c:f>
            </c:strRef>
          </c:tx>
          <c:cat>
            <c:strRef>
              <c:f>winrate_player!$B$2:$B$1000</c:f>
            </c:strRef>
          </c:cat>
          <c:val>
            <c:numRef>
              <c:f>winrate_player!$D$2:$D$1000</c:f>
              <c:numCache/>
            </c:numRef>
          </c:val>
        </c:ser>
        <c:ser>
          <c:idx val="2"/>
          <c:order val="2"/>
          <c:tx>
            <c:strRef>
              <c:f>winrate_player!$E$1</c:f>
            </c:strRef>
          </c:tx>
          <c:cat>
            <c:strRef>
              <c:f>winrate_player!$B$2:$B$1000</c:f>
            </c:strRef>
          </c:cat>
          <c:val>
            <c:numRef>
              <c:f>winrate_player!$E$2:$E$1000</c:f>
              <c:numCache/>
            </c:numRef>
          </c:val>
        </c:ser>
        <c:ser>
          <c:idx val="3"/>
          <c:order val="3"/>
          <c:tx>
            <c:strRef>
              <c:f>winrate_player!$F$1</c:f>
            </c:strRef>
          </c:tx>
          <c:cat>
            <c:strRef>
              <c:f>winrate_player!$B$2:$B$1000</c:f>
            </c:strRef>
          </c:cat>
          <c:val>
            <c:numRef>
              <c:f>winrate_player!$F$2:$F$1000</c:f>
              <c:numCache/>
            </c:numRef>
          </c:val>
        </c:ser>
        <c:ser>
          <c:idx val="4"/>
          <c:order val="4"/>
          <c:tx>
            <c:strRef>
              <c:f>winrate_player!$G$1</c:f>
            </c:strRef>
          </c:tx>
          <c:cat>
            <c:strRef>
              <c:f>winrate_player!$B$2:$B$1000</c:f>
            </c:strRef>
          </c:cat>
          <c:val>
            <c:numRef>
              <c:f>winrate_player!$G$2:$G$1000</c:f>
              <c:numCache/>
            </c:numRef>
          </c:val>
        </c:ser>
        <c:ser>
          <c:idx val="5"/>
          <c:order val="5"/>
          <c:tx>
            <c:strRef>
              <c:f>winrate_player!$I$1</c:f>
            </c:strRef>
          </c:tx>
          <c:cat>
            <c:strRef>
              <c:f>winrate_player!$B$2:$B$1000</c:f>
            </c:strRef>
          </c:cat>
          <c:val>
            <c:numRef>
              <c:f>winrate_player!$I$2:$I$1000</c:f>
              <c:numCache/>
            </c:numRef>
          </c:val>
        </c:ser>
        <c:ser>
          <c:idx val="6"/>
          <c:order val="6"/>
          <c:tx>
            <c:strRef>
              <c:f>winrate_player!$H$1</c:f>
            </c:strRef>
          </c:tx>
          <c:cat>
            <c:strRef>
              <c:f>winrate_player!$B$2:$B$1000</c:f>
            </c:strRef>
          </c:cat>
          <c:val>
            <c:numRef>
              <c:f>winrate_player!$H$2:$H$1000</c:f>
              <c:numCache/>
            </c:numRef>
          </c:val>
        </c:ser>
        <c:ser>
          <c:idx val="7"/>
          <c:order val="7"/>
          <c:tx>
            <c:strRef>
              <c:f>winrate_player!$M$1</c:f>
            </c:strRef>
          </c:tx>
          <c:cat>
            <c:strRef>
              <c:f>winrate_player!$B$2:$B$1000</c:f>
            </c:strRef>
          </c:cat>
          <c:val>
            <c:numRef>
              <c:f>winrate_player!$M$2:$M$1000</c:f>
              <c:numCache/>
            </c:numRef>
          </c:val>
        </c:ser>
        <c:ser>
          <c:idx val="8"/>
          <c:order val="8"/>
          <c:tx>
            <c:strRef>
              <c:f>winrate_player!$L$1</c:f>
            </c:strRef>
          </c:tx>
          <c:cat>
            <c:strRef>
              <c:f>winrate_player!$B$2:$B$1000</c:f>
            </c:strRef>
          </c:cat>
          <c:val>
            <c:numRef>
              <c:f>winrate_player!$L$2:$L$1000</c:f>
              <c:numCache/>
            </c:numRef>
          </c:val>
        </c:ser>
        <c:ser>
          <c:idx val="9"/>
          <c:order val="9"/>
          <c:tx>
            <c:strRef>
              <c:f>winrate_player!$K$1</c:f>
            </c:strRef>
          </c:tx>
          <c:cat>
            <c:strRef>
              <c:f>winrate_player!$B$2:$B$1000</c:f>
            </c:strRef>
          </c:cat>
          <c:val>
            <c:numRef>
              <c:f>winrate_player!$K$2:$K$1000</c:f>
              <c:numCache/>
            </c:numRef>
          </c:val>
        </c:ser>
        <c:axId val="1949415663"/>
        <c:axId val="1038759922"/>
      </c:barChart>
      <c:catAx>
        <c:axId val="1949415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</a:p>
        </c:txPr>
        <c:crossAx val="1038759922"/>
      </c:catAx>
      <c:valAx>
        <c:axId val="1038759922"/>
        <c:scaling>
          <c:orientation val="minMax"/>
          <c:min val="20.0"/>
        </c:scaling>
        <c:delete val="0"/>
        <c:axPos val="l"/>
        <c:majorGridlines>
          <c:spPr>
            <a:ln>
              <a:solidFill>
                <a:srgbClr val="D5A6BD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</a:p>
        </c:txPr>
        <c:crossAx val="1949415663"/>
      </c:valAx>
    </c:plotArea>
    <c:legend>
      <c:legendPos val="t"/>
      <c:overlay val="0"/>
      <c:txPr>
        <a:bodyPr/>
        <a:lstStyle/>
        <a:p>
          <a:pPr lvl="0">
            <a:defRPr b="1" sz="140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b="1">
                <a:solidFill>
                  <a:srgbClr val="000000"/>
                </a:solidFill>
                <a:latin typeface="Roboto"/>
              </a:rPr>
              <a:t>Total de SLP por 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Dashboard!$E$41</c:f>
            </c:strRef>
          </c:tx>
          <c:spPr>
            <a:solidFill>
              <a:srgbClr val="FF00FF"/>
            </a:solidFill>
            <a:ln cmpd="sng" w="19050">
              <a:solidFill>
                <a:srgbClr val="00B3E4">
                  <a:alpha val="100000"/>
                </a:srgbClr>
              </a:solidFill>
              <a:prstDash val="solid"/>
            </a:ln>
          </c:spPr>
          <c:cat>
            <c:strRef>
              <c:f>Dashboard!$C$42:$C$53</c:f>
            </c:strRef>
          </c:cat>
          <c:val>
            <c:numRef>
              <c:f>Dashboard!$E$42:$E$53</c:f>
              <c:numCache/>
            </c:numRef>
          </c:val>
        </c:ser>
        <c:axId val="1976819117"/>
        <c:axId val="356590843"/>
      </c:barChart>
      <c:catAx>
        <c:axId val="19768191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Roboto"/>
              </a:defRPr>
            </a:pPr>
          </a:p>
        </c:txPr>
        <c:crossAx val="356590843"/>
      </c:catAx>
      <c:valAx>
        <c:axId val="356590843"/>
        <c:scaling>
          <c:orientation val="minMax"/>
          <c:min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</a:p>
        </c:txPr>
        <c:crossAx val="19768191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b="1">
                <a:solidFill>
                  <a:srgbClr val="000000"/>
                </a:solidFill>
                <a:latin typeface="Roboto"/>
              </a:rPr>
              <a:t>Mínimo y máximo de trofeos por 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Dashboard!$F$41</c:f>
            </c:strRef>
          </c:tx>
          <c:spPr>
            <a:solidFill>
              <a:srgbClr val="BF9000"/>
            </a:solidFill>
            <a:ln cmpd="sng">
              <a:solidFill>
                <a:srgbClr val="FFD966">
                  <a:alpha val="100000"/>
                </a:srgbClr>
              </a:solidFill>
            </a:ln>
          </c:spPr>
          <c:cat>
            <c:strRef>
              <c:f>Dashboard!$C$42:$C$53</c:f>
            </c:strRef>
          </c:cat>
          <c:val>
            <c:numRef>
              <c:f>Dashboard!$F$42:$F$53</c:f>
              <c:numCache/>
            </c:numRef>
          </c:val>
        </c:ser>
        <c:ser>
          <c:idx val="1"/>
          <c:order val="1"/>
          <c:tx>
            <c:strRef>
              <c:f>Dashboard!$G$41</c:f>
            </c:strRef>
          </c:tx>
          <c:spPr>
            <a:solidFill>
              <a:srgbClr val="FFD966"/>
            </a:solidFill>
            <a:ln cmpd="sng">
              <a:solidFill>
                <a:srgbClr val="BF9000">
                  <a:alpha val="100000"/>
                </a:srgbClr>
              </a:solidFill>
            </a:ln>
          </c:spPr>
          <c:cat>
            <c:strRef>
              <c:f>Dashboard!$C$42:$C$53</c:f>
            </c:strRef>
          </c:cat>
          <c:val>
            <c:numRef>
              <c:f>Dashboard!$G$42:$G$53</c:f>
              <c:numCache/>
            </c:numRef>
          </c:val>
        </c:ser>
        <c:axId val="274697266"/>
        <c:axId val="638322598"/>
      </c:barChart>
      <c:catAx>
        <c:axId val="2746972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Roboto"/>
              </a:defRPr>
            </a:pPr>
          </a:p>
        </c:txPr>
        <c:crossAx val="638322598"/>
      </c:catAx>
      <c:valAx>
        <c:axId val="638322598"/>
        <c:scaling>
          <c:orientation val="minMax"/>
          <c:min val="7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Roboto"/>
              </a:defRPr>
            </a:pPr>
          </a:p>
        </c:txPr>
        <c:crossAx val="2746972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b="1">
                <a:solidFill>
                  <a:srgbClr val="000000"/>
                </a:solidFill>
                <a:latin typeface="Roboto"/>
              </a:rPr>
              <a:t>Promedio de SLP hecho por día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Dashboard!$D$104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FF"/>
              </a:solidFill>
              <a:ln cmpd="sng">
                <a:solidFill>
                  <a:srgbClr val="FF00FF"/>
                </a:solidFill>
              </a:ln>
            </c:spPr>
          </c:marker>
          <c:xVal>
            <c:numRef>
              <c:f>Dashboard!$C$105:$C$118</c:f>
            </c:numRef>
          </c:xVal>
          <c:yVal>
            <c:numRef>
              <c:f>Dashboard!$D$105:$D$118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333406"/>
        <c:axId val="1242155119"/>
      </c:scatterChart>
      <c:valAx>
        <c:axId val="4113334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Roboto"/>
              </a:defRPr>
            </a:pPr>
          </a:p>
        </c:txPr>
        <c:crossAx val="1242155119"/>
      </c:valAx>
      <c:valAx>
        <c:axId val="1242155119"/>
        <c:scaling>
          <c:orientation val="minMax"/>
          <c:min val="7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Roboto"/>
              </a:defRPr>
            </a:pPr>
          </a:p>
        </c:txPr>
        <c:crossAx val="4113334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b="1">
                <a:solidFill>
                  <a:srgbClr val="000000"/>
                </a:solidFill>
                <a:latin typeface="Roboto"/>
              </a:rPr>
              <a:t>Producción de SLP Mensual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Dashboard!$E$104</c:f>
            </c:strRef>
          </c:tx>
          <c:spPr>
            <a:solidFill>
              <a:srgbClr val="FF00FF"/>
            </a:solidFill>
            <a:ln cmpd="sng" w="76200">
              <a:solidFill>
                <a:srgbClr val="CFE2F3">
                  <a:alpha val="100000"/>
                </a:srgbClr>
              </a:solidFill>
              <a:prstDash val="solid"/>
            </a:ln>
          </c:spPr>
          <c:cat>
            <c:strRef>
              <c:f>Dashboard!$C$105:$C$118</c:f>
            </c:strRef>
          </c:cat>
          <c:val>
            <c:numRef>
              <c:f>Dashboard!$E$105:$E$118</c:f>
              <c:numCache/>
            </c:numRef>
          </c:val>
        </c:ser>
        <c:axId val="989732370"/>
        <c:axId val="2129229920"/>
      </c:barChart>
      <c:catAx>
        <c:axId val="9897323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>
          <a:ln>
            <a:solidFill/>
          </a:ln>
        </c:spPr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Roboto"/>
              </a:defRPr>
            </a:pPr>
          </a:p>
        </c:txPr>
        <c:crossAx val="2129229920"/>
      </c:catAx>
      <c:valAx>
        <c:axId val="2129229920"/>
        <c:scaling>
          <c:orientation val="minMax"/>
          <c:min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</a:p>
        </c:txPr>
        <c:crossAx val="9897323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b="1">
                <a:solidFill>
                  <a:srgbClr val="000000"/>
                </a:solidFill>
                <a:latin typeface="Roboto"/>
              </a:rPr>
              <a:t>Mínimo y máximo de trofeos por 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Dashboard!$F$104</c:f>
            </c:strRef>
          </c:tx>
          <c:spPr>
            <a:solidFill>
              <a:srgbClr val="BF9000"/>
            </a:solidFill>
            <a:ln cmpd="sng" w="19050">
              <a:solidFill>
                <a:srgbClr val="FFD966">
                  <a:alpha val="100000"/>
                </a:srgbClr>
              </a:solidFill>
            </a:ln>
          </c:spPr>
          <c:cat>
            <c:strRef>
              <c:f>Dashboard!$C$105:$C$118</c:f>
            </c:strRef>
          </c:cat>
          <c:val>
            <c:numRef>
              <c:f>Dashboard!$F$105:$F$118</c:f>
              <c:numCache/>
            </c:numRef>
          </c:val>
        </c:ser>
        <c:ser>
          <c:idx val="1"/>
          <c:order val="1"/>
          <c:tx>
            <c:strRef>
              <c:f>Dashboard!$G$104</c:f>
            </c:strRef>
          </c:tx>
          <c:spPr>
            <a:solidFill>
              <a:srgbClr val="FFD966"/>
            </a:solidFill>
            <a:ln cmpd="sng">
              <a:solidFill>
                <a:srgbClr val="BF9000">
                  <a:alpha val="100000"/>
                </a:srgbClr>
              </a:solidFill>
            </a:ln>
          </c:spPr>
          <c:cat>
            <c:strRef>
              <c:f>Dashboard!$C$105:$C$118</c:f>
            </c:strRef>
          </c:cat>
          <c:val>
            <c:numRef>
              <c:f>Dashboard!$G$105:$G$118</c:f>
              <c:numCache/>
            </c:numRef>
          </c:val>
        </c:ser>
        <c:axId val="721352909"/>
        <c:axId val="552800684"/>
      </c:barChart>
      <c:catAx>
        <c:axId val="7213529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>
          <a:ln>
            <a:solidFill/>
          </a:ln>
        </c:spPr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Roboto"/>
              </a:defRPr>
            </a:pPr>
          </a:p>
        </c:txPr>
        <c:crossAx val="552800684"/>
      </c:catAx>
      <c:valAx>
        <c:axId val="552800684"/>
        <c:scaling>
          <c:orientation val="minMax"/>
          <c:min val="7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</a:p>
        </c:txPr>
        <c:crossAx val="7213529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Promedio de SLP producido en los últimos 7 días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last7days!$C$1:$C$2</c:f>
            </c:strRef>
          </c:tx>
          <c:spPr>
            <a:ln cmpd="sng" w="38100">
              <a:solidFill>
                <a:srgbClr val="FF00FF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FF00FF">
                  <a:alpha val="100000"/>
                </a:srgbClr>
              </a:solidFill>
              <a:ln cmpd="sng">
                <a:solidFill>
                  <a:srgbClr val="FF00FF">
                    <a:alpha val="100000"/>
                  </a:srgbClr>
                </a:solidFill>
              </a:ln>
            </c:spPr>
          </c:marker>
          <c:cat>
            <c:strRef>
              <c:f>last7days!$B$3:$B$9</c:f>
            </c:strRef>
          </c:cat>
          <c:val>
            <c:numRef>
              <c:f>last7days!$C$3:$C$9</c:f>
              <c:numCache/>
            </c:numRef>
          </c:val>
          <c:smooth val="0"/>
        </c:ser>
        <c:axId val="1500747881"/>
        <c:axId val="984551341"/>
      </c:lineChart>
      <c:catAx>
        <c:axId val="15007478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 rot="0"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984551341"/>
      </c:catAx>
      <c:valAx>
        <c:axId val="984551341"/>
        <c:scaling>
          <c:orientation val="minMax"/>
          <c:min val="75.0"/>
        </c:scaling>
        <c:delete val="0"/>
        <c:axPos val="l"/>
        <c:majorGridlines>
          <c:spPr>
            <a:ln>
              <a:solidFill>
                <a:srgbClr val="D5A6BD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5007478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SLP producido en los últimos 7 días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last7days!$D$2</c:f>
            </c:strRef>
          </c:tx>
          <c:spPr>
            <a:solidFill>
              <a:srgbClr val="FF00FF"/>
            </a:solidFill>
            <a:ln cmpd="sng" w="38100">
              <a:solidFill>
                <a:srgbClr val="9FC5E8">
                  <a:alpha val="100000"/>
                </a:srgbClr>
              </a:solidFill>
            </a:ln>
          </c:spPr>
          <c:cat>
            <c:strRef>
              <c:f>last7days!$B$3:$B$9</c:f>
            </c:strRef>
          </c:cat>
          <c:val>
            <c:numRef>
              <c:f>last7days!$D$3:$D$9</c:f>
              <c:numCache/>
            </c:numRef>
          </c:val>
        </c:ser>
        <c:axId val="187172378"/>
        <c:axId val="173740575"/>
      </c:barChart>
      <c:catAx>
        <c:axId val="187172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73740575"/>
      </c:catAx>
      <c:valAx>
        <c:axId val="173740575"/>
        <c:scaling>
          <c:orientation val="minMax"/>
        </c:scaling>
        <c:delete val="0"/>
        <c:axPos val="l"/>
        <c:majorGridlines>
          <c:spPr>
            <a:ln>
              <a:solidFill>
                <a:srgbClr val="D5A6BD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871723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Roboto"/>
              </a:defRPr>
            </a:pPr>
            <a:r>
              <a:rPr b="1">
                <a:solidFill>
                  <a:schemeClr val="dk1"/>
                </a:solidFill>
                <a:latin typeface="Roboto"/>
              </a:rPr>
              <a:t>Mínimo y máximo de trofeos en los últimos 7 día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last7days!$E$2</c:f>
            </c:strRef>
          </c:tx>
          <c:spPr>
            <a:solidFill>
              <a:srgbClr val="BF9000"/>
            </a:solidFill>
            <a:ln cmpd="sng">
              <a:solidFill>
                <a:srgbClr val="FFD966">
                  <a:alpha val="100000"/>
                </a:srgbClr>
              </a:solidFill>
            </a:ln>
          </c:spPr>
          <c:dPt>
            <c:idx val="6"/>
          </c:dPt>
          <c:cat>
            <c:strRef>
              <c:f>last7days!$B$3:$B$9</c:f>
            </c:strRef>
          </c:cat>
          <c:val>
            <c:numRef>
              <c:f>last7days!$E$3:$E$9</c:f>
              <c:numCache/>
            </c:numRef>
          </c:val>
        </c:ser>
        <c:ser>
          <c:idx val="1"/>
          <c:order val="1"/>
          <c:tx>
            <c:strRef>
              <c:f>last7days!$F$2</c:f>
            </c:strRef>
          </c:tx>
          <c:spPr>
            <a:solidFill>
              <a:srgbClr val="FFD966"/>
            </a:solidFill>
            <a:ln cmpd="sng">
              <a:solidFill>
                <a:srgbClr val="BF9000">
                  <a:alpha val="100000"/>
                </a:srgbClr>
              </a:solidFill>
            </a:ln>
          </c:spPr>
          <c:cat>
            <c:strRef>
              <c:f>last7days!$B$3:$B$9</c:f>
            </c:strRef>
          </c:cat>
          <c:val>
            <c:numRef>
              <c:f>last7days!$F$3:$F$9</c:f>
              <c:numCache/>
            </c:numRef>
          </c:val>
        </c:ser>
        <c:axId val="1727335757"/>
        <c:axId val="1613299594"/>
      </c:barChart>
      <c:catAx>
        <c:axId val="17273357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613299594"/>
      </c:catAx>
      <c:valAx>
        <c:axId val="1613299594"/>
        <c:scaling>
          <c:orientation val="minMax"/>
          <c:min val="7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7273357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Roboto"/>
              </a:defRPr>
            </a:pPr>
            <a:r>
              <a:rPr b="1">
                <a:solidFill>
                  <a:schemeClr val="dk1"/>
                </a:solidFill>
                <a:latin typeface="Roboto"/>
              </a:rPr>
              <a:t>Winrate por jugador en los últimos 7 días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last7days!$C$14</c:f>
            </c:strRef>
          </c:tx>
          <c:spPr>
            <a:solidFill>
              <a:schemeClr val="accent4"/>
            </a:solidFill>
            <a:ln cmpd="sng">
              <a:solidFill>
                <a:srgbClr val="38761D">
                  <a:alpha val="100000"/>
                </a:srgbClr>
              </a:solidFill>
            </a:ln>
          </c:spPr>
          <c:cat>
            <c:strRef>
              <c:f>last7days!$B$15:$B$21</c:f>
            </c:strRef>
          </c:cat>
          <c:val>
            <c:numRef>
              <c:f>last7days!$C$15:$C$21</c:f>
              <c:numCache/>
            </c:numRef>
          </c:val>
        </c:ser>
        <c:ser>
          <c:idx val="1"/>
          <c:order val="1"/>
          <c:tx>
            <c:strRef>
              <c:f>last7days!$D$14</c:f>
            </c:strRef>
          </c:tx>
          <c:cat>
            <c:strRef>
              <c:f>last7days!$B$15:$B$21</c:f>
            </c:strRef>
          </c:cat>
          <c:val>
            <c:numRef>
              <c:f>last7days!$D$15:$D$21</c:f>
              <c:numCache/>
            </c:numRef>
          </c:val>
        </c:ser>
        <c:ser>
          <c:idx val="2"/>
          <c:order val="2"/>
          <c:tx>
            <c:strRef>
              <c:f>last7days!$E$14</c:f>
            </c:strRef>
          </c:tx>
          <c:cat>
            <c:strRef>
              <c:f>last7days!$B$15:$B$21</c:f>
            </c:strRef>
          </c:cat>
          <c:val>
            <c:numRef>
              <c:f>last7days!$E$15:$E$21</c:f>
              <c:numCache/>
            </c:numRef>
          </c:val>
        </c:ser>
        <c:ser>
          <c:idx val="3"/>
          <c:order val="3"/>
          <c:tx>
            <c:strRef>
              <c:f>last7days!$F$14</c:f>
            </c:strRef>
          </c:tx>
          <c:cat>
            <c:strRef>
              <c:f>last7days!$B$15:$B$21</c:f>
            </c:strRef>
          </c:cat>
          <c:val>
            <c:numRef>
              <c:f>last7days!$F$15:$F$21</c:f>
              <c:numCache/>
            </c:numRef>
          </c:val>
        </c:ser>
        <c:ser>
          <c:idx val="4"/>
          <c:order val="4"/>
          <c:tx>
            <c:strRef>
              <c:f>last7days!$G$14</c:f>
            </c:strRef>
          </c:tx>
          <c:cat>
            <c:strRef>
              <c:f>last7days!$B$15:$B$21</c:f>
            </c:strRef>
          </c:cat>
          <c:val>
            <c:numRef>
              <c:f>last7days!$G$15:$G$21</c:f>
              <c:numCache/>
            </c:numRef>
          </c:val>
        </c:ser>
        <c:ser>
          <c:idx val="5"/>
          <c:order val="5"/>
          <c:tx>
            <c:strRef>
              <c:f>last7days!$H$14</c:f>
            </c:strRef>
          </c:tx>
          <c:cat>
            <c:strRef>
              <c:f>last7days!$B$15:$B$21</c:f>
            </c:strRef>
          </c:cat>
          <c:val>
            <c:numRef>
              <c:f>last7days!$H$15:$H$21</c:f>
              <c:numCache/>
            </c:numRef>
          </c:val>
        </c:ser>
        <c:ser>
          <c:idx val="6"/>
          <c:order val="6"/>
          <c:tx>
            <c:strRef>
              <c:f>last7days!$I$14</c:f>
            </c:strRef>
          </c:tx>
          <c:cat>
            <c:strRef>
              <c:f>last7days!$B$15:$B$21</c:f>
            </c:strRef>
          </c:cat>
          <c:val>
            <c:numRef>
              <c:f>last7days!$I$15:$I$21</c:f>
              <c:numCache/>
            </c:numRef>
          </c:val>
        </c:ser>
        <c:ser>
          <c:idx val="7"/>
          <c:order val="7"/>
          <c:tx>
            <c:strRef>
              <c:f>last7days!$J$14</c:f>
            </c:strRef>
          </c:tx>
          <c:cat>
            <c:strRef>
              <c:f>last7days!$B$15:$B$21</c:f>
            </c:strRef>
          </c:cat>
          <c:val>
            <c:numRef>
              <c:f>last7days!$J$15:$J$21</c:f>
              <c:numCache/>
            </c:numRef>
          </c:val>
        </c:ser>
        <c:ser>
          <c:idx val="8"/>
          <c:order val="8"/>
          <c:tx>
            <c:strRef>
              <c:f>last7days!$K$14</c:f>
            </c:strRef>
          </c:tx>
          <c:cat>
            <c:strRef>
              <c:f>last7days!$B$15:$B$21</c:f>
            </c:strRef>
          </c:cat>
          <c:val>
            <c:numRef>
              <c:f>last7days!$K$15:$K$21</c:f>
              <c:numCache/>
            </c:numRef>
          </c:val>
        </c:ser>
        <c:ser>
          <c:idx val="9"/>
          <c:order val="9"/>
          <c:tx>
            <c:strRef>
              <c:f>last7days!$L$14</c:f>
            </c:strRef>
          </c:tx>
          <c:cat>
            <c:strRef>
              <c:f>last7days!$B$15:$B$21</c:f>
            </c:strRef>
          </c:cat>
          <c:val>
            <c:numRef>
              <c:f>last7days!$L$15:$L$21</c:f>
              <c:numCache/>
            </c:numRef>
          </c:val>
        </c:ser>
        <c:ser>
          <c:idx val="10"/>
          <c:order val="10"/>
          <c:tx>
            <c:strRef>
              <c:f>last7days!$M$14</c:f>
            </c:strRef>
          </c:tx>
          <c:cat>
            <c:strRef>
              <c:f>last7days!$B$15:$B$21</c:f>
            </c:strRef>
          </c:cat>
          <c:val>
            <c:numRef>
              <c:f>last7days!$M$15:$M$21</c:f>
              <c:numCache/>
            </c:numRef>
          </c:val>
        </c:ser>
        <c:axId val="1694914030"/>
        <c:axId val="1507239183"/>
      </c:barChart>
      <c:catAx>
        <c:axId val="16949140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 rot="0"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507239183"/>
      </c:catAx>
      <c:valAx>
        <c:axId val="150723918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D5A6BD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6949140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000000"/>
                </a:solidFill>
                <a:latin typeface="Roboto"/>
              </a:defRPr>
            </a:pPr>
            <a:r>
              <a:rPr b="1" sz="1800">
                <a:solidFill>
                  <a:srgbClr val="000000"/>
                </a:solidFill>
                <a:latin typeface="Roboto"/>
              </a:rPr>
              <a:t>Winrate por 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Dashboard!$H$104</c:f>
            </c:strRef>
          </c:tx>
          <c:spPr>
            <a:solidFill>
              <a:schemeClr val="accent4"/>
            </a:solidFill>
            <a:ln cmpd="sng" w="38100">
              <a:solidFill>
                <a:srgbClr val="38761D">
                  <a:alpha val="100000"/>
                </a:srgbClr>
              </a:solidFill>
            </a:ln>
          </c:spPr>
          <c:cat>
            <c:strRef>
              <c:f>Dashboard!$C$105:$C$108</c:f>
            </c:strRef>
          </c:cat>
          <c:val>
            <c:numRef>
              <c:f>Dashboard!$H$105:$H$108</c:f>
              <c:numCache/>
            </c:numRef>
          </c:val>
        </c:ser>
        <c:axId val="1260112499"/>
        <c:axId val="1013399330"/>
      </c:barChart>
      <c:catAx>
        <c:axId val="12601124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>
          <a:ln>
            <a:solidFill/>
          </a:ln>
        </c:spPr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Roboto"/>
              </a:defRPr>
            </a:pPr>
          </a:p>
        </c:txPr>
        <c:crossAx val="1013399330"/>
      </c:catAx>
      <c:valAx>
        <c:axId val="10133993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Winrate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Roboto"/>
              </a:defRPr>
            </a:pPr>
          </a:p>
        </c:txPr>
        <c:crossAx val="12601124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Roboto"/>
              </a:defRPr>
            </a:pPr>
            <a:r>
              <a:rPr b="1">
                <a:solidFill>
                  <a:schemeClr val="dk1"/>
                </a:solidFill>
                <a:latin typeface="Roboto"/>
              </a:rPr>
              <a:t>Winrate por jugador en los últimos 7 días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last7days!$C$14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last7days!$B$15:$B$21</c:f>
            </c:strRef>
          </c:cat>
          <c:val>
            <c:numRef>
              <c:f>last7days!$C$15:$C$21</c:f>
              <c:numCache/>
            </c:numRef>
          </c:val>
        </c:ser>
        <c:ser>
          <c:idx val="1"/>
          <c:order val="1"/>
          <c:tx>
            <c:strRef>
              <c:f>last7days!$D$14</c:f>
            </c:strRef>
          </c:tx>
          <c:cat>
            <c:strRef>
              <c:f>last7days!$B$15:$B$21</c:f>
            </c:strRef>
          </c:cat>
          <c:val>
            <c:numRef>
              <c:f>last7days!$D$15:$D$21</c:f>
              <c:numCache/>
            </c:numRef>
          </c:val>
        </c:ser>
        <c:ser>
          <c:idx val="2"/>
          <c:order val="2"/>
          <c:tx>
            <c:strRef>
              <c:f>last7days!$E$14</c:f>
            </c:strRef>
          </c:tx>
          <c:cat>
            <c:strRef>
              <c:f>last7days!$B$15:$B$21</c:f>
            </c:strRef>
          </c:cat>
          <c:val>
            <c:numRef>
              <c:f>last7days!$E$15:$E$21</c:f>
              <c:numCache/>
            </c:numRef>
          </c:val>
        </c:ser>
        <c:ser>
          <c:idx val="3"/>
          <c:order val="3"/>
          <c:tx>
            <c:strRef>
              <c:f>last7days!$F$14</c:f>
            </c:strRef>
          </c:tx>
          <c:cat>
            <c:strRef>
              <c:f>last7days!$B$15:$B$21</c:f>
            </c:strRef>
          </c:cat>
          <c:val>
            <c:numRef>
              <c:f>last7days!$F$15:$F$21</c:f>
              <c:numCache/>
            </c:numRef>
          </c:val>
        </c:ser>
        <c:ser>
          <c:idx val="4"/>
          <c:order val="4"/>
          <c:tx>
            <c:strRef>
              <c:f>last7days!$G$14</c:f>
            </c:strRef>
          </c:tx>
          <c:cat>
            <c:strRef>
              <c:f>last7days!$B$15:$B$21</c:f>
            </c:strRef>
          </c:cat>
          <c:val>
            <c:numRef>
              <c:f>last7days!$G$15:$G$21</c:f>
              <c:numCache/>
            </c:numRef>
          </c:val>
        </c:ser>
        <c:ser>
          <c:idx val="5"/>
          <c:order val="5"/>
          <c:tx>
            <c:strRef>
              <c:f>last7days!$H$14</c:f>
            </c:strRef>
          </c:tx>
          <c:cat>
            <c:strRef>
              <c:f>last7days!$B$15:$B$21</c:f>
            </c:strRef>
          </c:cat>
          <c:val>
            <c:numRef>
              <c:f>last7days!$H$15:$H$21</c:f>
              <c:numCache/>
            </c:numRef>
          </c:val>
        </c:ser>
        <c:ser>
          <c:idx val="6"/>
          <c:order val="6"/>
          <c:tx>
            <c:strRef>
              <c:f>last7days!$I$14</c:f>
            </c:strRef>
          </c:tx>
          <c:cat>
            <c:strRef>
              <c:f>last7days!$B$15:$B$21</c:f>
            </c:strRef>
          </c:cat>
          <c:val>
            <c:numRef>
              <c:f>last7days!$I$15:$I$21</c:f>
              <c:numCache/>
            </c:numRef>
          </c:val>
        </c:ser>
        <c:ser>
          <c:idx val="7"/>
          <c:order val="7"/>
          <c:tx>
            <c:strRef>
              <c:f>last7days!$J$14</c:f>
            </c:strRef>
          </c:tx>
          <c:cat>
            <c:strRef>
              <c:f>last7days!$B$15:$B$21</c:f>
            </c:strRef>
          </c:cat>
          <c:val>
            <c:numRef>
              <c:f>last7days!$J$15:$J$21</c:f>
              <c:numCache/>
            </c:numRef>
          </c:val>
        </c:ser>
        <c:ser>
          <c:idx val="8"/>
          <c:order val="8"/>
          <c:tx>
            <c:strRef>
              <c:f>last7days!$K$14</c:f>
            </c:strRef>
          </c:tx>
          <c:cat>
            <c:strRef>
              <c:f>last7days!$B$15:$B$21</c:f>
            </c:strRef>
          </c:cat>
          <c:val>
            <c:numRef>
              <c:f>last7days!$K$15:$K$21</c:f>
              <c:numCache/>
            </c:numRef>
          </c:val>
        </c:ser>
        <c:ser>
          <c:idx val="9"/>
          <c:order val="9"/>
          <c:tx>
            <c:strRef>
              <c:f>last7days!$L$14</c:f>
            </c:strRef>
          </c:tx>
          <c:cat>
            <c:strRef>
              <c:f>last7days!$B$15:$B$21</c:f>
            </c:strRef>
          </c:cat>
          <c:val>
            <c:numRef>
              <c:f>last7days!$L$15:$L$21</c:f>
              <c:numCache/>
            </c:numRef>
          </c:val>
        </c:ser>
        <c:ser>
          <c:idx val="10"/>
          <c:order val="10"/>
          <c:tx>
            <c:strRef>
              <c:f>last7days!$M$14</c:f>
            </c:strRef>
          </c:tx>
          <c:cat>
            <c:strRef>
              <c:f>last7days!$B$15:$B$21</c:f>
            </c:strRef>
          </c:cat>
          <c:val>
            <c:numRef>
              <c:f>last7days!$M$15:$M$21</c:f>
              <c:numCache/>
            </c:numRef>
          </c:val>
        </c:ser>
        <c:axId val="1874204843"/>
        <c:axId val="1548992385"/>
      </c:barChart>
      <c:catAx>
        <c:axId val="1874204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8992385"/>
      </c:catAx>
      <c:valAx>
        <c:axId val="1548992385"/>
        <c:scaling>
          <c:orientation val="minMax"/>
        </c:scaling>
        <c:delete val="0"/>
        <c:axPos val="l"/>
        <c:majorGridlines>
          <c:spPr>
            <a:ln>
              <a:solidFill>
                <a:srgbClr val="D5A6BD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42048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Promedio de SLP producido en los últimos 7 días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last7days!$C$1:$C$2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last7days!$B$3:$B$9</c:f>
            </c:strRef>
          </c:cat>
          <c:val>
            <c:numRef>
              <c:f>last7days!$C$3:$C$9</c:f>
              <c:numCache/>
            </c:numRef>
          </c:val>
          <c:smooth val="0"/>
        </c:ser>
        <c:axId val="179295933"/>
        <c:axId val="642548195"/>
      </c:lineChart>
      <c:catAx>
        <c:axId val="1792959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2548195"/>
      </c:catAx>
      <c:valAx>
        <c:axId val="642548195"/>
        <c:scaling>
          <c:orientation val="minMax"/>
          <c:min val="75.0"/>
        </c:scaling>
        <c:delete val="0"/>
        <c:axPos val="l"/>
        <c:majorGridlines>
          <c:spPr>
            <a:ln>
              <a:solidFill>
                <a:srgbClr val="D5A6BD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2959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SLP producido en los últimos 7 días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last7days!$D$2</c:f>
            </c:strRef>
          </c:tx>
          <c:spPr>
            <a:solidFill>
              <a:srgbClr val="FF00FF"/>
            </a:solidFill>
            <a:ln cmpd="sng" w="38100">
              <a:solidFill>
                <a:srgbClr val="9FC5E8">
                  <a:alpha val="100000"/>
                </a:srgbClr>
              </a:solidFill>
            </a:ln>
          </c:spPr>
          <c:cat>
            <c:strRef>
              <c:f>last7days!$B$3:$B$9</c:f>
            </c:strRef>
          </c:cat>
          <c:val>
            <c:numRef>
              <c:f>last7days!$D$3:$D$9</c:f>
              <c:numCache/>
            </c:numRef>
          </c:val>
        </c:ser>
        <c:axId val="1958766804"/>
        <c:axId val="390653914"/>
      </c:barChart>
      <c:catAx>
        <c:axId val="19587668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390653914"/>
      </c:catAx>
      <c:valAx>
        <c:axId val="390653914"/>
        <c:scaling>
          <c:orientation val="minMax"/>
        </c:scaling>
        <c:delete val="0"/>
        <c:axPos val="l"/>
        <c:majorGridlines>
          <c:spPr>
            <a:ln>
              <a:solidFill>
                <a:srgbClr val="D5A6BD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9587668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Roboto"/>
              </a:defRPr>
            </a:pPr>
            <a:r>
              <a:rPr b="1">
                <a:solidFill>
                  <a:schemeClr val="dk1"/>
                </a:solidFill>
                <a:latin typeface="Roboto"/>
              </a:rPr>
              <a:t>Max y Min de trofeos en los últimos 7 días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last7days!$E$2</c:f>
            </c:strRef>
          </c:tx>
          <c:spPr>
            <a:solidFill>
              <a:srgbClr val="FFD966"/>
            </a:solidFill>
            <a:ln cmpd="sng">
              <a:solidFill>
                <a:srgbClr val="7F6000">
                  <a:alpha val="100000"/>
                </a:srgbClr>
              </a:solidFill>
            </a:ln>
          </c:spPr>
          <c:dPt>
            <c:idx val="6"/>
          </c:dPt>
          <c:cat>
            <c:strRef>
              <c:f>last7days!$B$3:$B$9</c:f>
            </c:strRef>
          </c:cat>
          <c:val>
            <c:numRef>
              <c:f>last7days!$E$3:$E$9</c:f>
              <c:numCache/>
            </c:numRef>
          </c:val>
        </c:ser>
        <c:ser>
          <c:idx val="1"/>
          <c:order val="1"/>
          <c:tx>
            <c:strRef>
              <c:f>last7days!$F$2</c:f>
            </c:strRef>
          </c:tx>
          <c:spPr>
            <a:solidFill>
              <a:srgbClr val="BF9000"/>
            </a:solidFill>
            <a:ln cmpd="sng">
              <a:solidFill>
                <a:srgbClr val="FFE599">
                  <a:alpha val="100000"/>
                </a:srgbClr>
              </a:solidFill>
            </a:ln>
          </c:spPr>
          <c:cat>
            <c:strRef>
              <c:f>last7days!$B$3:$B$9</c:f>
            </c:strRef>
          </c:cat>
          <c:val>
            <c:numRef>
              <c:f>last7days!$F$3:$F$9</c:f>
              <c:numCache/>
            </c:numRef>
          </c:val>
        </c:ser>
        <c:axId val="1603768171"/>
        <c:axId val="753709672"/>
      </c:barChart>
      <c:catAx>
        <c:axId val="16037681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753709672"/>
      </c:catAx>
      <c:valAx>
        <c:axId val="753709672"/>
        <c:scaling>
          <c:orientation val="minMax"/>
          <c:min val="7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6037681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Promedio de SLP por jugador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monthly_avg_slp_player!$C$3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B4A7D6"/>
              </a:solidFill>
              <a:ln cmpd="sng">
                <a:solidFill>
                  <a:srgbClr val="B4A7D6"/>
                </a:solidFill>
              </a:ln>
            </c:spPr>
          </c:marker>
          <c:xVal>
            <c:numRef>
              <c:f>monthly_avg_slp_player!$B$4:$B$49</c:f>
            </c:numRef>
          </c:xVal>
          <c:yVal>
            <c:numRef>
              <c:f>monthly_avg_slp_player!$C$4:$C$49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371452"/>
        <c:axId val="1456819398"/>
      </c:scatterChart>
      <c:valAx>
        <c:axId val="3253714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6819398"/>
      </c:valAx>
      <c:valAx>
        <c:axId val="1456819398"/>
        <c:scaling>
          <c:orientation val="minMax"/>
          <c:min val="7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53714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  <a:r>
              <a:rPr b="1">
                <a:solidFill>
                  <a:srgbClr val="000000"/>
                </a:solidFill>
                <a:latin typeface="Roboto"/>
              </a:rPr>
              <a:t>Winrate de jugadores por mes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winrate_player!$C$3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B4A7D6"/>
              </a:solidFill>
              <a:ln cmpd="sng">
                <a:solidFill>
                  <a:srgbClr val="B4A7D6"/>
                </a:solidFill>
              </a:ln>
            </c:spPr>
          </c:marker>
          <c:dPt>
            <c:idx val="1"/>
            <c:marker>
              <c:symbol val="none"/>
            </c:marker>
          </c:dPt>
          <c:xVal>
            <c:numRef>
              <c:f>winrate_player!$B$4:$B$7</c:f>
            </c:numRef>
          </c:xVal>
          <c:yVal>
            <c:numRef>
              <c:f>winrate_player!$C$4:$C$7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435664"/>
        <c:axId val="307938282"/>
      </c:scatterChart>
      <c:valAx>
        <c:axId val="1643435664"/>
        <c:scaling>
          <c:orientation val="minMax"/>
        </c:scaling>
        <c:delete val="0"/>
        <c:axPos val="b"/>
        <c:majorGridlines>
          <c:spPr>
            <a:ln>
              <a:solidFill>
                <a:srgbClr val="D5A6BD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7938282"/>
      </c:valAx>
      <c:valAx>
        <c:axId val="307938282"/>
        <c:scaling>
          <c:orientation val="minMax"/>
        </c:scaling>
        <c:delete val="0"/>
        <c:axPos val="l"/>
        <c:majorGridlines>
          <c:spPr>
            <a:ln>
              <a:solidFill>
                <a:srgbClr val="D5A6BD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34356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39</xdr:row>
      <xdr:rowOff>314325</xdr:rowOff>
    </xdr:from>
    <xdr:ext cx="6772275" cy="30003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</xdr:colOff>
      <xdr:row>69</xdr:row>
      <xdr:rowOff>304800</xdr:rowOff>
    </xdr:from>
    <xdr:ext cx="11563350" cy="2771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9525</xdr:colOff>
      <xdr:row>83</xdr:row>
      <xdr:rowOff>180975</xdr:rowOff>
    </xdr:from>
    <xdr:ext cx="11563350" cy="29718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0</xdr:colOff>
      <xdr:row>53</xdr:row>
      <xdr:rowOff>19050</xdr:rowOff>
    </xdr:from>
    <xdr:ext cx="6772275" cy="27241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9525</xdr:colOff>
      <xdr:row>53</xdr:row>
      <xdr:rowOff>0</xdr:rowOff>
    </xdr:from>
    <xdr:ext cx="4791075" cy="272415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0</xdr:colOff>
      <xdr:row>102</xdr:row>
      <xdr:rowOff>209550</xdr:rowOff>
    </xdr:from>
    <xdr:ext cx="5810250" cy="335280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8</xdr:col>
      <xdr:colOff>0</xdr:colOff>
      <xdr:row>118</xdr:row>
      <xdr:rowOff>0</xdr:rowOff>
    </xdr:from>
    <xdr:ext cx="5810250" cy="2724150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342900</xdr:colOff>
      <xdr:row>117</xdr:row>
      <xdr:rowOff>200025</xdr:rowOff>
    </xdr:from>
    <xdr:ext cx="5800725" cy="2724150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</xdr:col>
      <xdr:colOff>342900</xdr:colOff>
      <xdr:row>4</xdr:row>
      <xdr:rowOff>28575</xdr:rowOff>
    </xdr:from>
    <xdr:ext cx="5676900" cy="263842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7</xdr:col>
      <xdr:colOff>838200</xdr:colOff>
      <xdr:row>4</xdr:row>
      <xdr:rowOff>28575</xdr:rowOff>
    </xdr:from>
    <xdr:ext cx="5934075" cy="263842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</xdr:col>
      <xdr:colOff>342900</xdr:colOff>
      <xdr:row>17</xdr:row>
      <xdr:rowOff>104775</xdr:rowOff>
    </xdr:from>
    <xdr:ext cx="5676900" cy="2724150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7</xdr:col>
      <xdr:colOff>838200</xdr:colOff>
      <xdr:row>17</xdr:row>
      <xdr:rowOff>104775</xdr:rowOff>
    </xdr:from>
    <xdr:ext cx="5934075" cy="2724150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</xdr:col>
      <xdr:colOff>342900</xdr:colOff>
      <xdr:row>131</xdr:row>
      <xdr:rowOff>152400</xdr:rowOff>
    </xdr:from>
    <xdr:ext cx="11610975" cy="3533775"/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657225</xdr:colOff>
      <xdr:row>22</xdr:row>
      <xdr:rowOff>38100</xdr:rowOff>
    </xdr:from>
    <xdr:ext cx="5715000" cy="3533775"/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323850</xdr:colOff>
      <xdr:row>1</xdr:row>
      <xdr:rowOff>95250</xdr:rowOff>
    </xdr:from>
    <xdr:ext cx="5715000" cy="3533775"/>
    <xdr:graphicFrame>
      <xdr:nvGraphicFramePr>
        <xdr:cNvPr id="15" name="Chart 1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190500</xdr:colOff>
      <xdr:row>22</xdr:row>
      <xdr:rowOff>142875</xdr:rowOff>
    </xdr:from>
    <xdr:ext cx="5715000" cy="3533775"/>
    <xdr:graphicFrame>
      <xdr:nvGraphicFramePr>
        <xdr:cNvPr id="16" name="Chart 1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57150</xdr:colOff>
      <xdr:row>41</xdr:row>
      <xdr:rowOff>57150</xdr:rowOff>
    </xdr:from>
    <xdr:ext cx="5715000" cy="3533775"/>
    <xdr:graphicFrame>
      <xdr:nvGraphicFramePr>
        <xdr:cNvPr id="17" name="Chart 1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390525</xdr:colOff>
      <xdr:row>9</xdr:row>
      <xdr:rowOff>28575</xdr:rowOff>
    </xdr:from>
    <xdr:ext cx="5724525" cy="3533775"/>
    <xdr:graphicFrame>
      <xdr:nvGraphicFramePr>
        <xdr:cNvPr id="18" name="Chart 1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581025</xdr:colOff>
      <xdr:row>10</xdr:row>
      <xdr:rowOff>95250</xdr:rowOff>
    </xdr:from>
    <xdr:ext cx="5715000" cy="3533775"/>
    <xdr:graphicFrame>
      <xdr:nvGraphicFramePr>
        <xdr:cNvPr id="19" name="Chart 1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5.71"/>
    <col customWidth="1" min="14" max="14" width="14.29"/>
  </cols>
  <sheetData>
    <row r="1">
      <c r="A1" s="1"/>
      <c r="B1" s="1"/>
      <c r="C1" s="1"/>
      <c r="D1" s="2"/>
      <c r="E1" s="3"/>
      <c r="F1" s="4"/>
      <c r="G1" s="5"/>
      <c r="H1" s="3"/>
      <c r="I1" s="3"/>
      <c r="J1" s="5"/>
      <c r="K1" s="3"/>
      <c r="L1" s="3"/>
      <c r="M1" s="5"/>
      <c r="N1" s="5"/>
      <c r="O1" s="3"/>
      <c r="P1" s="3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1"/>
      <c r="B2" s="1"/>
      <c r="C2" s="7" t="s">
        <v>0</v>
      </c>
      <c r="D2" s="8"/>
      <c r="E2" s="9"/>
      <c r="F2" s="10"/>
      <c r="G2" s="11"/>
      <c r="H2" s="9"/>
      <c r="I2" s="9"/>
      <c r="J2" s="12"/>
      <c r="K2" s="9"/>
      <c r="L2" s="9"/>
      <c r="M2" s="10"/>
      <c r="N2" s="10"/>
      <c r="O2" s="3"/>
      <c r="P2" s="3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"/>
      <c r="B3" s="1"/>
      <c r="C3" s="13"/>
      <c r="D3" s="8"/>
      <c r="E3" s="9"/>
      <c r="F3" s="10"/>
      <c r="G3" s="10"/>
      <c r="H3" s="9"/>
      <c r="I3" s="9"/>
      <c r="J3" s="12"/>
      <c r="K3" s="9"/>
      <c r="L3" s="9"/>
      <c r="M3" s="10"/>
      <c r="N3" s="10"/>
      <c r="O3" s="3"/>
      <c r="P3" s="3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1"/>
      <c r="B4" s="1"/>
      <c r="C4" s="14" t="s">
        <v>1</v>
      </c>
      <c r="D4" s="8"/>
      <c r="E4" s="9"/>
      <c r="F4" s="10"/>
      <c r="G4" s="10"/>
      <c r="H4" s="9"/>
      <c r="I4" s="9"/>
      <c r="J4" s="12"/>
      <c r="K4" s="9"/>
      <c r="L4" s="9"/>
      <c r="M4" s="15" t="s">
        <v>2</v>
      </c>
      <c r="N4" s="16">
        <f>sum(last7days!D3:D9)</f>
        <v>950</v>
      </c>
      <c r="O4" s="3"/>
      <c r="P4" s="3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1"/>
      <c r="B5" s="1"/>
      <c r="C5" s="13"/>
      <c r="D5" s="8"/>
      <c r="E5" s="9"/>
      <c r="F5" s="10"/>
      <c r="G5" s="10"/>
      <c r="H5" s="9"/>
      <c r="I5" s="9"/>
      <c r="J5" s="12"/>
      <c r="K5" s="9"/>
      <c r="L5" s="9"/>
      <c r="M5" s="10"/>
      <c r="N5" s="10"/>
      <c r="O5" s="3"/>
      <c r="P5" s="3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1"/>
      <c r="B6" s="1"/>
      <c r="C6" s="17"/>
      <c r="D6" s="18"/>
      <c r="E6" s="19"/>
      <c r="F6" s="20"/>
      <c r="G6" s="20"/>
      <c r="H6" s="19"/>
      <c r="I6" s="19"/>
      <c r="J6" s="21"/>
      <c r="K6" s="19"/>
      <c r="L6" s="19"/>
      <c r="M6" s="20"/>
      <c r="N6" s="10"/>
      <c r="O6" s="3"/>
      <c r="P6" s="3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1"/>
      <c r="B7" s="1"/>
      <c r="C7" s="17"/>
      <c r="D7" s="18"/>
      <c r="E7" s="19"/>
      <c r="F7" s="20"/>
      <c r="G7" s="20"/>
      <c r="H7" s="19"/>
      <c r="I7" s="19"/>
      <c r="J7" s="21"/>
      <c r="K7" s="19"/>
      <c r="L7" s="19"/>
      <c r="M7" s="20"/>
      <c r="N7" s="10"/>
      <c r="O7" s="3"/>
      <c r="P7" s="3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1"/>
      <c r="B8" s="1"/>
      <c r="C8" s="17"/>
      <c r="D8" s="18"/>
      <c r="E8" s="19"/>
      <c r="F8" s="20"/>
      <c r="G8" s="20"/>
      <c r="H8" s="19"/>
      <c r="I8" s="19"/>
      <c r="J8" s="21"/>
      <c r="K8" s="19"/>
      <c r="L8" s="19"/>
      <c r="M8" s="20"/>
      <c r="N8" s="10"/>
      <c r="O8" s="3"/>
      <c r="P8" s="3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1"/>
      <c r="B9" s="1"/>
      <c r="C9" s="17"/>
      <c r="D9" s="18"/>
      <c r="E9" s="19"/>
      <c r="F9" s="20"/>
      <c r="G9" s="20"/>
      <c r="H9" s="19"/>
      <c r="I9" s="19"/>
      <c r="J9" s="21"/>
      <c r="K9" s="19"/>
      <c r="L9" s="19"/>
      <c r="M9" s="20"/>
      <c r="N9" s="10"/>
      <c r="O9" s="3"/>
      <c r="P9" s="3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1"/>
      <c r="B10" s="1"/>
      <c r="C10" s="17"/>
      <c r="D10" s="18"/>
      <c r="E10" s="19"/>
      <c r="F10" s="20"/>
      <c r="G10" s="20"/>
      <c r="H10" s="19"/>
      <c r="I10" s="19"/>
      <c r="J10" s="21"/>
      <c r="K10" s="19"/>
      <c r="L10" s="19"/>
      <c r="M10" s="20"/>
      <c r="N10" s="10"/>
      <c r="O10" s="3"/>
      <c r="P10" s="3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1"/>
      <c r="B11" s="1"/>
      <c r="C11" s="17"/>
      <c r="D11" s="18"/>
      <c r="E11" s="19"/>
      <c r="F11" s="20"/>
      <c r="G11" s="20"/>
      <c r="H11" s="19"/>
      <c r="I11" s="19"/>
      <c r="J11" s="21"/>
      <c r="K11" s="19"/>
      <c r="L11" s="19"/>
      <c r="M11" s="20"/>
      <c r="N11" s="10"/>
      <c r="O11" s="3"/>
      <c r="P11" s="3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1"/>
      <c r="B12" s="1"/>
      <c r="C12" s="17"/>
      <c r="D12" s="18"/>
      <c r="E12" s="19"/>
      <c r="F12" s="20"/>
      <c r="G12" s="20"/>
      <c r="H12" s="19"/>
      <c r="I12" s="19"/>
      <c r="J12" s="21"/>
      <c r="K12" s="19"/>
      <c r="L12" s="19"/>
      <c r="M12" s="20"/>
      <c r="N12" s="10"/>
      <c r="O12" s="3"/>
      <c r="P12" s="3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1"/>
      <c r="B13" s="1"/>
      <c r="C13" s="17"/>
      <c r="D13" s="18"/>
      <c r="E13" s="19"/>
      <c r="F13" s="20"/>
      <c r="G13" s="20"/>
      <c r="H13" s="19"/>
      <c r="I13" s="19"/>
      <c r="J13" s="21"/>
      <c r="K13" s="19"/>
      <c r="L13" s="19"/>
      <c r="M13" s="20"/>
      <c r="N13" s="10"/>
      <c r="O13" s="3"/>
      <c r="P13" s="3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1"/>
      <c r="B14" s="1"/>
      <c r="C14" s="17"/>
      <c r="D14" s="18"/>
      <c r="E14" s="19"/>
      <c r="F14" s="20"/>
      <c r="G14" s="20"/>
      <c r="H14" s="19"/>
      <c r="I14" s="19"/>
      <c r="J14" s="21"/>
      <c r="K14" s="19"/>
      <c r="L14" s="19"/>
      <c r="M14" s="20"/>
      <c r="N14" s="10"/>
      <c r="O14" s="3"/>
      <c r="P14" s="3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1"/>
      <c r="B15" s="1"/>
      <c r="C15" s="17"/>
      <c r="D15" s="18"/>
      <c r="E15" s="19"/>
      <c r="F15" s="20"/>
      <c r="G15" s="20"/>
      <c r="H15" s="19"/>
      <c r="I15" s="19"/>
      <c r="J15" s="21"/>
      <c r="K15" s="19"/>
      <c r="L15" s="19"/>
      <c r="M15" s="20"/>
      <c r="N15" s="10"/>
      <c r="O15" s="3"/>
      <c r="P15" s="3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1"/>
      <c r="B16" s="1"/>
      <c r="C16" s="17"/>
      <c r="D16" s="18"/>
      <c r="E16" s="19"/>
      <c r="F16" s="20"/>
      <c r="G16" s="20"/>
      <c r="H16" s="19"/>
      <c r="I16" s="19"/>
      <c r="J16" s="21"/>
      <c r="K16" s="19"/>
      <c r="L16" s="19"/>
      <c r="M16" s="20"/>
      <c r="N16" s="10"/>
      <c r="O16" s="3"/>
      <c r="P16" s="3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1"/>
      <c r="B17" s="1"/>
      <c r="C17" s="17"/>
      <c r="D17" s="18"/>
      <c r="E17" s="19"/>
      <c r="F17" s="20"/>
      <c r="G17" s="20"/>
      <c r="H17" s="19"/>
      <c r="I17" s="19"/>
      <c r="J17" s="21"/>
      <c r="K17" s="19"/>
      <c r="L17" s="19"/>
      <c r="M17" s="20"/>
      <c r="N17" s="10"/>
      <c r="O17" s="3"/>
      <c r="P17" s="3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1"/>
      <c r="B18" s="1"/>
      <c r="C18" s="17"/>
      <c r="D18" s="18"/>
      <c r="E18" s="19"/>
      <c r="F18" s="20"/>
      <c r="G18" s="20"/>
      <c r="H18" s="19"/>
      <c r="I18" s="19"/>
      <c r="J18" s="21"/>
      <c r="K18" s="19"/>
      <c r="L18" s="19"/>
      <c r="M18" s="20"/>
      <c r="N18" s="10"/>
      <c r="O18" s="3"/>
      <c r="P18" s="3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1"/>
      <c r="B19" s="1"/>
      <c r="C19" s="17"/>
      <c r="D19" s="18"/>
      <c r="E19" s="19"/>
      <c r="F19" s="20"/>
      <c r="G19" s="20"/>
      <c r="H19" s="19"/>
      <c r="I19" s="19"/>
      <c r="J19" s="21"/>
      <c r="K19" s="19"/>
      <c r="L19" s="19"/>
      <c r="M19" s="20"/>
      <c r="N19" s="10"/>
      <c r="O19" s="3"/>
      <c r="P19" s="3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1"/>
      <c r="B20" s="1"/>
      <c r="C20" s="17"/>
      <c r="D20" s="18"/>
      <c r="E20" s="19"/>
      <c r="F20" s="20"/>
      <c r="G20" s="20"/>
      <c r="H20" s="19"/>
      <c r="I20" s="19"/>
      <c r="J20" s="21"/>
      <c r="K20" s="19"/>
      <c r="L20" s="19"/>
      <c r="M20" s="20"/>
      <c r="N20" s="10"/>
      <c r="O20" s="3"/>
      <c r="P20" s="3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1"/>
      <c r="B21" s="1"/>
      <c r="C21" s="17"/>
      <c r="D21" s="18"/>
      <c r="E21" s="19"/>
      <c r="F21" s="20"/>
      <c r="G21" s="20"/>
      <c r="H21" s="19"/>
      <c r="I21" s="19"/>
      <c r="J21" s="21"/>
      <c r="K21" s="19"/>
      <c r="L21" s="19"/>
      <c r="M21" s="20"/>
      <c r="N21" s="10"/>
      <c r="O21" s="3"/>
      <c r="P21" s="3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1"/>
      <c r="B22" s="1"/>
      <c r="C22" s="17"/>
      <c r="D22" s="18"/>
      <c r="E22" s="19"/>
      <c r="F22" s="20"/>
      <c r="G22" s="20"/>
      <c r="H22" s="19"/>
      <c r="I22" s="19"/>
      <c r="J22" s="21"/>
      <c r="K22" s="19"/>
      <c r="L22" s="19"/>
      <c r="M22" s="20"/>
      <c r="N22" s="10"/>
      <c r="O22" s="3"/>
      <c r="P22" s="3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1"/>
      <c r="B23" s="1"/>
      <c r="C23" s="17"/>
      <c r="D23" s="18"/>
      <c r="E23" s="19"/>
      <c r="F23" s="20"/>
      <c r="G23" s="20"/>
      <c r="H23" s="19"/>
      <c r="I23" s="19"/>
      <c r="J23" s="21"/>
      <c r="K23" s="19"/>
      <c r="L23" s="19"/>
      <c r="M23" s="20"/>
      <c r="N23" s="10"/>
      <c r="O23" s="3"/>
      <c r="P23" s="3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1"/>
      <c r="B24" s="1"/>
      <c r="C24" s="17"/>
      <c r="D24" s="18"/>
      <c r="E24" s="19"/>
      <c r="F24" s="20"/>
      <c r="G24" s="20"/>
      <c r="H24" s="19"/>
      <c r="I24" s="19"/>
      <c r="J24" s="21"/>
      <c r="K24" s="22"/>
      <c r="L24" s="22"/>
      <c r="M24" s="23"/>
      <c r="N24" s="10"/>
      <c r="O24" s="3"/>
      <c r="P24" s="3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1"/>
      <c r="B25" s="1"/>
      <c r="C25" s="17"/>
      <c r="D25" s="18"/>
      <c r="E25" s="19"/>
      <c r="F25" s="20"/>
      <c r="G25" s="20"/>
      <c r="H25" s="19"/>
      <c r="I25" s="19"/>
      <c r="J25" s="21"/>
      <c r="K25" s="22"/>
      <c r="L25" s="22"/>
      <c r="M25" s="23"/>
      <c r="N25" s="10"/>
      <c r="O25" s="3"/>
      <c r="P25" s="3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1"/>
      <c r="B26" s="1"/>
      <c r="C26" s="17"/>
      <c r="D26" s="18"/>
      <c r="E26" s="19"/>
      <c r="F26" s="20"/>
      <c r="G26" s="20"/>
      <c r="H26" s="19"/>
      <c r="I26" s="19"/>
      <c r="J26" s="21"/>
      <c r="K26" s="22"/>
      <c r="L26" s="22"/>
      <c r="M26" s="23"/>
      <c r="N26" s="10"/>
      <c r="O26" s="3"/>
      <c r="P26" s="3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1"/>
      <c r="B27" s="1"/>
      <c r="C27" s="17"/>
      <c r="D27" s="18"/>
      <c r="E27" s="19"/>
      <c r="F27" s="20"/>
      <c r="G27" s="20"/>
      <c r="H27" s="19"/>
      <c r="I27" s="19"/>
      <c r="J27" s="21"/>
      <c r="K27" s="22"/>
      <c r="L27" s="22"/>
      <c r="M27" s="23"/>
      <c r="N27" s="10"/>
      <c r="O27" s="3"/>
      <c r="P27" s="3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1"/>
      <c r="B28" s="1"/>
      <c r="C28" s="17"/>
      <c r="D28" s="18"/>
      <c r="E28" s="19"/>
      <c r="F28" s="20"/>
      <c r="G28" s="20"/>
      <c r="H28" s="19"/>
      <c r="I28" s="19"/>
      <c r="J28" s="21"/>
      <c r="K28" s="22"/>
      <c r="L28" s="22"/>
      <c r="M28" s="23"/>
      <c r="N28" s="10"/>
      <c r="O28" s="3"/>
      <c r="P28" s="3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1"/>
      <c r="B29" s="1"/>
      <c r="C29" s="17"/>
      <c r="D29" s="18"/>
      <c r="E29" s="19"/>
      <c r="F29" s="20"/>
      <c r="G29" s="20"/>
      <c r="H29" s="19"/>
      <c r="I29" s="19"/>
      <c r="J29" s="21"/>
      <c r="K29" s="22"/>
      <c r="L29" s="22"/>
      <c r="M29" s="23"/>
      <c r="N29" s="10"/>
      <c r="O29" s="3"/>
      <c r="P29" s="3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1"/>
      <c r="B30" s="1"/>
      <c r="C30" s="17"/>
      <c r="D30" s="18"/>
      <c r="E30" s="19"/>
      <c r="F30" s="20"/>
      <c r="G30" s="20"/>
      <c r="H30" s="19"/>
      <c r="I30" s="19"/>
      <c r="J30" s="21"/>
      <c r="K30" s="22"/>
      <c r="L30" s="22"/>
      <c r="M30" s="23"/>
      <c r="N30" s="10"/>
      <c r="O30" s="3"/>
      <c r="P30" s="3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1"/>
      <c r="B31" s="1"/>
      <c r="C31" s="13"/>
      <c r="D31" s="8"/>
      <c r="E31" s="9"/>
      <c r="F31" s="10"/>
      <c r="G31" s="10"/>
      <c r="H31" s="9"/>
      <c r="I31" s="9"/>
      <c r="J31" s="12"/>
      <c r="K31" s="9"/>
      <c r="L31" s="9"/>
      <c r="M31" s="10"/>
      <c r="N31" s="10"/>
      <c r="O31" s="3"/>
      <c r="P31" s="3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1"/>
      <c r="B32" s="1"/>
      <c r="C32" s="13"/>
      <c r="D32" s="8"/>
      <c r="E32" s="9"/>
      <c r="F32" s="10"/>
      <c r="G32" s="10"/>
      <c r="H32" s="9"/>
      <c r="I32" s="9"/>
      <c r="J32" s="12"/>
      <c r="K32" s="9"/>
      <c r="L32" s="9"/>
      <c r="M32" s="10"/>
      <c r="N32" s="10"/>
      <c r="O32" s="3"/>
      <c r="P32" s="3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1"/>
      <c r="B33" s="1"/>
      <c r="C33" s="13"/>
      <c r="D33" s="8"/>
      <c r="E33" s="9"/>
      <c r="F33" s="10"/>
      <c r="G33" s="10"/>
      <c r="H33" s="9"/>
      <c r="I33" s="9"/>
      <c r="J33" s="12"/>
      <c r="K33" s="9"/>
      <c r="L33" s="9"/>
      <c r="M33" s="10"/>
      <c r="N33" s="10"/>
      <c r="O33" s="3"/>
      <c r="P33" s="3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1"/>
      <c r="B34" s="1"/>
      <c r="C34" s="13"/>
      <c r="D34" s="8"/>
      <c r="E34" s="9"/>
      <c r="F34" s="10"/>
      <c r="G34" s="10"/>
      <c r="H34" s="9"/>
      <c r="I34" s="9"/>
      <c r="J34" s="12"/>
      <c r="K34" s="9"/>
      <c r="L34" s="9"/>
      <c r="M34" s="10"/>
      <c r="N34" s="10"/>
      <c r="O34" s="3"/>
      <c r="P34" s="3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1"/>
      <c r="B35" s="1"/>
      <c r="C35" s="13"/>
      <c r="D35" s="8"/>
      <c r="E35" s="9"/>
      <c r="F35" s="10"/>
      <c r="G35" s="10"/>
      <c r="H35" s="9"/>
      <c r="I35" s="9"/>
      <c r="J35" s="12"/>
      <c r="K35" s="9"/>
      <c r="L35" s="9"/>
      <c r="M35" s="10"/>
      <c r="N35" s="10"/>
      <c r="O35" s="3"/>
      <c r="P35" s="3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1"/>
      <c r="B36" s="1"/>
      <c r="C36" s="13"/>
      <c r="D36" s="8"/>
      <c r="E36" s="9"/>
      <c r="F36" s="10"/>
      <c r="G36" s="10"/>
      <c r="H36" s="9"/>
      <c r="I36" s="9"/>
      <c r="J36" s="12"/>
      <c r="K36" s="9"/>
      <c r="L36" s="9"/>
      <c r="M36" s="10"/>
      <c r="N36" s="10"/>
      <c r="O36" s="3"/>
      <c r="P36" s="3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5"/>
      <c r="B37" s="5"/>
      <c r="C37" s="24" t="s">
        <v>3</v>
      </c>
      <c r="D37" s="25">
        <v>44440.0</v>
      </c>
      <c r="E37" s="10"/>
      <c r="F37" s="10"/>
      <c r="G37" s="10"/>
      <c r="H37" s="9"/>
      <c r="I37" s="9"/>
      <c r="J37" s="9"/>
      <c r="K37" s="9"/>
      <c r="L37" s="9"/>
      <c r="M37" s="10"/>
      <c r="N37" s="10"/>
      <c r="O37" s="3"/>
      <c r="P37" s="3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5"/>
      <c r="B38" s="5"/>
      <c r="C38" s="26"/>
      <c r="D38" s="27">
        <v>44562.0</v>
      </c>
      <c r="E38" s="10"/>
      <c r="F38" s="10"/>
      <c r="G38" s="9"/>
      <c r="H38" s="9"/>
      <c r="I38" s="9"/>
      <c r="J38" s="9"/>
      <c r="K38" s="9"/>
      <c r="L38" s="9"/>
      <c r="M38" s="10"/>
      <c r="N38" s="10"/>
      <c r="O38" s="3"/>
      <c r="P38" s="3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28"/>
      <c r="B39" s="28"/>
      <c r="C39" s="29"/>
      <c r="D39" s="29"/>
      <c r="E39" s="30"/>
      <c r="F39" s="10"/>
      <c r="G39" s="12"/>
      <c r="H39" s="12"/>
      <c r="I39" s="9"/>
      <c r="J39" s="9"/>
      <c r="K39" s="9"/>
      <c r="L39" s="9"/>
      <c r="M39" s="10"/>
      <c r="N39" s="10"/>
      <c r="O39" s="3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28"/>
      <c r="B40" s="28"/>
      <c r="C40" s="31" t="s">
        <v>4</v>
      </c>
      <c r="D40" s="29"/>
      <c r="E40" s="30"/>
      <c r="F40" s="30"/>
      <c r="G40" s="12"/>
      <c r="H40" s="32"/>
      <c r="I40" s="33"/>
      <c r="J40" s="33"/>
      <c r="K40" s="33"/>
      <c r="L40" s="34"/>
      <c r="M40" s="35" t="s">
        <v>5</v>
      </c>
      <c r="N40" s="36">
        <f>SUM(E42:E53)</f>
        <v>19841</v>
      </c>
      <c r="O40" s="3"/>
      <c r="P40" s="3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28"/>
      <c r="B41" s="28"/>
      <c r="C41" s="37" t="str">
        <f>IFERROR(__xludf.DUMMYFUNCTION(" QUERY(data!B:K, ""select H, avg(F), sum(F), min(G), max(G) 
where B is not null 
and H &gt;= date """"""&amp;TEXT(D37, ""yyyy-MM-dd"")&amp;"""""" and H &lt;= date """"""&amp;TEXT(D38, ""yyyy-MM-dd"")&amp;""""""
group by H
limit 12
label avg(F) 'Promedio de SLP' , sum(F) 'Tota"&amp;"l SLP', min(G) 'Min Trofeos', max(G) 'Max Trofeos' "")"),"Mes")</f>
        <v>Mes</v>
      </c>
      <c r="D41" s="38" t="str">
        <f>IFERROR(__xludf.DUMMYFUNCTION("""COMPUTED_VALUE"""),"Promedio de SLP")</f>
        <v>Promedio de SLP</v>
      </c>
      <c r="E41" s="39" t="str">
        <f>IFERROR(__xludf.DUMMYFUNCTION("""COMPUTED_VALUE"""),"Total SLP")</f>
        <v>Total SLP</v>
      </c>
      <c r="F41" s="38" t="str">
        <f>IFERROR(__xludf.DUMMYFUNCTION("""COMPUTED_VALUE"""),"Min Trofeos")</f>
        <v>Min Trofeos</v>
      </c>
      <c r="G41" s="40" t="str">
        <f>IFERROR(__xludf.DUMMYFUNCTION("""COMPUTED_VALUE"""),"Max Trofeos")</f>
        <v>Max Trofeos</v>
      </c>
      <c r="H41" s="3"/>
      <c r="I41" s="3"/>
      <c r="J41" s="3"/>
      <c r="K41" s="3"/>
      <c r="L41" s="3"/>
      <c r="M41" s="4"/>
      <c r="N41" s="41"/>
      <c r="O41" s="3"/>
      <c r="P41" s="3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28"/>
      <c r="B42" s="28"/>
      <c r="C42" s="42">
        <f>IFERROR(__xludf.DUMMYFUNCTION("""COMPUTED_VALUE"""),44440.0)</f>
        <v>44440</v>
      </c>
      <c r="D42" s="43">
        <f>IFERROR(__xludf.DUMMYFUNCTION("""COMPUTED_VALUE"""),114.86666666666666)</f>
        <v>114.8666667</v>
      </c>
      <c r="E42" s="43">
        <f>IFERROR(__xludf.DUMMYFUNCTION("""COMPUTED_VALUE"""),3446.0)</f>
        <v>3446</v>
      </c>
      <c r="F42" s="44">
        <f>IFERROR(__xludf.DUMMYFUNCTION("""COMPUTED_VALUE"""),948.0)</f>
        <v>948</v>
      </c>
      <c r="G42" s="45">
        <f>IFERROR(__xludf.DUMMYFUNCTION("""COMPUTED_VALUE"""),1226.0)</f>
        <v>1226</v>
      </c>
      <c r="H42" s="3"/>
      <c r="I42" s="3"/>
      <c r="J42" s="3"/>
      <c r="K42" s="3"/>
      <c r="L42" s="3"/>
      <c r="M42" s="4"/>
      <c r="N42" s="41"/>
      <c r="O42" s="3"/>
      <c r="P42" s="3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3"/>
      <c r="B43" s="3"/>
      <c r="C43" s="46">
        <f>IFERROR(__xludf.DUMMYFUNCTION("""COMPUTED_VALUE"""),44470.0)</f>
        <v>44470</v>
      </c>
      <c r="D43" s="47">
        <f>IFERROR(__xludf.DUMMYFUNCTION("""COMPUTED_VALUE"""),132.83870967741936)</f>
        <v>132.8387097</v>
      </c>
      <c r="E43" s="47">
        <f>IFERROR(__xludf.DUMMYFUNCTION("""COMPUTED_VALUE"""),4118.0)</f>
        <v>4118</v>
      </c>
      <c r="F43" s="48">
        <f>IFERROR(__xludf.DUMMYFUNCTION("""COMPUTED_VALUE"""),1053.0)</f>
        <v>1053</v>
      </c>
      <c r="G43" s="45">
        <f>IFERROR(__xludf.DUMMYFUNCTION("""COMPUTED_VALUE"""),1395.0)</f>
        <v>1395</v>
      </c>
      <c r="H43" s="3"/>
      <c r="I43" s="3"/>
      <c r="J43" s="3"/>
      <c r="K43" s="3"/>
      <c r="L43" s="3"/>
      <c r="M43" s="4"/>
      <c r="N43" s="41"/>
      <c r="O43" s="3"/>
      <c r="P43" s="3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3"/>
      <c r="B44" s="3"/>
      <c r="C44" s="46">
        <f>IFERROR(__xludf.DUMMYFUNCTION("""COMPUTED_VALUE"""),44501.0)</f>
        <v>44501</v>
      </c>
      <c r="D44" s="47">
        <f>IFERROR(__xludf.DUMMYFUNCTION("""COMPUTED_VALUE"""),158.06666666666666)</f>
        <v>158.0666667</v>
      </c>
      <c r="E44" s="47">
        <f>IFERROR(__xludf.DUMMYFUNCTION("""COMPUTED_VALUE"""),4742.0)</f>
        <v>4742</v>
      </c>
      <c r="F44" s="48">
        <f>IFERROR(__xludf.DUMMYFUNCTION("""COMPUTED_VALUE"""),1118.0)</f>
        <v>1118</v>
      </c>
      <c r="G44" s="45">
        <f>IFERROR(__xludf.DUMMYFUNCTION("""COMPUTED_VALUE"""),1507.0)</f>
        <v>1507</v>
      </c>
      <c r="H44" s="3"/>
      <c r="I44" s="3"/>
      <c r="J44" s="3"/>
      <c r="K44" s="3"/>
      <c r="L44" s="3"/>
      <c r="M44" s="4"/>
      <c r="N44" s="41"/>
      <c r="O44" s="3"/>
      <c r="P44" s="3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3"/>
      <c r="B45" s="3"/>
      <c r="C45" s="46">
        <f>IFERROR(__xludf.DUMMYFUNCTION("""COMPUTED_VALUE"""),44531.0)</f>
        <v>44531</v>
      </c>
      <c r="D45" s="47">
        <f>IFERROR(__xludf.DUMMYFUNCTION("""COMPUTED_VALUE"""),190.3548387096774)</f>
        <v>190.3548387</v>
      </c>
      <c r="E45" s="47">
        <f>IFERROR(__xludf.DUMMYFUNCTION("""COMPUTED_VALUE"""),5901.0)</f>
        <v>5901</v>
      </c>
      <c r="F45" s="48">
        <f>IFERROR(__xludf.DUMMYFUNCTION("""COMPUTED_VALUE"""),1343.0)</f>
        <v>1343</v>
      </c>
      <c r="G45" s="45">
        <f>IFERROR(__xludf.DUMMYFUNCTION("""COMPUTED_VALUE"""),1741.0)</f>
        <v>1741</v>
      </c>
      <c r="H45" s="3"/>
      <c r="I45" s="3"/>
      <c r="J45" s="3"/>
      <c r="K45" s="3"/>
      <c r="L45" s="3"/>
      <c r="M45" s="3"/>
      <c r="N45" s="49"/>
      <c r="O45" s="3"/>
      <c r="P45" s="3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3"/>
      <c r="B46" s="3"/>
      <c r="C46" s="46">
        <f>IFERROR(__xludf.DUMMYFUNCTION("""COMPUTED_VALUE"""),44562.0)</f>
        <v>44562</v>
      </c>
      <c r="D46" s="47">
        <f>IFERROR(__xludf.DUMMYFUNCTION("""COMPUTED_VALUE"""),148.54545454545453)</f>
        <v>148.5454545</v>
      </c>
      <c r="E46" s="47">
        <f>IFERROR(__xludf.DUMMYFUNCTION("""COMPUTED_VALUE"""),1634.0)</f>
        <v>1634</v>
      </c>
      <c r="F46" s="48">
        <f>IFERROR(__xludf.DUMMYFUNCTION("""COMPUTED_VALUE"""),1264.0)</f>
        <v>1264</v>
      </c>
      <c r="G46" s="45">
        <f>IFERROR(__xludf.DUMMYFUNCTION("""COMPUTED_VALUE"""),1723.0)</f>
        <v>1723</v>
      </c>
      <c r="H46" s="3"/>
      <c r="I46" s="3"/>
      <c r="J46" s="3"/>
      <c r="K46" s="3"/>
      <c r="L46" s="3"/>
      <c r="M46" s="3"/>
      <c r="N46" s="49"/>
      <c r="O46" s="3"/>
      <c r="P46" s="3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3"/>
      <c r="B47" s="3"/>
      <c r="C47" s="46"/>
      <c r="D47" s="47"/>
      <c r="E47" s="47"/>
      <c r="F47" s="48"/>
      <c r="G47" s="45"/>
      <c r="H47" s="3"/>
      <c r="I47" s="3"/>
      <c r="J47" s="3"/>
      <c r="K47" s="3"/>
      <c r="L47" s="3"/>
      <c r="M47" s="3"/>
      <c r="N47" s="49"/>
      <c r="O47" s="3"/>
      <c r="P47" s="3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5"/>
      <c r="B48" s="5"/>
      <c r="C48" s="50"/>
      <c r="D48" s="51"/>
      <c r="E48" s="51"/>
      <c r="F48" s="52"/>
      <c r="G48" s="45"/>
      <c r="H48" s="3"/>
      <c r="I48" s="3"/>
      <c r="J48" s="3"/>
      <c r="K48" s="3"/>
      <c r="L48" s="3"/>
      <c r="M48" s="3"/>
      <c r="N48" s="49"/>
      <c r="O48" s="3"/>
      <c r="P48" s="3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5"/>
      <c r="B49" s="5"/>
      <c r="C49" s="50"/>
      <c r="D49" s="47"/>
      <c r="E49" s="47"/>
      <c r="F49" s="48"/>
      <c r="G49" s="45"/>
      <c r="H49" s="3"/>
      <c r="I49" s="3"/>
      <c r="J49" s="3"/>
      <c r="K49" s="3"/>
      <c r="L49" s="3"/>
      <c r="M49" s="3"/>
      <c r="N49" s="49"/>
      <c r="O49" s="3"/>
      <c r="P49" s="3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5"/>
      <c r="B50" s="5"/>
      <c r="C50" s="50"/>
      <c r="D50" s="47"/>
      <c r="E50" s="47"/>
      <c r="F50" s="48"/>
      <c r="G50" s="45"/>
      <c r="H50" s="3"/>
      <c r="I50" s="3"/>
      <c r="J50" s="3"/>
      <c r="K50" s="3"/>
      <c r="L50" s="3"/>
      <c r="M50" s="3"/>
      <c r="N50" s="49"/>
      <c r="O50" s="3"/>
      <c r="P50" s="3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3"/>
      <c r="B51" s="3"/>
      <c r="C51" s="46"/>
      <c r="D51" s="47"/>
      <c r="E51" s="47"/>
      <c r="F51" s="48"/>
      <c r="G51" s="45"/>
      <c r="H51" s="3"/>
      <c r="I51" s="3"/>
      <c r="J51" s="3"/>
      <c r="K51" s="3"/>
      <c r="L51" s="3"/>
      <c r="M51" s="3"/>
      <c r="N51" s="49"/>
      <c r="O51" s="3"/>
      <c r="P51" s="3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3"/>
      <c r="B52" s="3"/>
      <c r="C52" s="46"/>
      <c r="D52" s="47"/>
      <c r="E52" s="47"/>
      <c r="F52" s="48"/>
      <c r="G52" s="45"/>
      <c r="H52" s="3"/>
      <c r="I52" s="3"/>
      <c r="J52" s="3"/>
      <c r="K52" s="3"/>
      <c r="L52" s="3"/>
      <c r="M52" s="3"/>
      <c r="N52" s="49"/>
      <c r="O52" s="3"/>
      <c r="P52" s="3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3"/>
      <c r="B53" s="3"/>
      <c r="C53" s="53"/>
      <c r="D53" s="54"/>
      <c r="E53" s="54"/>
      <c r="F53" s="55"/>
      <c r="G53" s="56"/>
      <c r="H53" s="57"/>
      <c r="I53" s="57"/>
      <c r="J53" s="57"/>
      <c r="K53" s="57"/>
      <c r="L53" s="57"/>
      <c r="M53" s="57"/>
      <c r="N53" s="57"/>
      <c r="O53" s="3"/>
      <c r="P53" s="3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3"/>
      <c r="B54" s="3"/>
      <c r="C54" s="58"/>
      <c r="D54" s="3"/>
      <c r="E54" s="3"/>
      <c r="F54" s="59"/>
      <c r="G54" s="3"/>
      <c r="H54" s="57"/>
      <c r="I54" s="57"/>
      <c r="J54" s="57"/>
      <c r="K54" s="57"/>
      <c r="L54" s="57"/>
      <c r="M54" s="57"/>
      <c r="N54" s="57"/>
      <c r="O54" s="3"/>
      <c r="P54" s="3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3"/>
      <c r="B55" s="3"/>
      <c r="C55" s="60"/>
      <c r="D55" s="4"/>
      <c r="E55" s="4"/>
      <c r="F55" s="61"/>
      <c r="G55" s="3"/>
      <c r="H55" s="3"/>
      <c r="I55" s="3"/>
      <c r="J55" s="3"/>
      <c r="K55" s="3"/>
      <c r="L55" s="3"/>
      <c r="M55" s="3"/>
      <c r="N55" s="49"/>
      <c r="O55" s="3"/>
      <c r="P55" s="3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3"/>
      <c r="B56" s="3"/>
      <c r="C56" s="60"/>
      <c r="D56" s="4"/>
      <c r="E56" s="4"/>
      <c r="F56" s="61"/>
      <c r="G56" s="3"/>
      <c r="H56" s="3"/>
      <c r="I56" s="5" t="s">
        <v>6</v>
      </c>
      <c r="J56" s="3"/>
      <c r="K56" s="3"/>
      <c r="L56" s="3"/>
      <c r="M56" s="3"/>
      <c r="N56" s="49"/>
      <c r="O56" s="3"/>
      <c r="P56" s="3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3"/>
      <c r="B57" s="3"/>
      <c r="C57" s="60"/>
      <c r="D57" s="4"/>
      <c r="E57" s="4"/>
      <c r="F57" s="61"/>
      <c r="G57" s="3"/>
      <c r="H57" s="3"/>
      <c r="I57" s="5"/>
      <c r="J57" s="3"/>
      <c r="K57" s="3"/>
      <c r="L57" s="3"/>
      <c r="M57" s="3"/>
      <c r="N57" s="49"/>
      <c r="O57" s="3"/>
      <c r="P57" s="3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3"/>
      <c r="B58" s="3"/>
      <c r="C58" s="60"/>
      <c r="D58" s="4"/>
      <c r="E58" s="4"/>
      <c r="F58" s="61"/>
      <c r="G58" s="3"/>
      <c r="H58" s="3"/>
      <c r="I58" s="3"/>
      <c r="J58" s="3"/>
      <c r="K58" s="3"/>
      <c r="L58" s="3"/>
      <c r="M58" s="3"/>
      <c r="N58" s="49"/>
      <c r="O58" s="3"/>
      <c r="P58" s="3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5"/>
      <c r="B59" s="5"/>
      <c r="C59" s="60"/>
      <c r="D59" s="4"/>
      <c r="E59" s="4"/>
      <c r="F59" s="61"/>
      <c r="G59" s="3"/>
      <c r="H59" s="3"/>
      <c r="I59" s="3"/>
      <c r="J59" s="3"/>
      <c r="K59" s="3"/>
      <c r="L59" s="3"/>
      <c r="M59" s="3"/>
      <c r="N59" s="49"/>
      <c r="O59" s="3"/>
      <c r="P59" s="3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3"/>
      <c r="B60" s="3"/>
      <c r="C60" s="60"/>
      <c r="D60" s="4"/>
      <c r="E60" s="4"/>
      <c r="F60" s="61"/>
      <c r="G60" s="3"/>
      <c r="H60" s="3"/>
      <c r="I60" s="3"/>
      <c r="J60" s="3"/>
      <c r="K60" s="3"/>
      <c r="L60" s="3"/>
      <c r="M60" s="3"/>
      <c r="N60" s="49"/>
      <c r="O60" s="3"/>
      <c r="P60" s="3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3"/>
      <c r="B61" s="3"/>
      <c r="C61" s="60"/>
      <c r="D61" s="4"/>
      <c r="E61" s="4"/>
      <c r="F61" s="61"/>
      <c r="G61" s="3"/>
      <c r="H61" s="3"/>
      <c r="I61" s="3"/>
      <c r="J61" s="3"/>
      <c r="K61" s="3"/>
      <c r="L61" s="3"/>
      <c r="M61" s="3"/>
      <c r="N61" s="49"/>
      <c r="O61" s="3"/>
      <c r="P61" s="3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3"/>
      <c r="B62" s="3"/>
      <c r="C62" s="60"/>
      <c r="D62" s="4"/>
      <c r="E62" s="4"/>
      <c r="F62" s="61"/>
      <c r="G62" s="3"/>
      <c r="H62" s="3"/>
      <c r="I62" s="3"/>
      <c r="J62" s="3"/>
      <c r="K62" s="3"/>
      <c r="L62" s="3"/>
      <c r="M62" s="3"/>
      <c r="N62" s="49"/>
      <c r="O62" s="3"/>
      <c r="P62" s="3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3"/>
      <c r="B63" s="3"/>
      <c r="C63" s="60"/>
      <c r="D63" s="4"/>
      <c r="E63" s="4"/>
      <c r="F63" s="61"/>
      <c r="G63" s="3"/>
      <c r="H63" s="3"/>
      <c r="I63" s="3"/>
      <c r="J63" s="3"/>
      <c r="K63" s="3"/>
      <c r="L63" s="3"/>
      <c r="M63" s="3"/>
      <c r="N63" s="49"/>
      <c r="O63" s="3"/>
      <c r="P63" s="3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3"/>
      <c r="B64" s="3"/>
      <c r="C64" s="60"/>
      <c r="D64" s="4"/>
      <c r="E64" s="4"/>
      <c r="F64" s="61"/>
      <c r="G64" s="4"/>
      <c r="H64" s="3"/>
      <c r="I64" s="3"/>
      <c r="J64" s="3"/>
      <c r="K64" s="3"/>
      <c r="L64" s="3"/>
      <c r="M64" s="3"/>
      <c r="N64" s="49"/>
      <c r="O64" s="3"/>
      <c r="P64" s="3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3"/>
      <c r="B65" s="3"/>
      <c r="C65" s="62"/>
      <c r="D65" s="63"/>
      <c r="E65" s="63"/>
      <c r="F65" s="64"/>
      <c r="G65" s="63"/>
      <c r="H65" s="65"/>
      <c r="I65" s="65"/>
      <c r="J65" s="65"/>
      <c r="K65" s="65"/>
      <c r="L65" s="65"/>
      <c r="M65" s="65"/>
      <c r="N65" s="66"/>
      <c r="O65" s="3"/>
      <c r="P65" s="3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3"/>
      <c r="B66" s="3"/>
      <c r="C66" s="4"/>
      <c r="D66" s="4"/>
      <c r="E66" s="4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3"/>
      <c r="B67" s="3"/>
      <c r="C67" s="4"/>
      <c r="D67" s="4"/>
      <c r="E67" s="4"/>
      <c r="F67" s="4"/>
      <c r="G67" s="4"/>
      <c r="H67" s="3"/>
      <c r="I67" s="3"/>
      <c r="J67" s="3"/>
      <c r="K67" s="3"/>
      <c r="L67" s="3"/>
      <c r="M67" s="3"/>
      <c r="N67" s="3"/>
      <c r="O67" s="3"/>
      <c r="P67" s="3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3"/>
      <c r="B68" s="3"/>
      <c r="C68" s="4"/>
      <c r="D68" s="4"/>
      <c r="E68" s="4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3"/>
      <c r="B69" s="3"/>
      <c r="C69" s="4"/>
      <c r="D69" s="4"/>
      <c r="E69" s="4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3"/>
      <c r="B70" s="3"/>
      <c r="C70" s="31" t="s">
        <v>7</v>
      </c>
      <c r="D70" s="4"/>
      <c r="E70" s="3"/>
      <c r="F70" s="3"/>
      <c r="G70" s="4"/>
      <c r="H70" s="3"/>
      <c r="I70" s="3"/>
      <c r="J70" s="3"/>
      <c r="K70" s="3"/>
      <c r="L70" s="3"/>
      <c r="M70" s="3"/>
      <c r="N70" s="3"/>
      <c r="O70" s="3"/>
      <c r="P70" s="3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3"/>
      <c r="B72" s="3"/>
      <c r="C72" s="67"/>
      <c r="D72" s="68"/>
      <c r="E72" s="68"/>
      <c r="F72" s="68"/>
      <c r="G72" s="69"/>
      <c r="H72" s="3"/>
      <c r="I72" s="3"/>
      <c r="J72" s="3"/>
      <c r="K72" s="3"/>
      <c r="L72" s="3"/>
      <c r="M72" s="3"/>
      <c r="N72" s="3"/>
      <c r="O72" s="3"/>
      <c r="P72" s="3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3"/>
      <c r="B73" s="3"/>
      <c r="C73" s="67"/>
      <c r="D73" s="68"/>
      <c r="E73" s="68"/>
      <c r="F73" s="68"/>
      <c r="G73" s="69"/>
      <c r="H73" s="3"/>
      <c r="I73" s="3"/>
      <c r="J73" s="3"/>
      <c r="K73" s="3"/>
      <c r="L73" s="3"/>
      <c r="M73" s="3"/>
      <c r="N73" s="3"/>
      <c r="O73" s="3"/>
      <c r="P73" s="3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3"/>
      <c r="B74" s="3"/>
      <c r="C74" s="70"/>
      <c r="D74" s="71"/>
      <c r="E74" s="68"/>
      <c r="F74" s="68"/>
      <c r="G74" s="69"/>
      <c r="H74" s="3"/>
      <c r="I74" s="3"/>
      <c r="J74" s="3"/>
      <c r="K74" s="3"/>
      <c r="L74" s="3"/>
      <c r="M74" s="3"/>
      <c r="N74" s="3"/>
      <c r="O74" s="3"/>
      <c r="P74" s="3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3"/>
      <c r="B75" s="3"/>
      <c r="C75" s="67"/>
      <c r="D75" s="68"/>
      <c r="E75" s="68"/>
      <c r="F75" s="68"/>
      <c r="G75" s="69"/>
      <c r="H75" s="3"/>
      <c r="I75" s="3"/>
      <c r="J75" s="3"/>
      <c r="K75" s="3"/>
      <c r="L75" s="3"/>
      <c r="M75" s="3"/>
      <c r="N75" s="3"/>
      <c r="O75" s="3"/>
      <c r="P75" s="3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3"/>
      <c r="B76" s="3"/>
      <c r="C76" s="67"/>
      <c r="D76" s="68"/>
      <c r="E76" s="68"/>
      <c r="F76" s="68"/>
      <c r="G76" s="69"/>
      <c r="H76" s="3"/>
      <c r="I76" s="3"/>
      <c r="J76" s="3"/>
      <c r="K76" s="3"/>
      <c r="L76" s="3"/>
      <c r="M76" s="3"/>
      <c r="N76" s="3"/>
      <c r="O76" s="3"/>
      <c r="P76" s="3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3"/>
      <c r="B77" s="3"/>
      <c r="C77" s="67"/>
      <c r="D77" s="68"/>
      <c r="E77" s="68"/>
      <c r="F77" s="68"/>
      <c r="G77" s="69"/>
      <c r="H77" s="3"/>
      <c r="I77" s="3"/>
      <c r="J77" s="3"/>
      <c r="K77" s="3"/>
      <c r="L77" s="3"/>
      <c r="M77" s="3"/>
      <c r="N77" s="3"/>
      <c r="O77" s="3"/>
      <c r="P77" s="3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3"/>
      <c r="B78" s="3"/>
      <c r="C78" s="67"/>
      <c r="D78" s="68"/>
      <c r="E78" s="68"/>
      <c r="F78" s="68"/>
      <c r="G78" s="69"/>
      <c r="H78" s="3"/>
      <c r="I78" s="3"/>
      <c r="J78" s="3"/>
      <c r="K78" s="3"/>
      <c r="L78" s="3"/>
      <c r="M78" s="3"/>
      <c r="N78" s="3"/>
      <c r="O78" s="3"/>
      <c r="P78" s="3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3"/>
      <c r="B79" s="3"/>
      <c r="C79" s="72"/>
      <c r="D79" s="73"/>
      <c r="E79" s="4"/>
      <c r="F79" s="73"/>
      <c r="G79" s="69"/>
      <c r="H79" s="3"/>
      <c r="I79" s="3"/>
      <c r="J79" s="3"/>
      <c r="K79" s="3"/>
      <c r="L79" s="3"/>
      <c r="M79" s="3"/>
      <c r="N79" s="3"/>
      <c r="O79" s="3"/>
      <c r="P79" s="3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3"/>
      <c r="B80" s="3"/>
      <c r="C80" s="72"/>
      <c r="D80" s="73"/>
      <c r="E80" s="4"/>
      <c r="F80" s="73"/>
      <c r="G80" s="69"/>
      <c r="H80" s="3"/>
      <c r="I80" s="3"/>
      <c r="J80" s="3"/>
      <c r="K80" s="3"/>
      <c r="L80" s="3"/>
      <c r="M80" s="3"/>
      <c r="N80" s="3"/>
      <c r="O80" s="3"/>
      <c r="P80" s="3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3"/>
      <c r="B81" s="3"/>
      <c r="C81" s="72"/>
      <c r="D81" s="73"/>
      <c r="E81" s="4"/>
      <c r="F81" s="73"/>
      <c r="G81" s="69"/>
      <c r="H81" s="3"/>
      <c r="I81" s="3"/>
      <c r="J81" s="3"/>
      <c r="K81" s="3"/>
      <c r="L81" s="3"/>
      <c r="M81" s="3"/>
      <c r="N81" s="3"/>
      <c r="O81" s="3"/>
      <c r="P81" s="3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3"/>
      <c r="B82" s="3"/>
      <c r="C82" s="72"/>
      <c r="D82" s="73"/>
      <c r="E82" s="4"/>
      <c r="F82" s="73"/>
      <c r="G82" s="69"/>
      <c r="H82" s="3"/>
      <c r="I82" s="3"/>
      <c r="J82" s="3"/>
      <c r="K82" s="3"/>
      <c r="L82" s="3"/>
      <c r="M82" s="3"/>
      <c r="N82" s="3"/>
      <c r="O82" s="3"/>
      <c r="P82" s="3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3"/>
      <c r="B83" s="3"/>
      <c r="C83" s="72"/>
      <c r="D83" s="73"/>
      <c r="E83" s="4"/>
      <c r="F83" s="73"/>
      <c r="G83" s="69"/>
      <c r="H83" s="3"/>
      <c r="I83" s="3"/>
      <c r="J83" s="3"/>
      <c r="K83" s="3"/>
      <c r="L83" s="3"/>
      <c r="M83" s="3"/>
      <c r="N83" s="3"/>
      <c r="O83" s="3"/>
      <c r="P83" s="3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3"/>
      <c r="B84" s="3"/>
      <c r="C84" s="67"/>
      <c r="D84" s="74"/>
      <c r="E84" s="74"/>
      <c r="F84" s="74"/>
      <c r="G84" s="75"/>
      <c r="H84" s="3"/>
      <c r="I84" s="3"/>
      <c r="J84" s="3"/>
      <c r="K84" s="3"/>
      <c r="L84" s="3"/>
      <c r="M84" s="3"/>
      <c r="N84" s="3"/>
      <c r="O84" s="3"/>
      <c r="P84" s="3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3"/>
      <c r="B85" s="3"/>
      <c r="C85" s="3"/>
      <c r="D85" s="3"/>
      <c r="E85" s="3"/>
      <c r="F85" s="3"/>
      <c r="G85" s="49"/>
      <c r="H85" s="3"/>
      <c r="I85" s="3"/>
      <c r="J85" s="3"/>
      <c r="K85" s="3"/>
      <c r="L85" s="3"/>
      <c r="M85" s="3"/>
      <c r="N85" s="3"/>
      <c r="O85" s="3"/>
      <c r="P85" s="3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3"/>
      <c r="B86" s="3"/>
      <c r="C86" s="3"/>
      <c r="D86" s="3"/>
      <c r="E86" s="3"/>
      <c r="F86" s="3"/>
      <c r="G86" s="49"/>
      <c r="H86" s="3"/>
      <c r="I86" s="3"/>
      <c r="J86" s="3"/>
      <c r="K86" s="3"/>
      <c r="L86" s="3"/>
      <c r="M86" s="3"/>
      <c r="N86" s="3"/>
      <c r="O86" s="3"/>
      <c r="P86" s="3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3"/>
      <c r="B87" s="3"/>
      <c r="C87" s="3"/>
      <c r="D87" s="3"/>
      <c r="E87" s="3"/>
      <c r="F87" s="3"/>
      <c r="G87" s="49"/>
      <c r="H87" s="3"/>
      <c r="I87" s="3"/>
      <c r="J87" s="3"/>
      <c r="K87" s="3"/>
      <c r="L87" s="3"/>
      <c r="M87" s="3"/>
      <c r="N87" s="3"/>
      <c r="O87" s="3"/>
      <c r="P87" s="3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3"/>
      <c r="B88" s="3"/>
      <c r="C88" s="3"/>
      <c r="D88" s="3"/>
      <c r="E88" s="3"/>
      <c r="F88" s="3"/>
      <c r="G88" s="49"/>
      <c r="H88" s="3"/>
      <c r="I88" s="3"/>
      <c r="J88" s="3"/>
      <c r="K88" s="3"/>
      <c r="L88" s="3"/>
      <c r="M88" s="3"/>
      <c r="N88" s="3"/>
      <c r="O88" s="3"/>
      <c r="P88" s="3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3"/>
      <c r="B89" s="3"/>
      <c r="C89" s="3"/>
      <c r="D89" s="3"/>
      <c r="E89" s="3"/>
      <c r="F89" s="3"/>
      <c r="G89" s="49"/>
      <c r="H89" s="3"/>
      <c r="I89" s="3"/>
      <c r="J89" s="3"/>
      <c r="K89" s="3"/>
      <c r="L89" s="3"/>
      <c r="M89" s="3"/>
      <c r="N89" s="3"/>
      <c r="O89" s="3"/>
      <c r="P89" s="3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3"/>
      <c r="B90" s="3"/>
      <c r="C90" s="3"/>
      <c r="D90" s="3"/>
      <c r="E90" s="3"/>
      <c r="F90" s="3"/>
      <c r="G90" s="49"/>
      <c r="H90" s="3"/>
      <c r="I90" s="3"/>
      <c r="J90" s="3"/>
      <c r="K90" s="3"/>
      <c r="L90" s="3"/>
      <c r="M90" s="3"/>
      <c r="N90" s="3"/>
      <c r="O90" s="3"/>
      <c r="P90" s="3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3"/>
      <c r="B91" s="3"/>
      <c r="C91" s="3"/>
      <c r="D91" s="3"/>
      <c r="E91" s="3"/>
      <c r="F91" s="3"/>
      <c r="G91" s="49"/>
      <c r="H91" s="3"/>
      <c r="I91" s="3"/>
      <c r="J91" s="3"/>
      <c r="K91" s="3"/>
      <c r="L91" s="3"/>
      <c r="M91" s="3"/>
      <c r="N91" s="3"/>
      <c r="O91" s="3"/>
      <c r="P91" s="3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3"/>
      <c r="B92" s="3"/>
      <c r="C92" s="3"/>
      <c r="D92" s="3"/>
      <c r="E92" s="3"/>
      <c r="F92" s="3"/>
      <c r="G92" s="49"/>
      <c r="H92" s="3"/>
      <c r="I92" s="3"/>
      <c r="J92" s="3"/>
      <c r="K92" s="3"/>
      <c r="L92" s="3"/>
      <c r="M92" s="3"/>
      <c r="N92" s="3"/>
      <c r="O92" s="3"/>
      <c r="P92" s="3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3"/>
      <c r="B93" s="3"/>
      <c r="C93" s="3"/>
      <c r="D93" s="3"/>
      <c r="E93" s="3"/>
      <c r="F93" s="3"/>
      <c r="G93" s="49"/>
      <c r="H93" s="3"/>
      <c r="I93" s="3"/>
      <c r="J93" s="3"/>
      <c r="K93" s="3"/>
      <c r="L93" s="3"/>
      <c r="M93" s="3"/>
      <c r="N93" s="3"/>
      <c r="O93" s="3"/>
      <c r="P93" s="3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3"/>
      <c r="B94" s="3"/>
      <c r="C94" s="3"/>
      <c r="D94" s="3"/>
      <c r="E94" s="3"/>
      <c r="F94" s="3"/>
      <c r="G94" s="49"/>
      <c r="H94" s="3"/>
      <c r="I94" s="3"/>
      <c r="J94" s="3"/>
      <c r="K94" s="3"/>
      <c r="L94" s="3"/>
      <c r="M94" s="3"/>
      <c r="N94" s="3"/>
      <c r="O94" s="3"/>
      <c r="P94" s="3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3"/>
      <c r="B95" s="3"/>
      <c r="C95" s="3"/>
      <c r="D95" s="3"/>
      <c r="E95" s="3"/>
      <c r="F95" s="3"/>
      <c r="G95" s="49"/>
      <c r="H95" s="3"/>
      <c r="I95" s="3"/>
      <c r="J95" s="3"/>
      <c r="K95" s="3"/>
      <c r="L95" s="3"/>
      <c r="M95" s="3"/>
      <c r="N95" s="3"/>
      <c r="O95" s="3"/>
      <c r="P95" s="3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3"/>
      <c r="B96" s="3"/>
      <c r="C96" s="3"/>
      <c r="D96" s="3"/>
      <c r="E96" s="3"/>
      <c r="F96" s="3"/>
      <c r="G96" s="49"/>
      <c r="H96" s="3"/>
      <c r="I96" s="3"/>
      <c r="J96" s="3"/>
      <c r="K96" s="3"/>
      <c r="L96" s="3"/>
      <c r="M96" s="3"/>
      <c r="N96" s="3"/>
      <c r="O96" s="3"/>
      <c r="P96" s="3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3"/>
      <c r="B97" s="3"/>
      <c r="C97" s="3"/>
      <c r="D97" s="65"/>
      <c r="E97" s="65"/>
      <c r="F97" s="65"/>
      <c r="G97" s="66"/>
      <c r="H97" s="65"/>
      <c r="I97" s="65"/>
      <c r="J97" s="65"/>
      <c r="K97" s="65"/>
      <c r="L97" s="65"/>
      <c r="M97" s="65"/>
      <c r="N97" s="3"/>
      <c r="O97" s="3"/>
      <c r="P97" s="3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3"/>
      <c r="B103" s="3"/>
      <c r="C103" s="76" t="s">
        <v>8</v>
      </c>
      <c r="D103" s="77" t="s">
        <v>9</v>
      </c>
      <c r="E103" s="3"/>
      <c r="F103" s="3"/>
      <c r="G103" s="3"/>
      <c r="H103" s="3"/>
      <c r="I103" s="3"/>
      <c r="J103" s="3"/>
      <c r="K103" s="3"/>
      <c r="L103" s="3"/>
      <c r="M103" s="78" t="s">
        <v>2</v>
      </c>
      <c r="N103" s="79">
        <f>SUM(E105:E118)</f>
        <v>19841</v>
      </c>
      <c r="O103" s="3"/>
      <c r="P103" s="3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3"/>
      <c r="B104" s="3"/>
      <c r="C104" s="80" t="str">
        <f>IFERROR(__xludf.DUMMYFUNCTION("QUERY(data!B:K, ""select H, avg(F), sum(F), min(G), max(G), sum(D) / (sum(D) + sum(E)) 
where B is not null 
and H &gt;= date """"""&amp;TEXT(D37, ""yyyy-MM-dd"")&amp;"""""" and H &lt;= date """"""&amp;TEXT(D38, ""yyyy-MM-dd"")&amp;"""""" 
and B = """"""&amp;D103&amp;""""""
group by H"&amp;" 
limit 12
label avg(F) 'Promedio de SLP' , sum(F) 'Total SLP', min(G) 'Min Trofeos', max(G) 'Max Trofeos', sum(D) / (sum(D) + sum(E)) 'Winrate' "")"),"Mes")</f>
        <v>Mes</v>
      </c>
      <c r="D104" s="38" t="str">
        <f>IFERROR(__xludf.DUMMYFUNCTION("""COMPUTED_VALUE"""),"Promedio de SLP")</f>
        <v>Promedio de SLP</v>
      </c>
      <c r="E104" s="38" t="str">
        <f>IFERROR(__xludf.DUMMYFUNCTION("""COMPUTED_VALUE"""),"Total SLP")</f>
        <v>Total SLP</v>
      </c>
      <c r="F104" s="38" t="str">
        <f>IFERROR(__xludf.DUMMYFUNCTION("""COMPUTED_VALUE"""),"Min Trofeos")</f>
        <v>Min Trofeos</v>
      </c>
      <c r="G104" s="38" t="str">
        <f>IFERROR(__xludf.DUMMYFUNCTION("""COMPUTED_VALUE"""),"Max Trofeos")</f>
        <v>Max Trofeos</v>
      </c>
      <c r="H104" s="81" t="str">
        <f>IFERROR(__xludf.DUMMYFUNCTION("""COMPUTED_VALUE"""),"Winrate")</f>
        <v>Winrate</v>
      </c>
      <c r="I104" s="82"/>
      <c r="J104" s="82"/>
      <c r="K104" s="82"/>
      <c r="L104" s="82"/>
      <c r="M104" s="82"/>
      <c r="N104" s="83"/>
      <c r="O104" s="3"/>
      <c r="P104" s="3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3"/>
      <c r="B105" s="3"/>
      <c r="C105" s="46">
        <f>IFERROR(__xludf.DUMMYFUNCTION("""COMPUTED_VALUE"""),44440.0)</f>
        <v>44440</v>
      </c>
      <c r="D105" s="47">
        <f>IFERROR(__xludf.DUMMYFUNCTION("""COMPUTED_VALUE"""),114.86666666666666)</f>
        <v>114.8666667</v>
      </c>
      <c r="E105" s="47">
        <f>IFERROR(__xludf.DUMMYFUNCTION("""COMPUTED_VALUE"""),3446.0)</f>
        <v>3446</v>
      </c>
      <c r="F105" s="47">
        <f>IFERROR(__xludf.DUMMYFUNCTION("""COMPUTED_VALUE"""),948.0)</f>
        <v>948</v>
      </c>
      <c r="G105" s="47">
        <f>IFERROR(__xludf.DUMMYFUNCTION("""COMPUTED_VALUE"""),1226.0)</f>
        <v>1226</v>
      </c>
      <c r="H105" s="84">
        <f>IFERROR(__xludf.DUMMYFUNCTION("""COMPUTED_VALUE"""),0.4890909090909091)</f>
        <v>0.4890909091</v>
      </c>
      <c r="I105" s="3"/>
      <c r="J105" s="3"/>
      <c r="K105" s="3"/>
      <c r="L105" s="3"/>
      <c r="M105" s="3"/>
      <c r="N105" s="49"/>
      <c r="O105" s="3"/>
      <c r="P105" s="3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3"/>
      <c r="B106" s="3"/>
      <c r="C106" s="46">
        <f>IFERROR(__xludf.DUMMYFUNCTION("""COMPUTED_VALUE"""),44470.0)</f>
        <v>44470</v>
      </c>
      <c r="D106" s="47">
        <f>IFERROR(__xludf.DUMMYFUNCTION("""COMPUTED_VALUE"""),132.83870967741936)</f>
        <v>132.8387097</v>
      </c>
      <c r="E106" s="47">
        <f>IFERROR(__xludf.DUMMYFUNCTION("""COMPUTED_VALUE"""),4118.0)</f>
        <v>4118</v>
      </c>
      <c r="F106" s="47">
        <f>IFERROR(__xludf.DUMMYFUNCTION("""COMPUTED_VALUE"""),1053.0)</f>
        <v>1053</v>
      </c>
      <c r="G106" s="47">
        <f>IFERROR(__xludf.DUMMYFUNCTION("""COMPUTED_VALUE"""),1395.0)</f>
        <v>1395</v>
      </c>
      <c r="H106" s="84">
        <f>IFERROR(__xludf.DUMMYFUNCTION("""COMPUTED_VALUE"""),0.4930555555555556)</f>
        <v>0.4930555556</v>
      </c>
      <c r="I106" s="3"/>
      <c r="J106" s="3"/>
      <c r="K106" s="3"/>
      <c r="L106" s="3"/>
      <c r="M106" s="3"/>
      <c r="N106" s="49"/>
      <c r="O106" s="3"/>
      <c r="P106" s="3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3"/>
      <c r="B107" s="3"/>
      <c r="C107" s="46">
        <f>IFERROR(__xludf.DUMMYFUNCTION("""COMPUTED_VALUE"""),44501.0)</f>
        <v>44501</v>
      </c>
      <c r="D107" s="47">
        <f>IFERROR(__xludf.DUMMYFUNCTION("""COMPUTED_VALUE"""),158.06666666666666)</f>
        <v>158.0666667</v>
      </c>
      <c r="E107" s="47">
        <f>IFERROR(__xludf.DUMMYFUNCTION("""COMPUTED_VALUE"""),4742.0)</f>
        <v>4742</v>
      </c>
      <c r="F107" s="47">
        <f>IFERROR(__xludf.DUMMYFUNCTION("""COMPUTED_VALUE"""),1118.0)</f>
        <v>1118</v>
      </c>
      <c r="G107" s="47">
        <f>IFERROR(__xludf.DUMMYFUNCTION("""COMPUTED_VALUE"""),1507.0)</f>
        <v>1507</v>
      </c>
      <c r="H107" s="84">
        <f>IFERROR(__xludf.DUMMYFUNCTION("""COMPUTED_VALUE"""),0.5161290322580645)</f>
        <v>0.5161290323</v>
      </c>
      <c r="I107" s="3"/>
      <c r="J107" s="3"/>
      <c r="K107" s="3"/>
      <c r="L107" s="3"/>
      <c r="M107" s="3"/>
      <c r="N107" s="49"/>
      <c r="O107" s="3"/>
      <c r="P107" s="3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3"/>
      <c r="B108" s="3"/>
      <c r="C108" s="46">
        <f>IFERROR(__xludf.DUMMYFUNCTION("""COMPUTED_VALUE"""),44531.0)</f>
        <v>44531</v>
      </c>
      <c r="D108" s="47">
        <f>IFERROR(__xludf.DUMMYFUNCTION("""COMPUTED_VALUE"""),190.3548387096774)</f>
        <v>190.3548387</v>
      </c>
      <c r="E108" s="47">
        <f>IFERROR(__xludf.DUMMYFUNCTION("""COMPUTED_VALUE"""),5901.0)</f>
        <v>5901</v>
      </c>
      <c r="F108" s="47">
        <f>IFERROR(__xludf.DUMMYFUNCTION("""COMPUTED_VALUE"""),1343.0)</f>
        <v>1343</v>
      </c>
      <c r="G108" s="47">
        <f>IFERROR(__xludf.DUMMYFUNCTION("""COMPUTED_VALUE"""),1741.0)</f>
        <v>1741</v>
      </c>
      <c r="H108" s="84">
        <f>IFERROR(__xludf.DUMMYFUNCTION("""COMPUTED_VALUE"""),0.5140961857379768)</f>
        <v>0.5140961857</v>
      </c>
      <c r="I108" s="3"/>
      <c r="J108" s="3"/>
      <c r="K108" s="3"/>
      <c r="L108" s="3"/>
      <c r="M108" s="3"/>
      <c r="N108" s="49"/>
      <c r="O108" s="3"/>
      <c r="P108" s="3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3"/>
      <c r="B109" s="3"/>
      <c r="C109" s="46">
        <f>IFERROR(__xludf.DUMMYFUNCTION("""COMPUTED_VALUE"""),44562.0)</f>
        <v>44562</v>
      </c>
      <c r="D109" s="47">
        <f>IFERROR(__xludf.DUMMYFUNCTION("""COMPUTED_VALUE"""),148.54545454545453)</f>
        <v>148.5454545</v>
      </c>
      <c r="E109" s="47">
        <f>IFERROR(__xludf.DUMMYFUNCTION("""COMPUTED_VALUE"""),1634.0)</f>
        <v>1634</v>
      </c>
      <c r="F109" s="47">
        <f>IFERROR(__xludf.DUMMYFUNCTION("""COMPUTED_VALUE"""),1264.0)</f>
        <v>1264</v>
      </c>
      <c r="G109" s="47">
        <f>IFERROR(__xludf.DUMMYFUNCTION("""COMPUTED_VALUE"""),1723.0)</f>
        <v>1723</v>
      </c>
      <c r="H109" s="84">
        <f>IFERROR(__xludf.DUMMYFUNCTION("""COMPUTED_VALUE"""),0.5431472081218274)</f>
        <v>0.5431472081</v>
      </c>
      <c r="I109" s="3"/>
      <c r="J109" s="3"/>
      <c r="K109" s="3"/>
      <c r="L109" s="3"/>
      <c r="M109" s="3"/>
      <c r="N109" s="49"/>
      <c r="O109" s="3"/>
      <c r="P109" s="3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3"/>
      <c r="B110" s="3"/>
      <c r="C110" s="46"/>
      <c r="D110" s="47"/>
      <c r="E110" s="47"/>
      <c r="F110" s="47"/>
      <c r="G110" s="47"/>
      <c r="H110" s="84"/>
      <c r="I110" s="3"/>
      <c r="J110" s="3"/>
      <c r="K110" s="3"/>
      <c r="L110" s="3"/>
      <c r="M110" s="3"/>
      <c r="N110" s="49"/>
      <c r="O110" s="3"/>
      <c r="P110" s="3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3"/>
      <c r="B111" s="3"/>
      <c r="C111" s="46"/>
      <c r="D111" s="47"/>
      <c r="E111" s="47"/>
      <c r="F111" s="47"/>
      <c r="G111" s="47"/>
      <c r="H111" s="84"/>
      <c r="I111" s="3"/>
      <c r="J111" s="3"/>
      <c r="K111" s="3"/>
      <c r="L111" s="3"/>
      <c r="M111" s="3"/>
      <c r="N111" s="49"/>
      <c r="O111" s="3"/>
      <c r="P111" s="3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3"/>
      <c r="B112" s="3"/>
      <c r="C112" s="46"/>
      <c r="D112" s="47"/>
      <c r="E112" s="47"/>
      <c r="F112" s="47"/>
      <c r="G112" s="47"/>
      <c r="H112" s="84"/>
      <c r="I112" s="3"/>
      <c r="J112" s="3"/>
      <c r="K112" s="3"/>
      <c r="L112" s="3"/>
      <c r="M112" s="3"/>
      <c r="N112" s="49"/>
      <c r="O112" s="3"/>
      <c r="P112" s="3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3"/>
      <c r="B113" s="3"/>
      <c r="C113" s="46"/>
      <c r="D113" s="47"/>
      <c r="E113" s="47"/>
      <c r="F113" s="47"/>
      <c r="G113" s="47"/>
      <c r="H113" s="84"/>
      <c r="I113" s="3"/>
      <c r="J113" s="3"/>
      <c r="K113" s="3"/>
      <c r="L113" s="3"/>
      <c r="M113" s="3"/>
      <c r="N113" s="49"/>
      <c r="O113" s="3"/>
      <c r="P113" s="3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3"/>
      <c r="B114" s="3"/>
      <c r="C114" s="46"/>
      <c r="D114" s="47"/>
      <c r="E114" s="47"/>
      <c r="F114" s="47"/>
      <c r="G114" s="47"/>
      <c r="H114" s="84"/>
      <c r="I114" s="3"/>
      <c r="J114" s="3"/>
      <c r="K114" s="3"/>
      <c r="L114" s="3"/>
      <c r="M114" s="3"/>
      <c r="N114" s="49"/>
      <c r="O114" s="3"/>
      <c r="P114" s="3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3"/>
      <c r="B115" s="3"/>
      <c r="C115" s="46"/>
      <c r="D115" s="47"/>
      <c r="E115" s="47"/>
      <c r="F115" s="47"/>
      <c r="G115" s="47"/>
      <c r="H115" s="84"/>
      <c r="I115" s="3"/>
      <c r="J115" s="3"/>
      <c r="K115" s="3"/>
      <c r="L115" s="3"/>
      <c r="M115" s="3"/>
      <c r="N115" s="49"/>
      <c r="O115" s="3"/>
      <c r="P115" s="3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3"/>
      <c r="B116" s="3"/>
      <c r="C116" s="46"/>
      <c r="D116" s="47"/>
      <c r="E116" s="47"/>
      <c r="F116" s="47"/>
      <c r="G116" s="47"/>
      <c r="H116" s="84"/>
      <c r="I116" s="3"/>
      <c r="J116" s="3"/>
      <c r="K116" s="3"/>
      <c r="L116" s="3"/>
      <c r="M116" s="3"/>
      <c r="N116" s="49"/>
      <c r="O116" s="3"/>
      <c r="P116" s="3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3"/>
      <c r="B117" s="3"/>
      <c r="C117" s="46"/>
      <c r="D117" s="47"/>
      <c r="E117" s="47"/>
      <c r="F117" s="47"/>
      <c r="G117" s="47"/>
      <c r="H117" s="84"/>
      <c r="I117" s="3"/>
      <c r="J117" s="3"/>
      <c r="K117" s="3"/>
      <c r="L117" s="3"/>
      <c r="M117" s="3"/>
      <c r="N117" s="49"/>
      <c r="O117" s="3"/>
      <c r="P117" s="3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3"/>
      <c r="B118" s="3"/>
      <c r="C118" s="53"/>
      <c r="D118" s="54"/>
      <c r="E118" s="54"/>
      <c r="F118" s="54"/>
      <c r="G118" s="54"/>
      <c r="H118" s="85"/>
      <c r="I118" s="3"/>
      <c r="J118" s="3"/>
      <c r="K118" s="3"/>
      <c r="L118" s="3"/>
      <c r="M118" s="3"/>
      <c r="N118" s="49"/>
      <c r="O118" s="3"/>
      <c r="P118" s="3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49"/>
      <c r="O119" s="3"/>
      <c r="P119" s="3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49"/>
      <c r="O120" s="3"/>
      <c r="P120" s="3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49"/>
      <c r="O121" s="3"/>
      <c r="P121" s="3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49"/>
      <c r="O122" s="3"/>
      <c r="P122" s="3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49"/>
      <c r="O123" s="3"/>
      <c r="P123" s="3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49"/>
      <c r="O124" s="3"/>
      <c r="P124" s="3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49"/>
      <c r="O125" s="3"/>
      <c r="P125" s="3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49"/>
      <c r="O126" s="3"/>
      <c r="P126" s="3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49"/>
      <c r="O127" s="3"/>
      <c r="P127" s="3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49"/>
      <c r="O128" s="3"/>
      <c r="P128" s="3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49"/>
      <c r="O129" s="3"/>
      <c r="P129" s="3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49"/>
      <c r="O130" s="3"/>
      <c r="P130" s="3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49"/>
      <c r="O131" s="3"/>
      <c r="P131" s="3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</row>
  </sheetData>
  <mergeCells count="1">
    <mergeCell ref="C37:C38"/>
  </mergeCells>
  <dataValidations>
    <dataValidation type="list" allowBlank="1" sqref="D103">
      <formula1>Dropdowns!$C$2:$C1041</formula1>
    </dataValidation>
    <dataValidation type="list" allowBlank="1" sqref="D37:D38">
      <formula1>Dropdowns!$A$2:$A1041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86" t="s">
        <v>10</v>
      </c>
      <c r="B1" s="86" t="s">
        <v>11</v>
      </c>
      <c r="C1" s="86" t="s">
        <v>12</v>
      </c>
      <c r="D1" s="86" t="s">
        <v>13</v>
      </c>
      <c r="E1" s="86" t="s">
        <v>14</v>
      </c>
      <c r="F1" s="86" t="s">
        <v>15</v>
      </c>
      <c r="G1" s="86" t="s">
        <v>16</v>
      </c>
      <c r="H1" s="87" t="s">
        <v>17</v>
      </c>
    </row>
    <row r="2">
      <c r="A2" s="88">
        <v>44444.95513313657</v>
      </c>
      <c r="B2" s="89" t="s">
        <v>9</v>
      </c>
      <c r="C2" s="90">
        <v>44440.0</v>
      </c>
      <c r="D2" s="89">
        <v>8.0</v>
      </c>
      <c r="E2" s="89">
        <v>7.0</v>
      </c>
      <c r="F2" s="89">
        <v>91.0</v>
      </c>
      <c r="G2" s="89">
        <v>1022.0</v>
      </c>
      <c r="H2" s="91">
        <f>IFERROR(__xludf.DUMMYFUNCTION("ArrayFormula(TO_DATE(IF(ISBLANK(C2:C208), ,DATE(YEAR(C2:C208), MONTH(C2:C208), 1))))"),44440.0)</f>
        <v>44440</v>
      </c>
    </row>
    <row r="3">
      <c r="A3" s="88">
        <v>44444.95727459491</v>
      </c>
      <c r="B3" s="89" t="s">
        <v>9</v>
      </c>
      <c r="C3" s="90">
        <v>44441.0</v>
      </c>
      <c r="D3" s="89">
        <v>5.0</v>
      </c>
      <c r="E3" s="89">
        <v>4.0</v>
      </c>
      <c r="F3" s="89">
        <v>90.0</v>
      </c>
      <c r="G3" s="89">
        <v>1028.0</v>
      </c>
      <c r="H3" s="91">
        <f>IFERROR(__xludf.DUMMYFUNCTION("""COMPUTED_VALUE"""),44440.0)</f>
        <v>44440</v>
      </c>
    </row>
    <row r="4">
      <c r="A4" s="88">
        <v>44444.95900541666</v>
      </c>
      <c r="B4" s="89" t="s">
        <v>9</v>
      </c>
      <c r="C4" s="90">
        <v>44442.0</v>
      </c>
      <c r="D4" s="89">
        <v>5.0</v>
      </c>
      <c r="E4" s="89">
        <v>7.0</v>
      </c>
      <c r="F4" s="89">
        <v>84.0</v>
      </c>
      <c r="G4" s="89">
        <v>950.0</v>
      </c>
      <c r="H4" s="91">
        <f>IFERROR(__xludf.DUMMYFUNCTION("""COMPUTED_VALUE"""),44440.0)</f>
        <v>44440</v>
      </c>
    </row>
    <row r="5">
      <c r="A5" s="88">
        <v>44444.95979868056</v>
      </c>
      <c r="B5" s="89" t="s">
        <v>9</v>
      </c>
      <c r="C5" s="90">
        <v>44443.0</v>
      </c>
      <c r="D5" s="89">
        <v>8.0</v>
      </c>
      <c r="E5" s="89">
        <v>7.0</v>
      </c>
      <c r="F5" s="89">
        <v>83.0</v>
      </c>
      <c r="G5" s="89">
        <v>988.0</v>
      </c>
      <c r="H5" s="91">
        <f>IFERROR(__xludf.DUMMYFUNCTION("""COMPUTED_VALUE"""),44440.0)</f>
        <v>44440</v>
      </c>
    </row>
    <row r="6">
      <c r="A6" s="88">
        <v>44444.960309988426</v>
      </c>
      <c r="B6" s="89" t="s">
        <v>9</v>
      </c>
      <c r="C6" s="90">
        <v>44444.0</v>
      </c>
      <c r="D6" s="89">
        <v>12.0</v>
      </c>
      <c r="E6" s="89">
        <v>13.0</v>
      </c>
      <c r="F6" s="89">
        <v>109.0</v>
      </c>
      <c r="G6" s="89">
        <v>1018.0</v>
      </c>
      <c r="H6" s="91">
        <f>IFERROR(__xludf.DUMMYFUNCTION("""COMPUTED_VALUE"""),44440.0)</f>
        <v>44440</v>
      </c>
    </row>
    <row r="7">
      <c r="A7" s="88">
        <v>44445.813176655094</v>
      </c>
      <c r="B7" s="89" t="s">
        <v>9</v>
      </c>
      <c r="C7" s="90">
        <v>44445.0</v>
      </c>
      <c r="D7" s="89">
        <v>18.0</v>
      </c>
      <c r="E7" s="89">
        <v>13.0</v>
      </c>
      <c r="F7" s="89">
        <v>139.0</v>
      </c>
      <c r="G7" s="89">
        <v>1154.0</v>
      </c>
      <c r="H7" s="91">
        <f>IFERROR(__xludf.DUMMYFUNCTION("""COMPUTED_VALUE"""),44440.0)</f>
        <v>44440</v>
      </c>
    </row>
    <row r="8">
      <c r="A8" s="88">
        <v>44446.77293269676</v>
      </c>
      <c r="B8" s="89" t="s">
        <v>9</v>
      </c>
      <c r="C8" s="90">
        <v>44446.0</v>
      </c>
      <c r="D8" s="89">
        <v>18.0</v>
      </c>
      <c r="E8" s="89">
        <v>16.0</v>
      </c>
      <c r="F8" s="89">
        <v>183.0</v>
      </c>
      <c r="G8" s="89">
        <v>1222.0</v>
      </c>
      <c r="H8" s="91">
        <f>IFERROR(__xludf.DUMMYFUNCTION("""COMPUTED_VALUE"""),44440.0)</f>
        <v>44440</v>
      </c>
    </row>
    <row r="9">
      <c r="A9" s="88">
        <v>44447.819749629634</v>
      </c>
      <c r="B9" s="89" t="s">
        <v>9</v>
      </c>
      <c r="C9" s="90">
        <v>44447.0</v>
      </c>
      <c r="D9" s="89">
        <v>11.0</v>
      </c>
      <c r="E9" s="89">
        <v>15.0</v>
      </c>
      <c r="F9" s="89">
        <v>144.0</v>
      </c>
      <c r="G9" s="89">
        <v>1120.0</v>
      </c>
      <c r="H9" s="91">
        <f>IFERROR(__xludf.DUMMYFUNCTION("""COMPUTED_VALUE"""),44440.0)</f>
        <v>44440</v>
      </c>
    </row>
    <row r="10">
      <c r="A10" s="88">
        <v>44448.920915462964</v>
      </c>
      <c r="B10" s="89" t="s">
        <v>9</v>
      </c>
      <c r="C10" s="90">
        <v>44448.0</v>
      </c>
      <c r="D10" s="89">
        <v>9.0</v>
      </c>
      <c r="E10" s="89">
        <v>9.0</v>
      </c>
      <c r="F10" s="89">
        <v>120.0</v>
      </c>
      <c r="G10" s="89">
        <v>1123.0</v>
      </c>
      <c r="H10" s="91">
        <f>IFERROR(__xludf.DUMMYFUNCTION("""COMPUTED_VALUE"""),44440.0)</f>
        <v>44440</v>
      </c>
    </row>
    <row r="11">
      <c r="A11" s="88">
        <v>44450.00053991898</v>
      </c>
      <c r="B11" s="89" t="s">
        <v>9</v>
      </c>
      <c r="C11" s="90">
        <v>44449.0</v>
      </c>
      <c r="D11" s="89">
        <v>6.0</v>
      </c>
      <c r="E11" s="89">
        <v>8.0</v>
      </c>
      <c r="F11" s="89">
        <v>296.0</v>
      </c>
      <c r="G11" s="89">
        <v>1055.0</v>
      </c>
      <c r="H11" s="91">
        <f>IFERROR(__xludf.DUMMYFUNCTION("""COMPUTED_VALUE"""),44440.0)</f>
        <v>44440</v>
      </c>
    </row>
    <row r="12">
      <c r="A12" s="88">
        <v>44450.81234690972</v>
      </c>
      <c r="B12" s="89" t="s">
        <v>9</v>
      </c>
      <c r="C12" s="90">
        <v>44450.0</v>
      </c>
      <c r="D12" s="89">
        <v>11.0</v>
      </c>
      <c r="E12" s="89">
        <v>17.0</v>
      </c>
      <c r="F12" s="89">
        <v>116.0</v>
      </c>
      <c r="G12" s="89">
        <v>961.0</v>
      </c>
      <c r="H12" s="91">
        <f>IFERROR(__xludf.DUMMYFUNCTION("""COMPUTED_VALUE"""),44440.0)</f>
        <v>44440</v>
      </c>
    </row>
    <row r="13">
      <c r="A13" s="88">
        <v>44451.78662996528</v>
      </c>
      <c r="B13" s="89" t="s">
        <v>9</v>
      </c>
      <c r="C13" s="90">
        <v>44451.0</v>
      </c>
      <c r="D13" s="89">
        <v>17.0</v>
      </c>
      <c r="E13" s="89">
        <v>15.0</v>
      </c>
      <c r="F13" s="89">
        <v>93.0</v>
      </c>
      <c r="G13" s="89">
        <v>996.0</v>
      </c>
      <c r="H13" s="91">
        <f>IFERROR(__xludf.DUMMYFUNCTION("""COMPUTED_VALUE"""),44440.0)</f>
        <v>44440</v>
      </c>
    </row>
    <row r="14">
      <c r="A14" s="88">
        <v>44452.81595167824</v>
      </c>
      <c r="B14" s="89" t="s">
        <v>9</v>
      </c>
      <c r="C14" s="90">
        <v>44452.0</v>
      </c>
      <c r="D14" s="89">
        <v>17.0</v>
      </c>
      <c r="E14" s="89">
        <v>13.0</v>
      </c>
      <c r="F14" s="89">
        <v>130.0</v>
      </c>
      <c r="G14" s="89">
        <v>1053.0</v>
      </c>
      <c r="H14" s="91">
        <f>IFERROR(__xludf.DUMMYFUNCTION("""COMPUTED_VALUE"""),44440.0)</f>
        <v>44440</v>
      </c>
    </row>
    <row r="15">
      <c r="A15" s="88">
        <v>44453.83633583333</v>
      </c>
      <c r="B15" s="89" t="s">
        <v>9</v>
      </c>
      <c r="C15" s="90">
        <v>44453.0</v>
      </c>
      <c r="D15" s="89">
        <v>6.0</v>
      </c>
      <c r="E15" s="89">
        <v>9.0</v>
      </c>
      <c r="F15" s="89">
        <v>64.0</v>
      </c>
      <c r="G15" s="89">
        <v>988.0</v>
      </c>
      <c r="H15" s="91">
        <f>IFERROR(__xludf.DUMMYFUNCTION("""COMPUTED_VALUE"""),44440.0)</f>
        <v>44440</v>
      </c>
    </row>
    <row r="16">
      <c r="A16" s="88">
        <v>44454.75867206018</v>
      </c>
      <c r="B16" s="89" t="s">
        <v>9</v>
      </c>
      <c r="C16" s="90">
        <v>44454.0</v>
      </c>
      <c r="D16" s="89">
        <v>6.0</v>
      </c>
      <c r="E16" s="89">
        <v>9.0</v>
      </c>
      <c r="F16" s="89">
        <v>81.0</v>
      </c>
      <c r="G16" s="89">
        <v>948.0</v>
      </c>
      <c r="H16" s="91">
        <f>IFERROR(__xludf.DUMMYFUNCTION("""COMPUTED_VALUE"""),44440.0)</f>
        <v>44440</v>
      </c>
    </row>
    <row r="17">
      <c r="A17" s="88">
        <v>44455.80387636574</v>
      </c>
      <c r="B17" s="89" t="s">
        <v>9</v>
      </c>
      <c r="C17" s="90">
        <v>44455.0</v>
      </c>
      <c r="D17" s="89">
        <v>14.0</v>
      </c>
      <c r="E17" s="89">
        <v>5.0</v>
      </c>
      <c r="F17" s="89">
        <v>108.0</v>
      </c>
      <c r="G17" s="89">
        <v>1119.0</v>
      </c>
      <c r="H17" s="91">
        <f>IFERROR(__xludf.DUMMYFUNCTION("""COMPUTED_VALUE"""),44440.0)</f>
        <v>44440</v>
      </c>
    </row>
    <row r="18">
      <c r="A18" s="88">
        <v>44456.81535027778</v>
      </c>
      <c r="B18" s="89" t="s">
        <v>9</v>
      </c>
      <c r="C18" s="90">
        <v>44456.0</v>
      </c>
      <c r="D18" s="89">
        <v>5.0</v>
      </c>
      <c r="E18" s="89">
        <v>10.0</v>
      </c>
      <c r="F18" s="89">
        <v>88.0</v>
      </c>
      <c r="G18" s="89">
        <v>1027.0</v>
      </c>
      <c r="H18" s="91">
        <f>IFERROR(__xludf.DUMMYFUNCTION("""COMPUTED_VALUE"""),44440.0)</f>
        <v>44440</v>
      </c>
    </row>
    <row r="19">
      <c r="A19" s="88">
        <v>44457.72075922454</v>
      </c>
      <c r="B19" s="89" t="s">
        <v>9</v>
      </c>
      <c r="C19" s="90">
        <v>44457.0</v>
      </c>
      <c r="D19" s="89">
        <v>9.0</v>
      </c>
      <c r="E19" s="89">
        <v>11.0</v>
      </c>
      <c r="F19" s="89">
        <v>90.0</v>
      </c>
      <c r="G19" s="89">
        <v>1006.0</v>
      </c>
      <c r="H19" s="91">
        <f>IFERROR(__xludf.DUMMYFUNCTION("""COMPUTED_VALUE"""),44440.0)</f>
        <v>44440</v>
      </c>
    </row>
    <row r="20">
      <c r="A20" s="88">
        <v>44458.85954329861</v>
      </c>
      <c r="B20" s="89" t="s">
        <v>9</v>
      </c>
      <c r="C20" s="90">
        <v>44458.0</v>
      </c>
      <c r="D20" s="89">
        <v>9.0</v>
      </c>
      <c r="E20" s="89">
        <v>10.0</v>
      </c>
      <c r="F20" s="89">
        <v>107.0</v>
      </c>
      <c r="G20" s="89">
        <v>1187.0</v>
      </c>
      <c r="H20" s="91">
        <f>IFERROR(__xludf.DUMMYFUNCTION("""COMPUTED_VALUE"""),44440.0)</f>
        <v>44440</v>
      </c>
    </row>
    <row r="21">
      <c r="A21" s="88">
        <v>44459.65771274306</v>
      </c>
      <c r="B21" s="89" t="s">
        <v>9</v>
      </c>
      <c r="C21" s="90">
        <v>44459.0</v>
      </c>
      <c r="D21" s="89">
        <v>9.0</v>
      </c>
      <c r="E21" s="89">
        <v>11.0</v>
      </c>
      <c r="F21" s="89">
        <v>120.0</v>
      </c>
      <c r="G21" s="89">
        <v>1165.0</v>
      </c>
      <c r="H21" s="91">
        <f>IFERROR(__xludf.DUMMYFUNCTION("""COMPUTED_VALUE"""),44440.0)</f>
        <v>44440</v>
      </c>
    </row>
    <row r="22">
      <c r="A22" s="88">
        <v>44460.75857824074</v>
      </c>
      <c r="B22" s="89" t="s">
        <v>9</v>
      </c>
      <c r="C22" s="90">
        <v>44460.0</v>
      </c>
      <c r="D22" s="89">
        <v>8.0</v>
      </c>
      <c r="E22" s="89">
        <v>7.0</v>
      </c>
      <c r="F22" s="89">
        <v>123.0</v>
      </c>
      <c r="G22" s="89">
        <v>1182.0</v>
      </c>
      <c r="H22" s="91">
        <f>IFERROR(__xludf.DUMMYFUNCTION("""COMPUTED_VALUE"""),44440.0)</f>
        <v>44440</v>
      </c>
    </row>
    <row r="23">
      <c r="A23" s="88">
        <v>44461.7796274537</v>
      </c>
      <c r="B23" s="89" t="s">
        <v>9</v>
      </c>
      <c r="C23" s="90">
        <v>44461.0</v>
      </c>
      <c r="D23" s="89">
        <v>6.0</v>
      </c>
      <c r="E23" s="89">
        <v>9.0</v>
      </c>
      <c r="F23" s="89">
        <v>111.0</v>
      </c>
      <c r="G23" s="89">
        <v>1130.0</v>
      </c>
      <c r="H23" s="91">
        <f>IFERROR(__xludf.DUMMYFUNCTION("""COMPUTED_VALUE"""),44440.0)</f>
        <v>44440</v>
      </c>
    </row>
    <row r="24">
      <c r="A24" s="88">
        <v>44462.445987326384</v>
      </c>
      <c r="B24" s="89" t="s">
        <v>9</v>
      </c>
      <c r="C24" s="90">
        <v>44462.0</v>
      </c>
      <c r="D24" s="89">
        <v>6.0</v>
      </c>
      <c r="E24" s="89">
        <v>9.0</v>
      </c>
      <c r="F24" s="89">
        <v>102.0</v>
      </c>
      <c r="G24" s="89">
        <v>1095.0</v>
      </c>
      <c r="H24" s="91">
        <f>IFERROR(__xludf.DUMMYFUNCTION("""COMPUTED_VALUE"""),44440.0)</f>
        <v>44440</v>
      </c>
    </row>
    <row r="25">
      <c r="A25" s="88">
        <v>44463.80566615741</v>
      </c>
      <c r="B25" s="89" t="s">
        <v>9</v>
      </c>
      <c r="C25" s="90">
        <v>44463.0</v>
      </c>
      <c r="D25" s="89">
        <v>8.0</v>
      </c>
      <c r="E25" s="89">
        <v>3.0</v>
      </c>
      <c r="F25" s="89">
        <v>117.0</v>
      </c>
      <c r="G25" s="89">
        <v>1192.0</v>
      </c>
      <c r="H25" s="91">
        <f>IFERROR(__xludf.DUMMYFUNCTION("""COMPUTED_VALUE"""),44440.0)</f>
        <v>44440</v>
      </c>
    </row>
    <row r="26">
      <c r="A26" s="88">
        <v>44464.814315069445</v>
      </c>
      <c r="B26" s="89" t="s">
        <v>9</v>
      </c>
      <c r="C26" s="90">
        <v>44464.0</v>
      </c>
      <c r="D26" s="89">
        <v>7.0</v>
      </c>
      <c r="E26" s="89">
        <v>6.0</v>
      </c>
      <c r="F26" s="89">
        <v>117.0</v>
      </c>
      <c r="G26" s="89">
        <v>1221.0</v>
      </c>
      <c r="H26" s="91">
        <f>IFERROR(__xludf.DUMMYFUNCTION("""COMPUTED_VALUE"""),44440.0)</f>
        <v>44440</v>
      </c>
    </row>
    <row r="27">
      <c r="A27" s="88">
        <v>44465.428460462965</v>
      </c>
      <c r="B27" s="89" t="s">
        <v>9</v>
      </c>
      <c r="C27" s="90">
        <v>44465.0</v>
      </c>
      <c r="D27" s="89">
        <v>8.0</v>
      </c>
      <c r="E27" s="89">
        <v>8.0</v>
      </c>
      <c r="F27" s="89">
        <v>123.0</v>
      </c>
      <c r="G27" s="89">
        <v>1226.0</v>
      </c>
      <c r="H27" s="91">
        <f>IFERROR(__xludf.DUMMYFUNCTION("""COMPUTED_VALUE"""),44440.0)</f>
        <v>44440</v>
      </c>
    </row>
    <row r="28">
      <c r="A28" s="88">
        <v>44466.81349126158</v>
      </c>
      <c r="B28" s="89" t="s">
        <v>9</v>
      </c>
      <c r="C28" s="90">
        <v>44466.0</v>
      </c>
      <c r="D28" s="89">
        <v>5.0</v>
      </c>
      <c r="E28" s="89">
        <v>9.0</v>
      </c>
      <c r="F28" s="89">
        <v>108.0</v>
      </c>
      <c r="G28" s="89">
        <v>1168.0</v>
      </c>
      <c r="H28" s="91">
        <f>IFERROR(__xludf.DUMMYFUNCTION("""COMPUTED_VALUE"""),44440.0)</f>
        <v>44440</v>
      </c>
    </row>
    <row r="29">
      <c r="A29" s="88">
        <v>44467.82950238426</v>
      </c>
      <c r="B29" s="89" t="s">
        <v>9</v>
      </c>
      <c r="C29" s="90">
        <v>44467.0</v>
      </c>
      <c r="D29" s="89">
        <v>6.0</v>
      </c>
      <c r="E29" s="89">
        <v>9.0</v>
      </c>
      <c r="F29" s="89">
        <v>111.0</v>
      </c>
      <c r="G29" s="89">
        <v>1119.0</v>
      </c>
      <c r="H29" s="91">
        <f>IFERROR(__xludf.DUMMYFUNCTION("""COMPUTED_VALUE"""),44440.0)</f>
        <v>44440</v>
      </c>
    </row>
    <row r="30">
      <c r="A30" s="88">
        <v>44468.96698891204</v>
      </c>
      <c r="B30" s="89" t="s">
        <v>9</v>
      </c>
      <c r="C30" s="90">
        <v>44468.0</v>
      </c>
      <c r="D30" s="89">
        <v>7.0</v>
      </c>
      <c r="E30" s="89">
        <v>10.0</v>
      </c>
      <c r="F30" s="89">
        <v>102.0</v>
      </c>
      <c r="G30" s="89">
        <v>1069.0</v>
      </c>
      <c r="H30" s="91">
        <f>IFERROR(__xludf.DUMMYFUNCTION("""COMPUTED_VALUE"""),44440.0)</f>
        <v>44440</v>
      </c>
    </row>
    <row r="31">
      <c r="A31" s="88">
        <v>44469.8317708449</v>
      </c>
      <c r="B31" s="89" t="s">
        <v>9</v>
      </c>
      <c r="C31" s="90">
        <v>44469.0</v>
      </c>
      <c r="D31" s="89">
        <v>5.0</v>
      </c>
      <c r="E31" s="89">
        <v>2.0</v>
      </c>
      <c r="F31" s="89">
        <v>96.0</v>
      </c>
      <c r="G31" s="89">
        <v>1125.0</v>
      </c>
      <c r="H31" s="91">
        <f>IFERROR(__xludf.DUMMYFUNCTION("""COMPUTED_VALUE"""),44440.0)</f>
        <v>44440</v>
      </c>
    </row>
    <row r="32">
      <c r="A32" s="88">
        <v>44470.693496238426</v>
      </c>
      <c r="B32" s="89" t="s">
        <v>9</v>
      </c>
      <c r="C32" s="90">
        <v>44470.0</v>
      </c>
      <c r="D32" s="89">
        <v>11.0</v>
      </c>
      <c r="E32" s="89">
        <v>9.0</v>
      </c>
      <c r="F32" s="89">
        <v>128.0</v>
      </c>
      <c r="G32" s="89">
        <v>1157.0</v>
      </c>
      <c r="H32" s="91">
        <f>IFERROR(__xludf.DUMMYFUNCTION("""COMPUTED_VALUE"""),44470.0)</f>
        <v>44470</v>
      </c>
    </row>
    <row r="33">
      <c r="A33" s="88">
        <v>44471.76376615741</v>
      </c>
      <c r="B33" s="89" t="s">
        <v>9</v>
      </c>
      <c r="C33" s="90">
        <v>44471.0</v>
      </c>
      <c r="D33" s="89">
        <v>5.0</v>
      </c>
      <c r="E33" s="89">
        <v>10.0</v>
      </c>
      <c r="F33" s="89">
        <v>99.0</v>
      </c>
      <c r="G33" s="89">
        <v>1075.0</v>
      </c>
      <c r="H33" s="91">
        <f>IFERROR(__xludf.DUMMYFUNCTION("""COMPUTED_VALUE"""),44470.0)</f>
        <v>44470</v>
      </c>
    </row>
    <row r="34">
      <c r="A34" s="88">
        <v>44472.759582071754</v>
      </c>
      <c r="B34" s="89" t="s">
        <v>9</v>
      </c>
      <c r="C34" s="90">
        <v>44472.0</v>
      </c>
      <c r="D34" s="89">
        <v>9.0</v>
      </c>
      <c r="E34" s="89">
        <v>10.0</v>
      </c>
      <c r="F34" s="89">
        <v>120.0</v>
      </c>
      <c r="G34" s="89">
        <v>1070.0</v>
      </c>
      <c r="H34" s="91">
        <f>IFERROR(__xludf.DUMMYFUNCTION("""COMPUTED_VALUE"""),44470.0)</f>
        <v>44470</v>
      </c>
    </row>
    <row r="35">
      <c r="A35" s="88">
        <v>44474.37516221065</v>
      </c>
      <c r="B35" s="89" t="s">
        <v>9</v>
      </c>
      <c r="C35" s="90">
        <v>44473.0</v>
      </c>
      <c r="D35" s="89">
        <v>10.0</v>
      </c>
      <c r="E35" s="89">
        <v>5.0</v>
      </c>
      <c r="F35" s="89">
        <v>129.0</v>
      </c>
      <c r="G35" s="89">
        <v>1168.0</v>
      </c>
      <c r="H35" s="91">
        <f>IFERROR(__xludf.DUMMYFUNCTION("""COMPUTED_VALUE"""),44470.0)</f>
        <v>44470</v>
      </c>
    </row>
    <row r="36">
      <c r="A36" s="88">
        <v>44474.7900187037</v>
      </c>
      <c r="B36" s="89" t="s">
        <v>9</v>
      </c>
      <c r="C36" s="90">
        <v>44474.0</v>
      </c>
      <c r="D36" s="89">
        <v>9.0</v>
      </c>
      <c r="E36" s="89">
        <v>8.0</v>
      </c>
      <c r="F36" s="89">
        <v>132.0</v>
      </c>
      <c r="G36" s="89">
        <v>1183.0</v>
      </c>
      <c r="H36" s="91">
        <f>IFERROR(__xludf.DUMMYFUNCTION("""COMPUTED_VALUE"""),44470.0)</f>
        <v>44470</v>
      </c>
    </row>
    <row r="37">
      <c r="A37" s="88">
        <v>44476.010395289355</v>
      </c>
      <c r="B37" s="89" t="s">
        <v>9</v>
      </c>
      <c r="C37" s="90">
        <v>44475.0</v>
      </c>
      <c r="D37" s="89">
        <v>11.0</v>
      </c>
      <c r="E37" s="89">
        <v>9.0</v>
      </c>
      <c r="F37" s="89">
        <v>141.0</v>
      </c>
      <c r="G37" s="89">
        <v>1234.0</v>
      </c>
      <c r="H37" s="91">
        <f>IFERROR(__xludf.DUMMYFUNCTION("""COMPUTED_VALUE"""),44470.0)</f>
        <v>44470</v>
      </c>
    </row>
    <row r="38">
      <c r="A38" s="88">
        <v>44476.824282222224</v>
      </c>
      <c r="B38" s="89" t="s">
        <v>9</v>
      </c>
      <c r="C38" s="90">
        <v>44476.0</v>
      </c>
      <c r="D38" s="89">
        <v>8.0</v>
      </c>
      <c r="E38" s="89">
        <v>12.0</v>
      </c>
      <c r="F38" s="89">
        <v>123.0</v>
      </c>
      <c r="G38" s="89">
        <v>1168.0</v>
      </c>
      <c r="H38" s="91">
        <f>IFERROR(__xludf.DUMMYFUNCTION("""COMPUTED_VALUE"""),44470.0)</f>
        <v>44470</v>
      </c>
    </row>
    <row r="39">
      <c r="A39" s="88">
        <v>44477.805448865736</v>
      </c>
      <c r="B39" s="89" t="s">
        <v>9</v>
      </c>
      <c r="C39" s="90">
        <v>44477.0</v>
      </c>
      <c r="D39" s="89">
        <v>6.0</v>
      </c>
      <c r="E39" s="89">
        <v>4.0</v>
      </c>
      <c r="F39" s="89">
        <v>111.0</v>
      </c>
      <c r="G39" s="89">
        <v>1232.0</v>
      </c>
      <c r="H39" s="91">
        <f>IFERROR(__xludf.DUMMYFUNCTION("""COMPUTED_VALUE"""),44470.0)</f>
        <v>44470</v>
      </c>
    </row>
    <row r="40">
      <c r="A40" s="88">
        <v>44478.66814328704</v>
      </c>
      <c r="B40" s="89" t="s">
        <v>9</v>
      </c>
      <c r="C40" s="90">
        <v>44478.0</v>
      </c>
      <c r="D40" s="89">
        <v>12.0</v>
      </c>
      <c r="E40" s="89">
        <v>8.0</v>
      </c>
      <c r="F40" s="89">
        <v>150.0</v>
      </c>
      <c r="G40" s="89">
        <v>1298.0</v>
      </c>
      <c r="H40" s="91">
        <f>IFERROR(__xludf.DUMMYFUNCTION("""COMPUTED_VALUE"""),44470.0)</f>
        <v>44470</v>
      </c>
    </row>
    <row r="41">
      <c r="A41" s="88">
        <v>44479.91401306713</v>
      </c>
      <c r="B41" s="89" t="s">
        <v>9</v>
      </c>
      <c r="C41" s="90">
        <v>44479.0</v>
      </c>
      <c r="D41" s="89">
        <v>9.0</v>
      </c>
      <c r="E41" s="89">
        <v>11.0</v>
      </c>
      <c r="F41" s="89">
        <v>144.0</v>
      </c>
      <c r="G41" s="89">
        <v>1275.0</v>
      </c>
      <c r="H41" s="91">
        <f>IFERROR(__xludf.DUMMYFUNCTION("""COMPUTED_VALUE"""),44470.0)</f>
        <v>44470</v>
      </c>
    </row>
    <row r="42">
      <c r="A42" s="88">
        <v>44480.81872146991</v>
      </c>
      <c r="B42" s="89" t="s">
        <v>9</v>
      </c>
      <c r="C42" s="90">
        <v>44480.0</v>
      </c>
      <c r="D42" s="89">
        <v>7.0</v>
      </c>
      <c r="E42" s="89">
        <v>7.0</v>
      </c>
      <c r="F42" s="89">
        <v>141.0</v>
      </c>
      <c r="G42" s="89">
        <v>1311.0</v>
      </c>
      <c r="H42" s="91">
        <f>IFERROR(__xludf.DUMMYFUNCTION("""COMPUTED_VALUE"""),44470.0)</f>
        <v>44470</v>
      </c>
    </row>
    <row r="43">
      <c r="A43" s="88">
        <v>44481.826522881944</v>
      </c>
      <c r="B43" s="89" t="s">
        <v>9</v>
      </c>
      <c r="C43" s="90">
        <v>44481.0</v>
      </c>
      <c r="D43" s="89">
        <v>9.0</v>
      </c>
      <c r="E43" s="89">
        <v>11.0</v>
      </c>
      <c r="F43" s="89">
        <v>141.0</v>
      </c>
      <c r="G43" s="89">
        <v>1274.0</v>
      </c>
      <c r="H43" s="91">
        <f>IFERROR(__xludf.DUMMYFUNCTION("""COMPUTED_VALUE"""),44470.0)</f>
        <v>44470</v>
      </c>
    </row>
    <row r="44">
      <c r="A44" s="88">
        <v>44482.74124859954</v>
      </c>
      <c r="B44" s="89" t="s">
        <v>9</v>
      </c>
      <c r="C44" s="90">
        <v>44482.0</v>
      </c>
      <c r="D44" s="89">
        <v>11.0</v>
      </c>
      <c r="E44" s="89">
        <v>9.0</v>
      </c>
      <c r="F44" s="89">
        <v>153.0</v>
      </c>
      <c r="G44" s="89">
        <v>1305.0</v>
      </c>
      <c r="H44" s="91">
        <f>IFERROR(__xludf.DUMMYFUNCTION("""COMPUTED_VALUE"""),44470.0)</f>
        <v>44470</v>
      </c>
    </row>
    <row r="45">
      <c r="A45" s="88">
        <v>44483.808381875</v>
      </c>
      <c r="B45" s="89" t="s">
        <v>9</v>
      </c>
      <c r="C45" s="90">
        <v>44483.0</v>
      </c>
      <c r="D45" s="89">
        <v>10.0</v>
      </c>
      <c r="E45" s="89">
        <v>10.0</v>
      </c>
      <c r="F45" s="89">
        <v>141.0</v>
      </c>
      <c r="G45" s="89">
        <v>1304.0</v>
      </c>
      <c r="H45" s="91">
        <f>IFERROR(__xludf.DUMMYFUNCTION("""COMPUTED_VALUE"""),44470.0)</f>
        <v>44470</v>
      </c>
    </row>
    <row r="46">
      <c r="A46" s="88">
        <v>44484.80464887731</v>
      </c>
      <c r="B46" s="89" t="s">
        <v>9</v>
      </c>
      <c r="C46" s="90">
        <v>44484.0</v>
      </c>
      <c r="D46" s="89">
        <v>11.0</v>
      </c>
      <c r="E46" s="89">
        <v>9.0</v>
      </c>
      <c r="F46" s="89">
        <v>171.0</v>
      </c>
      <c r="G46" s="89">
        <v>1348.0</v>
      </c>
      <c r="H46" s="91">
        <f>IFERROR(__xludf.DUMMYFUNCTION("""COMPUTED_VALUE"""),44470.0)</f>
        <v>44470</v>
      </c>
    </row>
    <row r="47">
      <c r="A47" s="88">
        <v>44486.6980915625</v>
      </c>
      <c r="B47" s="89" t="s">
        <v>9</v>
      </c>
      <c r="C47" s="90">
        <v>44485.0</v>
      </c>
      <c r="D47" s="89">
        <v>5.0</v>
      </c>
      <c r="E47" s="89">
        <v>17.0</v>
      </c>
      <c r="F47" s="89">
        <v>112.0</v>
      </c>
      <c r="G47" s="89">
        <v>1105.0</v>
      </c>
      <c r="H47" s="91">
        <f>IFERROR(__xludf.DUMMYFUNCTION("""COMPUTED_VALUE"""),44470.0)</f>
        <v>44470</v>
      </c>
    </row>
    <row r="48">
      <c r="A48" s="88">
        <v>44486.82120710648</v>
      </c>
      <c r="B48" s="89" t="s">
        <v>9</v>
      </c>
      <c r="C48" s="90">
        <v>44486.0</v>
      </c>
      <c r="D48" s="89">
        <v>7.0</v>
      </c>
      <c r="E48" s="89">
        <v>9.0</v>
      </c>
      <c r="F48" s="89">
        <v>96.0</v>
      </c>
      <c r="G48" s="89">
        <v>1053.0</v>
      </c>
      <c r="H48" s="91">
        <f>IFERROR(__xludf.DUMMYFUNCTION("""COMPUTED_VALUE"""),44470.0)</f>
        <v>44470</v>
      </c>
    </row>
    <row r="49">
      <c r="A49" s="88">
        <v>44488.93678986111</v>
      </c>
      <c r="B49" s="89" t="s">
        <v>9</v>
      </c>
      <c r="C49" s="90">
        <v>44487.0</v>
      </c>
      <c r="D49" s="89">
        <v>10.0</v>
      </c>
      <c r="E49" s="89">
        <v>6.0</v>
      </c>
      <c r="F49" s="89">
        <v>118.0</v>
      </c>
      <c r="G49" s="89">
        <v>1126.0</v>
      </c>
      <c r="H49" s="91">
        <f>IFERROR(__xludf.DUMMYFUNCTION("""COMPUTED_VALUE"""),44470.0)</f>
        <v>44470</v>
      </c>
    </row>
    <row r="50">
      <c r="A50" s="88">
        <v>44488.9377693287</v>
      </c>
      <c r="B50" s="89" t="s">
        <v>9</v>
      </c>
      <c r="C50" s="90">
        <v>44488.0</v>
      </c>
      <c r="D50" s="89">
        <v>8.0</v>
      </c>
      <c r="E50" s="89">
        <v>4.0</v>
      </c>
      <c r="F50" s="89">
        <v>132.0</v>
      </c>
      <c r="G50" s="89">
        <v>1207.0</v>
      </c>
      <c r="H50" s="91">
        <f>IFERROR(__xludf.DUMMYFUNCTION("""COMPUTED_VALUE"""),44470.0)</f>
        <v>44470</v>
      </c>
    </row>
    <row r="51">
      <c r="A51" s="88">
        <v>44489.775382673615</v>
      </c>
      <c r="B51" s="89" t="s">
        <v>9</v>
      </c>
      <c r="C51" s="90">
        <v>44489.0</v>
      </c>
      <c r="D51" s="89">
        <v>10.0</v>
      </c>
      <c r="E51" s="89">
        <v>10.0</v>
      </c>
      <c r="F51" s="89">
        <v>135.0</v>
      </c>
      <c r="G51" s="89">
        <v>1209.0</v>
      </c>
      <c r="H51" s="91">
        <f>IFERROR(__xludf.DUMMYFUNCTION("""COMPUTED_VALUE"""),44470.0)</f>
        <v>44470</v>
      </c>
    </row>
    <row r="52">
      <c r="A52" s="88">
        <v>44490.7983159838</v>
      </c>
      <c r="B52" s="89" t="s">
        <v>9</v>
      </c>
      <c r="C52" s="90">
        <v>44490.0</v>
      </c>
      <c r="D52" s="89">
        <v>13.0</v>
      </c>
      <c r="E52" s="89">
        <v>7.0</v>
      </c>
      <c r="F52" s="89">
        <v>162.0</v>
      </c>
      <c r="G52" s="89">
        <v>1313.0</v>
      </c>
      <c r="H52" s="91">
        <f>IFERROR(__xludf.DUMMYFUNCTION("""COMPUTED_VALUE"""),44470.0)</f>
        <v>44470</v>
      </c>
    </row>
    <row r="53">
      <c r="A53" s="88">
        <v>44491.757952858796</v>
      </c>
      <c r="B53" s="89" t="s">
        <v>9</v>
      </c>
      <c r="C53" s="90">
        <v>44491.0</v>
      </c>
      <c r="D53" s="89">
        <v>12.0</v>
      </c>
      <c r="E53" s="89">
        <v>8.0</v>
      </c>
      <c r="F53" s="89">
        <v>180.0</v>
      </c>
      <c r="G53" s="89">
        <v>1395.0</v>
      </c>
      <c r="H53" s="91">
        <f>IFERROR(__xludf.DUMMYFUNCTION("""COMPUTED_VALUE"""),44470.0)</f>
        <v>44470</v>
      </c>
    </row>
    <row r="54">
      <c r="A54" s="88">
        <v>44492.853863703705</v>
      </c>
      <c r="B54" s="89" t="s">
        <v>9</v>
      </c>
      <c r="C54" s="90">
        <v>44492.0</v>
      </c>
      <c r="D54" s="89">
        <v>8.0</v>
      </c>
      <c r="E54" s="89">
        <v>12.0</v>
      </c>
      <c r="F54" s="89">
        <v>138.0</v>
      </c>
      <c r="G54" s="89">
        <v>1324.0</v>
      </c>
      <c r="H54" s="91">
        <f>IFERROR(__xludf.DUMMYFUNCTION("""COMPUTED_VALUE"""),44470.0)</f>
        <v>44470</v>
      </c>
    </row>
    <row r="55">
      <c r="A55" s="88">
        <v>44494.33607435186</v>
      </c>
      <c r="B55" s="89" t="s">
        <v>9</v>
      </c>
      <c r="C55" s="90">
        <v>44493.0</v>
      </c>
      <c r="D55" s="89">
        <v>7.0</v>
      </c>
      <c r="E55" s="89">
        <v>13.0</v>
      </c>
      <c r="F55" s="89">
        <v>117.0</v>
      </c>
      <c r="G55" s="89">
        <v>1226.0</v>
      </c>
      <c r="H55" s="91">
        <f>IFERROR(__xludf.DUMMYFUNCTION("""COMPUTED_VALUE"""),44470.0)</f>
        <v>44470</v>
      </c>
    </row>
    <row r="56">
      <c r="A56" s="88">
        <v>44495.67962689815</v>
      </c>
      <c r="B56" s="89" t="s">
        <v>9</v>
      </c>
      <c r="C56" s="90">
        <v>44494.0</v>
      </c>
      <c r="D56" s="89">
        <v>12.0</v>
      </c>
      <c r="E56" s="89">
        <v>8.0</v>
      </c>
      <c r="F56" s="89">
        <v>150.0</v>
      </c>
      <c r="G56" s="89">
        <v>1298.0</v>
      </c>
      <c r="H56" s="91">
        <f>IFERROR(__xludf.DUMMYFUNCTION("""COMPUTED_VALUE"""),44470.0)</f>
        <v>44470</v>
      </c>
    </row>
    <row r="57">
      <c r="A57" s="88">
        <v>44495.80989334491</v>
      </c>
      <c r="B57" s="89" t="s">
        <v>9</v>
      </c>
      <c r="C57" s="90">
        <v>44495.0</v>
      </c>
      <c r="D57" s="89">
        <v>10.0</v>
      </c>
      <c r="E57" s="89">
        <v>10.0</v>
      </c>
      <c r="F57" s="89">
        <v>141.0</v>
      </c>
      <c r="G57" s="89">
        <v>1300.0</v>
      </c>
      <c r="H57" s="91">
        <f>IFERROR(__xludf.DUMMYFUNCTION("""COMPUTED_VALUE"""),44470.0)</f>
        <v>44470</v>
      </c>
    </row>
    <row r="58">
      <c r="A58" s="88">
        <v>44496.790989050925</v>
      </c>
      <c r="B58" s="89" t="s">
        <v>9</v>
      </c>
      <c r="C58" s="90">
        <v>44496.0</v>
      </c>
      <c r="D58" s="89">
        <v>8.0</v>
      </c>
      <c r="E58" s="89">
        <v>12.0</v>
      </c>
      <c r="F58" s="89">
        <v>144.0</v>
      </c>
      <c r="G58" s="89">
        <v>1235.0</v>
      </c>
      <c r="H58" s="91">
        <f>IFERROR(__xludf.DUMMYFUNCTION("""COMPUTED_VALUE"""),44470.0)</f>
        <v>44470</v>
      </c>
    </row>
    <row r="59">
      <c r="A59" s="88">
        <v>44500.68238212963</v>
      </c>
      <c r="B59" s="89" t="s">
        <v>9</v>
      </c>
      <c r="C59" s="90">
        <v>44497.0</v>
      </c>
      <c r="D59" s="89">
        <v>6.0</v>
      </c>
      <c r="E59" s="89">
        <v>14.0</v>
      </c>
      <c r="F59" s="89">
        <v>108.0</v>
      </c>
      <c r="G59" s="89">
        <v>1100.0</v>
      </c>
      <c r="H59" s="91">
        <f>IFERROR(__xludf.DUMMYFUNCTION("""COMPUTED_VALUE"""),44470.0)</f>
        <v>44470</v>
      </c>
    </row>
    <row r="60">
      <c r="A60" s="88">
        <v>44500.68300001157</v>
      </c>
      <c r="B60" s="89" t="s">
        <v>9</v>
      </c>
      <c r="C60" s="90">
        <v>44498.0</v>
      </c>
      <c r="D60" s="89">
        <v>11.0</v>
      </c>
      <c r="E60" s="89">
        <v>9.0</v>
      </c>
      <c r="F60" s="89">
        <v>135.0</v>
      </c>
      <c r="G60" s="89">
        <v>1132.0</v>
      </c>
      <c r="H60" s="91">
        <f>IFERROR(__xludf.DUMMYFUNCTION("""COMPUTED_VALUE"""),44470.0)</f>
        <v>44470</v>
      </c>
    </row>
    <row r="61">
      <c r="A61" s="88">
        <v>44500.68375951389</v>
      </c>
      <c r="B61" s="89" t="s">
        <v>9</v>
      </c>
      <c r="C61" s="90">
        <v>44499.0</v>
      </c>
      <c r="D61" s="89">
        <v>8.0</v>
      </c>
      <c r="E61" s="89">
        <v>12.0</v>
      </c>
      <c r="F61" s="89">
        <v>114.0</v>
      </c>
      <c r="G61" s="89">
        <v>1057.0</v>
      </c>
      <c r="H61" s="91">
        <f>IFERROR(__xludf.DUMMYFUNCTION("""COMPUTED_VALUE"""),44470.0)</f>
        <v>44470</v>
      </c>
    </row>
    <row r="62">
      <c r="A62" s="88">
        <v>44500.781922546295</v>
      </c>
      <c r="B62" s="89" t="s">
        <v>9</v>
      </c>
      <c r="C62" s="90">
        <v>44500.0</v>
      </c>
      <c r="D62" s="89">
        <v>11.0</v>
      </c>
      <c r="E62" s="89">
        <v>9.0</v>
      </c>
      <c r="F62" s="89">
        <v>112.0</v>
      </c>
      <c r="G62" s="89">
        <v>1096.0</v>
      </c>
      <c r="H62" s="91">
        <f>IFERROR(__xludf.DUMMYFUNCTION("""COMPUTED_VALUE"""),44470.0)</f>
        <v>44470</v>
      </c>
    </row>
    <row r="63">
      <c r="A63" s="88">
        <v>44501.68535777778</v>
      </c>
      <c r="B63" s="89" t="s">
        <v>9</v>
      </c>
      <c r="C63" s="90">
        <v>44501.0</v>
      </c>
      <c r="D63" s="89">
        <v>10.0</v>
      </c>
      <c r="E63" s="89">
        <v>9.0</v>
      </c>
      <c r="F63" s="89">
        <v>120.0</v>
      </c>
      <c r="G63" s="89">
        <v>1118.0</v>
      </c>
      <c r="H63" s="91">
        <f>IFERROR(__xludf.DUMMYFUNCTION("""COMPUTED_VALUE"""),44501.0)</f>
        <v>44501</v>
      </c>
    </row>
    <row r="64">
      <c r="A64" s="88">
        <v>44502.753996203704</v>
      </c>
      <c r="B64" s="89" t="s">
        <v>9</v>
      </c>
      <c r="C64" s="90">
        <v>44502.0</v>
      </c>
      <c r="D64" s="89">
        <v>12.0</v>
      </c>
      <c r="E64" s="89">
        <v>8.0</v>
      </c>
      <c r="F64" s="89">
        <v>138.0</v>
      </c>
      <c r="G64" s="89">
        <v>1193.0</v>
      </c>
      <c r="H64" s="91">
        <f>IFERROR(__xludf.DUMMYFUNCTION("""COMPUTED_VALUE"""),44501.0)</f>
        <v>44501</v>
      </c>
    </row>
    <row r="65">
      <c r="A65" s="88">
        <v>44505.67696091435</v>
      </c>
      <c r="B65" s="89" t="s">
        <v>9</v>
      </c>
      <c r="C65" s="90">
        <v>44503.0</v>
      </c>
      <c r="D65" s="89">
        <v>11.0</v>
      </c>
      <c r="E65" s="89">
        <v>9.0</v>
      </c>
      <c r="F65" s="89">
        <v>141.0</v>
      </c>
      <c r="G65" s="89">
        <v>1193.0</v>
      </c>
      <c r="H65" s="91">
        <f>IFERROR(__xludf.DUMMYFUNCTION("""COMPUTED_VALUE"""),44501.0)</f>
        <v>44501</v>
      </c>
    </row>
    <row r="66">
      <c r="A66" s="88">
        <v>44505.67767427083</v>
      </c>
      <c r="B66" s="89" t="s">
        <v>9</v>
      </c>
      <c r="C66" s="90">
        <v>44504.0</v>
      </c>
      <c r="D66" s="89">
        <v>8.0</v>
      </c>
      <c r="E66" s="89">
        <v>12.0</v>
      </c>
      <c r="F66" s="89">
        <v>123.0</v>
      </c>
      <c r="G66" s="89">
        <v>1156.0</v>
      </c>
      <c r="H66" s="91">
        <f>IFERROR(__xludf.DUMMYFUNCTION("""COMPUTED_VALUE"""),44501.0)</f>
        <v>44501</v>
      </c>
    </row>
    <row r="67">
      <c r="A67" s="88">
        <v>44505.8119482176</v>
      </c>
      <c r="B67" s="89" t="s">
        <v>9</v>
      </c>
      <c r="C67" s="90">
        <v>44505.0</v>
      </c>
      <c r="D67" s="89">
        <v>13.0</v>
      </c>
      <c r="E67" s="89">
        <v>7.0</v>
      </c>
      <c r="F67" s="89">
        <v>153.0</v>
      </c>
      <c r="G67" s="89">
        <v>1260.0</v>
      </c>
      <c r="H67" s="91">
        <f>IFERROR(__xludf.DUMMYFUNCTION("""COMPUTED_VALUE"""),44501.0)</f>
        <v>44501</v>
      </c>
    </row>
    <row r="68">
      <c r="A68" s="88">
        <v>44506.810292685186</v>
      </c>
      <c r="B68" s="89" t="s">
        <v>9</v>
      </c>
      <c r="C68" s="90">
        <v>44506.0</v>
      </c>
      <c r="D68" s="89">
        <v>12.0</v>
      </c>
      <c r="E68" s="89">
        <v>8.0</v>
      </c>
      <c r="F68" s="89">
        <v>171.0</v>
      </c>
      <c r="G68" s="89">
        <v>1319.0</v>
      </c>
      <c r="H68" s="91">
        <f>IFERROR(__xludf.DUMMYFUNCTION("""COMPUTED_VALUE"""),44501.0)</f>
        <v>44501</v>
      </c>
    </row>
    <row r="69">
      <c r="A69" s="88">
        <v>44507.80084761574</v>
      </c>
      <c r="B69" s="89" t="s">
        <v>9</v>
      </c>
      <c r="C69" s="90">
        <v>44507.0</v>
      </c>
      <c r="D69" s="89">
        <v>8.0</v>
      </c>
      <c r="E69" s="89">
        <v>12.0</v>
      </c>
      <c r="F69" s="89">
        <v>135.0</v>
      </c>
      <c r="G69" s="89">
        <v>1289.0</v>
      </c>
      <c r="H69" s="91">
        <f>IFERROR(__xludf.DUMMYFUNCTION("""COMPUTED_VALUE"""),44501.0)</f>
        <v>44501</v>
      </c>
    </row>
    <row r="70">
      <c r="A70" s="88">
        <v>44509.78178372685</v>
      </c>
      <c r="B70" s="89" t="s">
        <v>9</v>
      </c>
      <c r="C70" s="90">
        <v>44508.0</v>
      </c>
      <c r="D70" s="89">
        <v>9.0</v>
      </c>
      <c r="E70" s="89">
        <v>11.0</v>
      </c>
      <c r="F70" s="89">
        <v>129.0</v>
      </c>
      <c r="G70" s="89">
        <v>1250.0</v>
      </c>
      <c r="H70" s="91">
        <f>IFERROR(__xludf.DUMMYFUNCTION("""COMPUTED_VALUE"""),44501.0)</f>
        <v>44501</v>
      </c>
    </row>
    <row r="71">
      <c r="A71" s="88">
        <v>44509.7822499537</v>
      </c>
      <c r="B71" s="89" t="s">
        <v>9</v>
      </c>
      <c r="C71" s="90">
        <v>44509.0</v>
      </c>
      <c r="D71" s="89">
        <v>9.0</v>
      </c>
      <c r="E71" s="89">
        <v>10.0</v>
      </c>
      <c r="F71" s="89">
        <v>132.0</v>
      </c>
      <c r="G71" s="89">
        <v>1224.0</v>
      </c>
      <c r="H71" s="91">
        <f>IFERROR(__xludf.DUMMYFUNCTION("""COMPUTED_VALUE"""),44501.0)</f>
        <v>44501</v>
      </c>
    </row>
    <row r="72">
      <c r="A72" s="88">
        <v>44510.83553427084</v>
      </c>
      <c r="B72" s="89" t="s">
        <v>9</v>
      </c>
      <c r="C72" s="90">
        <v>44510.0</v>
      </c>
      <c r="D72" s="89">
        <v>14.0</v>
      </c>
      <c r="E72" s="89">
        <v>6.0</v>
      </c>
      <c r="F72" s="89">
        <v>165.0</v>
      </c>
      <c r="G72" s="89">
        <v>1336.0</v>
      </c>
      <c r="H72" s="91">
        <f>IFERROR(__xludf.DUMMYFUNCTION("""COMPUTED_VALUE"""),44501.0)</f>
        <v>44501</v>
      </c>
    </row>
    <row r="73">
      <c r="A73" s="88">
        <v>44512.66880511574</v>
      </c>
      <c r="B73" s="89" t="s">
        <v>9</v>
      </c>
      <c r="C73" s="90">
        <v>44511.0</v>
      </c>
      <c r="D73" s="89">
        <v>10.0</v>
      </c>
      <c r="E73" s="89">
        <v>9.0</v>
      </c>
      <c r="F73" s="89">
        <v>166.0</v>
      </c>
      <c r="G73" s="89">
        <v>1346.0</v>
      </c>
      <c r="H73" s="91">
        <f>IFERROR(__xludf.DUMMYFUNCTION("""COMPUTED_VALUE"""),44501.0)</f>
        <v>44501</v>
      </c>
    </row>
    <row r="74">
      <c r="A74" s="88">
        <v>44512.7822465625</v>
      </c>
      <c r="B74" s="89" t="s">
        <v>9</v>
      </c>
      <c r="C74" s="90">
        <v>44512.0</v>
      </c>
      <c r="D74" s="89">
        <v>10.0</v>
      </c>
      <c r="E74" s="89">
        <v>10.0</v>
      </c>
      <c r="F74" s="89">
        <v>156.0</v>
      </c>
      <c r="G74" s="89">
        <v>1328.0</v>
      </c>
      <c r="H74" s="91">
        <f>IFERROR(__xludf.DUMMYFUNCTION("""COMPUTED_VALUE"""),44501.0)</f>
        <v>44501</v>
      </c>
    </row>
    <row r="75">
      <c r="A75" s="88">
        <v>44513.70202326389</v>
      </c>
      <c r="B75" s="89" t="s">
        <v>9</v>
      </c>
      <c r="C75" s="90">
        <v>44513.0</v>
      </c>
      <c r="D75" s="89">
        <v>10.0</v>
      </c>
      <c r="E75" s="89">
        <v>9.0</v>
      </c>
      <c r="F75" s="89">
        <v>163.0</v>
      </c>
      <c r="G75" s="89">
        <v>1331.0</v>
      </c>
      <c r="H75" s="91">
        <f>IFERROR(__xludf.DUMMYFUNCTION("""COMPUTED_VALUE"""),44501.0)</f>
        <v>44501</v>
      </c>
    </row>
    <row r="76">
      <c r="A76" s="88">
        <v>44514.776936828704</v>
      </c>
      <c r="B76" s="89" t="s">
        <v>9</v>
      </c>
      <c r="C76" s="90">
        <v>44514.0</v>
      </c>
      <c r="D76" s="89">
        <v>11.0</v>
      </c>
      <c r="E76" s="89">
        <v>9.0</v>
      </c>
      <c r="F76" s="89">
        <v>171.0</v>
      </c>
      <c r="G76" s="89">
        <v>1367.0</v>
      </c>
      <c r="H76" s="91">
        <f>IFERROR(__xludf.DUMMYFUNCTION("""COMPUTED_VALUE"""),44501.0)</f>
        <v>44501</v>
      </c>
    </row>
    <row r="77">
      <c r="A77" s="88">
        <v>44517.66024370371</v>
      </c>
      <c r="B77" s="89" t="s">
        <v>9</v>
      </c>
      <c r="C77" s="90">
        <v>44515.0</v>
      </c>
      <c r="D77" s="89">
        <v>12.0</v>
      </c>
      <c r="E77" s="89">
        <v>8.0</v>
      </c>
      <c r="F77" s="89">
        <v>183.0</v>
      </c>
      <c r="G77" s="89">
        <v>1367.0</v>
      </c>
      <c r="H77" s="91">
        <f>IFERROR(__xludf.DUMMYFUNCTION("""COMPUTED_VALUE"""),44501.0)</f>
        <v>44501</v>
      </c>
    </row>
    <row r="78">
      <c r="A78" s="88">
        <v>44517.66125665509</v>
      </c>
      <c r="B78" s="89" t="s">
        <v>9</v>
      </c>
      <c r="C78" s="90">
        <v>44516.0</v>
      </c>
      <c r="D78" s="89">
        <v>11.0</v>
      </c>
      <c r="E78" s="89">
        <v>7.0</v>
      </c>
      <c r="F78" s="89">
        <v>190.0</v>
      </c>
      <c r="G78" s="89">
        <v>1507.0</v>
      </c>
      <c r="H78" s="91">
        <f>IFERROR(__xludf.DUMMYFUNCTION("""COMPUTED_VALUE"""),44501.0)</f>
        <v>44501</v>
      </c>
    </row>
    <row r="79">
      <c r="A79" s="88">
        <v>44517.76596916666</v>
      </c>
      <c r="B79" s="89" t="s">
        <v>9</v>
      </c>
      <c r="C79" s="90">
        <v>44517.0</v>
      </c>
      <c r="D79" s="89">
        <v>9.0</v>
      </c>
      <c r="E79" s="89">
        <v>11.0</v>
      </c>
      <c r="F79" s="89">
        <v>165.0</v>
      </c>
      <c r="G79" s="89">
        <v>1478.0</v>
      </c>
      <c r="H79" s="91">
        <f>IFERROR(__xludf.DUMMYFUNCTION("""COMPUTED_VALUE"""),44501.0)</f>
        <v>44501</v>
      </c>
    </row>
    <row r="80">
      <c r="A80" s="88">
        <v>44518.735754629626</v>
      </c>
      <c r="B80" s="89" t="s">
        <v>9</v>
      </c>
      <c r="C80" s="90">
        <v>44518.0</v>
      </c>
      <c r="D80" s="89">
        <v>9.0</v>
      </c>
      <c r="E80" s="89">
        <v>11.0</v>
      </c>
      <c r="F80" s="89">
        <v>162.0</v>
      </c>
      <c r="G80" s="89">
        <v>1439.0</v>
      </c>
      <c r="H80" s="91">
        <f>IFERROR(__xludf.DUMMYFUNCTION("""COMPUTED_VALUE"""),44501.0)</f>
        <v>44501</v>
      </c>
    </row>
    <row r="81">
      <c r="A81" s="88">
        <v>44519.59518568287</v>
      </c>
      <c r="B81" s="89" t="s">
        <v>9</v>
      </c>
      <c r="C81" s="90">
        <v>44519.0</v>
      </c>
      <c r="D81" s="89">
        <v>11.0</v>
      </c>
      <c r="E81" s="89">
        <v>9.0</v>
      </c>
      <c r="F81" s="89">
        <v>180.0</v>
      </c>
      <c r="G81" s="89">
        <v>1484.0</v>
      </c>
      <c r="H81" s="91">
        <f>IFERROR(__xludf.DUMMYFUNCTION("""COMPUTED_VALUE"""),44501.0)</f>
        <v>44501</v>
      </c>
    </row>
    <row r="82">
      <c r="A82" s="88">
        <v>44521.70618246528</v>
      </c>
      <c r="B82" s="89" t="s">
        <v>9</v>
      </c>
      <c r="C82" s="90">
        <v>44520.0</v>
      </c>
      <c r="D82" s="89">
        <v>8.0</v>
      </c>
      <c r="E82" s="89">
        <v>10.0</v>
      </c>
      <c r="F82" s="89">
        <v>143.0</v>
      </c>
      <c r="G82" s="89">
        <v>1459.0</v>
      </c>
      <c r="H82" s="91">
        <f>IFERROR(__xludf.DUMMYFUNCTION("""COMPUTED_VALUE"""),44501.0)</f>
        <v>44501</v>
      </c>
    </row>
    <row r="83">
      <c r="A83" s="88">
        <v>44521.8176068287</v>
      </c>
      <c r="B83" s="89" t="s">
        <v>9</v>
      </c>
      <c r="C83" s="90">
        <v>44521.0</v>
      </c>
      <c r="D83" s="89">
        <v>9.0</v>
      </c>
      <c r="E83" s="89">
        <v>11.0</v>
      </c>
      <c r="F83" s="89">
        <v>166.0</v>
      </c>
      <c r="G83" s="89">
        <v>1449.0</v>
      </c>
      <c r="H83" s="91">
        <f>IFERROR(__xludf.DUMMYFUNCTION("""COMPUTED_VALUE"""),44501.0)</f>
        <v>44501</v>
      </c>
    </row>
    <row r="84">
      <c r="A84" s="88">
        <v>44522.74814614584</v>
      </c>
      <c r="B84" s="89" t="s">
        <v>9</v>
      </c>
      <c r="C84" s="90">
        <v>44522.0</v>
      </c>
      <c r="D84" s="89">
        <v>12.0</v>
      </c>
      <c r="E84" s="89">
        <v>8.0</v>
      </c>
      <c r="F84" s="89">
        <v>186.0</v>
      </c>
      <c r="G84" s="89">
        <v>1502.0</v>
      </c>
      <c r="H84" s="91">
        <f>IFERROR(__xludf.DUMMYFUNCTION("""COMPUTED_VALUE"""),44501.0)</f>
        <v>44501</v>
      </c>
    </row>
    <row r="85">
      <c r="A85" s="88">
        <v>44523.80952912037</v>
      </c>
      <c r="B85" s="89" t="s">
        <v>9</v>
      </c>
      <c r="C85" s="90">
        <v>44523.0</v>
      </c>
      <c r="D85" s="89">
        <v>9.0</v>
      </c>
      <c r="E85" s="89">
        <v>11.0</v>
      </c>
      <c r="F85" s="89">
        <v>159.0</v>
      </c>
      <c r="G85" s="89">
        <v>1463.0</v>
      </c>
      <c r="H85" s="91">
        <f>IFERROR(__xludf.DUMMYFUNCTION("""COMPUTED_VALUE"""),44501.0)</f>
        <v>44501</v>
      </c>
    </row>
    <row r="86">
      <c r="A86" s="88">
        <v>44524.770182418986</v>
      </c>
      <c r="B86" s="89" t="s">
        <v>9</v>
      </c>
      <c r="C86" s="90">
        <v>44524.0</v>
      </c>
      <c r="D86" s="89">
        <v>4.0</v>
      </c>
      <c r="E86" s="89">
        <v>16.0</v>
      </c>
      <c r="F86" s="89">
        <v>99.0</v>
      </c>
      <c r="G86" s="89">
        <v>1272.0</v>
      </c>
      <c r="H86" s="91">
        <f>IFERROR(__xludf.DUMMYFUNCTION("""COMPUTED_VALUE"""),44501.0)</f>
        <v>44501</v>
      </c>
    </row>
    <row r="87">
      <c r="A87" s="88">
        <v>44525.782857893515</v>
      </c>
      <c r="B87" s="89" t="s">
        <v>9</v>
      </c>
      <c r="C87" s="90">
        <v>44525.0</v>
      </c>
      <c r="D87" s="89">
        <v>15.0</v>
      </c>
      <c r="E87" s="89">
        <v>5.0</v>
      </c>
      <c r="F87" s="89">
        <v>204.0</v>
      </c>
      <c r="G87" s="89">
        <v>1448.0</v>
      </c>
      <c r="H87" s="91">
        <f>IFERROR(__xludf.DUMMYFUNCTION("""COMPUTED_VALUE"""),44501.0)</f>
        <v>44501</v>
      </c>
    </row>
    <row r="88">
      <c r="A88" s="88">
        <v>44526.77969472222</v>
      </c>
      <c r="B88" s="89" t="s">
        <v>9</v>
      </c>
      <c r="C88" s="90">
        <v>44526.0</v>
      </c>
      <c r="D88" s="89">
        <v>9.0</v>
      </c>
      <c r="E88" s="89">
        <v>10.0</v>
      </c>
      <c r="F88" s="89">
        <v>165.0</v>
      </c>
      <c r="G88" s="89">
        <v>1426.0</v>
      </c>
      <c r="H88" s="91">
        <f>IFERROR(__xludf.DUMMYFUNCTION("""COMPUTED_VALUE"""),44501.0)</f>
        <v>44501</v>
      </c>
    </row>
    <row r="89">
      <c r="A89" s="88">
        <v>44527.825906342594</v>
      </c>
      <c r="B89" s="89" t="s">
        <v>9</v>
      </c>
      <c r="C89" s="90">
        <v>44527.0</v>
      </c>
      <c r="D89" s="89">
        <v>9.0</v>
      </c>
      <c r="E89" s="89">
        <v>11.0</v>
      </c>
      <c r="F89" s="89">
        <v>156.0</v>
      </c>
      <c r="G89" s="89">
        <v>1389.0</v>
      </c>
      <c r="H89" s="91">
        <f>IFERROR(__xludf.DUMMYFUNCTION("""COMPUTED_VALUE"""),44501.0)</f>
        <v>44501</v>
      </c>
    </row>
    <row r="90">
      <c r="A90" s="88">
        <v>44528.77954581019</v>
      </c>
      <c r="B90" s="89" t="s">
        <v>9</v>
      </c>
      <c r="C90" s="90">
        <v>44528.0</v>
      </c>
      <c r="D90" s="89">
        <v>11.0</v>
      </c>
      <c r="E90" s="89">
        <v>9.0</v>
      </c>
      <c r="F90" s="89">
        <v>174.0</v>
      </c>
      <c r="G90" s="89">
        <v>1434.0</v>
      </c>
      <c r="H90" s="91">
        <f>IFERROR(__xludf.DUMMYFUNCTION("""COMPUTED_VALUE"""),44501.0)</f>
        <v>44501</v>
      </c>
    </row>
    <row r="91">
      <c r="A91" s="88">
        <v>44529.857218819445</v>
      </c>
      <c r="B91" s="89" t="s">
        <v>9</v>
      </c>
      <c r="C91" s="90">
        <v>44529.0</v>
      </c>
      <c r="D91" s="89">
        <v>11.0</v>
      </c>
      <c r="E91" s="89">
        <v>8.0</v>
      </c>
      <c r="F91" s="89">
        <v>196.0</v>
      </c>
      <c r="G91" s="89">
        <v>1481.0</v>
      </c>
      <c r="H91" s="91">
        <f>IFERROR(__xludf.DUMMYFUNCTION("""COMPUTED_VALUE"""),44501.0)</f>
        <v>44501</v>
      </c>
    </row>
    <row r="92">
      <c r="A92" s="88">
        <v>44529.93380961806</v>
      </c>
      <c r="B92" s="89" t="s">
        <v>9</v>
      </c>
      <c r="C92" s="90">
        <v>44530.0</v>
      </c>
      <c r="D92" s="89">
        <v>8.0</v>
      </c>
      <c r="E92" s="89">
        <v>11.0</v>
      </c>
      <c r="F92" s="89">
        <v>151.0</v>
      </c>
      <c r="G92" s="89">
        <v>1430.0</v>
      </c>
      <c r="H92" s="91">
        <f>IFERROR(__xludf.DUMMYFUNCTION("""COMPUTED_VALUE"""),44501.0)</f>
        <v>44501</v>
      </c>
    </row>
    <row r="93">
      <c r="A93" s="88">
        <v>44531.815881689814</v>
      </c>
      <c r="B93" s="89" t="s">
        <v>9</v>
      </c>
      <c r="C93" s="90">
        <v>44531.0</v>
      </c>
      <c r="D93" s="89">
        <v>9.0</v>
      </c>
      <c r="E93" s="89">
        <v>11.0</v>
      </c>
      <c r="F93" s="89">
        <v>156.0</v>
      </c>
      <c r="G93" s="89">
        <v>1395.0</v>
      </c>
      <c r="H93" s="91">
        <f>IFERROR(__xludf.DUMMYFUNCTION("""COMPUTED_VALUE"""),44531.0)</f>
        <v>44531</v>
      </c>
    </row>
    <row r="94">
      <c r="A94" s="88">
        <v>44532.74460603009</v>
      </c>
      <c r="B94" s="89" t="s">
        <v>9</v>
      </c>
      <c r="C94" s="90">
        <v>44532.0</v>
      </c>
      <c r="D94" s="89">
        <v>11.0</v>
      </c>
      <c r="E94" s="89">
        <v>9.0</v>
      </c>
      <c r="F94" s="89">
        <v>174.0</v>
      </c>
      <c r="G94" s="89">
        <v>1413.0</v>
      </c>
      <c r="H94" s="91">
        <f>IFERROR(__xludf.DUMMYFUNCTION("""COMPUTED_VALUE"""),44531.0)</f>
        <v>44531</v>
      </c>
    </row>
    <row r="95">
      <c r="A95" s="88">
        <v>44533.712127280094</v>
      </c>
      <c r="B95" s="89" t="s">
        <v>9</v>
      </c>
      <c r="C95" s="90">
        <v>44533.0</v>
      </c>
      <c r="D95" s="89">
        <v>8.0</v>
      </c>
      <c r="E95" s="89">
        <v>12.0</v>
      </c>
      <c r="F95" s="89">
        <v>147.0</v>
      </c>
      <c r="G95" s="89">
        <v>1343.0</v>
      </c>
      <c r="H95" s="91">
        <f>IFERROR(__xludf.DUMMYFUNCTION("""COMPUTED_VALUE"""),44531.0)</f>
        <v>44531</v>
      </c>
    </row>
    <row r="96">
      <c r="A96" s="88">
        <v>44534.78583436343</v>
      </c>
      <c r="B96" s="89" t="s">
        <v>9</v>
      </c>
      <c r="C96" s="90">
        <v>44534.0</v>
      </c>
      <c r="D96" s="89">
        <v>14.0</v>
      </c>
      <c r="E96" s="89">
        <v>6.0</v>
      </c>
      <c r="F96" s="89">
        <v>195.0</v>
      </c>
      <c r="G96" s="89">
        <v>1476.0</v>
      </c>
      <c r="H96" s="91">
        <f>IFERROR(__xludf.DUMMYFUNCTION("""COMPUTED_VALUE"""),44531.0)</f>
        <v>44531</v>
      </c>
    </row>
    <row r="97">
      <c r="A97" s="88">
        <v>44535.77859648148</v>
      </c>
      <c r="B97" s="89" t="s">
        <v>9</v>
      </c>
      <c r="C97" s="90">
        <v>44535.0</v>
      </c>
      <c r="D97" s="89">
        <v>12.0</v>
      </c>
      <c r="E97" s="89">
        <v>8.0</v>
      </c>
      <c r="F97" s="89">
        <v>189.0</v>
      </c>
      <c r="G97" s="89">
        <v>1531.0</v>
      </c>
      <c r="H97" s="91">
        <f>IFERROR(__xludf.DUMMYFUNCTION("""COMPUTED_VALUE"""),44531.0)</f>
        <v>44531</v>
      </c>
    </row>
    <row r="98">
      <c r="A98" s="88">
        <v>44536.77944221065</v>
      </c>
      <c r="B98" s="89" t="s">
        <v>9</v>
      </c>
      <c r="C98" s="90">
        <v>44536.0</v>
      </c>
      <c r="D98" s="89">
        <v>12.0</v>
      </c>
      <c r="E98" s="89">
        <v>8.0</v>
      </c>
      <c r="F98" s="89">
        <v>219.0</v>
      </c>
      <c r="G98" s="89">
        <v>1615.0</v>
      </c>
      <c r="H98" s="91">
        <f>IFERROR(__xludf.DUMMYFUNCTION("""COMPUTED_VALUE"""),44531.0)</f>
        <v>44531</v>
      </c>
    </row>
    <row r="99">
      <c r="A99" s="88">
        <v>44537.762434375</v>
      </c>
      <c r="B99" s="89" t="s">
        <v>9</v>
      </c>
      <c r="C99" s="90">
        <v>44537.0</v>
      </c>
      <c r="D99" s="89">
        <v>8.0</v>
      </c>
      <c r="E99" s="89">
        <v>12.0</v>
      </c>
      <c r="F99" s="89">
        <v>171.0</v>
      </c>
      <c r="G99" s="89">
        <v>1536.0</v>
      </c>
      <c r="H99" s="91">
        <f>IFERROR(__xludf.DUMMYFUNCTION("""COMPUTED_VALUE"""),44531.0)</f>
        <v>44531</v>
      </c>
    </row>
    <row r="100">
      <c r="A100" s="88">
        <v>44538.543187372685</v>
      </c>
      <c r="B100" s="89" t="s">
        <v>9</v>
      </c>
      <c r="C100" s="90">
        <v>44538.0</v>
      </c>
      <c r="D100" s="89">
        <v>14.0</v>
      </c>
      <c r="E100" s="89">
        <v>6.0</v>
      </c>
      <c r="F100" s="89">
        <v>243.0</v>
      </c>
      <c r="G100" s="89">
        <v>1664.0</v>
      </c>
      <c r="H100" s="91">
        <f>IFERROR(__xludf.DUMMYFUNCTION("""COMPUTED_VALUE"""),44531.0)</f>
        <v>44531</v>
      </c>
    </row>
    <row r="101">
      <c r="A101" s="88">
        <v>44539.80258207176</v>
      </c>
      <c r="B101" s="89" t="s">
        <v>9</v>
      </c>
      <c r="C101" s="90">
        <v>44539.0</v>
      </c>
      <c r="D101" s="89">
        <v>9.0</v>
      </c>
      <c r="E101" s="89">
        <v>12.0</v>
      </c>
      <c r="F101" s="89">
        <v>189.0</v>
      </c>
      <c r="G101" s="89">
        <v>1618.0</v>
      </c>
      <c r="H101" s="91">
        <f>IFERROR(__xludf.DUMMYFUNCTION("""COMPUTED_VALUE"""),44531.0)</f>
        <v>44531</v>
      </c>
    </row>
    <row r="102">
      <c r="A102" s="88">
        <v>44540.77099128472</v>
      </c>
      <c r="B102" s="89" t="s">
        <v>9</v>
      </c>
      <c r="C102" s="90">
        <v>44540.0</v>
      </c>
      <c r="D102" s="89">
        <v>11.0</v>
      </c>
      <c r="E102" s="89">
        <v>9.0</v>
      </c>
      <c r="F102" s="89">
        <v>207.0</v>
      </c>
      <c r="G102" s="89">
        <v>1655.0</v>
      </c>
      <c r="H102" s="91">
        <f>IFERROR(__xludf.DUMMYFUNCTION("""COMPUTED_VALUE"""),44531.0)</f>
        <v>44531</v>
      </c>
    </row>
    <row r="103">
      <c r="A103" s="88">
        <v>44541.81272623842</v>
      </c>
      <c r="B103" s="89" t="s">
        <v>9</v>
      </c>
      <c r="C103" s="90">
        <v>44541.0</v>
      </c>
      <c r="D103" s="89">
        <v>10.0</v>
      </c>
      <c r="E103" s="89">
        <v>10.0</v>
      </c>
      <c r="F103" s="89">
        <v>195.0</v>
      </c>
      <c r="G103" s="89">
        <v>1636.0</v>
      </c>
      <c r="H103" s="91">
        <f>IFERROR(__xludf.DUMMYFUNCTION("""COMPUTED_VALUE"""),44531.0)</f>
        <v>44531</v>
      </c>
    </row>
    <row r="104">
      <c r="A104" s="88">
        <v>44542.80671077546</v>
      </c>
      <c r="B104" s="89" t="s">
        <v>9</v>
      </c>
      <c r="C104" s="90">
        <v>44542.0</v>
      </c>
      <c r="D104" s="89">
        <v>12.0</v>
      </c>
      <c r="E104" s="89">
        <v>8.0</v>
      </c>
      <c r="F104" s="89">
        <v>219.0</v>
      </c>
      <c r="G104" s="89">
        <v>1701.0</v>
      </c>
      <c r="H104" s="91">
        <f>IFERROR(__xludf.DUMMYFUNCTION("""COMPUTED_VALUE"""),44531.0)</f>
        <v>44531</v>
      </c>
    </row>
    <row r="105">
      <c r="A105" s="88">
        <v>44543.72203547454</v>
      </c>
      <c r="B105" s="89" t="s">
        <v>9</v>
      </c>
      <c r="C105" s="90">
        <v>44543.0</v>
      </c>
      <c r="D105" s="89">
        <v>9.0</v>
      </c>
      <c r="E105" s="89">
        <v>11.0</v>
      </c>
      <c r="F105" s="89">
        <v>183.0</v>
      </c>
      <c r="G105" s="89">
        <v>1658.0</v>
      </c>
      <c r="H105" s="91">
        <f>IFERROR(__xludf.DUMMYFUNCTION("""COMPUTED_VALUE"""),44531.0)</f>
        <v>44531</v>
      </c>
    </row>
    <row r="106">
      <c r="A106" s="88">
        <v>44544.802837650466</v>
      </c>
      <c r="B106" s="89" t="s">
        <v>9</v>
      </c>
      <c r="C106" s="90">
        <v>44544.0</v>
      </c>
      <c r="D106" s="89">
        <v>10.0</v>
      </c>
      <c r="E106" s="89">
        <v>10.0</v>
      </c>
      <c r="F106" s="89">
        <v>195.0</v>
      </c>
      <c r="G106" s="89">
        <v>1665.0</v>
      </c>
      <c r="H106" s="91">
        <f>IFERROR(__xludf.DUMMYFUNCTION("""COMPUTED_VALUE"""),44531.0)</f>
        <v>44531</v>
      </c>
    </row>
    <row r="107">
      <c r="A107" s="88">
        <v>44545.76122689815</v>
      </c>
      <c r="B107" s="89" t="s">
        <v>9</v>
      </c>
      <c r="C107" s="90">
        <v>44545.0</v>
      </c>
      <c r="D107" s="89">
        <v>7.0</v>
      </c>
      <c r="E107" s="89">
        <v>13.0</v>
      </c>
      <c r="F107" s="89">
        <v>159.0</v>
      </c>
      <c r="G107" s="89">
        <v>1566.0</v>
      </c>
      <c r="H107" s="91">
        <f>IFERROR(__xludf.DUMMYFUNCTION("""COMPUTED_VALUE"""),44531.0)</f>
        <v>44531</v>
      </c>
    </row>
    <row r="108">
      <c r="A108" s="88">
        <v>44546.81002060186</v>
      </c>
      <c r="B108" s="89" t="s">
        <v>9</v>
      </c>
      <c r="C108" s="90">
        <v>44546.0</v>
      </c>
      <c r="D108" s="89">
        <v>10.0</v>
      </c>
      <c r="E108" s="89">
        <v>10.0</v>
      </c>
      <c r="F108" s="89">
        <v>198.0</v>
      </c>
      <c r="G108" s="89">
        <v>1599.0</v>
      </c>
      <c r="H108" s="91">
        <f>IFERROR(__xludf.DUMMYFUNCTION("""COMPUTED_VALUE"""),44531.0)</f>
        <v>44531</v>
      </c>
    </row>
    <row r="109">
      <c r="A109" s="88">
        <v>44547.65872464121</v>
      </c>
      <c r="B109" s="89" t="s">
        <v>9</v>
      </c>
      <c r="C109" s="90">
        <v>44547.0</v>
      </c>
      <c r="D109" s="89">
        <v>11.0</v>
      </c>
      <c r="E109" s="89">
        <v>9.0</v>
      </c>
      <c r="F109" s="89">
        <v>207.0</v>
      </c>
      <c r="G109" s="89">
        <v>1620.0</v>
      </c>
      <c r="H109" s="91">
        <f>IFERROR(__xludf.DUMMYFUNCTION("""COMPUTED_VALUE"""),44531.0)</f>
        <v>44531</v>
      </c>
    </row>
    <row r="110">
      <c r="A110" s="88">
        <v>44548.73480723379</v>
      </c>
      <c r="B110" s="89" t="s">
        <v>9</v>
      </c>
      <c r="C110" s="90">
        <v>44548.0</v>
      </c>
      <c r="D110" s="89">
        <v>10.0</v>
      </c>
      <c r="E110" s="89">
        <v>10.0</v>
      </c>
      <c r="F110" s="89">
        <v>201.0</v>
      </c>
      <c r="G110" s="89">
        <v>1642.0</v>
      </c>
      <c r="H110" s="91">
        <f>IFERROR(__xludf.DUMMYFUNCTION("""COMPUTED_VALUE"""),44531.0)</f>
        <v>44531</v>
      </c>
    </row>
    <row r="111">
      <c r="A111" s="88">
        <v>44549.818398483796</v>
      </c>
      <c r="B111" s="89" t="s">
        <v>9</v>
      </c>
      <c r="C111" s="90">
        <v>44549.0</v>
      </c>
      <c r="D111" s="89">
        <v>10.0</v>
      </c>
      <c r="E111" s="89">
        <v>10.0</v>
      </c>
      <c r="F111" s="89">
        <v>195.0</v>
      </c>
      <c r="G111" s="89">
        <v>1635.0</v>
      </c>
      <c r="H111" s="91">
        <f>IFERROR(__xludf.DUMMYFUNCTION("""COMPUTED_VALUE"""),44531.0)</f>
        <v>44531</v>
      </c>
    </row>
    <row r="112">
      <c r="A112" s="88">
        <v>44550.740788668976</v>
      </c>
      <c r="B112" s="89" t="s">
        <v>9</v>
      </c>
      <c r="C112" s="90">
        <v>44550.0</v>
      </c>
      <c r="D112" s="89">
        <v>8.0</v>
      </c>
      <c r="E112" s="89">
        <v>12.0</v>
      </c>
      <c r="F112" s="89">
        <v>171.0</v>
      </c>
      <c r="G112" s="89">
        <v>1573.0</v>
      </c>
      <c r="H112" s="91">
        <f>IFERROR(__xludf.DUMMYFUNCTION("""COMPUTED_VALUE"""),44531.0)</f>
        <v>44531</v>
      </c>
    </row>
    <row r="113">
      <c r="A113" s="88">
        <v>44552.78499</v>
      </c>
      <c r="B113" s="89" t="s">
        <v>9</v>
      </c>
      <c r="C113" s="90">
        <v>44551.0</v>
      </c>
      <c r="D113" s="89">
        <v>13.0</v>
      </c>
      <c r="E113" s="89">
        <v>7.0</v>
      </c>
      <c r="F113" s="89">
        <v>228.0</v>
      </c>
      <c r="G113" s="89">
        <v>1671.0</v>
      </c>
      <c r="H113" s="91">
        <f>IFERROR(__xludf.DUMMYFUNCTION("""COMPUTED_VALUE"""),44531.0)</f>
        <v>44531</v>
      </c>
    </row>
    <row r="114">
      <c r="A114" s="88">
        <v>44552.78582135416</v>
      </c>
      <c r="B114" s="89" t="s">
        <v>9</v>
      </c>
      <c r="C114" s="90">
        <v>44552.0</v>
      </c>
      <c r="D114" s="89">
        <v>10.0</v>
      </c>
      <c r="E114" s="89">
        <v>10.0</v>
      </c>
      <c r="F114" s="89">
        <v>195.0</v>
      </c>
      <c r="G114" s="89">
        <v>1667.0</v>
      </c>
      <c r="H114" s="91">
        <f>IFERROR(__xludf.DUMMYFUNCTION("""COMPUTED_VALUE"""),44531.0)</f>
        <v>44531</v>
      </c>
    </row>
    <row r="115">
      <c r="A115" s="88">
        <v>44553.80022243055</v>
      </c>
      <c r="B115" s="89" t="s">
        <v>9</v>
      </c>
      <c r="C115" s="90">
        <v>44553.0</v>
      </c>
      <c r="D115" s="89">
        <v>11.0</v>
      </c>
      <c r="E115" s="89">
        <v>9.0</v>
      </c>
      <c r="F115" s="89">
        <v>207.0</v>
      </c>
      <c r="G115" s="89">
        <v>1690.0</v>
      </c>
      <c r="H115" s="91">
        <f>IFERROR(__xludf.DUMMYFUNCTION("""COMPUTED_VALUE"""),44531.0)</f>
        <v>44531</v>
      </c>
    </row>
    <row r="116">
      <c r="A116" s="88">
        <v>44556.31107694445</v>
      </c>
      <c r="B116" s="89" t="s">
        <v>9</v>
      </c>
      <c r="C116" s="90">
        <v>44554.0</v>
      </c>
      <c r="D116" s="89">
        <v>5.0</v>
      </c>
      <c r="E116" s="89">
        <v>3.0</v>
      </c>
      <c r="F116" s="89">
        <v>135.0</v>
      </c>
      <c r="G116" s="89">
        <v>1640.0</v>
      </c>
      <c r="H116" s="91">
        <f>IFERROR(__xludf.DUMMYFUNCTION("""COMPUTED_VALUE"""),44531.0)</f>
        <v>44531</v>
      </c>
    </row>
    <row r="117">
      <c r="A117" s="88">
        <v>44556.31260978009</v>
      </c>
      <c r="B117" s="89" t="s">
        <v>9</v>
      </c>
      <c r="C117" s="90">
        <v>44555.0</v>
      </c>
      <c r="D117" s="89">
        <v>11.0</v>
      </c>
      <c r="E117" s="89">
        <v>9.0</v>
      </c>
      <c r="F117" s="89">
        <v>207.0</v>
      </c>
      <c r="G117" s="89">
        <v>1703.0</v>
      </c>
      <c r="H117" s="91">
        <f>IFERROR(__xludf.DUMMYFUNCTION("""COMPUTED_VALUE"""),44531.0)</f>
        <v>44531</v>
      </c>
    </row>
    <row r="118">
      <c r="A118" s="88">
        <v>44556.726246921295</v>
      </c>
      <c r="B118" s="89" t="s">
        <v>9</v>
      </c>
      <c r="C118" s="90">
        <v>44556.0</v>
      </c>
      <c r="D118" s="89">
        <v>11.0</v>
      </c>
      <c r="E118" s="89">
        <v>9.0</v>
      </c>
      <c r="F118" s="89">
        <v>207.0</v>
      </c>
      <c r="G118" s="89">
        <v>1741.0</v>
      </c>
      <c r="H118" s="91">
        <f>IFERROR(__xludf.DUMMYFUNCTION("""COMPUTED_VALUE"""),44531.0)</f>
        <v>44531</v>
      </c>
    </row>
    <row r="119">
      <c r="A119" s="88">
        <v>44560.793189930555</v>
      </c>
      <c r="B119" s="89" t="s">
        <v>9</v>
      </c>
      <c r="C119" s="90">
        <v>44557.0</v>
      </c>
      <c r="D119" s="89">
        <v>8.0</v>
      </c>
      <c r="E119" s="89">
        <v>11.0</v>
      </c>
      <c r="F119" s="89">
        <v>177.0</v>
      </c>
      <c r="G119" s="89">
        <v>1694.0</v>
      </c>
      <c r="H119" s="91">
        <f>IFERROR(__xludf.DUMMYFUNCTION("""COMPUTED_VALUE"""),44531.0)</f>
        <v>44531</v>
      </c>
    </row>
    <row r="120">
      <c r="A120" s="88">
        <v>44560.79702106482</v>
      </c>
      <c r="B120" s="89" t="s">
        <v>9</v>
      </c>
      <c r="C120" s="90">
        <v>44558.0</v>
      </c>
      <c r="D120" s="89">
        <v>10.0</v>
      </c>
      <c r="E120" s="89">
        <v>10.0</v>
      </c>
      <c r="F120" s="89">
        <v>195.0</v>
      </c>
      <c r="G120" s="89">
        <v>1704.0</v>
      </c>
      <c r="H120" s="91">
        <f>IFERROR(__xludf.DUMMYFUNCTION("""COMPUTED_VALUE"""),44531.0)</f>
        <v>44531</v>
      </c>
    </row>
    <row r="121">
      <c r="A121" s="88">
        <v>44560.79757913195</v>
      </c>
      <c r="B121" s="89" t="s">
        <v>9</v>
      </c>
      <c r="C121" s="90">
        <v>44559.0</v>
      </c>
      <c r="D121" s="89">
        <v>6.0</v>
      </c>
      <c r="E121" s="89">
        <v>9.0</v>
      </c>
      <c r="F121" s="89">
        <v>147.0</v>
      </c>
      <c r="G121" s="89">
        <v>1640.0</v>
      </c>
      <c r="H121" s="91">
        <f>IFERROR(__xludf.DUMMYFUNCTION("""COMPUTED_VALUE"""),44531.0)</f>
        <v>44531</v>
      </c>
    </row>
    <row r="122">
      <c r="A122" s="88">
        <v>44560.79855041667</v>
      </c>
      <c r="B122" s="89" t="s">
        <v>9</v>
      </c>
      <c r="C122" s="90">
        <v>44560.0</v>
      </c>
      <c r="D122" s="89">
        <v>8.0</v>
      </c>
      <c r="E122" s="89">
        <v>12.0</v>
      </c>
      <c r="F122" s="89">
        <v>171.0</v>
      </c>
      <c r="G122" s="89">
        <v>1570.0</v>
      </c>
      <c r="H122" s="91">
        <f>IFERROR(__xludf.DUMMYFUNCTION("""COMPUTED_VALUE"""),44531.0)</f>
        <v>44531</v>
      </c>
    </row>
    <row r="123">
      <c r="A123" s="88">
        <v>44561.43498310185</v>
      </c>
      <c r="B123" s="89" t="s">
        <v>9</v>
      </c>
      <c r="C123" s="90">
        <v>44561.0</v>
      </c>
      <c r="D123" s="89">
        <v>12.0</v>
      </c>
      <c r="E123" s="89">
        <v>8.0</v>
      </c>
      <c r="F123" s="89">
        <v>219.0</v>
      </c>
      <c r="G123" s="89">
        <v>1640.0</v>
      </c>
      <c r="H123" s="91">
        <f>IFERROR(__xludf.DUMMYFUNCTION("""COMPUTED_VALUE"""),44531.0)</f>
        <v>44531</v>
      </c>
    </row>
    <row r="124">
      <c r="A124" s="88">
        <v>44563.63051210648</v>
      </c>
      <c r="B124" s="89" t="s">
        <v>9</v>
      </c>
      <c r="C124" s="90">
        <v>44562.0</v>
      </c>
      <c r="D124" s="89">
        <v>5.0</v>
      </c>
      <c r="E124" s="89">
        <v>5.0</v>
      </c>
      <c r="F124" s="89">
        <v>135.0</v>
      </c>
      <c r="G124" s="89">
        <v>1600.0</v>
      </c>
      <c r="H124" s="91">
        <f>IFERROR(__xludf.DUMMYFUNCTION("""COMPUTED_VALUE"""),44562.0)</f>
        <v>44562</v>
      </c>
    </row>
    <row r="125">
      <c r="A125" s="88">
        <v>44563.7991668287</v>
      </c>
      <c r="B125" s="89" t="s">
        <v>9</v>
      </c>
      <c r="C125" s="90">
        <v>44563.0</v>
      </c>
      <c r="D125" s="89">
        <v>14.0</v>
      </c>
      <c r="E125" s="89">
        <v>6.0</v>
      </c>
      <c r="F125" s="89">
        <v>243.0</v>
      </c>
      <c r="G125" s="89">
        <v>1723.0</v>
      </c>
      <c r="H125" s="91">
        <f>IFERROR(__xludf.DUMMYFUNCTION("""COMPUTED_VALUE"""),44562.0)</f>
        <v>44562</v>
      </c>
    </row>
    <row r="126">
      <c r="A126" s="88">
        <v>44564.792982557876</v>
      </c>
      <c r="B126" s="89" t="s">
        <v>9</v>
      </c>
      <c r="C126" s="90">
        <v>44564.0</v>
      </c>
      <c r="D126" s="89">
        <v>7.0</v>
      </c>
      <c r="E126" s="89">
        <v>13.0</v>
      </c>
      <c r="F126" s="89">
        <v>159.0</v>
      </c>
      <c r="G126" s="89">
        <v>1617.0</v>
      </c>
      <c r="H126" s="91">
        <f>IFERROR(__xludf.DUMMYFUNCTION("""COMPUTED_VALUE"""),44562.0)</f>
        <v>44562</v>
      </c>
    </row>
    <row r="127">
      <c r="A127" s="88">
        <v>44565.78469306713</v>
      </c>
      <c r="B127" s="89" t="s">
        <v>9</v>
      </c>
      <c r="C127" s="90">
        <v>44565.0</v>
      </c>
      <c r="D127" s="89">
        <v>12.0</v>
      </c>
      <c r="E127" s="89">
        <v>8.0</v>
      </c>
      <c r="F127" s="89">
        <v>147.0</v>
      </c>
      <c r="G127" s="89">
        <v>1264.0</v>
      </c>
      <c r="H127" s="91">
        <f>IFERROR(__xludf.DUMMYFUNCTION("""COMPUTED_VALUE"""),44562.0)</f>
        <v>44562</v>
      </c>
    </row>
    <row r="128">
      <c r="A128" s="88">
        <v>44566.81435782407</v>
      </c>
      <c r="B128" s="89" t="s">
        <v>9</v>
      </c>
      <c r="C128" s="92">
        <v>44566.0</v>
      </c>
      <c r="D128" s="89">
        <v>11.0</v>
      </c>
      <c r="E128" s="89">
        <v>9.0</v>
      </c>
      <c r="F128" s="89">
        <v>141.0</v>
      </c>
      <c r="G128" s="89">
        <v>1294.0</v>
      </c>
      <c r="H128" s="91">
        <f>IFERROR(__xludf.DUMMYFUNCTION("""COMPUTED_VALUE"""),44562.0)</f>
        <v>44562</v>
      </c>
    </row>
    <row r="129">
      <c r="A129" s="88">
        <v>44567.99178943287</v>
      </c>
      <c r="B129" s="89" t="s">
        <v>9</v>
      </c>
      <c r="C129" s="90">
        <v>44567.0</v>
      </c>
      <c r="D129" s="89">
        <v>8.0</v>
      </c>
      <c r="E129" s="89">
        <v>12.0</v>
      </c>
      <c r="F129" s="89">
        <v>123.0</v>
      </c>
      <c r="G129" s="89">
        <v>1270.0</v>
      </c>
      <c r="H129" s="91">
        <f>IFERROR(__xludf.DUMMYFUNCTION("""COMPUTED_VALUE"""),44562.0)</f>
        <v>44562</v>
      </c>
    </row>
    <row r="130">
      <c r="A130" s="88">
        <v>44569.73119464121</v>
      </c>
      <c r="B130" s="89" t="s">
        <v>9</v>
      </c>
      <c r="C130" s="90">
        <v>44568.0</v>
      </c>
      <c r="D130" s="89">
        <v>8.0</v>
      </c>
      <c r="E130" s="89">
        <v>6.0</v>
      </c>
      <c r="F130" s="89">
        <v>48.0</v>
      </c>
      <c r="G130" s="89">
        <v>1283.0</v>
      </c>
      <c r="H130" s="91">
        <f>IFERROR(__xludf.DUMMYFUNCTION("""COMPUTED_VALUE"""),44562.0)</f>
        <v>44562</v>
      </c>
    </row>
    <row r="131">
      <c r="A131" s="88">
        <v>44569.834001875</v>
      </c>
      <c r="B131" s="89" t="s">
        <v>9</v>
      </c>
      <c r="C131" s="90">
        <v>44569.0</v>
      </c>
      <c r="D131" s="89">
        <v>8.0</v>
      </c>
      <c r="E131" s="89">
        <v>6.0</v>
      </c>
      <c r="F131" s="89">
        <v>127.0</v>
      </c>
      <c r="G131" s="89">
        <v>1288.0</v>
      </c>
      <c r="H131" s="91">
        <f>IFERROR(__xludf.DUMMYFUNCTION("""COMPUTED_VALUE"""),44562.0)</f>
        <v>44562</v>
      </c>
    </row>
    <row r="132">
      <c r="A132" s="88">
        <v>44570.7164202662</v>
      </c>
      <c r="B132" s="89" t="s">
        <v>9</v>
      </c>
      <c r="C132" s="90">
        <v>44570.0</v>
      </c>
      <c r="D132" s="89">
        <v>14.0</v>
      </c>
      <c r="E132" s="89">
        <v>6.0</v>
      </c>
      <c r="F132" s="89">
        <v>192.0</v>
      </c>
      <c r="G132" s="89">
        <v>1418.0</v>
      </c>
      <c r="H132" s="91">
        <f>IFERROR(__xludf.DUMMYFUNCTION("""COMPUTED_VALUE"""),44562.0)</f>
        <v>44562</v>
      </c>
    </row>
    <row r="133">
      <c r="A133" s="88">
        <v>44571.821027060185</v>
      </c>
      <c r="B133" s="89" t="s">
        <v>9</v>
      </c>
      <c r="C133" s="90">
        <v>44571.0</v>
      </c>
      <c r="D133" s="89">
        <v>12.0</v>
      </c>
      <c r="E133" s="89">
        <v>7.0</v>
      </c>
      <c r="F133" s="89">
        <v>190.0</v>
      </c>
      <c r="G133" s="89">
        <v>1494.0</v>
      </c>
      <c r="H133" s="91">
        <f>IFERROR(__xludf.DUMMYFUNCTION("""COMPUTED_VALUE"""),44562.0)</f>
        <v>44562</v>
      </c>
    </row>
    <row r="134">
      <c r="A134" s="88">
        <v>44572.776274131946</v>
      </c>
      <c r="B134" s="89" t="s">
        <v>9</v>
      </c>
      <c r="C134" s="90">
        <v>44572.0</v>
      </c>
      <c r="D134" s="89">
        <v>8.0</v>
      </c>
      <c r="E134" s="89">
        <v>12.0</v>
      </c>
      <c r="F134" s="89">
        <v>129.0</v>
      </c>
      <c r="G134" s="89">
        <v>1354.0</v>
      </c>
      <c r="H134" s="91">
        <f>IFERROR(__xludf.DUMMYFUNCTION("""COMPUTED_VALUE"""),44562.0)</f>
        <v>44562</v>
      </c>
    </row>
    <row r="135">
      <c r="B135" s="86"/>
      <c r="H135" s="93"/>
    </row>
    <row r="136">
      <c r="B136" s="86"/>
      <c r="H136" s="93"/>
    </row>
    <row r="137">
      <c r="B137" s="86"/>
      <c r="H137" s="93"/>
    </row>
    <row r="138">
      <c r="B138" s="86"/>
      <c r="H138" s="93"/>
    </row>
    <row r="139">
      <c r="B139" s="86"/>
      <c r="H139" s="93"/>
    </row>
    <row r="140">
      <c r="B140" s="86"/>
      <c r="H140" s="93"/>
    </row>
    <row r="141">
      <c r="B141" s="86"/>
      <c r="H141" s="93"/>
    </row>
    <row r="142">
      <c r="B142" s="86"/>
      <c r="H142" s="93"/>
    </row>
    <row r="143">
      <c r="B143" s="86"/>
      <c r="H143" s="93"/>
    </row>
    <row r="144">
      <c r="B144" s="86"/>
      <c r="H144" s="93"/>
    </row>
    <row r="145">
      <c r="B145" s="86"/>
      <c r="H145" s="93"/>
    </row>
    <row r="146">
      <c r="B146" s="86"/>
      <c r="H146" s="93"/>
    </row>
    <row r="147">
      <c r="B147" s="86"/>
      <c r="H147" s="93"/>
    </row>
    <row r="148">
      <c r="B148" s="86"/>
      <c r="H148" s="93"/>
    </row>
    <row r="149">
      <c r="B149" s="86"/>
      <c r="H149" s="93"/>
    </row>
    <row r="150">
      <c r="B150" s="86"/>
      <c r="H150" s="93"/>
    </row>
    <row r="151">
      <c r="B151" s="86"/>
      <c r="H151" s="93"/>
    </row>
    <row r="152">
      <c r="B152" s="86"/>
      <c r="H152" s="93"/>
    </row>
    <row r="153">
      <c r="B153" s="86"/>
      <c r="H153" s="93"/>
    </row>
    <row r="154">
      <c r="B154" s="86"/>
      <c r="H154" s="93"/>
    </row>
    <row r="155">
      <c r="B155" s="86"/>
      <c r="H155" s="93"/>
    </row>
    <row r="156">
      <c r="B156" s="86"/>
      <c r="H156" s="93"/>
    </row>
    <row r="157">
      <c r="B157" s="86"/>
      <c r="H157" s="93"/>
    </row>
    <row r="158">
      <c r="B158" s="86"/>
      <c r="H158" s="93"/>
    </row>
    <row r="159">
      <c r="B159" s="86"/>
      <c r="H159" s="93"/>
    </row>
    <row r="160">
      <c r="B160" s="86"/>
      <c r="H160" s="93"/>
    </row>
    <row r="161">
      <c r="B161" s="86"/>
      <c r="H161" s="93"/>
    </row>
    <row r="162">
      <c r="B162" s="86"/>
      <c r="H162" s="93"/>
    </row>
    <row r="163">
      <c r="B163" s="86"/>
      <c r="H163" s="93"/>
    </row>
    <row r="164">
      <c r="B164" s="86"/>
      <c r="H164" s="93"/>
    </row>
    <row r="165">
      <c r="B165" s="86"/>
      <c r="H165" s="93"/>
    </row>
    <row r="166">
      <c r="B166" s="86"/>
      <c r="H166" s="93"/>
    </row>
    <row r="167">
      <c r="B167" s="86"/>
      <c r="H167" s="93"/>
    </row>
    <row r="168">
      <c r="B168" s="86"/>
      <c r="H168" s="93"/>
    </row>
    <row r="169">
      <c r="B169" s="86"/>
      <c r="H169" s="93"/>
    </row>
    <row r="170">
      <c r="B170" s="86"/>
      <c r="H170" s="93"/>
    </row>
    <row r="171">
      <c r="B171" s="86"/>
      <c r="H171" s="93"/>
    </row>
    <row r="172">
      <c r="B172" s="86"/>
      <c r="H172" s="93"/>
    </row>
    <row r="173">
      <c r="B173" s="86"/>
      <c r="H173" s="93"/>
    </row>
    <row r="174">
      <c r="B174" s="86"/>
      <c r="H174" s="93"/>
    </row>
    <row r="175">
      <c r="B175" s="86"/>
      <c r="H175" s="93"/>
    </row>
    <row r="176">
      <c r="B176" s="86"/>
      <c r="H176" s="93"/>
    </row>
    <row r="177">
      <c r="B177" s="86"/>
      <c r="H177" s="93"/>
    </row>
    <row r="178">
      <c r="B178" s="86"/>
      <c r="H178" s="93"/>
    </row>
    <row r="179">
      <c r="B179" s="86"/>
      <c r="H179" s="93"/>
    </row>
    <row r="180">
      <c r="B180" s="86"/>
      <c r="H180" s="93"/>
    </row>
    <row r="181">
      <c r="B181" s="86"/>
      <c r="H181" s="93"/>
    </row>
    <row r="182">
      <c r="B182" s="86"/>
      <c r="H182" s="93"/>
    </row>
    <row r="183">
      <c r="B183" s="86"/>
      <c r="H183" s="93"/>
    </row>
    <row r="184">
      <c r="B184" s="86"/>
      <c r="H184" s="93"/>
    </row>
    <row r="185">
      <c r="B185" s="86"/>
      <c r="H185" s="93"/>
    </row>
    <row r="186">
      <c r="B186" s="86"/>
      <c r="H186" s="93"/>
    </row>
    <row r="187">
      <c r="B187" s="86"/>
      <c r="H187" s="93"/>
    </row>
    <row r="188">
      <c r="B188" s="86"/>
      <c r="H188" s="93"/>
    </row>
    <row r="189">
      <c r="B189" s="86"/>
      <c r="H189" s="93"/>
    </row>
    <row r="190">
      <c r="B190" s="86"/>
      <c r="H190" s="93"/>
    </row>
    <row r="191">
      <c r="B191" s="86"/>
      <c r="H191" s="93"/>
    </row>
    <row r="192">
      <c r="B192" s="86"/>
      <c r="H192" s="93"/>
    </row>
    <row r="193">
      <c r="B193" s="86"/>
      <c r="H193" s="93"/>
    </row>
    <row r="194">
      <c r="B194" s="86"/>
      <c r="H194" s="93"/>
    </row>
    <row r="195">
      <c r="B195" s="86"/>
      <c r="H195" s="93"/>
    </row>
    <row r="196">
      <c r="B196" s="86"/>
      <c r="H196" s="93"/>
    </row>
    <row r="197">
      <c r="B197" s="86"/>
      <c r="H197" s="93"/>
    </row>
    <row r="198">
      <c r="B198" s="86"/>
      <c r="H198" s="93"/>
    </row>
    <row r="199">
      <c r="B199" s="86"/>
      <c r="H199" s="93"/>
    </row>
    <row r="200">
      <c r="B200" s="86"/>
      <c r="H200" s="93"/>
    </row>
    <row r="201">
      <c r="B201" s="86"/>
      <c r="H201" s="93"/>
    </row>
    <row r="202">
      <c r="B202" s="86"/>
      <c r="H202" s="93"/>
    </row>
    <row r="203">
      <c r="B203" s="86"/>
      <c r="H203" s="93"/>
    </row>
    <row r="204">
      <c r="B204" s="86"/>
      <c r="H204" s="93"/>
    </row>
    <row r="205">
      <c r="B205" s="86"/>
      <c r="H205" s="93"/>
    </row>
    <row r="206">
      <c r="B206" s="86"/>
      <c r="H206" s="93"/>
    </row>
    <row r="207">
      <c r="B207" s="86"/>
      <c r="H207" s="93"/>
    </row>
    <row r="208">
      <c r="B208" s="86"/>
      <c r="H208" s="93"/>
    </row>
  </sheetData>
  <dataValidations>
    <dataValidation type="list" allowBlank="1" sqref="B2:B208">
      <formula1>Dropdowns!$C:$C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9" t="s">
        <v>18</v>
      </c>
      <c r="C1" s="89" t="s">
        <v>19</v>
      </c>
      <c r="D1" s="86" t="str">
        <f>IFERROR(__xludf.DUMMYFUNCTION("QUERY(data!B:H, ""select C
where C is not null
order by C desc
limit 7"")"),"Fecha")</f>
        <v>Fecha</v>
      </c>
    </row>
    <row r="2">
      <c r="A2" s="91">
        <f>IFERROR(__xludf.DUMMYFUNCTION("Sort(UNIQUE(data!H2:H1000))"),44440.0)</f>
        <v>44440</v>
      </c>
      <c r="C2" s="89" t="str">
        <f>IFERROR(__xludf.DUMMYFUNCTION("SORT(UNIQUE(data!B2:B1000))"),"Yarfraz")</f>
        <v>Yarfraz</v>
      </c>
      <c r="D2" s="94">
        <f>IFERROR(__xludf.DUMMYFUNCTION("""COMPUTED_VALUE"""),44572.0)</f>
        <v>44572</v>
      </c>
    </row>
    <row r="3">
      <c r="A3" s="91">
        <f>IFERROR(__xludf.DUMMYFUNCTION("""COMPUTED_VALUE"""),44470.0)</f>
        <v>44470</v>
      </c>
      <c r="C3" s="86"/>
      <c r="D3" s="94">
        <f>IFERROR(__xludf.DUMMYFUNCTION("""COMPUTED_VALUE"""),44571.0)</f>
        <v>44571</v>
      </c>
      <c r="F3" s="95"/>
    </row>
    <row r="4">
      <c r="A4" s="91">
        <f>IFERROR(__xludf.DUMMYFUNCTION("""COMPUTED_VALUE"""),44501.0)</f>
        <v>44501</v>
      </c>
      <c r="D4" s="94">
        <f>IFERROR(__xludf.DUMMYFUNCTION("""COMPUTED_VALUE"""),44570.0)</f>
        <v>44570</v>
      </c>
    </row>
    <row r="5">
      <c r="A5" s="91">
        <f>IFERROR(__xludf.DUMMYFUNCTION("""COMPUTED_VALUE"""),44531.0)</f>
        <v>44531</v>
      </c>
      <c r="D5" s="94">
        <f>IFERROR(__xludf.DUMMYFUNCTION("""COMPUTED_VALUE"""),44569.0)</f>
        <v>44569</v>
      </c>
    </row>
    <row r="6">
      <c r="A6" s="91">
        <f>IFERROR(__xludf.DUMMYFUNCTION("""COMPUTED_VALUE"""),44562.0)</f>
        <v>44562</v>
      </c>
      <c r="D6" s="94">
        <f>IFERROR(__xludf.DUMMYFUNCTION("""COMPUTED_VALUE"""),44568.0)</f>
        <v>44568</v>
      </c>
    </row>
    <row r="7">
      <c r="A7" s="93"/>
      <c r="D7" s="94">
        <f>IFERROR(__xludf.DUMMYFUNCTION("""COMPUTED_VALUE"""),44567.0)</f>
        <v>44567</v>
      </c>
    </row>
    <row r="8">
      <c r="D8" s="94">
        <f>IFERROR(__xludf.DUMMYFUNCTION("""COMPUTED_VALUE"""),44566.0)</f>
        <v>44566</v>
      </c>
    </row>
    <row r="9">
      <c r="F9" s="86">
        <f>DATEVALUE("28/01/21")</f>
        <v>44224</v>
      </c>
    </row>
    <row r="10">
      <c r="F10" s="86">
        <f>DATEVALUE(TODAY())</f>
        <v>44572</v>
      </c>
    </row>
    <row r="11">
      <c r="F11" s="86">
        <f>MAX(data!C135:C1000)</f>
        <v>0</v>
      </c>
      <c r="G11" s="91">
        <f>IFERROR(__xludf.DUMMYFUNCTION("TO_DATE(F11)"),0.0)</f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89" t="s">
        <v>20</v>
      </c>
    </row>
    <row r="2">
      <c r="B2" s="86" t="str">
        <f>IFERROR(__xludf.DUMMYFUNCTION("QUERY(data!B:H, ""select C, avg(F), sum(F), min(G), max(G)
where C is not null
group by C
order by C desc
limit 7
label avg(F) 'SLP promedio', sum(F) 'SLP total', max(G) 'Max Trofeos', min(G) 'Min Trofeos' "")"),"Fecha")</f>
        <v>Fecha</v>
      </c>
      <c r="C2" s="86" t="str">
        <f>IFERROR(__xludf.DUMMYFUNCTION("""COMPUTED_VALUE"""),"SLP promedio")</f>
        <v>SLP promedio</v>
      </c>
      <c r="D2" s="86" t="str">
        <f>IFERROR(__xludf.DUMMYFUNCTION("""COMPUTED_VALUE"""),"SLP total")</f>
        <v>SLP total</v>
      </c>
      <c r="E2" s="86" t="str">
        <f>IFERROR(__xludf.DUMMYFUNCTION("""COMPUTED_VALUE"""),"Min Trofeos")</f>
        <v>Min Trofeos</v>
      </c>
      <c r="F2" s="86" t="str">
        <f>IFERROR(__xludf.DUMMYFUNCTION("""COMPUTED_VALUE"""),"Max Trofeos")</f>
        <v>Max Trofeos</v>
      </c>
      <c r="H2" s="94">
        <f t="array" ref="H2:H8">sort(B3:B9, 1, TRUE)</f>
        <v>44566</v>
      </c>
    </row>
    <row r="3">
      <c r="B3" s="94">
        <f>IFERROR(__xludf.DUMMYFUNCTION("""COMPUTED_VALUE"""),44572.0)</f>
        <v>44572</v>
      </c>
      <c r="C3" s="86">
        <f>IFERROR(__xludf.DUMMYFUNCTION("""COMPUTED_VALUE"""),129.0)</f>
        <v>129</v>
      </c>
      <c r="D3" s="86">
        <f>IFERROR(__xludf.DUMMYFUNCTION("""COMPUTED_VALUE"""),129.0)</f>
        <v>129</v>
      </c>
      <c r="E3" s="86">
        <f>IFERROR(__xludf.DUMMYFUNCTION("""COMPUTED_VALUE"""),1354.0)</f>
        <v>1354</v>
      </c>
      <c r="F3" s="86">
        <f>IFERROR(__xludf.DUMMYFUNCTION("""COMPUTED_VALUE"""),1354.0)</f>
        <v>1354</v>
      </c>
      <c r="H3" s="94">
        <v>44567.0</v>
      </c>
    </row>
    <row r="4">
      <c r="B4" s="94">
        <f>IFERROR(__xludf.DUMMYFUNCTION("""COMPUTED_VALUE"""),44571.0)</f>
        <v>44571</v>
      </c>
      <c r="C4" s="86">
        <f>IFERROR(__xludf.DUMMYFUNCTION("""COMPUTED_VALUE"""),190.0)</f>
        <v>190</v>
      </c>
      <c r="D4" s="86">
        <f>IFERROR(__xludf.DUMMYFUNCTION("""COMPUTED_VALUE"""),190.0)</f>
        <v>190</v>
      </c>
      <c r="E4" s="86">
        <f>IFERROR(__xludf.DUMMYFUNCTION("""COMPUTED_VALUE"""),1494.0)</f>
        <v>1494</v>
      </c>
      <c r="F4" s="86">
        <f>IFERROR(__xludf.DUMMYFUNCTION("""COMPUTED_VALUE"""),1494.0)</f>
        <v>1494</v>
      </c>
      <c r="H4" s="94">
        <v>44568.0</v>
      </c>
    </row>
    <row r="5">
      <c r="B5" s="94">
        <f>IFERROR(__xludf.DUMMYFUNCTION("""COMPUTED_VALUE"""),44570.0)</f>
        <v>44570</v>
      </c>
      <c r="C5" s="86">
        <f>IFERROR(__xludf.DUMMYFUNCTION("""COMPUTED_VALUE"""),192.0)</f>
        <v>192</v>
      </c>
      <c r="D5" s="86">
        <f>IFERROR(__xludf.DUMMYFUNCTION("""COMPUTED_VALUE"""),192.0)</f>
        <v>192</v>
      </c>
      <c r="E5" s="86">
        <f>IFERROR(__xludf.DUMMYFUNCTION("""COMPUTED_VALUE"""),1418.0)</f>
        <v>1418</v>
      </c>
      <c r="F5" s="86">
        <f>IFERROR(__xludf.DUMMYFUNCTION("""COMPUTED_VALUE"""),1418.0)</f>
        <v>1418</v>
      </c>
      <c r="H5" s="94">
        <v>44569.0</v>
      </c>
    </row>
    <row r="6">
      <c r="B6" s="94">
        <f>IFERROR(__xludf.DUMMYFUNCTION("""COMPUTED_VALUE"""),44569.0)</f>
        <v>44569</v>
      </c>
      <c r="C6" s="86">
        <f>IFERROR(__xludf.DUMMYFUNCTION("""COMPUTED_VALUE"""),127.0)</f>
        <v>127</v>
      </c>
      <c r="D6" s="86">
        <f>IFERROR(__xludf.DUMMYFUNCTION("""COMPUTED_VALUE"""),127.0)</f>
        <v>127</v>
      </c>
      <c r="E6" s="86">
        <f>IFERROR(__xludf.DUMMYFUNCTION("""COMPUTED_VALUE"""),1288.0)</f>
        <v>1288</v>
      </c>
      <c r="F6" s="86">
        <f>IFERROR(__xludf.DUMMYFUNCTION("""COMPUTED_VALUE"""),1288.0)</f>
        <v>1288</v>
      </c>
      <c r="H6" s="94">
        <v>44570.0</v>
      </c>
    </row>
    <row r="7">
      <c r="B7" s="94">
        <f>IFERROR(__xludf.DUMMYFUNCTION("""COMPUTED_VALUE"""),44568.0)</f>
        <v>44568</v>
      </c>
      <c r="C7" s="86">
        <f>IFERROR(__xludf.DUMMYFUNCTION("""COMPUTED_VALUE"""),48.0)</f>
        <v>48</v>
      </c>
      <c r="D7" s="86">
        <f>IFERROR(__xludf.DUMMYFUNCTION("""COMPUTED_VALUE"""),48.0)</f>
        <v>48</v>
      </c>
      <c r="E7" s="86">
        <f>IFERROR(__xludf.DUMMYFUNCTION("""COMPUTED_VALUE"""),1283.0)</f>
        <v>1283</v>
      </c>
      <c r="F7" s="86">
        <f>IFERROR(__xludf.DUMMYFUNCTION("""COMPUTED_VALUE"""),1283.0)</f>
        <v>1283</v>
      </c>
      <c r="H7" s="94">
        <v>44571.0</v>
      </c>
    </row>
    <row r="8">
      <c r="B8" s="94">
        <f>IFERROR(__xludf.DUMMYFUNCTION("""COMPUTED_VALUE"""),44567.0)</f>
        <v>44567</v>
      </c>
      <c r="C8" s="86">
        <f>IFERROR(__xludf.DUMMYFUNCTION("""COMPUTED_VALUE"""),123.0)</f>
        <v>123</v>
      </c>
      <c r="D8" s="86">
        <f>IFERROR(__xludf.DUMMYFUNCTION("""COMPUTED_VALUE"""),123.0)</f>
        <v>123</v>
      </c>
      <c r="E8" s="86">
        <f>IFERROR(__xludf.DUMMYFUNCTION("""COMPUTED_VALUE"""),1270.0)</f>
        <v>1270</v>
      </c>
      <c r="F8" s="86">
        <f>IFERROR(__xludf.DUMMYFUNCTION("""COMPUTED_VALUE"""),1270.0)</f>
        <v>1270</v>
      </c>
      <c r="H8" s="94">
        <v>44572.0</v>
      </c>
    </row>
    <row r="9">
      <c r="B9" s="94">
        <f>IFERROR(__xludf.DUMMYFUNCTION("""COMPUTED_VALUE"""),44566.0)</f>
        <v>44566</v>
      </c>
      <c r="C9" s="86">
        <f>IFERROR(__xludf.DUMMYFUNCTION("""COMPUTED_VALUE"""),141.0)</f>
        <v>141</v>
      </c>
      <c r="D9" s="86">
        <f>IFERROR(__xludf.DUMMYFUNCTION("""COMPUTED_VALUE"""),141.0)</f>
        <v>141</v>
      </c>
      <c r="E9" s="86">
        <f>IFERROR(__xludf.DUMMYFUNCTION("""COMPUTED_VALUE"""),1294.0)</f>
        <v>1294</v>
      </c>
      <c r="F9" s="86">
        <f>IFERROR(__xludf.DUMMYFUNCTION("""COMPUTED_VALUE"""),1294.0)</f>
        <v>1294</v>
      </c>
    </row>
    <row r="13">
      <c r="B13" s="89" t="s">
        <v>21</v>
      </c>
    </row>
    <row r="14">
      <c r="B14" s="86" t="str">
        <f>IFERROR(__xludf.DUMMYFUNCTION("QUERY(data!B:H, ""select C, sum(D) / (sum(D) + sum(E))
where B is not null
group by C
pivot B
order by C desc
limit 7
label sum(D) / (sum(D) + sum(E)) 'Winrate'"")"),"Fecha")</f>
        <v>Fecha</v>
      </c>
      <c r="C14" s="86" t="str">
        <f>IFERROR(__xludf.DUMMYFUNCTION("""COMPUTED_VALUE"""),"Winrate")</f>
        <v>Winrate</v>
      </c>
    </row>
    <row r="15">
      <c r="B15" s="94">
        <f>IFERROR(__xludf.DUMMYFUNCTION("""COMPUTED_VALUE"""),44572.0)</f>
        <v>44572</v>
      </c>
      <c r="C15" s="96">
        <f>IFERROR(__xludf.DUMMYFUNCTION("""COMPUTED_VALUE"""),0.4)</f>
        <v>0.4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</row>
    <row r="16">
      <c r="B16" s="94">
        <f>IFERROR(__xludf.DUMMYFUNCTION("""COMPUTED_VALUE"""),44571.0)</f>
        <v>44571</v>
      </c>
      <c r="C16" s="96">
        <f>IFERROR(__xludf.DUMMYFUNCTION("""COMPUTED_VALUE"""),0.631578947368421)</f>
        <v>0.6315789474</v>
      </c>
      <c r="D16" s="96"/>
      <c r="E16" s="96"/>
      <c r="F16" s="96"/>
      <c r="G16" s="96"/>
      <c r="H16" s="96"/>
      <c r="I16" s="96"/>
      <c r="J16" s="96"/>
      <c r="K16" s="96"/>
      <c r="L16" s="96"/>
      <c r="M16" s="96"/>
    </row>
    <row r="17">
      <c r="B17" s="94">
        <f>IFERROR(__xludf.DUMMYFUNCTION("""COMPUTED_VALUE"""),44570.0)</f>
        <v>44570</v>
      </c>
      <c r="C17" s="96">
        <f>IFERROR(__xludf.DUMMYFUNCTION("""COMPUTED_VALUE"""),0.7)</f>
        <v>0.7</v>
      </c>
      <c r="D17" s="96"/>
      <c r="E17" s="96"/>
      <c r="F17" s="96"/>
      <c r="G17" s="96"/>
      <c r="H17" s="96"/>
      <c r="I17" s="96"/>
      <c r="J17" s="96"/>
      <c r="K17" s="96"/>
      <c r="L17" s="96"/>
      <c r="M17" s="96"/>
    </row>
    <row r="18">
      <c r="B18" s="94">
        <f>IFERROR(__xludf.DUMMYFUNCTION("""COMPUTED_VALUE"""),44569.0)</f>
        <v>44569</v>
      </c>
      <c r="C18" s="96">
        <f>IFERROR(__xludf.DUMMYFUNCTION("""COMPUTED_VALUE"""),0.5714285714285714)</f>
        <v>0.5714285714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</row>
    <row r="19">
      <c r="B19" s="94">
        <f>IFERROR(__xludf.DUMMYFUNCTION("""COMPUTED_VALUE"""),44568.0)</f>
        <v>44568</v>
      </c>
      <c r="C19" s="96">
        <f>IFERROR(__xludf.DUMMYFUNCTION("""COMPUTED_VALUE"""),0.5714285714285714)</f>
        <v>0.5714285714</v>
      </c>
      <c r="D19" s="96"/>
      <c r="E19" s="96"/>
      <c r="F19" s="96"/>
      <c r="G19" s="96"/>
      <c r="H19" s="96"/>
      <c r="I19" s="96"/>
      <c r="J19" s="96"/>
      <c r="K19" s="96"/>
      <c r="L19" s="96"/>
      <c r="M19" s="96"/>
    </row>
    <row r="20">
      <c r="B20" s="94">
        <f>IFERROR(__xludf.DUMMYFUNCTION("""COMPUTED_VALUE"""),44567.0)</f>
        <v>44567</v>
      </c>
      <c r="C20" s="96">
        <f>IFERROR(__xludf.DUMMYFUNCTION("""COMPUTED_VALUE"""),0.4)</f>
        <v>0.4</v>
      </c>
      <c r="D20" s="96"/>
      <c r="E20" s="96"/>
      <c r="F20" s="96"/>
      <c r="G20" s="96"/>
      <c r="H20" s="96"/>
      <c r="I20" s="96"/>
      <c r="J20" s="96"/>
      <c r="K20" s="96"/>
      <c r="L20" s="96"/>
      <c r="M20" s="96"/>
    </row>
    <row r="21">
      <c r="B21" s="94">
        <f>IFERROR(__xludf.DUMMYFUNCTION("""COMPUTED_VALUE"""),44566.0)</f>
        <v>44566</v>
      </c>
      <c r="C21" s="96">
        <f>IFERROR(__xludf.DUMMYFUNCTION("""COMPUTED_VALUE"""),0.55)</f>
        <v>0.55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>
      <c r="B2" s="98" t="s">
        <v>22</v>
      </c>
      <c r="C2" s="99"/>
      <c r="D2" s="99"/>
      <c r="E2" s="97"/>
      <c r="F2" s="97"/>
      <c r="G2" s="97"/>
      <c r="H2" s="97"/>
      <c r="I2" s="97"/>
      <c r="J2" s="97"/>
      <c r="K2" s="97"/>
      <c r="L2" s="97"/>
      <c r="M2" s="97"/>
      <c r="N2" s="97"/>
    </row>
    <row r="3">
      <c r="B3" s="100" t="str">
        <f>IFERROR(__xludf.DUMMYFUNCTION("QUERY(data!B:K, ""select H, avg(F) 
where B is not null 
and H &gt;= date """"""&amp;TEXT(Dashboard!D37, ""yyyy-MM-dd"")&amp;"""""" and H &lt;= date """"""&amp;TEXT(Dashboard!D38, ""yyyy-MM-dd"")&amp;"""""" 
group by H 
pivot B 
limit 12"")"),"Mes")</f>
        <v>Mes</v>
      </c>
      <c r="C3" s="97" t="str">
        <f>IFERROR(__xludf.DUMMYFUNCTION("""COMPUTED_VALUE"""),"Yarfraz")</f>
        <v>Yarfraz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4">
      <c r="B4" s="101">
        <f>IFERROR(__xludf.DUMMYFUNCTION("""COMPUTED_VALUE"""),44440.0)</f>
        <v>44440</v>
      </c>
      <c r="C4" s="97">
        <f>IFERROR(__xludf.DUMMYFUNCTION("""COMPUTED_VALUE"""),114.86666666666666)</f>
        <v>114.8666667</v>
      </c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</row>
    <row r="5">
      <c r="B5" s="101">
        <f>IFERROR(__xludf.DUMMYFUNCTION("""COMPUTED_VALUE"""),44470.0)</f>
        <v>44470</v>
      </c>
      <c r="C5" s="97">
        <f>IFERROR(__xludf.DUMMYFUNCTION("""COMPUTED_VALUE"""),132.83870967741936)</f>
        <v>132.8387097</v>
      </c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</row>
    <row r="6">
      <c r="B6" s="101">
        <f>IFERROR(__xludf.DUMMYFUNCTION("""COMPUTED_VALUE"""),44501.0)</f>
        <v>44501</v>
      </c>
      <c r="C6" s="97">
        <f>IFERROR(__xludf.DUMMYFUNCTION("""COMPUTED_VALUE"""),158.06666666666666)</f>
        <v>158.0666667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</row>
    <row r="7">
      <c r="B7" s="101">
        <f>IFERROR(__xludf.DUMMYFUNCTION("""COMPUTED_VALUE"""),44531.0)</f>
        <v>44531</v>
      </c>
      <c r="C7" s="97">
        <f>IFERROR(__xludf.DUMMYFUNCTION("""COMPUTED_VALUE"""),190.3548387096774)</f>
        <v>190.3548387</v>
      </c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</row>
    <row r="8">
      <c r="B8" s="101">
        <f>IFERROR(__xludf.DUMMYFUNCTION("""COMPUTED_VALUE"""),44562.0)</f>
        <v>44562</v>
      </c>
      <c r="C8" s="97">
        <f>IFERROR(__xludf.DUMMYFUNCTION("""COMPUTED_VALUE"""),148.54545454545453)</f>
        <v>148.5454545</v>
      </c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</row>
    <row r="9">
      <c r="B9" s="101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</row>
    <row r="10">
      <c r="B10" s="101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</row>
    <row r="11">
      <c r="B11" s="101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</row>
    <row r="12">
      <c r="B12" s="101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>
      <c r="B13" s="101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>
      <c r="B14" s="101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</row>
    <row r="15">
      <c r="B15" s="101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</row>
    <row r="16">
      <c r="B16" s="101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</row>
    <row r="17">
      <c r="B17" s="101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</row>
    <row r="18">
      <c r="B18" s="101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</row>
    <row r="19">
      <c r="B19" s="101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</row>
    <row r="20">
      <c r="B20" s="101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</row>
    <row r="21">
      <c r="B21" s="101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  <row r="22">
      <c r="B22" s="101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</row>
    <row r="23">
      <c r="B23" s="101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</row>
    <row r="24">
      <c r="B24" s="101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</row>
    <row r="25">
      <c r="B25" s="101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</row>
    <row r="26">
      <c r="B26" s="101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</row>
    <row r="27">
      <c r="B27" s="101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</row>
    <row r="28">
      <c r="B28" s="101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</row>
    <row r="29">
      <c r="B29" s="101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</row>
    <row r="30">
      <c r="B30" s="101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</row>
    <row r="31">
      <c r="B31" s="101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</row>
    <row r="32">
      <c r="B32" s="101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</row>
    <row r="33">
      <c r="B33" s="101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</row>
    <row r="34">
      <c r="B34" s="101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</row>
    <row r="35">
      <c r="B35" s="101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</row>
    <row r="36">
      <c r="B36" s="101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</row>
    <row r="37">
      <c r="B37" s="101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</row>
    <row r="38">
      <c r="B38" s="101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</row>
    <row r="39">
      <c r="B39" s="101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</row>
    <row r="40">
      <c r="B40" s="101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</row>
    <row r="41">
      <c r="B41" s="101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</row>
    <row r="42">
      <c r="B42" s="101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</row>
    <row r="43">
      <c r="B43" s="101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</row>
    <row r="44">
      <c r="B44" s="101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</row>
    <row r="45">
      <c r="B45" s="101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</row>
    <row r="46"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</row>
    <row r="47"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</row>
    <row r="48"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</row>
    <row r="49"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</row>
    <row r="53"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</row>
    <row r="54"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</row>
    <row r="55"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</row>
    <row r="56"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</row>
    <row r="57"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</row>
    <row r="58"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</row>
    <row r="59"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</row>
    <row r="60"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</row>
    <row r="61"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</row>
    <row r="62"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</row>
    <row r="63"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</row>
    <row r="64"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</row>
    <row r="65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</row>
    <row r="66"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</row>
    <row r="67"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</row>
    <row r="68"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</row>
    <row r="69"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</row>
    <row r="70"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</row>
    <row r="71"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</row>
    <row r="72"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</row>
    <row r="73"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</row>
    <row r="74"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</row>
    <row r="75"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</row>
    <row r="76"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</row>
    <row r="77"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</row>
    <row r="78"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</row>
    <row r="79"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</row>
    <row r="80"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</row>
    <row r="81"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</row>
    <row r="82"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</row>
    <row r="83"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</row>
    <row r="84"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</row>
    <row r="85"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</row>
    <row r="86"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</row>
    <row r="87"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</row>
    <row r="88"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</row>
    <row r="89"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</row>
    <row r="90"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</row>
    <row r="91"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</row>
    <row r="92"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</row>
    <row r="93"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</row>
    <row r="94"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</row>
    <row r="95"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</row>
    <row r="96"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</row>
    <row r="97"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</row>
    <row r="98"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</row>
    <row r="99"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</row>
    <row r="100"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</row>
    <row r="101"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</row>
    <row r="102"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</row>
    <row r="103"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</row>
    <row r="104"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</row>
    <row r="105"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</row>
    <row r="106"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</row>
    <row r="107"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</row>
    <row r="108"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</row>
    <row r="109"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</row>
    <row r="110"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</row>
    <row r="111"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</row>
    <row r="112"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</row>
    <row r="113"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</row>
    <row r="114"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</row>
    <row r="115"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</row>
    <row r="116"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</row>
    <row r="117"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</row>
    <row r="118"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</row>
    <row r="119"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</row>
    <row r="120"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</row>
    <row r="121"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</row>
    <row r="122"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</row>
    <row r="123"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</row>
    <row r="124"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</row>
    <row r="125"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</row>
    <row r="126"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</row>
    <row r="127"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</row>
    <row r="128"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</row>
    <row r="129"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</row>
    <row r="130"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</row>
    <row r="131"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</row>
    <row r="132"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</row>
    <row r="133"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</row>
    <row r="134"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</row>
    <row r="135"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</row>
    <row r="136"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</row>
    <row r="137"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</row>
    <row r="138"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</row>
    <row r="139"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</row>
    <row r="140"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</row>
    <row r="141"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</row>
    <row r="142"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</row>
    <row r="143"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</row>
    <row r="144"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</row>
    <row r="145"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</row>
    <row r="146"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</row>
    <row r="147"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</row>
    <row r="148"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</row>
    <row r="149"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</row>
    <row r="150"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</row>
    <row r="151"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</row>
    <row r="152"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</row>
    <row r="153"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</row>
    <row r="154"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</row>
    <row r="155"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</row>
    <row r="156"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</row>
    <row r="157"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</row>
    <row r="158"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</row>
    <row r="159"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</row>
    <row r="160"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</row>
    <row r="161"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</row>
    <row r="162"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</row>
    <row r="163"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</row>
    <row r="164"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</row>
    <row r="165"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</row>
    <row r="166"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</row>
    <row r="167"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</row>
    <row r="168"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</row>
    <row r="169"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</row>
    <row r="170"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</row>
    <row r="171"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</row>
    <row r="172"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</row>
    <row r="173"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</row>
    <row r="174"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</row>
    <row r="175"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</row>
    <row r="176"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</row>
    <row r="177"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</row>
    <row r="178"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</row>
    <row r="179"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</row>
    <row r="180"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</row>
    <row r="181"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</row>
    <row r="182"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</row>
    <row r="183"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</row>
    <row r="184"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</row>
    <row r="185"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</row>
    <row r="186"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</row>
    <row r="187"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</row>
    <row r="188"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</row>
    <row r="189"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</row>
    <row r="190"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</row>
    <row r="191"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</row>
    <row r="192"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</row>
    <row r="193"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</row>
    <row r="194"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</row>
    <row r="195"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</row>
    <row r="196"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</row>
    <row r="197"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</row>
    <row r="198"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</row>
    <row r="199"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</row>
    <row r="200"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</row>
    <row r="201"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</row>
    <row r="202"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</row>
    <row r="203"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</row>
    <row r="204"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</row>
    <row r="205"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</row>
    <row r="206"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</row>
    <row r="207"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</row>
    <row r="208"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</row>
    <row r="209"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</row>
    <row r="210"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</row>
    <row r="211"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</row>
    <row r="212"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</row>
    <row r="213"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</row>
    <row r="214"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</row>
    <row r="215"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</row>
    <row r="216"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</row>
    <row r="217"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</row>
    <row r="218"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</row>
    <row r="219"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</row>
    <row r="220"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</row>
    <row r="221"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</row>
    <row r="222"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</row>
    <row r="223"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</row>
    <row r="224"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</row>
    <row r="225"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</row>
    <row r="226"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</row>
    <row r="227"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</row>
    <row r="228"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</row>
    <row r="229"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</row>
    <row r="230"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</row>
    <row r="231"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</row>
    <row r="232"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</row>
    <row r="233"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</row>
    <row r="234"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</row>
    <row r="235"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</row>
    <row r="236"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</row>
    <row r="237"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</row>
    <row r="238"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</row>
    <row r="239"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</row>
    <row r="240"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</row>
    <row r="241"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</row>
    <row r="242"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</row>
    <row r="243"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</row>
    <row r="244"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</row>
    <row r="245"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</row>
    <row r="246"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</row>
    <row r="247"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</row>
    <row r="248"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</row>
    <row r="249"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</row>
    <row r="250"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</row>
    <row r="251"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</row>
    <row r="252"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</row>
    <row r="253"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</row>
    <row r="254"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</row>
    <row r="255"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</row>
    <row r="256"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</row>
    <row r="257"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</row>
    <row r="258"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</row>
    <row r="259"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</row>
    <row r="260"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</row>
    <row r="261"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</row>
    <row r="262"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</row>
    <row r="263"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</row>
    <row r="264"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</row>
    <row r="265"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</row>
    <row r="266"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</row>
    <row r="267"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</row>
    <row r="268"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</row>
    <row r="269"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</row>
    <row r="270"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</row>
    <row r="271"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</row>
    <row r="272"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</row>
    <row r="273"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</row>
    <row r="274"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</row>
    <row r="275"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</row>
    <row r="276"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</row>
    <row r="277"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</row>
    <row r="278"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</row>
    <row r="279"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</row>
    <row r="280"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</row>
    <row r="281"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</row>
    <row r="282"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</row>
    <row r="283"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</row>
    <row r="284"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</row>
    <row r="285"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</row>
    <row r="286"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</row>
    <row r="287"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</row>
    <row r="288"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</row>
    <row r="289"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</row>
    <row r="290"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</row>
    <row r="291"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</row>
    <row r="292"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</row>
    <row r="293"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</row>
    <row r="294"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</row>
    <row r="295"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</row>
    <row r="296"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</row>
    <row r="297"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</row>
    <row r="298"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</row>
    <row r="299"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</row>
    <row r="300"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</row>
    <row r="301"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</row>
    <row r="302"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</row>
    <row r="303"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</row>
    <row r="304"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</row>
    <row r="305"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</row>
    <row r="306"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</row>
    <row r="307"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</row>
    <row r="308"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</row>
    <row r="309"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</row>
    <row r="310"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</row>
    <row r="311"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</row>
    <row r="312"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</row>
    <row r="313"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</row>
    <row r="314"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</row>
    <row r="315"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</row>
    <row r="316"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</row>
    <row r="317"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</row>
    <row r="318"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</row>
    <row r="319"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</row>
    <row r="320"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</row>
    <row r="321"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</row>
    <row r="322"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</row>
    <row r="323"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</row>
    <row r="324"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</row>
    <row r="325"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</row>
    <row r="326"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</row>
    <row r="327"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</row>
    <row r="328"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</row>
    <row r="329"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</row>
    <row r="330"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</row>
    <row r="331"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</row>
    <row r="332"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</row>
    <row r="333"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</row>
    <row r="334"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</row>
    <row r="335"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</row>
    <row r="336"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</row>
    <row r="337"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</row>
    <row r="338"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</row>
    <row r="339"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</row>
    <row r="340"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</row>
    <row r="341"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</row>
    <row r="342"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</row>
    <row r="343"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</row>
    <row r="344"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</row>
    <row r="345"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</row>
    <row r="346"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</row>
    <row r="347"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</row>
    <row r="348"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</row>
    <row r="349"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</row>
    <row r="350"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</row>
    <row r="351"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</row>
    <row r="352"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</row>
    <row r="353"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</row>
    <row r="354"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</row>
    <row r="355"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</row>
    <row r="356"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</row>
    <row r="357"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</row>
    <row r="358"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</row>
    <row r="359"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</row>
    <row r="360"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</row>
    <row r="361"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</row>
    <row r="362"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</row>
    <row r="363"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</row>
    <row r="364"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</row>
    <row r="365"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</row>
    <row r="366"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</row>
    <row r="367"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</row>
    <row r="368"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</row>
    <row r="369"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</row>
    <row r="370"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</row>
    <row r="371"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</row>
    <row r="372"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</row>
    <row r="373"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</row>
    <row r="374"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</row>
    <row r="375"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</row>
    <row r="376"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</row>
    <row r="377"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</row>
    <row r="378"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</row>
    <row r="379"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</row>
    <row r="380"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</row>
    <row r="381"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</row>
    <row r="382"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</row>
    <row r="383"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</row>
    <row r="384"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</row>
    <row r="385"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</row>
    <row r="386"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</row>
    <row r="387"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</row>
    <row r="388"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</row>
    <row r="389"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</row>
    <row r="390"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</row>
    <row r="391"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</row>
    <row r="392"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</row>
    <row r="393"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</row>
    <row r="394"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</row>
    <row r="395"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</row>
    <row r="396"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</row>
    <row r="397"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</row>
    <row r="398"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</row>
    <row r="399"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</row>
    <row r="400"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</row>
    <row r="401"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</row>
    <row r="402"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</row>
    <row r="403"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</row>
    <row r="404"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</row>
    <row r="405"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</row>
    <row r="406"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</row>
    <row r="407"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</row>
    <row r="408"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</row>
    <row r="409"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</row>
    <row r="410"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</row>
    <row r="411"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</row>
    <row r="412"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</row>
    <row r="413"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</row>
    <row r="414"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</row>
    <row r="415"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</row>
    <row r="416"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</row>
    <row r="417"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</row>
    <row r="418"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</row>
    <row r="419"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</row>
    <row r="420"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</row>
    <row r="421"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</row>
    <row r="422"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</row>
    <row r="423"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</row>
    <row r="424"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</row>
    <row r="425"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</row>
    <row r="426"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</row>
    <row r="427"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</row>
    <row r="428"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</row>
    <row r="429"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</row>
    <row r="430"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</row>
    <row r="431"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</row>
    <row r="432"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</row>
    <row r="433"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</row>
    <row r="434"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</row>
    <row r="435"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</row>
    <row r="436"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</row>
    <row r="437"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</row>
    <row r="438"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</row>
    <row r="439"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</row>
    <row r="440"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</row>
    <row r="441"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</row>
    <row r="442"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</row>
    <row r="443"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</row>
    <row r="444"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</row>
    <row r="445"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</row>
    <row r="446"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</row>
    <row r="447"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</row>
    <row r="448"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</row>
    <row r="449"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</row>
    <row r="450"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</row>
    <row r="451"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</row>
    <row r="452"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</row>
    <row r="453"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</row>
    <row r="454"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</row>
    <row r="455"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</row>
    <row r="456"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</row>
    <row r="457"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</row>
    <row r="458"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</row>
    <row r="459"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</row>
    <row r="460"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</row>
    <row r="461"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</row>
    <row r="462"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</row>
    <row r="463"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</row>
    <row r="464"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</row>
    <row r="465"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</row>
    <row r="466"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</row>
    <row r="467"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</row>
    <row r="468"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</row>
    <row r="469"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</row>
    <row r="470"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</row>
    <row r="471"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</row>
    <row r="472"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</row>
    <row r="473"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</row>
    <row r="474"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</row>
    <row r="475"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</row>
    <row r="476"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</row>
    <row r="477"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</row>
    <row r="478"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</row>
    <row r="479"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</row>
    <row r="480"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</row>
    <row r="481"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</row>
    <row r="482"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</row>
    <row r="483"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</row>
    <row r="484"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</row>
    <row r="485"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</row>
    <row r="486"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</row>
    <row r="487"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</row>
    <row r="488"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</row>
    <row r="489"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</row>
    <row r="490"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</row>
    <row r="491"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</row>
    <row r="492"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</row>
    <row r="493"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</row>
    <row r="494"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</row>
    <row r="495"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</row>
    <row r="496"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</row>
    <row r="497"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</row>
    <row r="498"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</row>
    <row r="499"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</row>
    <row r="500"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</row>
    <row r="501"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</row>
    <row r="502"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</row>
    <row r="503"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</row>
    <row r="504"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</row>
    <row r="505"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</row>
    <row r="506"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</row>
    <row r="507"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</row>
    <row r="508"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</row>
    <row r="509"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</row>
    <row r="510"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</row>
    <row r="511"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</row>
    <row r="512"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</row>
    <row r="513"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</row>
    <row r="514"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</row>
    <row r="515"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</row>
    <row r="516"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</row>
    <row r="517"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</row>
    <row r="518"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</row>
    <row r="519"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</row>
    <row r="520"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</row>
    <row r="521"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</row>
    <row r="522"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</row>
    <row r="523"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</row>
    <row r="524"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</row>
    <row r="525"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</row>
    <row r="526"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</row>
    <row r="527"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</row>
    <row r="528"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</row>
    <row r="529"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</row>
    <row r="530"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</row>
    <row r="531"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</row>
    <row r="532"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</row>
    <row r="533"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</row>
    <row r="534"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</row>
    <row r="535"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</row>
    <row r="536"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</row>
    <row r="537"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</row>
    <row r="538"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</row>
    <row r="539"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</row>
    <row r="540"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</row>
    <row r="541"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</row>
    <row r="542"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</row>
    <row r="543"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</row>
    <row r="544"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</row>
    <row r="545"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</row>
    <row r="546"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</row>
    <row r="547"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</row>
    <row r="548"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</row>
    <row r="549"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</row>
    <row r="550"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</row>
    <row r="551"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</row>
    <row r="552"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</row>
    <row r="553"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</row>
    <row r="554"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</row>
    <row r="555"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</row>
    <row r="556"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</row>
    <row r="557"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</row>
    <row r="558"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</row>
    <row r="559"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</row>
    <row r="560"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</row>
    <row r="561"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</row>
    <row r="562"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</row>
    <row r="563"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</row>
    <row r="564"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</row>
    <row r="565"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</row>
    <row r="566"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</row>
    <row r="567"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</row>
    <row r="568"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</row>
    <row r="569"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</row>
    <row r="570"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</row>
    <row r="571"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</row>
    <row r="572"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</row>
    <row r="573"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</row>
    <row r="574"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</row>
    <row r="575"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</row>
    <row r="576"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</row>
    <row r="577"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</row>
    <row r="578"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</row>
    <row r="579"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</row>
    <row r="580"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</row>
    <row r="581"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</row>
    <row r="582"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</row>
    <row r="583"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</row>
    <row r="584"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</row>
    <row r="585"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</row>
    <row r="586"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</row>
    <row r="587"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</row>
    <row r="588"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</row>
    <row r="589"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</row>
    <row r="590"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</row>
    <row r="591"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</row>
    <row r="592"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</row>
    <row r="593"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</row>
    <row r="594"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</row>
    <row r="595"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</row>
    <row r="596"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</row>
    <row r="597"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</row>
    <row r="598"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</row>
    <row r="599"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</row>
    <row r="600"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</row>
    <row r="601"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</row>
    <row r="602"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</row>
    <row r="603"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</row>
    <row r="604"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</row>
    <row r="605"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</row>
    <row r="606"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</row>
    <row r="607"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</row>
    <row r="608"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</row>
    <row r="609"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</row>
    <row r="610"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</row>
    <row r="611"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</row>
    <row r="612"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</row>
    <row r="613"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</row>
    <row r="614"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</row>
    <row r="615"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</row>
    <row r="616"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</row>
    <row r="617"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</row>
    <row r="618"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</row>
    <row r="619"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</row>
    <row r="620"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</row>
    <row r="621"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</row>
    <row r="622"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</row>
    <row r="623"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</row>
    <row r="624"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</row>
    <row r="625"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</row>
    <row r="626"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</row>
    <row r="627"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</row>
    <row r="628"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</row>
    <row r="629"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</row>
    <row r="630"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</row>
    <row r="631"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</row>
    <row r="632"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</row>
    <row r="633"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</row>
    <row r="634"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</row>
    <row r="635"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</row>
    <row r="636"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</row>
    <row r="637"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</row>
    <row r="638"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</row>
    <row r="639"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</row>
    <row r="640"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</row>
    <row r="641"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</row>
    <row r="642"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</row>
    <row r="643"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</row>
    <row r="644"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</row>
    <row r="645"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</row>
    <row r="646"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</row>
    <row r="647"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</row>
    <row r="648"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</row>
    <row r="649"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</row>
    <row r="650"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</row>
    <row r="651"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</row>
    <row r="652"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</row>
    <row r="653"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</row>
    <row r="654"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</row>
    <row r="655"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</row>
    <row r="656"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</row>
    <row r="657"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</row>
    <row r="658"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</row>
    <row r="659"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</row>
    <row r="660"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</row>
    <row r="661"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</row>
    <row r="662"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</row>
    <row r="663"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</row>
    <row r="664"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</row>
    <row r="665"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</row>
    <row r="666"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</row>
    <row r="667"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</row>
    <row r="668"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</row>
    <row r="669"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</row>
    <row r="670"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</row>
    <row r="671"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</row>
    <row r="672"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</row>
    <row r="673"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</row>
    <row r="674"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</row>
    <row r="675"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</row>
    <row r="676"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</row>
    <row r="677"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</row>
    <row r="678"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</row>
    <row r="679"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</row>
    <row r="680"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</row>
    <row r="681"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</row>
    <row r="682"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</row>
    <row r="683"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</row>
    <row r="684"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</row>
    <row r="685"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</row>
    <row r="686"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</row>
    <row r="687"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</row>
    <row r="688"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</row>
    <row r="689"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</row>
    <row r="690"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</row>
    <row r="691"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</row>
    <row r="692"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</row>
    <row r="693"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</row>
    <row r="694"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</row>
    <row r="695"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</row>
    <row r="696"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</row>
    <row r="697"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</row>
    <row r="698"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</row>
    <row r="699"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</row>
    <row r="700"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</row>
    <row r="701"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</row>
    <row r="702"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</row>
    <row r="703"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</row>
    <row r="704"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</row>
    <row r="705"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</row>
    <row r="706"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</row>
    <row r="707"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</row>
    <row r="708"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</row>
    <row r="709"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</row>
    <row r="710"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</row>
    <row r="711"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</row>
    <row r="712"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</row>
    <row r="713"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</row>
    <row r="714"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</row>
    <row r="715"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</row>
    <row r="716"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</row>
    <row r="717"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</row>
    <row r="718"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</row>
    <row r="719"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</row>
    <row r="720"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</row>
    <row r="721"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</row>
    <row r="722"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</row>
    <row r="723"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</row>
    <row r="724"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</row>
    <row r="725"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</row>
    <row r="726"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</row>
    <row r="727"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</row>
    <row r="728"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</row>
    <row r="729"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</row>
    <row r="730"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</row>
    <row r="731"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</row>
    <row r="732"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</row>
    <row r="733"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</row>
    <row r="734"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</row>
    <row r="735"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</row>
    <row r="736"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</row>
    <row r="737"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</row>
    <row r="738"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</row>
    <row r="739"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</row>
    <row r="740"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</row>
    <row r="741"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</row>
    <row r="742"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</row>
    <row r="743"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</row>
    <row r="744"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</row>
    <row r="745"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</row>
    <row r="746"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</row>
    <row r="747"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</row>
    <row r="748"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</row>
    <row r="749"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</row>
    <row r="750"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</row>
    <row r="751"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</row>
    <row r="752"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</row>
    <row r="753"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</row>
    <row r="754"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</row>
    <row r="755"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</row>
    <row r="756"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</row>
    <row r="757"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</row>
    <row r="758"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</row>
    <row r="759"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</row>
    <row r="760"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</row>
    <row r="761"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</row>
    <row r="762"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</row>
    <row r="763"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</row>
    <row r="764"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</row>
    <row r="765"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</row>
    <row r="766"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</row>
    <row r="767"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</row>
    <row r="768"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</row>
    <row r="769"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</row>
    <row r="770"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</row>
    <row r="771"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</row>
    <row r="772"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</row>
    <row r="773"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</row>
    <row r="774"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</row>
    <row r="775"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</row>
    <row r="776"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</row>
    <row r="777"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</row>
    <row r="778"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</row>
    <row r="779"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</row>
    <row r="780"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</row>
    <row r="781"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</row>
    <row r="782"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</row>
    <row r="783"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</row>
    <row r="784"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</row>
    <row r="785"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</row>
    <row r="786"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</row>
    <row r="787"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</row>
    <row r="788"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</row>
    <row r="789"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</row>
    <row r="790"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</row>
    <row r="791"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</row>
    <row r="792"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</row>
    <row r="793"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</row>
    <row r="794"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</row>
    <row r="795"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</row>
    <row r="796"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</row>
    <row r="797"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</row>
    <row r="798"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</row>
    <row r="799"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</row>
    <row r="800"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</row>
    <row r="801"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</row>
    <row r="802"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</row>
    <row r="803"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</row>
    <row r="804"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</row>
    <row r="805"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</row>
    <row r="806"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</row>
    <row r="807"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</row>
    <row r="808"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</row>
    <row r="809"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</row>
    <row r="810"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</row>
    <row r="811"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</row>
    <row r="812"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</row>
    <row r="813"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</row>
    <row r="814"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</row>
    <row r="815"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</row>
    <row r="816"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</row>
    <row r="817"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</row>
    <row r="818"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</row>
    <row r="819"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</row>
    <row r="820"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</row>
    <row r="821"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</row>
    <row r="822"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</row>
    <row r="823"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</row>
    <row r="824"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</row>
    <row r="825"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</row>
    <row r="826"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</row>
    <row r="827"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</row>
    <row r="828"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</row>
    <row r="829"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</row>
    <row r="830"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</row>
    <row r="831"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</row>
    <row r="832"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</row>
    <row r="833"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</row>
    <row r="834"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</row>
    <row r="835"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</row>
    <row r="836"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</row>
    <row r="837"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</row>
    <row r="838"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</row>
    <row r="839"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</row>
    <row r="840"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</row>
    <row r="841"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</row>
    <row r="842"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</row>
    <row r="843"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</row>
    <row r="844"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</row>
    <row r="845"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</row>
    <row r="846"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</row>
    <row r="847"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</row>
    <row r="848"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</row>
    <row r="849"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</row>
    <row r="850"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</row>
    <row r="851"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</row>
    <row r="852"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</row>
    <row r="853"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</row>
    <row r="854"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</row>
    <row r="855"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</row>
    <row r="856"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</row>
    <row r="857"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</row>
    <row r="858"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</row>
    <row r="859"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</row>
    <row r="860"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</row>
    <row r="861"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</row>
    <row r="862"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</row>
    <row r="863"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</row>
    <row r="864"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</row>
    <row r="865"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</row>
    <row r="866"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</row>
    <row r="867"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</row>
    <row r="868"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</row>
    <row r="869"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</row>
    <row r="870"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</row>
    <row r="871"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</row>
    <row r="872"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</row>
    <row r="873"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</row>
    <row r="874"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</row>
    <row r="875"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</row>
    <row r="876"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</row>
    <row r="877"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</row>
    <row r="878"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</row>
    <row r="879"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</row>
    <row r="880"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</row>
    <row r="881"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</row>
    <row r="882"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</row>
    <row r="883"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</row>
    <row r="884"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</row>
    <row r="885"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</row>
    <row r="886"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</row>
    <row r="887"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</row>
    <row r="888"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</row>
    <row r="889"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</row>
    <row r="890"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</row>
    <row r="891"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</row>
    <row r="892"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</row>
    <row r="893"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</row>
    <row r="894"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</row>
    <row r="895"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</row>
    <row r="896"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</row>
    <row r="897"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</row>
    <row r="898"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</row>
    <row r="899"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</row>
    <row r="900"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</row>
    <row r="901"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</row>
    <row r="902"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</row>
    <row r="903"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</row>
    <row r="904"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</row>
    <row r="905"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</row>
    <row r="906"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</row>
    <row r="907"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</row>
    <row r="908"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</row>
    <row r="909"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</row>
    <row r="910"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</row>
    <row r="911"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</row>
    <row r="912"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</row>
    <row r="913"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</row>
    <row r="914"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</row>
    <row r="915"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</row>
    <row r="916"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</row>
    <row r="917"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</row>
    <row r="918"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</row>
    <row r="919"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</row>
    <row r="920"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</row>
    <row r="921"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</row>
    <row r="922"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</row>
    <row r="923"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</row>
    <row r="924"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</row>
    <row r="925"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</row>
    <row r="926"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</row>
    <row r="927"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</row>
    <row r="928"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</row>
    <row r="929"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</row>
    <row r="930"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</row>
    <row r="931"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</row>
    <row r="932"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</row>
    <row r="933"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</row>
    <row r="934"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</row>
    <row r="935"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</row>
    <row r="936"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</row>
    <row r="937"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</row>
    <row r="938"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</row>
    <row r="939"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</row>
    <row r="940"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</row>
    <row r="941"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</row>
    <row r="942"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</row>
    <row r="943"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</row>
    <row r="944"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</row>
    <row r="945"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</row>
    <row r="946"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</row>
    <row r="947"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</row>
    <row r="948"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</row>
    <row r="949"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</row>
    <row r="950"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</row>
    <row r="951"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</row>
    <row r="952"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</row>
    <row r="953"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</row>
    <row r="954"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</row>
    <row r="955"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</row>
    <row r="956"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</row>
    <row r="957"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</row>
    <row r="958"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</row>
    <row r="959"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</row>
    <row r="960"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</row>
    <row r="961"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</row>
    <row r="962"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</row>
    <row r="963"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</row>
    <row r="964"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</row>
    <row r="965"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</row>
    <row r="966"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</row>
    <row r="967"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</row>
    <row r="968"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</row>
    <row r="969"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</row>
    <row r="970"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</row>
    <row r="971"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</row>
    <row r="972"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</row>
    <row r="973"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</row>
    <row r="974"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</row>
    <row r="975"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</row>
    <row r="976"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</row>
    <row r="977"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</row>
    <row r="978"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</row>
    <row r="979"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</row>
    <row r="980"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</row>
    <row r="981"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</row>
    <row r="982"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</row>
    <row r="983"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</row>
    <row r="984"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</row>
    <row r="985"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</row>
    <row r="986"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</row>
    <row r="987"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</row>
    <row r="988"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</row>
    <row r="989"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</row>
    <row r="990"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</row>
    <row r="991"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</row>
    <row r="992"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</row>
    <row r="993"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</row>
    <row r="994"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</row>
    <row r="995"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</row>
    <row r="996"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</row>
    <row r="997"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</row>
    <row r="998"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</row>
    <row r="999"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</row>
    <row r="1000"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95" t="str">
        <f>IFERROR(__xludf.DUMMYFUNCTION("QUERY(data!B:K, ""select H, sum(D) / (sum(D) + sum(E)) 
where B is not null 
and H &gt;= date """"""&amp;TEXT(Dashboard!D37, ""yyyy-MM-dd"")&amp;"""""" and H &lt;= date """"""&amp;TEXT(Dashboard!D38, ""yyyy-MM-dd"")&amp;"""""" 
group by H 
pivot B 
limit 12
label sum(D) / (sum"&amp;"(D) + sum(E)) '' "")"),"Mes")</f>
        <v>Mes</v>
      </c>
      <c r="C1" s="102" t="str">
        <f>IFERROR(__xludf.DUMMYFUNCTION("""COMPUTED_VALUE"""),"")</f>
        <v/>
      </c>
      <c r="D1" s="102"/>
      <c r="E1" s="96"/>
      <c r="F1" s="96"/>
      <c r="G1" s="96"/>
      <c r="H1" s="96"/>
      <c r="I1" s="96"/>
      <c r="J1" s="96"/>
      <c r="K1" s="96"/>
      <c r="L1" s="96"/>
      <c r="M1" s="96"/>
      <c r="N1" s="97"/>
    </row>
    <row r="2">
      <c r="B2" s="101">
        <f>IFERROR(__xludf.DUMMYFUNCTION("""COMPUTED_VALUE"""),44440.0)</f>
        <v>44440</v>
      </c>
      <c r="C2" s="96">
        <f>IFERROR(__xludf.DUMMYFUNCTION("""COMPUTED_VALUE"""),0.4890909090909091)</f>
        <v>0.4890909091</v>
      </c>
      <c r="D2" s="96"/>
      <c r="E2" s="96"/>
      <c r="F2" s="96"/>
      <c r="G2" s="96"/>
      <c r="H2" s="96"/>
      <c r="I2" s="96"/>
      <c r="J2" s="96"/>
      <c r="K2" s="96"/>
      <c r="L2" s="96"/>
      <c r="M2" s="96"/>
      <c r="N2" s="97"/>
    </row>
    <row r="3">
      <c r="B3" s="101">
        <f>IFERROR(__xludf.DUMMYFUNCTION("""COMPUTED_VALUE"""),44470.0)</f>
        <v>44470</v>
      </c>
      <c r="C3" s="96">
        <f>IFERROR(__xludf.DUMMYFUNCTION("""COMPUTED_VALUE"""),0.4930555555555556)</f>
        <v>0.4930555556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7"/>
    </row>
    <row r="4">
      <c r="B4" s="101">
        <f>IFERROR(__xludf.DUMMYFUNCTION("""COMPUTED_VALUE"""),44501.0)</f>
        <v>44501</v>
      </c>
      <c r="C4" s="96">
        <f>IFERROR(__xludf.DUMMYFUNCTION("""COMPUTED_VALUE"""),0.5161290322580645)</f>
        <v>0.5161290323</v>
      </c>
      <c r="D4" s="96"/>
      <c r="E4" s="96"/>
      <c r="F4" s="96"/>
      <c r="G4" s="96"/>
      <c r="H4" s="96"/>
      <c r="I4" s="96"/>
      <c r="J4" s="96"/>
      <c r="K4" s="96"/>
      <c r="L4" s="96"/>
      <c r="M4" s="96"/>
      <c r="N4" s="97"/>
    </row>
    <row r="5">
      <c r="B5" s="101">
        <f>IFERROR(__xludf.DUMMYFUNCTION("""COMPUTED_VALUE"""),44531.0)</f>
        <v>44531</v>
      </c>
      <c r="C5" s="96">
        <f>IFERROR(__xludf.DUMMYFUNCTION("""COMPUTED_VALUE"""),0.5140961857379768)</f>
        <v>0.5140961857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7"/>
    </row>
    <row r="6">
      <c r="B6" s="101">
        <f>IFERROR(__xludf.DUMMYFUNCTION("""COMPUTED_VALUE"""),44562.0)</f>
        <v>44562</v>
      </c>
      <c r="C6" s="96">
        <f>IFERROR(__xludf.DUMMYFUNCTION("""COMPUTED_VALUE"""),0.5431472081218274)</f>
        <v>0.5431472081</v>
      </c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</row>
    <row r="7">
      <c r="B7" s="101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</row>
    <row r="8">
      <c r="B8" s="101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7"/>
    </row>
    <row r="9">
      <c r="B9" s="101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7"/>
    </row>
    <row r="10">
      <c r="B10" s="101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7"/>
    </row>
    <row r="11">
      <c r="B11" s="101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7"/>
    </row>
    <row r="12">
      <c r="B12" s="101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7"/>
    </row>
    <row r="13">
      <c r="B13" s="101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7"/>
    </row>
    <row r="14">
      <c r="B14" s="101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7"/>
    </row>
    <row r="15">
      <c r="B15" s="101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7"/>
    </row>
    <row r="16">
      <c r="B16" s="101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7"/>
    </row>
    <row r="17">
      <c r="B17" s="101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7"/>
    </row>
    <row r="18">
      <c r="B18" s="101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7"/>
    </row>
    <row r="19">
      <c r="B19" s="101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7"/>
    </row>
    <row r="20">
      <c r="B20" s="101"/>
      <c r="C20" s="96"/>
      <c r="D20" s="96"/>
      <c r="E20" s="96"/>
      <c r="F20" s="97"/>
      <c r="G20" s="97"/>
      <c r="H20" s="96"/>
      <c r="I20" s="96"/>
      <c r="J20" s="96"/>
      <c r="K20" s="96"/>
      <c r="L20" s="96"/>
      <c r="M20" s="96"/>
      <c r="N20" s="97"/>
    </row>
    <row r="21">
      <c r="B21" s="101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7"/>
    </row>
    <row r="22">
      <c r="B22" s="101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7"/>
    </row>
    <row r="23">
      <c r="B23" s="101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7"/>
    </row>
    <row r="24">
      <c r="B24" s="101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7"/>
    </row>
    <row r="25">
      <c r="B25" s="101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7"/>
    </row>
    <row r="26">
      <c r="B26" s="101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7"/>
    </row>
    <row r="27">
      <c r="B27" s="101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7"/>
    </row>
    <row r="28">
      <c r="B28" s="101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7"/>
    </row>
    <row r="29">
      <c r="B29" s="101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7"/>
    </row>
    <row r="30">
      <c r="B30" s="101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7"/>
    </row>
    <row r="31">
      <c r="B31" s="101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7"/>
    </row>
    <row r="32">
      <c r="B32" s="101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7"/>
    </row>
    <row r="33">
      <c r="B33" s="101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7"/>
    </row>
    <row r="34">
      <c r="B34" s="101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7"/>
    </row>
    <row r="35">
      <c r="B35" s="101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7"/>
    </row>
    <row r="36">
      <c r="B36" s="101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7"/>
    </row>
    <row r="37">
      <c r="B37" s="101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7"/>
    </row>
    <row r="38">
      <c r="B38" s="101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7"/>
    </row>
    <row r="39">
      <c r="B39" s="101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7"/>
    </row>
    <row r="40">
      <c r="B40" s="101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7"/>
    </row>
    <row r="41">
      <c r="B41" s="101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7"/>
    </row>
    <row r="42">
      <c r="B42" s="101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7"/>
    </row>
    <row r="43">
      <c r="B43" s="101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7"/>
    </row>
    <row r="44">
      <c r="B44" s="101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7"/>
    </row>
    <row r="45">
      <c r="B45" s="101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7"/>
    </row>
    <row r="46">
      <c r="B46" s="101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7"/>
    </row>
    <row r="47">
      <c r="B47" s="101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7"/>
    </row>
    <row r="48">
      <c r="B48" s="101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7"/>
    </row>
    <row r="49">
      <c r="B49" s="101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7"/>
    </row>
    <row r="50">
      <c r="B50" s="101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7"/>
    </row>
    <row r="51">
      <c r="B51" s="101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7"/>
    </row>
    <row r="52">
      <c r="B52" s="101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7"/>
    </row>
    <row r="53">
      <c r="B53" s="101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7"/>
    </row>
    <row r="54">
      <c r="B54" s="101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7"/>
    </row>
    <row r="55">
      <c r="B55" s="101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7"/>
    </row>
    <row r="56">
      <c r="B56" s="101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7"/>
    </row>
    <row r="57">
      <c r="B57" s="101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7"/>
    </row>
    <row r="58">
      <c r="B58" s="101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7"/>
    </row>
    <row r="59">
      <c r="B59" s="101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7"/>
    </row>
    <row r="60">
      <c r="B60" s="101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7"/>
    </row>
    <row r="61"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7"/>
    </row>
    <row r="62"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7"/>
    </row>
    <row r="63"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7"/>
    </row>
    <row r="64"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7"/>
    </row>
    <row r="65"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7"/>
    </row>
    <row r="66"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7"/>
    </row>
    <row r="67"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7"/>
    </row>
    <row r="68"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7"/>
    </row>
    <row r="69"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7"/>
    </row>
    <row r="70"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7"/>
    </row>
    <row r="71"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7"/>
    </row>
    <row r="72"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7"/>
    </row>
    <row r="73"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7"/>
    </row>
    <row r="74"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7"/>
    </row>
    <row r="75"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7"/>
    </row>
    <row r="76"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7"/>
    </row>
    <row r="77"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7"/>
    </row>
    <row r="78"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7"/>
    </row>
    <row r="79"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7"/>
    </row>
    <row r="80"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7"/>
    </row>
    <row r="81"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7"/>
    </row>
    <row r="82"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7"/>
    </row>
    <row r="83"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7"/>
    </row>
    <row r="84"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7"/>
    </row>
    <row r="85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7"/>
    </row>
    <row r="86"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7"/>
    </row>
    <row r="87"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7"/>
    </row>
    <row r="88"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7"/>
    </row>
    <row r="89"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7"/>
    </row>
    <row r="90"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7"/>
    </row>
    <row r="91"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7"/>
    </row>
    <row r="92"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7"/>
    </row>
    <row r="93"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7"/>
    </row>
    <row r="94"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7"/>
    </row>
    <row r="95"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7"/>
    </row>
    <row r="96"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7"/>
    </row>
    <row r="97"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7"/>
    </row>
    <row r="98"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7"/>
    </row>
    <row r="99"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7"/>
    </row>
    <row r="100"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7"/>
    </row>
    <row r="101"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7"/>
    </row>
    <row r="102"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7"/>
    </row>
    <row r="103"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7"/>
    </row>
    <row r="104"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7"/>
    </row>
    <row r="105"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7"/>
    </row>
    <row r="106"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7"/>
    </row>
    <row r="107"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7"/>
    </row>
    <row r="108"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7"/>
    </row>
    <row r="109"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7"/>
    </row>
    <row r="110"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7"/>
    </row>
    <row r="111"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7"/>
    </row>
    <row r="112"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7"/>
    </row>
    <row r="113"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7"/>
    </row>
    <row r="114"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7"/>
    </row>
    <row r="115"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7"/>
    </row>
    <row r="116"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7"/>
    </row>
    <row r="117"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7"/>
    </row>
    <row r="118"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7"/>
    </row>
    <row r="119"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7"/>
    </row>
    <row r="120"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7"/>
    </row>
    <row r="121"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7"/>
    </row>
    <row r="122"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7"/>
    </row>
    <row r="123"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7"/>
    </row>
    <row r="124"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7"/>
    </row>
    <row r="125"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7"/>
    </row>
    <row r="126"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7"/>
    </row>
    <row r="127"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7"/>
    </row>
    <row r="128"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7"/>
    </row>
    <row r="129"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7"/>
    </row>
    <row r="130"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7"/>
    </row>
    <row r="131"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7"/>
    </row>
    <row r="132"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7"/>
    </row>
    <row r="133"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7"/>
    </row>
    <row r="134"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7"/>
    </row>
    <row r="135"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7"/>
    </row>
    <row r="136"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7"/>
    </row>
    <row r="137"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7"/>
    </row>
    <row r="138"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7"/>
    </row>
    <row r="139"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7"/>
    </row>
    <row r="140"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7"/>
    </row>
    <row r="141"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7"/>
    </row>
    <row r="142"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7"/>
    </row>
    <row r="143"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7"/>
    </row>
    <row r="144"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7"/>
    </row>
    <row r="145"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7"/>
    </row>
    <row r="146"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7"/>
    </row>
    <row r="147"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7"/>
    </row>
    <row r="148"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7"/>
    </row>
    <row r="149"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7"/>
    </row>
    <row r="150"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7"/>
    </row>
    <row r="151"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7"/>
    </row>
    <row r="152"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7"/>
    </row>
    <row r="153"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7"/>
    </row>
    <row r="154"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7"/>
    </row>
    <row r="155"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7"/>
    </row>
    <row r="156"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7"/>
    </row>
    <row r="157"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7"/>
    </row>
    <row r="158"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7"/>
    </row>
    <row r="159"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7"/>
    </row>
    <row r="160"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7"/>
    </row>
    <row r="161"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7"/>
    </row>
    <row r="162"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7"/>
    </row>
    <row r="163"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7"/>
    </row>
    <row r="164"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7"/>
    </row>
    <row r="165"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7"/>
    </row>
    <row r="166"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7"/>
    </row>
    <row r="167"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7"/>
    </row>
    <row r="168"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7"/>
    </row>
    <row r="169"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7"/>
    </row>
    <row r="170"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7"/>
    </row>
    <row r="171"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7"/>
    </row>
    <row r="172"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7"/>
    </row>
    <row r="173"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7"/>
    </row>
    <row r="174"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7"/>
    </row>
    <row r="175"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7"/>
    </row>
    <row r="176"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7"/>
    </row>
    <row r="177"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7"/>
    </row>
    <row r="178"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7"/>
    </row>
    <row r="179"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7"/>
    </row>
    <row r="180"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7"/>
    </row>
    <row r="181"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7"/>
    </row>
    <row r="182"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7"/>
    </row>
    <row r="183"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7"/>
    </row>
    <row r="184"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7"/>
    </row>
    <row r="185"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7"/>
    </row>
    <row r="186"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7"/>
    </row>
    <row r="187"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7"/>
    </row>
    <row r="188"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7"/>
    </row>
    <row r="189"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7"/>
    </row>
    <row r="190"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7"/>
    </row>
    <row r="191"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7"/>
    </row>
    <row r="192"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7"/>
    </row>
    <row r="193"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7"/>
    </row>
    <row r="194"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7"/>
    </row>
    <row r="195"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7"/>
    </row>
    <row r="196"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7"/>
    </row>
    <row r="197"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7"/>
    </row>
    <row r="198"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7"/>
    </row>
    <row r="199"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7"/>
    </row>
    <row r="200"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7"/>
    </row>
    <row r="201"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7"/>
    </row>
    <row r="202"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7"/>
    </row>
    <row r="203"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7"/>
    </row>
    <row r="204"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7"/>
    </row>
    <row r="205"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7"/>
    </row>
    <row r="206"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7"/>
    </row>
    <row r="207"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7"/>
    </row>
    <row r="208"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7"/>
    </row>
    <row r="209"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7"/>
    </row>
    <row r="210"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7"/>
    </row>
    <row r="211"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7"/>
    </row>
    <row r="212"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7"/>
    </row>
    <row r="213"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7"/>
    </row>
    <row r="214"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7"/>
    </row>
    <row r="215"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7"/>
    </row>
    <row r="216"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7"/>
    </row>
    <row r="217"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7"/>
    </row>
    <row r="218"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7"/>
    </row>
    <row r="219"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7"/>
    </row>
    <row r="220"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7"/>
    </row>
    <row r="221"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7"/>
    </row>
    <row r="222"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7"/>
    </row>
    <row r="223"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7"/>
    </row>
    <row r="224"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7"/>
    </row>
    <row r="225"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7"/>
    </row>
    <row r="226"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7"/>
    </row>
    <row r="227"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7"/>
    </row>
    <row r="228"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7"/>
    </row>
    <row r="229"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7"/>
    </row>
    <row r="230"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7"/>
    </row>
    <row r="231"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7"/>
    </row>
    <row r="232"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7"/>
    </row>
    <row r="233"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7"/>
    </row>
    <row r="234"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7"/>
    </row>
    <row r="235"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7"/>
    </row>
    <row r="236"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7"/>
    </row>
    <row r="237"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7"/>
    </row>
    <row r="238"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7"/>
    </row>
    <row r="239"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7"/>
    </row>
    <row r="240"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7"/>
    </row>
    <row r="241"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7"/>
    </row>
    <row r="242"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7"/>
    </row>
    <row r="243"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7"/>
    </row>
    <row r="244"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7"/>
    </row>
    <row r="245"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7"/>
    </row>
    <row r="246"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7"/>
    </row>
    <row r="247"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7"/>
    </row>
    <row r="248"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7"/>
    </row>
    <row r="249"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7"/>
    </row>
    <row r="250"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7"/>
    </row>
    <row r="251"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7"/>
    </row>
    <row r="252"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7"/>
    </row>
    <row r="253"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7"/>
    </row>
    <row r="254"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7"/>
    </row>
    <row r="255"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7"/>
    </row>
    <row r="256"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7"/>
    </row>
    <row r="257"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7"/>
    </row>
    <row r="258"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7"/>
    </row>
    <row r="259"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7"/>
    </row>
    <row r="260"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7"/>
    </row>
    <row r="261"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7"/>
    </row>
    <row r="262"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7"/>
    </row>
    <row r="263"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7"/>
    </row>
    <row r="264"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7"/>
    </row>
    <row r="265"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7"/>
    </row>
    <row r="266"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7"/>
    </row>
    <row r="267"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7"/>
    </row>
    <row r="268"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7"/>
    </row>
    <row r="269"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7"/>
    </row>
    <row r="270"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7"/>
    </row>
    <row r="271"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7"/>
    </row>
    <row r="272"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7"/>
    </row>
    <row r="273"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7"/>
    </row>
    <row r="274"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7"/>
    </row>
    <row r="275"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7"/>
    </row>
    <row r="276"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7"/>
    </row>
    <row r="277"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7"/>
    </row>
    <row r="278"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7"/>
    </row>
    <row r="279"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7"/>
    </row>
    <row r="280"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7"/>
    </row>
    <row r="281"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7"/>
    </row>
    <row r="282"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7"/>
    </row>
    <row r="283"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7"/>
    </row>
    <row r="284"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7"/>
    </row>
    <row r="285"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7"/>
    </row>
    <row r="286"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7"/>
    </row>
    <row r="287"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7"/>
    </row>
    <row r="288"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7"/>
    </row>
    <row r="289"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7"/>
    </row>
    <row r="290"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7"/>
    </row>
    <row r="291"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7"/>
    </row>
    <row r="292"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7"/>
    </row>
    <row r="293"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7"/>
    </row>
    <row r="294"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7"/>
    </row>
    <row r="295"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7"/>
    </row>
    <row r="296"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7"/>
    </row>
    <row r="297"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7"/>
    </row>
    <row r="298"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7"/>
    </row>
    <row r="299"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7"/>
    </row>
    <row r="300"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7"/>
    </row>
    <row r="301"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7"/>
    </row>
    <row r="302"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7"/>
    </row>
    <row r="303"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7"/>
    </row>
    <row r="304"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7"/>
    </row>
    <row r="305"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7"/>
    </row>
    <row r="306"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7"/>
    </row>
    <row r="307"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7"/>
    </row>
    <row r="308"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7"/>
    </row>
    <row r="309"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7"/>
    </row>
    <row r="310"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7"/>
    </row>
    <row r="311"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7"/>
    </row>
    <row r="312"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7"/>
    </row>
    <row r="313"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7"/>
    </row>
    <row r="314"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7"/>
    </row>
    <row r="315"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7"/>
    </row>
    <row r="316"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7"/>
    </row>
    <row r="317"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7"/>
    </row>
    <row r="318"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7"/>
    </row>
    <row r="319"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7"/>
    </row>
    <row r="320"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7"/>
    </row>
    <row r="321"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7"/>
    </row>
    <row r="322"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7"/>
    </row>
    <row r="323"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7"/>
    </row>
    <row r="324"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7"/>
    </row>
    <row r="325"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7"/>
    </row>
    <row r="326"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7"/>
    </row>
    <row r="327"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7"/>
    </row>
    <row r="328"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7"/>
    </row>
    <row r="329"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7"/>
    </row>
    <row r="330"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7"/>
    </row>
    <row r="331"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7"/>
    </row>
    <row r="332"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7"/>
    </row>
    <row r="333"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7"/>
    </row>
    <row r="334"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7"/>
    </row>
    <row r="335"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7"/>
    </row>
    <row r="336"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7"/>
    </row>
    <row r="337"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7"/>
    </row>
    <row r="338"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7"/>
    </row>
    <row r="339"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7"/>
    </row>
    <row r="340"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7"/>
    </row>
    <row r="341"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7"/>
    </row>
    <row r="342"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7"/>
    </row>
    <row r="343"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7"/>
    </row>
    <row r="344"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7"/>
    </row>
    <row r="345"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7"/>
    </row>
    <row r="346"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7"/>
    </row>
    <row r="347"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7"/>
    </row>
    <row r="348"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7"/>
    </row>
    <row r="349"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7"/>
    </row>
    <row r="350"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7"/>
    </row>
    <row r="351"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7"/>
    </row>
    <row r="352"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7"/>
    </row>
    <row r="353"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7"/>
    </row>
    <row r="354"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7"/>
    </row>
    <row r="355"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7"/>
    </row>
    <row r="356"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7"/>
    </row>
    <row r="357"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7"/>
    </row>
    <row r="358"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7"/>
    </row>
    <row r="359"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7"/>
    </row>
    <row r="360"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7"/>
    </row>
    <row r="361"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7"/>
    </row>
    <row r="362"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7"/>
    </row>
    <row r="363"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7"/>
    </row>
    <row r="364"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7"/>
    </row>
    <row r="365"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7"/>
    </row>
    <row r="366"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7"/>
    </row>
    <row r="367"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7"/>
    </row>
    <row r="368"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7"/>
    </row>
    <row r="369"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7"/>
    </row>
    <row r="370"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7"/>
    </row>
    <row r="371"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7"/>
    </row>
    <row r="372"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7"/>
    </row>
    <row r="373"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7"/>
    </row>
    <row r="374"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7"/>
    </row>
    <row r="375"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7"/>
    </row>
    <row r="376"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7"/>
    </row>
    <row r="377"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7"/>
    </row>
    <row r="378"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7"/>
    </row>
    <row r="379"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7"/>
    </row>
    <row r="380"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7"/>
    </row>
    <row r="381"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7"/>
    </row>
    <row r="382"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7"/>
    </row>
    <row r="383"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7"/>
    </row>
    <row r="384"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7"/>
    </row>
    <row r="385"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7"/>
    </row>
    <row r="386"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7"/>
    </row>
    <row r="387"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7"/>
    </row>
    <row r="388"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7"/>
    </row>
    <row r="389"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7"/>
    </row>
    <row r="390"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7"/>
    </row>
    <row r="391"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7"/>
    </row>
    <row r="392"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7"/>
    </row>
    <row r="393"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7"/>
    </row>
    <row r="394"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7"/>
    </row>
    <row r="395"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7"/>
    </row>
    <row r="396"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7"/>
    </row>
    <row r="397"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7"/>
    </row>
    <row r="398"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7"/>
    </row>
    <row r="399"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7"/>
    </row>
    <row r="400"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7"/>
    </row>
    <row r="401"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7"/>
    </row>
    <row r="402"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7"/>
    </row>
    <row r="403"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7"/>
    </row>
    <row r="404"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7"/>
    </row>
    <row r="405"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7"/>
    </row>
    <row r="406"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7"/>
    </row>
    <row r="407"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7"/>
    </row>
    <row r="408"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7"/>
    </row>
    <row r="409"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7"/>
    </row>
    <row r="410"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7"/>
    </row>
    <row r="411"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7"/>
    </row>
    <row r="412"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7"/>
    </row>
    <row r="413"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7"/>
    </row>
    <row r="414"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7"/>
    </row>
    <row r="415"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7"/>
    </row>
    <row r="416"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7"/>
    </row>
    <row r="417"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7"/>
    </row>
    <row r="418"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7"/>
    </row>
    <row r="419"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7"/>
    </row>
    <row r="420"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7"/>
    </row>
    <row r="421"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7"/>
    </row>
    <row r="422"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7"/>
    </row>
    <row r="423"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7"/>
    </row>
    <row r="424"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7"/>
    </row>
    <row r="425"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7"/>
    </row>
    <row r="426"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7"/>
    </row>
    <row r="427"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7"/>
    </row>
    <row r="428"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7"/>
    </row>
    <row r="429"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7"/>
    </row>
    <row r="430"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7"/>
    </row>
    <row r="431"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7"/>
    </row>
    <row r="432"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7"/>
    </row>
    <row r="433"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7"/>
    </row>
    <row r="434"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7"/>
    </row>
    <row r="435"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7"/>
    </row>
    <row r="436"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7"/>
    </row>
    <row r="437"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7"/>
    </row>
    <row r="438"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7"/>
    </row>
    <row r="439"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7"/>
    </row>
    <row r="440"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7"/>
    </row>
    <row r="441"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7"/>
    </row>
    <row r="442"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7"/>
    </row>
    <row r="443"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7"/>
    </row>
    <row r="444"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7"/>
    </row>
    <row r="445"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7"/>
    </row>
    <row r="446"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7"/>
    </row>
    <row r="447"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7"/>
    </row>
    <row r="448"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7"/>
    </row>
    <row r="449"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7"/>
    </row>
    <row r="450"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7"/>
    </row>
    <row r="451"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7"/>
    </row>
    <row r="452"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7"/>
    </row>
    <row r="453"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7"/>
    </row>
    <row r="454"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7"/>
    </row>
    <row r="455"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7"/>
    </row>
    <row r="456"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7"/>
    </row>
    <row r="457"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7"/>
    </row>
    <row r="458"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7"/>
    </row>
    <row r="459"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7"/>
    </row>
    <row r="460"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7"/>
    </row>
    <row r="461"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7"/>
    </row>
    <row r="462"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7"/>
    </row>
    <row r="463"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7"/>
    </row>
    <row r="464"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7"/>
    </row>
    <row r="465"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7"/>
    </row>
    <row r="466"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7"/>
    </row>
    <row r="467"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7"/>
    </row>
    <row r="468"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7"/>
    </row>
    <row r="469"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7"/>
    </row>
    <row r="470"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7"/>
    </row>
    <row r="471"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7"/>
    </row>
    <row r="472"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7"/>
    </row>
    <row r="473"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7"/>
    </row>
    <row r="474"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7"/>
    </row>
    <row r="475"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7"/>
    </row>
    <row r="476"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7"/>
    </row>
    <row r="477"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7"/>
    </row>
    <row r="478"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7"/>
    </row>
    <row r="479"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7"/>
    </row>
    <row r="480"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7"/>
    </row>
    <row r="481"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7"/>
    </row>
    <row r="482"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7"/>
    </row>
    <row r="483"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7"/>
    </row>
    <row r="484"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7"/>
    </row>
    <row r="485"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7"/>
    </row>
    <row r="486"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7"/>
    </row>
    <row r="487"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7"/>
    </row>
    <row r="488"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7"/>
    </row>
    <row r="489"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7"/>
    </row>
    <row r="490"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7"/>
    </row>
    <row r="491"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7"/>
    </row>
    <row r="492"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7"/>
    </row>
    <row r="493"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7"/>
    </row>
    <row r="494"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7"/>
    </row>
    <row r="495"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7"/>
    </row>
    <row r="496"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7"/>
    </row>
    <row r="497"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7"/>
    </row>
    <row r="498"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7"/>
    </row>
    <row r="499"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7"/>
    </row>
    <row r="500"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7"/>
    </row>
    <row r="501"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7"/>
    </row>
    <row r="502"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7"/>
    </row>
    <row r="503"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7"/>
    </row>
    <row r="504"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7"/>
    </row>
    <row r="505"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7"/>
    </row>
    <row r="506"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7"/>
    </row>
    <row r="507"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7"/>
    </row>
    <row r="508"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7"/>
    </row>
    <row r="509"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7"/>
    </row>
    <row r="510"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7"/>
    </row>
    <row r="511"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7"/>
    </row>
    <row r="512"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7"/>
    </row>
    <row r="513"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7"/>
    </row>
    <row r="514"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7"/>
    </row>
    <row r="515"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7"/>
    </row>
    <row r="516"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7"/>
    </row>
    <row r="517"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7"/>
    </row>
    <row r="518"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7"/>
    </row>
    <row r="519"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7"/>
    </row>
    <row r="520"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7"/>
    </row>
    <row r="521"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7"/>
    </row>
    <row r="522"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7"/>
    </row>
    <row r="523"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7"/>
    </row>
    <row r="524"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7"/>
    </row>
    <row r="525"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7"/>
    </row>
    <row r="526"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7"/>
    </row>
    <row r="527"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7"/>
    </row>
    <row r="528"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7"/>
    </row>
    <row r="529"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7"/>
    </row>
    <row r="530"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7"/>
    </row>
    <row r="531"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7"/>
    </row>
    <row r="532"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7"/>
    </row>
    <row r="533"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7"/>
    </row>
    <row r="534"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7"/>
    </row>
    <row r="535"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7"/>
    </row>
    <row r="536"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7"/>
    </row>
    <row r="537"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7"/>
    </row>
    <row r="538"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7"/>
    </row>
    <row r="539"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7"/>
    </row>
    <row r="540"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7"/>
    </row>
    <row r="541"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7"/>
    </row>
    <row r="542"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7"/>
    </row>
    <row r="543"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7"/>
    </row>
    <row r="544"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7"/>
    </row>
    <row r="545"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7"/>
    </row>
    <row r="546"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7"/>
    </row>
    <row r="547"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7"/>
    </row>
    <row r="548"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7"/>
    </row>
    <row r="549"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7"/>
    </row>
    <row r="550"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7"/>
    </row>
    <row r="551"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7"/>
    </row>
    <row r="552"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7"/>
    </row>
    <row r="553"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7"/>
    </row>
    <row r="554"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7"/>
    </row>
    <row r="555"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7"/>
    </row>
    <row r="556"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7"/>
    </row>
    <row r="557"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7"/>
    </row>
    <row r="558"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7"/>
    </row>
    <row r="559"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7"/>
    </row>
    <row r="560"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7"/>
    </row>
    <row r="561"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7"/>
    </row>
    <row r="562"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7"/>
    </row>
    <row r="563"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7"/>
    </row>
    <row r="564"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7"/>
    </row>
    <row r="565"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7"/>
    </row>
    <row r="566"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7"/>
    </row>
    <row r="567"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7"/>
    </row>
    <row r="568"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7"/>
    </row>
    <row r="569"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7"/>
    </row>
    <row r="570"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7"/>
    </row>
    <row r="571"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7"/>
    </row>
    <row r="572"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7"/>
    </row>
    <row r="573"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7"/>
    </row>
    <row r="574"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7"/>
    </row>
    <row r="575"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7"/>
    </row>
    <row r="576"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7"/>
    </row>
    <row r="577"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7"/>
    </row>
    <row r="578"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7"/>
    </row>
    <row r="579"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7"/>
    </row>
    <row r="580"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7"/>
    </row>
    <row r="581"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7"/>
    </row>
    <row r="582"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7"/>
    </row>
    <row r="583"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7"/>
    </row>
    <row r="584"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7"/>
    </row>
    <row r="585"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7"/>
    </row>
    <row r="586"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7"/>
    </row>
    <row r="587"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7"/>
    </row>
    <row r="588"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7"/>
    </row>
    <row r="589"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7"/>
    </row>
    <row r="590"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7"/>
    </row>
    <row r="591"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7"/>
    </row>
    <row r="592"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7"/>
    </row>
    <row r="593"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7"/>
    </row>
    <row r="594"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7"/>
    </row>
    <row r="595"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7"/>
    </row>
    <row r="596"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7"/>
    </row>
    <row r="597"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7"/>
    </row>
    <row r="598"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7"/>
    </row>
    <row r="599"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7"/>
    </row>
    <row r="600"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7"/>
    </row>
    <row r="601"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7"/>
    </row>
    <row r="602"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7"/>
    </row>
    <row r="603"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7"/>
    </row>
    <row r="604"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7"/>
    </row>
    <row r="605"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7"/>
    </row>
    <row r="606"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7"/>
    </row>
    <row r="607"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7"/>
    </row>
    <row r="608"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7"/>
    </row>
    <row r="609"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7"/>
    </row>
    <row r="610"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7"/>
    </row>
    <row r="611"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7"/>
    </row>
    <row r="612"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7"/>
    </row>
    <row r="613"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7"/>
    </row>
    <row r="614"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7"/>
    </row>
    <row r="615"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7"/>
    </row>
    <row r="616"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7"/>
    </row>
    <row r="617"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7"/>
    </row>
    <row r="618"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7"/>
    </row>
    <row r="619"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7"/>
    </row>
    <row r="620"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7"/>
    </row>
    <row r="621"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7"/>
    </row>
    <row r="622"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7"/>
    </row>
    <row r="623"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7"/>
    </row>
    <row r="624"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7"/>
    </row>
    <row r="625"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7"/>
    </row>
    <row r="626"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7"/>
    </row>
    <row r="627"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7"/>
    </row>
    <row r="628"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7"/>
    </row>
    <row r="629"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7"/>
    </row>
    <row r="630"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7"/>
    </row>
    <row r="631"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7"/>
    </row>
    <row r="632"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7"/>
    </row>
    <row r="633"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7"/>
    </row>
    <row r="634"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7"/>
    </row>
    <row r="635"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7"/>
    </row>
    <row r="636"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7"/>
    </row>
    <row r="637"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7"/>
    </row>
    <row r="638"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7"/>
    </row>
    <row r="639"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7"/>
    </row>
    <row r="640"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7"/>
    </row>
    <row r="641"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7"/>
    </row>
    <row r="642"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7"/>
    </row>
    <row r="643"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7"/>
    </row>
    <row r="644"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7"/>
    </row>
    <row r="645"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7"/>
    </row>
    <row r="646"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7"/>
    </row>
    <row r="647"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7"/>
    </row>
    <row r="648"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7"/>
    </row>
    <row r="649"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7"/>
    </row>
    <row r="650"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7"/>
    </row>
    <row r="651"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7"/>
    </row>
    <row r="652"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7"/>
    </row>
    <row r="653"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7"/>
    </row>
    <row r="654"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7"/>
    </row>
    <row r="655"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7"/>
    </row>
    <row r="656"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7"/>
    </row>
    <row r="657"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7"/>
    </row>
    <row r="658"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7"/>
    </row>
    <row r="659"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7"/>
    </row>
    <row r="660"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7"/>
    </row>
    <row r="661"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7"/>
    </row>
    <row r="662"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7"/>
    </row>
    <row r="663"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7"/>
    </row>
    <row r="664"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7"/>
    </row>
    <row r="665"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7"/>
    </row>
    <row r="666"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7"/>
    </row>
    <row r="667"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7"/>
    </row>
    <row r="668"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7"/>
    </row>
    <row r="669"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7"/>
    </row>
    <row r="670"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7"/>
    </row>
    <row r="671"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7"/>
    </row>
    <row r="672"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7"/>
    </row>
    <row r="673"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7"/>
    </row>
    <row r="674"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7"/>
    </row>
    <row r="675"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7"/>
    </row>
    <row r="676"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7"/>
    </row>
    <row r="677"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7"/>
    </row>
    <row r="678"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7"/>
    </row>
    <row r="679"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7"/>
    </row>
    <row r="680"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7"/>
    </row>
    <row r="681"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7"/>
    </row>
    <row r="682"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7"/>
    </row>
    <row r="683"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7"/>
    </row>
    <row r="684"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7"/>
    </row>
    <row r="685"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7"/>
    </row>
    <row r="686"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7"/>
    </row>
    <row r="687"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7"/>
    </row>
    <row r="688"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7"/>
    </row>
    <row r="689"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7"/>
    </row>
    <row r="690"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7"/>
    </row>
    <row r="691"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7"/>
    </row>
    <row r="692"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7"/>
    </row>
    <row r="693"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7"/>
    </row>
    <row r="694"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7"/>
    </row>
    <row r="695"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7"/>
    </row>
    <row r="696"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7"/>
    </row>
    <row r="697"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7"/>
    </row>
    <row r="698"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7"/>
    </row>
    <row r="699"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7"/>
    </row>
    <row r="700"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7"/>
    </row>
    <row r="701"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7"/>
    </row>
    <row r="702"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7"/>
    </row>
    <row r="703"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7"/>
    </row>
    <row r="704"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7"/>
    </row>
    <row r="705"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7"/>
    </row>
    <row r="706"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7"/>
    </row>
    <row r="707"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7"/>
    </row>
    <row r="708"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7"/>
    </row>
    <row r="709"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7"/>
    </row>
    <row r="710"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7"/>
    </row>
    <row r="711"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7"/>
    </row>
    <row r="712"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7"/>
    </row>
    <row r="713"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7"/>
    </row>
    <row r="714"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7"/>
    </row>
    <row r="715"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7"/>
    </row>
    <row r="716"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7"/>
    </row>
    <row r="717"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7"/>
    </row>
    <row r="718"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7"/>
    </row>
    <row r="719"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7"/>
    </row>
    <row r="720"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7"/>
    </row>
    <row r="721"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7"/>
    </row>
    <row r="722"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7"/>
    </row>
    <row r="723"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7"/>
    </row>
    <row r="724"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7"/>
    </row>
    <row r="725"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7"/>
    </row>
    <row r="726"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7"/>
    </row>
    <row r="727"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7"/>
    </row>
    <row r="728"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7"/>
    </row>
    <row r="729"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7"/>
    </row>
    <row r="730"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7"/>
    </row>
    <row r="731"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7"/>
    </row>
    <row r="732"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7"/>
    </row>
    <row r="733"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7"/>
    </row>
    <row r="734"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7"/>
    </row>
    <row r="735"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7"/>
    </row>
    <row r="736"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7"/>
    </row>
    <row r="737"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7"/>
    </row>
    <row r="738"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7"/>
    </row>
    <row r="739"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7"/>
    </row>
    <row r="740"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7"/>
    </row>
    <row r="741"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7"/>
    </row>
    <row r="742"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7"/>
    </row>
    <row r="743"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7"/>
    </row>
    <row r="744"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7"/>
    </row>
    <row r="745"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7"/>
    </row>
    <row r="746"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7"/>
    </row>
    <row r="747"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7"/>
    </row>
    <row r="748"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7"/>
    </row>
    <row r="749"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7"/>
    </row>
    <row r="750"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7"/>
    </row>
    <row r="751"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7"/>
    </row>
    <row r="752"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7"/>
    </row>
    <row r="753"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7"/>
    </row>
    <row r="754"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7"/>
    </row>
    <row r="755"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7"/>
    </row>
    <row r="756"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7"/>
    </row>
    <row r="757"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7"/>
    </row>
    <row r="758"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7"/>
    </row>
    <row r="759"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7"/>
    </row>
    <row r="760"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7"/>
    </row>
    <row r="761"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7"/>
    </row>
    <row r="762"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7"/>
    </row>
    <row r="763"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7"/>
    </row>
    <row r="764"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7"/>
    </row>
    <row r="765"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7"/>
    </row>
    <row r="766"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7"/>
    </row>
    <row r="767"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7"/>
    </row>
    <row r="768"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7"/>
    </row>
    <row r="769"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7"/>
    </row>
    <row r="770"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7"/>
    </row>
    <row r="771"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7"/>
    </row>
    <row r="772"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7"/>
    </row>
    <row r="773"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7"/>
    </row>
    <row r="774"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7"/>
    </row>
    <row r="775"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7"/>
    </row>
    <row r="776"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7"/>
    </row>
    <row r="777"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7"/>
    </row>
    <row r="778"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7"/>
    </row>
    <row r="779"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7"/>
    </row>
    <row r="780"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7"/>
    </row>
    <row r="781"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7"/>
    </row>
    <row r="782"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7"/>
    </row>
    <row r="783"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7"/>
    </row>
    <row r="784"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7"/>
    </row>
    <row r="785"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7"/>
    </row>
    <row r="786"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7"/>
    </row>
    <row r="787"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7"/>
    </row>
    <row r="788"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7"/>
    </row>
    <row r="789"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7"/>
    </row>
    <row r="790"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7"/>
    </row>
    <row r="791"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7"/>
    </row>
    <row r="792"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7"/>
    </row>
    <row r="793"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7"/>
    </row>
    <row r="794"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7"/>
    </row>
    <row r="795"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7"/>
    </row>
    <row r="796"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7"/>
    </row>
    <row r="797"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7"/>
    </row>
    <row r="798"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7"/>
    </row>
    <row r="799"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7"/>
    </row>
    <row r="800"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7"/>
    </row>
    <row r="801"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7"/>
    </row>
    <row r="802"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7"/>
    </row>
    <row r="803"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7"/>
    </row>
    <row r="804"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7"/>
    </row>
    <row r="805"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7"/>
    </row>
    <row r="806"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7"/>
    </row>
    <row r="807"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7"/>
    </row>
    <row r="808"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7"/>
    </row>
    <row r="809"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7"/>
    </row>
    <row r="810"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7"/>
    </row>
    <row r="811"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7"/>
    </row>
    <row r="812"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7"/>
    </row>
    <row r="813"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7"/>
    </row>
    <row r="814"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7"/>
    </row>
    <row r="815"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7"/>
    </row>
    <row r="816"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7"/>
    </row>
    <row r="817"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7"/>
    </row>
    <row r="818"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7"/>
    </row>
    <row r="819"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7"/>
    </row>
    <row r="820"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7"/>
    </row>
    <row r="821"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7"/>
    </row>
    <row r="822"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7"/>
    </row>
    <row r="823"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7"/>
    </row>
    <row r="824"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7"/>
    </row>
    <row r="825"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7"/>
    </row>
    <row r="826"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7"/>
    </row>
    <row r="827"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7"/>
    </row>
    <row r="828"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7"/>
    </row>
    <row r="829"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7"/>
    </row>
    <row r="830"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7"/>
    </row>
    <row r="831"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7"/>
    </row>
    <row r="832"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7"/>
    </row>
    <row r="833"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7"/>
    </row>
    <row r="834"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7"/>
    </row>
    <row r="835"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7"/>
    </row>
    <row r="836"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7"/>
    </row>
    <row r="837"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7"/>
    </row>
    <row r="838"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7"/>
    </row>
    <row r="839"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7"/>
    </row>
    <row r="840"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7"/>
    </row>
    <row r="841"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7"/>
    </row>
    <row r="842"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7"/>
    </row>
    <row r="843"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7"/>
    </row>
    <row r="844"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7"/>
    </row>
    <row r="845"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7"/>
    </row>
    <row r="846"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7"/>
    </row>
    <row r="847"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7"/>
    </row>
    <row r="848"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7"/>
    </row>
    <row r="849"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7"/>
    </row>
    <row r="850"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7"/>
    </row>
    <row r="851"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7"/>
    </row>
    <row r="852"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7"/>
    </row>
    <row r="853"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7"/>
    </row>
    <row r="854"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7"/>
    </row>
    <row r="855"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7"/>
    </row>
    <row r="856"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7"/>
    </row>
    <row r="857"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7"/>
    </row>
    <row r="858"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7"/>
    </row>
    <row r="859"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7"/>
    </row>
    <row r="860"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7"/>
    </row>
    <row r="861"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7"/>
    </row>
    <row r="862"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7"/>
    </row>
    <row r="863"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7"/>
    </row>
    <row r="864"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7"/>
    </row>
    <row r="865"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7"/>
    </row>
    <row r="866"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7"/>
    </row>
    <row r="867"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7"/>
    </row>
    <row r="868"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7"/>
    </row>
    <row r="869"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7"/>
    </row>
    <row r="870"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7"/>
    </row>
    <row r="871"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7"/>
    </row>
    <row r="872"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7"/>
    </row>
    <row r="873"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7"/>
    </row>
    <row r="874"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7"/>
    </row>
    <row r="875"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7"/>
    </row>
    <row r="876"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7"/>
    </row>
    <row r="877"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7"/>
    </row>
    <row r="878"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7"/>
    </row>
    <row r="879"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7"/>
    </row>
    <row r="880"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7"/>
    </row>
    <row r="881"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7"/>
    </row>
    <row r="882"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7"/>
    </row>
    <row r="883"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7"/>
    </row>
    <row r="884"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7"/>
    </row>
    <row r="885"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7"/>
    </row>
    <row r="886"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7"/>
    </row>
    <row r="887"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7"/>
    </row>
    <row r="888"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7"/>
    </row>
    <row r="889"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7"/>
    </row>
    <row r="890"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7"/>
    </row>
    <row r="891"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7"/>
    </row>
    <row r="892"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7"/>
    </row>
    <row r="893"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7"/>
    </row>
    <row r="894"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7"/>
    </row>
    <row r="895"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7"/>
    </row>
    <row r="896"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7"/>
    </row>
    <row r="897"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7"/>
    </row>
    <row r="898"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7"/>
    </row>
    <row r="899"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7"/>
    </row>
    <row r="900"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7"/>
    </row>
    <row r="901"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7"/>
    </row>
    <row r="902"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7"/>
    </row>
    <row r="903"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7"/>
    </row>
    <row r="904"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7"/>
    </row>
    <row r="905"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7"/>
    </row>
    <row r="906"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7"/>
    </row>
    <row r="907"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7"/>
    </row>
    <row r="908"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7"/>
    </row>
    <row r="909"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7"/>
    </row>
    <row r="910"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7"/>
    </row>
    <row r="911"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7"/>
    </row>
    <row r="912"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7"/>
    </row>
    <row r="913"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7"/>
    </row>
    <row r="914"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7"/>
    </row>
    <row r="915"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7"/>
    </row>
    <row r="916"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7"/>
    </row>
    <row r="917"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7"/>
    </row>
    <row r="918"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7"/>
    </row>
    <row r="919"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7"/>
    </row>
    <row r="920"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7"/>
    </row>
    <row r="921"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7"/>
    </row>
    <row r="922"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7"/>
    </row>
    <row r="923"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7"/>
    </row>
    <row r="924"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7"/>
    </row>
    <row r="925"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7"/>
    </row>
    <row r="926"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7"/>
    </row>
    <row r="927"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7"/>
    </row>
    <row r="928"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7"/>
    </row>
    <row r="929"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7"/>
    </row>
    <row r="930"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7"/>
    </row>
    <row r="931"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7"/>
    </row>
    <row r="932"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7"/>
    </row>
    <row r="933"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7"/>
    </row>
    <row r="934"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7"/>
    </row>
    <row r="935"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7"/>
    </row>
    <row r="936"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7"/>
    </row>
    <row r="937"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7"/>
    </row>
    <row r="938"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7"/>
    </row>
    <row r="939"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7"/>
    </row>
    <row r="940"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7"/>
    </row>
    <row r="941"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7"/>
    </row>
    <row r="942"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7"/>
    </row>
    <row r="943"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7"/>
    </row>
    <row r="944"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7"/>
    </row>
    <row r="945"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7"/>
    </row>
    <row r="946"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7"/>
    </row>
    <row r="947"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7"/>
    </row>
    <row r="948"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7"/>
    </row>
    <row r="949"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7"/>
    </row>
    <row r="950"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7"/>
    </row>
    <row r="951"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7"/>
    </row>
    <row r="952"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7"/>
    </row>
    <row r="953"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7"/>
    </row>
    <row r="954"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7"/>
    </row>
    <row r="955"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7"/>
    </row>
    <row r="956"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7"/>
    </row>
    <row r="957"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7"/>
    </row>
    <row r="958"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7"/>
    </row>
    <row r="959"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7"/>
    </row>
    <row r="960"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7"/>
    </row>
    <row r="961"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7"/>
    </row>
    <row r="962"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7"/>
    </row>
    <row r="963"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7"/>
    </row>
    <row r="964"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7"/>
    </row>
    <row r="965"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7"/>
    </row>
    <row r="966"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7"/>
    </row>
    <row r="967"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7"/>
    </row>
    <row r="968"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7"/>
    </row>
    <row r="969"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7"/>
    </row>
    <row r="970"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7"/>
    </row>
    <row r="971"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7"/>
    </row>
    <row r="972"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7"/>
    </row>
    <row r="973"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7"/>
    </row>
    <row r="974"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7"/>
    </row>
    <row r="975"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7"/>
    </row>
    <row r="976"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7"/>
    </row>
    <row r="977"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7"/>
    </row>
    <row r="978"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7"/>
    </row>
    <row r="979"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7"/>
    </row>
    <row r="980"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7"/>
    </row>
    <row r="981"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7"/>
    </row>
    <row r="982"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7"/>
    </row>
    <row r="983"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7"/>
    </row>
    <row r="984"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7"/>
    </row>
    <row r="985"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7"/>
    </row>
    <row r="986"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7"/>
    </row>
    <row r="987"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7"/>
    </row>
    <row r="988"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7"/>
    </row>
    <row r="989"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7"/>
    </row>
    <row r="990"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7"/>
    </row>
    <row r="991"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7"/>
    </row>
    <row r="992"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7"/>
    </row>
    <row r="993"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7"/>
    </row>
    <row r="994"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7"/>
    </row>
    <row r="995"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7"/>
    </row>
    <row r="996"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7"/>
    </row>
    <row r="997"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7"/>
    </row>
    <row r="998"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7"/>
    </row>
    <row r="999"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7"/>
    </row>
    <row r="1000"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89">
        <v>5.0</v>
      </c>
      <c r="E1" s="89">
        <v>5.0</v>
      </c>
      <c r="L1" s="89" t="s">
        <v>23</v>
      </c>
      <c r="M1" s="95" t="str">
        <f t="array" ref="M1:M999">IF(ISBLANK(C2:C1000), , TEXT(IF(ISBLANK(C2:C1000), ,DATE(YEAR(C2:C1000), MONTH(C2:C1000), 1)), "mmm" &amp; " " &amp; "yy"))</f>
        <v/>
      </c>
    </row>
    <row r="2">
      <c r="M2" s="86"/>
    </row>
    <row r="3">
      <c r="I3" s="89" t="s">
        <v>24</v>
      </c>
      <c r="M3" s="86"/>
    </row>
    <row r="4">
      <c r="E4" s="89">
        <f> SUM(D1) / (SUM(D1) + SUM(E1))</f>
        <v>0.5</v>
      </c>
      <c r="H4" s="86">
        <f> 5 + #REF!</f>
        <v>5.5</v>
      </c>
      <c r="M4" s="86"/>
    </row>
    <row r="5">
      <c r="M5" s="86"/>
    </row>
    <row r="6">
      <c r="M6" s="86"/>
    </row>
    <row r="7">
      <c r="M7" s="86" t="e">
        <v>#VALUE!</v>
      </c>
    </row>
    <row r="8">
      <c r="B8" s="86" t="str">
        <f>IFERROR(__xludf.DUMMYFUNCTION("QUERY(data!B:H, ""select B, sum(D) / (sum(D) + sum(E))
where B is not null
group by B
label B 'persona', sum(D) / (sum(D) + sum(E)) 'win rate' "")"),"persona")</f>
        <v>persona</v>
      </c>
      <c r="C8" s="86" t="str">
        <f>IFERROR(__xludf.DUMMYFUNCTION("""COMPUTED_VALUE"""),"win rate")</f>
        <v>win rate</v>
      </c>
      <c r="F8" s="86" t="str">
        <f>IFERROR(__xludf.DUMMYFUNCTION("QUERY(data!B:H, ""select C, sum(F) 
where C is not null
group by C
pivot B"")"),"Fecha")</f>
        <v>Fecha</v>
      </c>
      <c r="G8" s="86" t="str">
        <f>IFERROR(__xludf.DUMMYFUNCTION("""COMPUTED_VALUE"""),"Yarfraz")</f>
        <v>Yarfraz</v>
      </c>
      <c r="M8" s="86" t="s">
        <v>25</v>
      </c>
    </row>
    <row r="9">
      <c r="B9" s="86" t="str">
        <f>IFERROR(__xludf.DUMMYFUNCTION("""COMPUTED_VALUE"""),"Yarfraz")</f>
        <v>Yarfraz</v>
      </c>
      <c r="C9" s="86">
        <f>IFERROR(__xludf.DUMMYFUNCTION("""COMPUTED_VALUE"""),0.5065606361829026)</f>
        <v>0.5065606362</v>
      </c>
      <c r="F9" s="94">
        <f>IFERROR(__xludf.DUMMYFUNCTION("""COMPUTED_VALUE"""),44440.0)</f>
        <v>44440</v>
      </c>
      <c r="G9" s="86">
        <f>IFERROR(__xludf.DUMMYFUNCTION("""COMPUTED_VALUE"""),91.0)</f>
        <v>91</v>
      </c>
      <c r="M9" s="86"/>
    </row>
    <row r="10">
      <c r="F10" s="94">
        <f>IFERROR(__xludf.DUMMYFUNCTION("""COMPUTED_VALUE"""),44441.0)</f>
        <v>44441</v>
      </c>
      <c r="G10" s="86">
        <f>IFERROR(__xludf.DUMMYFUNCTION("""COMPUTED_VALUE"""),90.0)</f>
        <v>90</v>
      </c>
      <c r="M10" s="86"/>
    </row>
    <row r="11">
      <c r="F11" s="94">
        <f>IFERROR(__xludf.DUMMYFUNCTION("""COMPUTED_VALUE"""),44442.0)</f>
        <v>44442</v>
      </c>
      <c r="G11" s="86">
        <f>IFERROR(__xludf.DUMMYFUNCTION("""COMPUTED_VALUE"""),84.0)</f>
        <v>84</v>
      </c>
      <c r="M11" s="86"/>
    </row>
    <row r="12">
      <c r="F12" s="94">
        <f>IFERROR(__xludf.DUMMYFUNCTION("""COMPUTED_VALUE"""),44443.0)</f>
        <v>44443</v>
      </c>
      <c r="G12" s="86">
        <f>IFERROR(__xludf.DUMMYFUNCTION("""COMPUTED_VALUE"""),83.0)</f>
        <v>83</v>
      </c>
      <c r="M12" s="86"/>
    </row>
    <row r="13">
      <c r="F13" s="94">
        <f>IFERROR(__xludf.DUMMYFUNCTION("""COMPUTED_VALUE"""),44444.0)</f>
        <v>44444</v>
      </c>
      <c r="G13" s="86">
        <f>IFERROR(__xludf.DUMMYFUNCTION("""COMPUTED_VALUE"""),109.0)</f>
        <v>109</v>
      </c>
      <c r="M13" s="86"/>
    </row>
    <row r="14">
      <c r="F14" s="94">
        <f>IFERROR(__xludf.DUMMYFUNCTION("""COMPUTED_VALUE"""),44445.0)</f>
        <v>44445</v>
      </c>
      <c r="G14" s="86">
        <f>IFERROR(__xludf.DUMMYFUNCTION("""COMPUTED_VALUE"""),139.0)</f>
        <v>139</v>
      </c>
      <c r="M14" s="86"/>
    </row>
    <row r="15">
      <c r="F15" s="94">
        <f>IFERROR(__xludf.DUMMYFUNCTION("""COMPUTED_VALUE"""),44446.0)</f>
        <v>44446</v>
      </c>
      <c r="G15" s="86">
        <f>IFERROR(__xludf.DUMMYFUNCTION("""COMPUTED_VALUE"""),183.0)</f>
        <v>183</v>
      </c>
      <c r="M15" s="86" t="e">
        <v>#VALUE!</v>
      </c>
    </row>
    <row r="16">
      <c r="B16" s="86" t="str">
        <f>IFERROR(__xludf.DUMMYFUNCTION("QUERY(data!B:H, ""select B, sum(F)
where B is not null
group by B"")"),"Nombre")</f>
        <v>Nombre</v>
      </c>
      <c r="C16" s="86" t="str">
        <f>IFERROR(__xludf.DUMMYFUNCTION("""COMPUTED_VALUE"""),"sum SLP obtenido")</f>
        <v>sum SLP obtenido</v>
      </c>
      <c r="F16" s="94">
        <f>IFERROR(__xludf.DUMMYFUNCTION("""COMPUTED_VALUE"""),44447.0)</f>
        <v>44447</v>
      </c>
      <c r="G16" s="86">
        <f>IFERROR(__xludf.DUMMYFUNCTION("""COMPUTED_VALUE"""),144.0)</f>
        <v>144</v>
      </c>
      <c r="M16" s="86" t="s">
        <v>26</v>
      </c>
    </row>
    <row r="17">
      <c r="B17" s="86" t="str">
        <f>IFERROR(__xludf.DUMMYFUNCTION("""COMPUTED_VALUE"""),"Yarfraz")</f>
        <v>Yarfraz</v>
      </c>
      <c r="C17" s="86">
        <f>IFERROR(__xludf.DUMMYFUNCTION("""COMPUTED_VALUE"""),19841.0)</f>
        <v>19841</v>
      </c>
      <c r="F17" s="94">
        <f>IFERROR(__xludf.DUMMYFUNCTION("""COMPUTED_VALUE"""),44448.0)</f>
        <v>44448</v>
      </c>
      <c r="G17" s="86">
        <f>IFERROR(__xludf.DUMMYFUNCTION("""COMPUTED_VALUE"""),120.0)</f>
        <v>120</v>
      </c>
      <c r="M17" s="86"/>
    </row>
    <row r="18">
      <c r="F18" s="94">
        <f>IFERROR(__xludf.DUMMYFUNCTION("""COMPUTED_VALUE"""),44449.0)</f>
        <v>44449</v>
      </c>
      <c r="G18" s="86">
        <f>IFERROR(__xludf.DUMMYFUNCTION("""COMPUTED_VALUE"""),296.0)</f>
        <v>296</v>
      </c>
      <c r="M18" s="86"/>
    </row>
    <row r="19">
      <c r="F19" s="94">
        <f>IFERROR(__xludf.DUMMYFUNCTION("""COMPUTED_VALUE"""),44450.0)</f>
        <v>44450</v>
      </c>
      <c r="G19" s="86">
        <f>IFERROR(__xludf.DUMMYFUNCTION("""COMPUTED_VALUE"""),116.0)</f>
        <v>116</v>
      </c>
      <c r="M19" s="86"/>
    </row>
    <row r="20">
      <c r="F20" s="94">
        <f>IFERROR(__xludf.DUMMYFUNCTION("""COMPUTED_VALUE"""),44451.0)</f>
        <v>44451</v>
      </c>
      <c r="G20" s="86">
        <f>IFERROR(__xludf.DUMMYFUNCTION("""COMPUTED_VALUE"""),93.0)</f>
        <v>93</v>
      </c>
      <c r="M20" s="86"/>
    </row>
    <row r="21">
      <c r="F21" s="94">
        <f>IFERROR(__xludf.DUMMYFUNCTION("""COMPUTED_VALUE"""),44452.0)</f>
        <v>44452</v>
      </c>
      <c r="G21" s="86">
        <f>IFERROR(__xludf.DUMMYFUNCTION("""COMPUTED_VALUE"""),130.0)</f>
        <v>130</v>
      </c>
      <c r="M21" s="86"/>
    </row>
    <row r="22">
      <c r="F22" s="94">
        <f>IFERROR(__xludf.DUMMYFUNCTION("""COMPUTED_VALUE"""),44453.0)</f>
        <v>44453</v>
      </c>
      <c r="G22" s="86">
        <f>IFERROR(__xludf.DUMMYFUNCTION("""COMPUTED_VALUE"""),64.0)</f>
        <v>64</v>
      </c>
      <c r="M22" s="86"/>
    </row>
    <row r="23">
      <c r="F23" s="94">
        <f>IFERROR(__xludf.DUMMYFUNCTION("""COMPUTED_VALUE"""),44454.0)</f>
        <v>44454</v>
      </c>
      <c r="G23" s="86">
        <f>IFERROR(__xludf.DUMMYFUNCTION("""COMPUTED_VALUE"""),81.0)</f>
        <v>81</v>
      </c>
      <c r="M23" s="86"/>
    </row>
    <row r="24">
      <c r="F24" s="94">
        <f>IFERROR(__xludf.DUMMYFUNCTION("""COMPUTED_VALUE"""),44455.0)</f>
        <v>44455</v>
      </c>
      <c r="G24" s="86">
        <f>IFERROR(__xludf.DUMMYFUNCTION("""COMPUTED_VALUE"""),108.0)</f>
        <v>108</v>
      </c>
      <c r="M24" s="86"/>
    </row>
    <row r="25">
      <c r="F25" s="94">
        <f>IFERROR(__xludf.DUMMYFUNCTION("""COMPUTED_VALUE"""),44456.0)</f>
        <v>44456</v>
      </c>
      <c r="G25" s="86">
        <f>IFERROR(__xludf.DUMMYFUNCTION("""COMPUTED_VALUE"""),88.0)</f>
        <v>88</v>
      </c>
      <c r="M25" s="86"/>
    </row>
    <row r="26">
      <c r="F26" s="94">
        <f>IFERROR(__xludf.DUMMYFUNCTION("""COMPUTED_VALUE"""),44457.0)</f>
        <v>44457</v>
      </c>
      <c r="G26" s="86">
        <f>IFERROR(__xludf.DUMMYFUNCTION("""COMPUTED_VALUE"""),90.0)</f>
        <v>90</v>
      </c>
      <c r="M26" s="86"/>
    </row>
    <row r="27">
      <c r="F27" s="94">
        <f>IFERROR(__xludf.DUMMYFUNCTION("""COMPUTED_VALUE"""),44458.0)</f>
        <v>44458</v>
      </c>
      <c r="G27" s="86">
        <f>IFERROR(__xludf.DUMMYFUNCTION("""COMPUTED_VALUE"""),107.0)</f>
        <v>107</v>
      </c>
      <c r="M27" s="86" t="e">
        <v>#VALUE!</v>
      </c>
    </row>
    <row r="28">
      <c r="B28" s="103" t="s">
        <v>27</v>
      </c>
      <c r="C28" s="103" t="s">
        <v>28</v>
      </c>
      <c r="F28" s="94">
        <f>IFERROR(__xludf.DUMMYFUNCTION("""COMPUTED_VALUE"""),44459.0)</f>
        <v>44459</v>
      </c>
      <c r="G28" s="86">
        <f>IFERROR(__xludf.DUMMYFUNCTION("""COMPUTED_VALUE"""),120.0)</f>
        <v>120</v>
      </c>
      <c r="M28" s="86" t="e">
        <v>#VALUE!</v>
      </c>
    </row>
    <row r="29">
      <c r="B29" s="103" t="s">
        <v>29</v>
      </c>
      <c r="C29" s="103" t="s">
        <v>30</v>
      </c>
      <c r="F29" s="94">
        <f>IFERROR(__xludf.DUMMYFUNCTION("""COMPUTED_VALUE"""),44460.0)</f>
        <v>44460</v>
      </c>
      <c r="G29" s="86">
        <f>IFERROR(__xludf.DUMMYFUNCTION("""COMPUTED_VALUE"""),123.0)</f>
        <v>123</v>
      </c>
      <c r="M29" s="86"/>
    </row>
    <row r="30">
      <c r="B30" s="6"/>
      <c r="C30" s="6"/>
      <c r="F30" s="94">
        <f>IFERROR(__xludf.DUMMYFUNCTION("""COMPUTED_VALUE"""),44461.0)</f>
        <v>44461</v>
      </c>
      <c r="G30" s="86">
        <f>IFERROR(__xludf.DUMMYFUNCTION("""COMPUTED_VALUE"""),111.0)</f>
        <v>111</v>
      </c>
      <c r="M30" s="86"/>
    </row>
    <row r="31">
      <c r="B31" s="6"/>
      <c r="C31" s="6"/>
      <c r="F31" s="94">
        <f>IFERROR(__xludf.DUMMYFUNCTION("""COMPUTED_VALUE"""),44462.0)</f>
        <v>44462</v>
      </c>
      <c r="G31" s="86">
        <f>IFERROR(__xludf.DUMMYFUNCTION("""COMPUTED_VALUE"""),102.0)</f>
        <v>102</v>
      </c>
      <c r="M31" s="86"/>
    </row>
    <row r="32">
      <c r="B32" s="6"/>
      <c r="C32" s="6"/>
      <c r="F32" s="94">
        <f>IFERROR(__xludf.DUMMYFUNCTION("""COMPUTED_VALUE"""),44463.0)</f>
        <v>44463</v>
      </c>
      <c r="G32" s="86">
        <f>IFERROR(__xludf.DUMMYFUNCTION("""COMPUTED_VALUE"""),117.0)</f>
        <v>117</v>
      </c>
      <c r="M32" s="86" t="e">
        <v>#VALUE!</v>
      </c>
    </row>
    <row r="33">
      <c r="B33" s="103" t="s">
        <v>31</v>
      </c>
      <c r="C33" s="104" t="s">
        <v>32</v>
      </c>
      <c r="F33" s="94">
        <f>IFERROR(__xludf.DUMMYFUNCTION("""COMPUTED_VALUE"""),44464.0)</f>
        <v>44464</v>
      </c>
      <c r="G33" s="86">
        <f>IFERROR(__xludf.DUMMYFUNCTION("""COMPUTED_VALUE"""),117.0)</f>
        <v>117</v>
      </c>
      <c r="M33" s="86"/>
    </row>
    <row r="34">
      <c r="B34" s="6"/>
      <c r="C34" s="6"/>
      <c r="F34" s="94">
        <f>IFERROR(__xludf.DUMMYFUNCTION("""COMPUTED_VALUE"""),44465.0)</f>
        <v>44465</v>
      </c>
      <c r="G34" s="86">
        <f>IFERROR(__xludf.DUMMYFUNCTION("""COMPUTED_VALUE"""),123.0)</f>
        <v>123</v>
      </c>
      <c r="M34" s="86" t="e">
        <v>#VALUE!</v>
      </c>
    </row>
    <row r="35">
      <c r="B35" s="103" t="s">
        <v>33</v>
      </c>
      <c r="C35" s="98" t="s">
        <v>34</v>
      </c>
      <c r="F35" s="94">
        <f>IFERROR(__xludf.DUMMYFUNCTION("""COMPUTED_VALUE"""),44466.0)</f>
        <v>44466</v>
      </c>
      <c r="G35" s="86">
        <f>IFERROR(__xludf.DUMMYFUNCTION("""COMPUTED_VALUE"""),108.0)</f>
        <v>108</v>
      </c>
      <c r="M35" s="86"/>
    </row>
    <row r="36">
      <c r="F36" s="94">
        <f>IFERROR(__xludf.DUMMYFUNCTION("""COMPUTED_VALUE"""),44467.0)</f>
        <v>44467</v>
      </c>
      <c r="G36" s="86">
        <f>IFERROR(__xludf.DUMMYFUNCTION("""COMPUTED_VALUE"""),111.0)</f>
        <v>111</v>
      </c>
      <c r="M36" s="86"/>
    </row>
    <row r="37">
      <c r="F37" s="94">
        <f>IFERROR(__xludf.DUMMYFUNCTION("""COMPUTED_VALUE"""),44468.0)</f>
        <v>44468</v>
      </c>
      <c r="G37" s="86">
        <f>IFERROR(__xludf.DUMMYFUNCTION("""COMPUTED_VALUE"""),102.0)</f>
        <v>102</v>
      </c>
      <c r="M37" s="86"/>
    </row>
    <row r="38">
      <c r="F38" s="94">
        <f>IFERROR(__xludf.DUMMYFUNCTION("""COMPUTED_VALUE"""),44469.0)</f>
        <v>44469</v>
      </c>
      <c r="G38" s="86">
        <f>IFERROR(__xludf.DUMMYFUNCTION("""COMPUTED_VALUE"""),96.0)</f>
        <v>96</v>
      </c>
      <c r="M38" s="86"/>
    </row>
    <row r="39">
      <c r="F39" s="94">
        <f>IFERROR(__xludf.DUMMYFUNCTION("""COMPUTED_VALUE"""),44470.0)</f>
        <v>44470</v>
      </c>
      <c r="G39" s="86">
        <f>IFERROR(__xludf.DUMMYFUNCTION("""COMPUTED_VALUE"""),128.0)</f>
        <v>128</v>
      </c>
      <c r="M39" s="86"/>
    </row>
    <row r="40">
      <c r="F40" s="94">
        <f>IFERROR(__xludf.DUMMYFUNCTION("""COMPUTED_VALUE"""),44471.0)</f>
        <v>44471</v>
      </c>
      <c r="G40" s="86">
        <f>IFERROR(__xludf.DUMMYFUNCTION("""COMPUTED_VALUE"""),99.0)</f>
        <v>99</v>
      </c>
      <c r="M40" s="86"/>
    </row>
    <row r="41">
      <c r="F41" s="94">
        <f>IFERROR(__xludf.DUMMYFUNCTION("""COMPUTED_VALUE"""),44472.0)</f>
        <v>44472</v>
      </c>
      <c r="G41" s="86">
        <f>IFERROR(__xludf.DUMMYFUNCTION("""COMPUTED_VALUE"""),120.0)</f>
        <v>120</v>
      </c>
      <c r="M41" s="86"/>
    </row>
    <row r="42">
      <c r="F42" s="94">
        <f>IFERROR(__xludf.DUMMYFUNCTION("""COMPUTED_VALUE"""),44473.0)</f>
        <v>44473</v>
      </c>
      <c r="G42" s="86">
        <f>IFERROR(__xludf.DUMMYFUNCTION("""COMPUTED_VALUE"""),129.0)</f>
        <v>129</v>
      </c>
      <c r="M42" s="86"/>
    </row>
    <row r="43">
      <c r="F43" s="94">
        <f>IFERROR(__xludf.DUMMYFUNCTION("""COMPUTED_VALUE"""),44474.0)</f>
        <v>44474</v>
      </c>
      <c r="G43" s="86">
        <f>IFERROR(__xludf.DUMMYFUNCTION("""COMPUTED_VALUE"""),132.0)</f>
        <v>132</v>
      </c>
      <c r="M43" s="86"/>
    </row>
    <row r="44">
      <c r="F44" s="94">
        <f>IFERROR(__xludf.DUMMYFUNCTION("""COMPUTED_VALUE"""),44475.0)</f>
        <v>44475</v>
      </c>
      <c r="G44" s="86">
        <f>IFERROR(__xludf.DUMMYFUNCTION("""COMPUTED_VALUE"""),141.0)</f>
        <v>141</v>
      </c>
      <c r="M44" s="86"/>
    </row>
    <row r="45">
      <c r="F45" s="94">
        <f>IFERROR(__xludf.DUMMYFUNCTION("""COMPUTED_VALUE"""),44476.0)</f>
        <v>44476</v>
      </c>
      <c r="G45" s="86">
        <f>IFERROR(__xludf.DUMMYFUNCTION("""COMPUTED_VALUE"""),123.0)</f>
        <v>123</v>
      </c>
      <c r="M45" s="86"/>
    </row>
    <row r="46">
      <c r="F46" s="94">
        <f>IFERROR(__xludf.DUMMYFUNCTION("""COMPUTED_VALUE"""),44477.0)</f>
        <v>44477</v>
      </c>
      <c r="G46" s="86">
        <f>IFERROR(__xludf.DUMMYFUNCTION("""COMPUTED_VALUE"""),111.0)</f>
        <v>111</v>
      </c>
      <c r="M46" s="86"/>
    </row>
    <row r="47">
      <c r="F47" s="94">
        <f>IFERROR(__xludf.DUMMYFUNCTION("""COMPUTED_VALUE"""),44478.0)</f>
        <v>44478</v>
      </c>
      <c r="G47" s="86">
        <f>IFERROR(__xludf.DUMMYFUNCTION("""COMPUTED_VALUE"""),150.0)</f>
        <v>150</v>
      </c>
      <c r="M47" s="86"/>
    </row>
    <row r="48">
      <c r="F48" s="94">
        <f>IFERROR(__xludf.DUMMYFUNCTION("""COMPUTED_VALUE"""),44479.0)</f>
        <v>44479</v>
      </c>
      <c r="G48" s="86">
        <f>IFERROR(__xludf.DUMMYFUNCTION("""COMPUTED_VALUE"""),144.0)</f>
        <v>144</v>
      </c>
      <c r="M48" s="86"/>
    </row>
    <row r="49">
      <c r="F49" s="94">
        <f>IFERROR(__xludf.DUMMYFUNCTION("""COMPUTED_VALUE"""),44480.0)</f>
        <v>44480</v>
      </c>
      <c r="G49" s="86">
        <f>IFERROR(__xludf.DUMMYFUNCTION("""COMPUTED_VALUE"""),141.0)</f>
        <v>141</v>
      </c>
      <c r="M49" s="86"/>
    </row>
    <row r="50">
      <c r="F50" s="94">
        <f>IFERROR(__xludf.DUMMYFUNCTION("""COMPUTED_VALUE"""),44481.0)</f>
        <v>44481</v>
      </c>
      <c r="G50" s="86">
        <f>IFERROR(__xludf.DUMMYFUNCTION("""COMPUTED_VALUE"""),141.0)</f>
        <v>141</v>
      </c>
      <c r="M50" s="86"/>
    </row>
    <row r="51">
      <c r="F51" s="94">
        <f>IFERROR(__xludf.DUMMYFUNCTION("""COMPUTED_VALUE"""),44482.0)</f>
        <v>44482</v>
      </c>
      <c r="G51" s="86">
        <f>IFERROR(__xludf.DUMMYFUNCTION("""COMPUTED_VALUE"""),153.0)</f>
        <v>153</v>
      </c>
      <c r="M51" s="86"/>
    </row>
    <row r="52">
      <c r="F52" s="94">
        <f>IFERROR(__xludf.DUMMYFUNCTION("""COMPUTED_VALUE"""),44483.0)</f>
        <v>44483</v>
      </c>
      <c r="G52" s="86">
        <f>IFERROR(__xludf.DUMMYFUNCTION("""COMPUTED_VALUE"""),141.0)</f>
        <v>141</v>
      </c>
      <c r="M52" s="86" t="e">
        <v>#VALUE!</v>
      </c>
    </row>
    <row r="53">
      <c r="B53" s="105" t="str">
        <f>IFERROR(__xludf.DUMMYFUNCTION("QUERY(data!B:K, ""select avg(F) 
pivot B"")"),"")</f>
        <v/>
      </c>
      <c r="C53" s="86" t="str">
        <f>IFERROR(__xludf.DUMMYFUNCTION("""COMPUTED_VALUE"""),"Yarfraz")</f>
        <v>Yarfraz</v>
      </c>
      <c r="F53" s="94">
        <f>IFERROR(__xludf.DUMMYFUNCTION("""COMPUTED_VALUE"""),44484.0)</f>
        <v>44484</v>
      </c>
      <c r="G53" s="86">
        <f>IFERROR(__xludf.DUMMYFUNCTION("""COMPUTED_VALUE"""),171.0)</f>
        <v>171</v>
      </c>
      <c r="M53" s="86" t="s">
        <v>35</v>
      </c>
    </row>
    <row r="54">
      <c r="B54" s="86"/>
      <c r="C54" s="86">
        <f>IFERROR(__xludf.DUMMYFUNCTION("""COMPUTED_VALUE"""),149.18045112781954)</f>
        <v>149.1804511</v>
      </c>
      <c r="F54" s="94">
        <f>IFERROR(__xludf.DUMMYFUNCTION("""COMPUTED_VALUE"""),44485.0)</f>
        <v>44485</v>
      </c>
      <c r="G54" s="86">
        <f>IFERROR(__xludf.DUMMYFUNCTION("""COMPUTED_VALUE"""),112.0)</f>
        <v>112</v>
      </c>
      <c r="M54" s="86"/>
    </row>
    <row r="55">
      <c r="F55" s="94">
        <f>IFERROR(__xludf.DUMMYFUNCTION("""COMPUTED_VALUE"""),44486.0)</f>
        <v>44486</v>
      </c>
      <c r="G55" s="86">
        <f>IFERROR(__xludf.DUMMYFUNCTION("""COMPUTED_VALUE"""),96.0)</f>
        <v>96</v>
      </c>
      <c r="M55" s="86"/>
    </row>
    <row r="56">
      <c r="F56" s="94">
        <f>IFERROR(__xludf.DUMMYFUNCTION("""COMPUTED_VALUE"""),44487.0)</f>
        <v>44487</v>
      </c>
      <c r="G56" s="86">
        <f>IFERROR(__xludf.DUMMYFUNCTION("""COMPUTED_VALUE"""),118.0)</f>
        <v>118</v>
      </c>
      <c r="M56" s="86"/>
    </row>
    <row r="57">
      <c r="F57" s="94">
        <f>IFERROR(__xludf.DUMMYFUNCTION("""COMPUTED_VALUE"""),44488.0)</f>
        <v>44488</v>
      </c>
      <c r="G57" s="86">
        <f>IFERROR(__xludf.DUMMYFUNCTION("""COMPUTED_VALUE"""),132.0)</f>
        <v>132</v>
      </c>
      <c r="M57" s="86"/>
    </row>
    <row r="58">
      <c r="F58" s="94">
        <f>IFERROR(__xludf.DUMMYFUNCTION("""COMPUTED_VALUE"""),44489.0)</f>
        <v>44489</v>
      </c>
      <c r="G58" s="86">
        <f>IFERROR(__xludf.DUMMYFUNCTION("""COMPUTED_VALUE"""),135.0)</f>
        <v>135</v>
      </c>
      <c r="M58" s="86"/>
    </row>
    <row r="59">
      <c r="F59" s="94">
        <f>IFERROR(__xludf.DUMMYFUNCTION("""COMPUTED_VALUE"""),44490.0)</f>
        <v>44490</v>
      </c>
      <c r="G59" s="86">
        <f>IFERROR(__xludf.DUMMYFUNCTION("""COMPUTED_VALUE"""),162.0)</f>
        <v>162</v>
      </c>
      <c r="M59" s="86"/>
    </row>
    <row r="60">
      <c r="F60" s="94">
        <f>IFERROR(__xludf.DUMMYFUNCTION("""COMPUTED_VALUE"""),44491.0)</f>
        <v>44491</v>
      </c>
      <c r="G60" s="86">
        <f>IFERROR(__xludf.DUMMYFUNCTION("""COMPUTED_VALUE"""),180.0)</f>
        <v>180</v>
      </c>
      <c r="M60" s="86"/>
    </row>
    <row r="61">
      <c r="F61" s="94">
        <f>IFERROR(__xludf.DUMMYFUNCTION("""COMPUTED_VALUE"""),44492.0)</f>
        <v>44492</v>
      </c>
      <c r="G61" s="86">
        <f>IFERROR(__xludf.DUMMYFUNCTION("""COMPUTED_VALUE"""),138.0)</f>
        <v>138</v>
      </c>
      <c r="M61" s="86"/>
    </row>
    <row r="62">
      <c r="F62" s="94">
        <f>IFERROR(__xludf.DUMMYFUNCTION("""COMPUTED_VALUE"""),44493.0)</f>
        <v>44493</v>
      </c>
      <c r="G62" s="86">
        <f>IFERROR(__xludf.DUMMYFUNCTION("""COMPUTED_VALUE"""),117.0)</f>
        <v>117</v>
      </c>
      <c r="M62" s="86"/>
    </row>
    <row r="63">
      <c r="F63" s="94">
        <f>IFERROR(__xludf.DUMMYFUNCTION("""COMPUTED_VALUE"""),44494.0)</f>
        <v>44494</v>
      </c>
      <c r="G63" s="86">
        <f>IFERROR(__xludf.DUMMYFUNCTION("""COMPUTED_VALUE"""),150.0)</f>
        <v>150</v>
      </c>
      <c r="M63" s="86"/>
    </row>
    <row r="64">
      <c r="F64" s="94">
        <f>IFERROR(__xludf.DUMMYFUNCTION("""COMPUTED_VALUE"""),44495.0)</f>
        <v>44495</v>
      </c>
      <c r="G64" s="86">
        <f>IFERROR(__xludf.DUMMYFUNCTION("""COMPUTED_VALUE"""),141.0)</f>
        <v>141</v>
      </c>
      <c r="M64" s="86"/>
    </row>
    <row r="65">
      <c r="F65" s="94">
        <f>IFERROR(__xludf.DUMMYFUNCTION("""COMPUTED_VALUE"""),44496.0)</f>
        <v>44496</v>
      </c>
      <c r="G65" s="86">
        <f>IFERROR(__xludf.DUMMYFUNCTION("""COMPUTED_VALUE"""),144.0)</f>
        <v>144</v>
      </c>
      <c r="M65" s="86"/>
    </row>
    <row r="66">
      <c r="F66" s="94">
        <f>IFERROR(__xludf.DUMMYFUNCTION("""COMPUTED_VALUE"""),44497.0)</f>
        <v>44497</v>
      </c>
      <c r="G66" s="86">
        <f>IFERROR(__xludf.DUMMYFUNCTION("""COMPUTED_VALUE"""),108.0)</f>
        <v>108</v>
      </c>
      <c r="M66" s="86"/>
    </row>
    <row r="67">
      <c r="F67" s="94">
        <f>IFERROR(__xludf.DUMMYFUNCTION("""COMPUTED_VALUE"""),44498.0)</f>
        <v>44498</v>
      </c>
      <c r="G67" s="86">
        <f>IFERROR(__xludf.DUMMYFUNCTION("""COMPUTED_VALUE"""),135.0)</f>
        <v>135</v>
      </c>
      <c r="M67" s="86"/>
    </row>
    <row r="68">
      <c r="F68" s="94">
        <f>IFERROR(__xludf.DUMMYFUNCTION("""COMPUTED_VALUE"""),44499.0)</f>
        <v>44499</v>
      </c>
      <c r="G68" s="86">
        <f>IFERROR(__xludf.DUMMYFUNCTION("""COMPUTED_VALUE"""),114.0)</f>
        <v>114</v>
      </c>
      <c r="M68" s="86"/>
    </row>
    <row r="69">
      <c r="F69" s="94">
        <f>IFERROR(__xludf.DUMMYFUNCTION("""COMPUTED_VALUE"""),44500.0)</f>
        <v>44500</v>
      </c>
      <c r="G69" s="86">
        <f>IFERROR(__xludf.DUMMYFUNCTION("""COMPUTED_VALUE"""),112.0)</f>
        <v>112</v>
      </c>
      <c r="M69" s="86"/>
    </row>
    <row r="70">
      <c r="F70" s="94">
        <f>IFERROR(__xludf.DUMMYFUNCTION("""COMPUTED_VALUE"""),44501.0)</f>
        <v>44501</v>
      </c>
      <c r="G70" s="86">
        <f>IFERROR(__xludf.DUMMYFUNCTION("""COMPUTED_VALUE"""),120.0)</f>
        <v>120</v>
      </c>
      <c r="M70" s="86"/>
    </row>
    <row r="71">
      <c r="F71" s="94">
        <f>IFERROR(__xludf.DUMMYFUNCTION("""COMPUTED_VALUE"""),44502.0)</f>
        <v>44502</v>
      </c>
      <c r="G71" s="86">
        <f>IFERROR(__xludf.DUMMYFUNCTION("""COMPUTED_VALUE"""),138.0)</f>
        <v>138</v>
      </c>
      <c r="M71" s="86"/>
    </row>
    <row r="72">
      <c r="F72" s="94">
        <f>IFERROR(__xludf.DUMMYFUNCTION("""COMPUTED_VALUE"""),44503.0)</f>
        <v>44503</v>
      </c>
      <c r="G72" s="86">
        <f>IFERROR(__xludf.DUMMYFUNCTION("""COMPUTED_VALUE"""),141.0)</f>
        <v>141</v>
      </c>
      <c r="M72" s="86"/>
    </row>
    <row r="73">
      <c r="F73" s="94">
        <f>IFERROR(__xludf.DUMMYFUNCTION("""COMPUTED_VALUE"""),44504.0)</f>
        <v>44504</v>
      </c>
      <c r="G73" s="86">
        <f>IFERROR(__xludf.DUMMYFUNCTION("""COMPUTED_VALUE"""),123.0)</f>
        <v>123</v>
      </c>
      <c r="M73" s="86"/>
    </row>
    <row r="74">
      <c r="F74" s="94">
        <f>IFERROR(__xludf.DUMMYFUNCTION("""COMPUTED_VALUE"""),44505.0)</f>
        <v>44505</v>
      </c>
      <c r="G74" s="86">
        <f>IFERROR(__xludf.DUMMYFUNCTION("""COMPUTED_VALUE"""),153.0)</f>
        <v>153</v>
      </c>
      <c r="M74" s="86"/>
    </row>
    <row r="75">
      <c r="F75" s="94">
        <f>IFERROR(__xludf.DUMMYFUNCTION("""COMPUTED_VALUE"""),44506.0)</f>
        <v>44506</v>
      </c>
      <c r="G75" s="86">
        <f>IFERROR(__xludf.DUMMYFUNCTION("""COMPUTED_VALUE"""),171.0)</f>
        <v>171</v>
      </c>
      <c r="M75" s="86"/>
    </row>
    <row r="76">
      <c r="F76" s="94">
        <f>IFERROR(__xludf.DUMMYFUNCTION("""COMPUTED_VALUE"""),44507.0)</f>
        <v>44507</v>
      </c>
      <c r="G76" s="86">
        <f>IFERROR(__xludf.DUMMYFUNCTION("""COMPUTED_VALUE"""),135.0)</f>
        <v>135</v>
      </c>
      <c r="M76" s="86"/>
    </row>
    <row r="77">
      <c r="F77" s="94">
        <f>IFERROR(__xludf.DUMMYFUNCTION("""COMPUTED_VALUE"""),44508.0)</f>
        <v>44508</v>
      </c>
      <c r="G77" s="86">
        <f>IFERROR(__xludf.DUMMYFUNCTION("""COMPUTED_VALUE"""),129.0)</f>
        <v>129</v>
      </c>
      <c r="M77" s="86"/>
    </row>
    <row r="78">
      <c r="F78" s="94">
        <f>IFERROR(__xludf.DUMMYFUNCTION("""COMPUTED_VALUE"""),44509.0)</f>
        <v>44509</v>
      </c>
      <c r="G78" s="86">
        <f>IFERROR(__xludf.DUMMYFUNCTION("""COMPUTED_VALUE"""),132.0)</f>
        <v>132</v>
      </c>
      <c r="M78" s="86"/>
    </row>
    <row r="79">
      <c r="F79" s="94">
        <f>IFERROR(__xludf.DUMMYFUNCTION("""COMPUTED_VALUE"""),44510.0)</f>
        <v>44510</v>
      </c>
      <c r="G79" s="86">
        <f>IFERROR(__xludf.DUMMYFUNCTION("""COMPUTED_VALUE"""),165.0)</f>
        <v>165</v>
      </c>
      <c r="M79" s="86"/>
    </row>
    <row r="80">
      <c r="F80" s="94">
        <f>IFERROR(__xludf.DUMMYFUNCTION("""COMPUTED_VALUE"""),44511.0)</f>
        <v>44511</v>
      </c>
      <c r="G80" s="86">
        <f>IFERROR(__xludf.DUMMYFUNCTION("""COMPUTED_VALUE"""),166.0)</f>
        <v>166</v>
      </c>
      <c r="M80" s="86"/>
    </row>
    <row r="81">
      <c r="F81" s="94">
        <f>IFERROR(__xludf.DUMMYFUNCTION("""COMPUTED_VALUE"""),44512.0)</f>
        <v>44512</v>
      </c>
      <c r="G81" s="86">
        <f>IFERROR(__xludf.DUMMYFUNCTION("""COMPUTED_VALUE"""),156.0)</f>
        <v>156</v>
      </c>
      <c r="M81" s="86"/>
    </row>
    <row r="82">
      <c r="F82" s="94">
        <f>IFERROR(__xludf.DUMMYFUNCTION("""COMPUTED_VALUE"""),44513.0)</f>
        <v>44513</v>
      </c>
      <c r="G82" s="86">
        <f>IFERROR(__xludf.DUMMYFUNCTION("""COMPUTED_VALUE"""),163.0)</f>
        <v>163</v>
      </c>
      <c r="M82" s="86"/>
    </row>
    <row r="83">
      <c r="F83" s="94">
        <f>IFERROR(__xludf.DUMMYFUNCTION("""COMPUTED_VALUE"""),44514.0)</f>
        <v>44514</v>
      </c>
      <c r="G83" s="86">
        <f>IFERROR(__xludf.DUMMYFUNCTION("""COMPUTED_VALUE"""),171.0)</f>
        <v>171</v>
      </c>
      <c r="M83" s="86"/>
    </row>
    <row r="84">
      <c r="F84" s="94">
        <f>IFERROR(__xludf.DUMMYFUNCTION("""COMPUTED_VALUE"""),44515.0)</f>
        <v>44515</v>
      </c>
      <c r="G84" s="86">
        <f>IFERROR(__xludf.DUMMYFUNCTION("""COMPUTED_VALUE"""),183.0)</f>
        <v>183</v>
      </c>
      <c r="M84" s="86"/>
    </row>
    <row r="85">
      <c r="F85" s="94">
        <f>IFERROR(__xludf.DUMMYFUNCTION("""COMPUTED_VALUE"""),44516.0)</f>
        <v>44516</v>
      </c>
      <c r="G85" s="86">
        <f>IFERROR(__xludf.DUMMYFUNCTION("""COMPUTED_VALUE"""),190.0)</f>
        <v>190</v>
      </c>
      <c r="M85" s="86"/>
    </row>
    <row r="86">
      <c r="F86" s="94">
        <f>IFERROR(__xludf.DUMMYFUNCTION("""COMPUTED_VALUE"""),44517.0)</f>
        <v>44517</v>
      </c>
      <c r="G86" s="86">
        <f>IFERROR(__xludf.DUMMYFUNCTION("""COMPUTED_VALUE"""),165.0)</f>
        <v>165</v>
      </c>
      <c r="M86" s="86"/>
    </row>
    <row r="87">
      <c r="F87" s="94">
        <f>IFERROR(__xludf.DUMMYFUNCTION("""COMPUTED_VALUE"""),44518.0)</f>
        <v>44518</v>
      </c>
      <c r="G87" s="86">
        <f>IFERROR(__xludf.DUMMYFUNCTION("""COMPUTED_VALUE"""),162.0)</f>
        <v>162</v>
      </c>
      <c r="M87" s="86"/>
    </row>
    <row r="88">
      <c r="F88" s="94">
        <f>IFERROR(__xludf.DUMMYFUNCTION("""COMPUTED_VALUE"""),44519.0)</f>
        <v>44519</v>
      </c>
      <c r="G88" s="86">
        <f>IFERROR(__xludf.DUMMYFUNCTION("""COMPUTED_VALUE"""),180.0)</f>
        <v>180</v>
      </c>
      <c r="M88" s="86"/>
    </row>
    <row r="89">
      <c r="F89" s="94">
        <f>IFERROR(__xludf.DUMMYFUNCTION("""COMPUTED_VALUE"""),44520.0)</f>
        <v>44520</v>
      </c>
      <c r="G89" s="86">
        <f>IFERROR(__xludf.DUMMYFUNCTION("""COMPUTED_VALUE"""),143.0)</f>
        <v>143</v>
      </c>
      <c r="M89" s="86"/>
    </row>
    <row r="90">
      <c r="F90" s="94">
        <f>IFERROR(__xludf.DUMMYFUNCTION("""COMPUTED_VALUE"""),44521.0)</f>
        <v>44521</v>
      </c>
      <c r="G90" s="86">
        <f>IFERROR(__xludf.DUMMYFUNCTION("""COMPUTED_VALUE"""),166.0)</f>
        <v>166</v>
      </c>
      <c r="M90" s="86"/>
    </row>
    <row r="91">
      <c r="F91" s="94">
        <f>IFERROR(__xludf.DUMMYFUNCTION("""COMPUTED_VALUE"""),44522.0)</f>
        <v>44522</v>
      </c>
      <c r="G91" s="86">
        <f>IFERROR(__xludf.DUMMYFUNCTION("""COMPUTED_VALUE"""),186.0)</f>
        <v>186</v>
      </c>
      <c r="M91" s="86"/>
    </row>
    <row r="92">
      <c r="F92" s="94">
        <f>IFERROR(__xludf.DUMMYFUNCTION("""COMPUTED_VALUE"""),44523.0)</f>
        <v>44523</v>
      </c>
      <c r="G92" s="86">
        <f>IFERROR(__xludf.DUMMYFUNCTION("""COMPUTED_VALUE"""),159.0)</f>
        <v>159</v>
      </c>
      <c r="M92" s="86"/>
    </row>
    <row r="93">
      <c r="F93" s="94">
        <f>IFERROR(__xludf.DUMMYFUNCTION("""COMPUTED_VALUE"""),44524.0)</f>
        <v>44524</v>
      </c>
      <c r="G93" s="86">
        <f>IFERROR(__xludf.DUMMYFUNCTION("""COMPUTED_VALUE"""),99.0)</f>
        <v>99</v>
      </c>
      <c r="M93" s="86"/>
    </row>
    <row r="94">
      <c r="F94" s="94">
        <f>IFERROR(__xludf.DUMMYFUNCTION("""COMPUTED_VALUE"""),44525.0)</f>
        <v>44525</v>
      </c>
      <c r="G94" s="86">
        <f>IFERROR(__xludf.DUMMYFUNCTION("""COMPUTED_VALUE"""),204.0)</f>
        <v>204</v>
      </c>
      <c r="M94" s="86"/>
    </row>
    <row r="95">
      <c r="F95" s="94">
        <f>IFERROR(__xludf.DUMMYFUNCTION("""COMPUTED_VALUE"""),44526.0)</f>
        <v>44526</v>
      </c>
      <c r="G95" s="86">
        <f>IFERROR(__xludf.DUMMYFUNCTION("""COMPUTED_VALUE"""),165.0)</f>
        <v>165</v>
      </c>
      <c r="M95" s="86"/>
    </row>
    <row r="96">
      <c r="F96" s="94">
        <f>IFERROR(__xludf.DUMMYFUNCTION("""COMPUTED_VALUE"""),44527.0)</f>
        <v>44527</v>
      </c>
      <c r="G96" s="86">
        <f>IFERROR(__xludf.DUMMYFUNCTION("""COMPUTED_VALUE"""),156.0)</f>
        <v>156</v>
      </c>
      <c r="M96" s="86"/>
    </row>
    <row r="97">
      <c r="F97" s="94">
        <f>IFERROR(__xludf.DUMMYFUNCTION("""COMPUTED_VALUE"""),44528.0)</f>
        <v>44528</v>
      </c>
      <c r="G97" s="86">
        <f>IFERROR(__xludf.DUMMYFUNCTION("""COMPUTED_VALUE"""),174.0)</f>
        <v>174</v>
      </c>
      <c r="M97" s="86"/>
    </row>
    <row r="98">
      <c r="F98" s="94">
        <f>IFERROR(__xludf.DUMMYFUNCTION("""COMPUTED_VALUE"""),44529.0)</f>
        <v>44529</v>
      </c>
      <c r="G98" s="86">
        <f>IFERROR(__xludf.DUMMYFUNCTION("""COMPUTED_VALUE"""),196.0)</f>
        <v>196</v>
      </c>
      <c r="M98" s="86"/>
    </row>
    <row r="99">
      <c r="F99" s="94">
        <f>IFERROR(__xludf.DUMMYFUNCTION("""COMPUTED_VALUE"""),44530.0)</f>
        <v>44530</v>
      </c>
      <c r="G99" s="86">
        <f>IFERROR(__xludf.DUMMYFUNCTION("""COMPUTED_VALUE"""),151.0)</f>
        <v>151</v>
      </c>
      <c r="M99" s="86"/>
    </row>
    <row r="100">
      <c r="F100" s="94">
        <f>IFERROR(__xludf.DUMMYFUNCTION("""COMPUTED_VALUE"""),44531.0)</f>
        <v>44531</v>
      </c>
      <c r="G100" s="86">
        <f>IFERROR(__xludf.DUMMYFUNCTION("""COMPUTED_VALUE"""),156.0)</f>
        <v>156</v>
      </c>
      <c r="M100" s="86"/>
    </row>
    <row r="101">
      <c r="F101" s="94">
        <f>IFERROR(__xludf.DUMMYFUNCTION("""COMPUTED_VALUE"""),44532.0)</f>
        <v>44532</v>
      </c>
      <c r="G101" s="86">
        <f>IFERROR(__xludf.DUMMYFUNCTION("""COMPUTED_VALUE"""),174.0)</f>
        <v>174</v>
      </c>
      <c r="M101" s="86"/>
    </row>
    <row r="102">
      <c r="F102" s="94">
        <f>IFERROR(__xludf.DUMMYFUNCTION("""COMPUTED_VALUE"""),44533.0)</f>
        <v>44533</v>
      </c>
      <c r="G102" s="86">
        <f>IFERROR(__xludf.DUMMYFUNCTION("""COMPUTED_VALUE"""),147.0)</f>
        <v>147</v>
      </c>
      <c r="M102" s="86"/>
    </row>
    <row r="103">
      <c r="F103" s="94">
        <f>IFERROR(__xludf.DUMMYFUNCTION("""COMPUTED_VALUE"""),44534.0)</f>
        <v>44534</v>
      </c>
      <c r="G103" s="86">
        <f>IFERROR(__xludf.DUMMYFUNCTION("""COMPUTED_VALUE"""),195.0)</f>
        <v>195</v>
      </c>
      <c r="M103" s="86"/>
    </row>
    <row r="104">
      <c r="F104" s="94">
        <f>IFERROR(__xludf.DUMMYFUNCTION("""COMPUTED_VALUE"""),44535.0)</f>
        <v>44535</v>
      </c>
      <c r="G104" s="86">
        <f>IFERROR(__xludf.DUMMYFUNCTION("""COMPUTED_VALUE"""),189.0)</f>
        <v>189</v>
      </c>
      <c r="M104" s="86"/>
    </row>
    <row r="105">
      <c r="F105" s="94">
        <f>IFERROR(__xludf.DUMMYFUNCTION("""COMPUTED_VALUE"""),44536.0)</f>
        <v>44536</v>
      </c>
      <c r="G105" s="86">
        <f>IFERROR(__xludf.DUMMYFUNCTION("""COMPUTED_VALUE"""),219.0)</f>
        <v>219</v>
      </c>
      <c r="M105" s="86"/>
    </row>
    <row r="106">
      <c r="F106" s="94">
        <f>IFERROR(__xludf.DUMMYFUNCTION("""COMPUTED_VALUE"""),44537.0)</f>
        <v>44537</v>
      </c>
      <c r="G106" s="86">
        <f>IFERROR(__xludf.DUMMYFUNCTION("""COMPUTED_VALUE"""),171.0)</f>
        <v>171</v>
      </c>
      <c r="M106" s="86"/>
    </row>
    <row r="107">
      <c r="F107" s="94">
        <f>IFERROR(__xludf.DUMMYFUNCTION("""COMPUTED_VALUE"""),44538.0)</f>
        <v>44538</v>
      </c>
      <c r="G107" s="86">
        <f>IFERROR(__xludf.DUMMYFUNCTION("""COMPUTED_VALUE"""),243.0)</f>
        <v>243</v>
      </c>
      <c r="M107" s="86"/>
    </row>
    <row r="108">
      <c r="F108" s="94">
        <f>IFERROR(__xludf.DUMMYFUNCTION("""COMPUTED_VALUE"""),44539.0)</f>
        <v>44539</v>
      </c>
      <c r="G108" s="86">
        <f>IFERROR(__xludf.DUMMYFUNCTION("""COMPUTED_VALUE"""),189.0)</f>
        <v>189</v>
      </c>
      <c r="M108" s="86"/>
    </row>
    <row r="109">
      <c r="F109" s="94">
        <f>IFERROR(__xludf.DUMMYFUNCTION("""COMPUTED_VALUE"""),44540.0)</f>
        <v>44540</v>
      </c>
      <c r="G109" s="86">
        <f>IFERROR(__xludf.DUMMYFUNCTION("""COMPUTED_VALUE"""),207.0)</f>
        <v>207</v>
      </c>
      <c r="M109" s="86"/>
    </row>
    <row r="110">
      <c r="F110" s="94">
        <f>IFERROR(__xludf.DUMMYFUNCTION("""COMPUTED_VALUE"""),44541.0)</f>
        <v>44541</v>
      </c>
      <c r="G110" s="86">
        <f>IFERROR(__xludf.DUMMYFUNCTION("""COMPUTED_VALUE"""),195.0)</f>
        <v>195</v>
      </c>
      <c r="M110" s="86"/>
    </row>
    <row r="111">
      <c r="F111" s="94">
        <f>IFERROR(__xludf.DUMMYFUNCTION("""COMPUTED_VALUE"""),44542.0)</f>
        <v>44542</v>
      </c>
      <c r="G111" s="86">
        <f>IFERROR(__xludf.DUMMYFUNCTION("""COMPUTED_VALUE"""),219.0)</f>
        <v>219</v>
      </c>
      <c r="M111" s="86"/>
    </row>
    <row r="112">
      <c r="F112" s="94">
        <f>IFERROR(__xludf.DUMMYFUNCTION("""COMPUTED_VALUE"""),44543.0)</f>
        <v>44543</v>
      </c>
      <c r="G112" s="86">
        <f>IFERROR(__xludf.DUMMYFUNCTION("""COMPUTED_VALUE"""),183.0)</f>
        <v>183</v>
      </c>
      <c r="M112" s="86"/>
    </row>
    <row r="113">
      <c r="F113" s="94">
        <f>IFERROR(__xludf.DUMMYFUNCTION("""COMPUTED_VALUE"""),44544.0)</f>
        <v>44544</v>
      </c>
      <c r="G113" s="86">
        <f>IFERROR(__xludf.DUMMYFUNCTION("""COMPUTED_VALUE"""),195.0)</f>
        <v>195</v>
      </c>
      <c r="M113" s="86"/>
    </row>
    <row r="114">
      <c r="F114" s="94">
        <f>IFERROR(__xludf.DUMMYFUNCTION("""COMPUTED_VALUE"""),44545.0)</f>
        <v>44545</v>
      </c>
      <c r="G114" s="86">
        <f>IFERROR(__xludf.DUMMYFUNCTION("""COMPUTED_VALUE"""),159.0)</f>
        <v>159</v>
      </c>
      <c r="M114" s="86"/>
    </row>
    <row r="115">
      <c r="F115" s="94">
        <f>IFERROR(__xludf.DUMMYFUNCTION("""COMPUTED_VALUE"""),44546.0)</f>
        <v>44546</v>
      </c>
      <c r="G115" s="86">
        <f>IFERROR(__xludf.DUMMYFUNCTION("""COMPUTED_VALUE"""),198.0)</f>
        <v>198</v>
      </c>
      <c r="M115" s="86"/>
    </row>
    <row r="116">
      <c r="F116" s="94">
        <f>IFERROR(__xludf.DUMMYFUNCTION("""COMPUTED_VALUE"""),44547.0)</f>
        <v>44547</v>
      </c>
      <c r="G116" s="86">
        <f>IFERROR(__xludf.DUMMYFUNCTION("""COMPUTED_VALUE"""),207.0)</f>
        <v>207</v>
      </c>
      <c r="M116" s="86"/>
    </row>
    <row r="117">
      <c r="F117" s="94">
        <f>IFERROR(__xludf.DUMMYFUNCTION("""COMPUTED_VALUE"""),44548.0)</f>
        <v>44548</v>
      </c>
      <c r="G117" s="86">
        <f>IFERROR(__xludf.DUMMYFUNCTION("""COMPUTED_VALUE"""),201.0)</f>
        <v>201</v>
      </c>
      <c r="M117" s="86"/>
    </row>
    <row r="118">
      <c r="F118" s="94">
        <f>IFERROR(__xludf.DUMMYFUNCTION("""COMPUTED_VALUE"""),44549.0)</f>
        <v>44549</v>
      </c>
      <c r="G118" s="86">
        <f>IFERROR(__xludf.DUMMYFUNCTION("""COMPUTED_VALUE"""),195.0)</f>
        <v>195</v>
      </c>
      <c r="M118" s="86"/>
    </row>
    <row r="119">
      <c r="F119" s="94">
        <f>IFERROR(__xludf.DUMMYFUNCTION("""COMPUTED_VALUE"""),44550.0)</f>
        <v>44550</v>
      </c>
      <c r="G119" s="86">
        <f>IFERROR(__xludf.DUMMYFUNCTION("""COMPUTED_VALUE"""),171.0)</f>
        <v>171</v>
      </c>
      <c r="M119" s="86"/>
    </row>
    <row r="120">
      <c r="F120" s="94">
        <f>IFERROR(__xludf.DUMMYFUNCTION("""COMPUTED_VALUE"""),44551.0)</f>
        <v>44551</v>
      </c>
      <c r="G120" s="86">
        <f>IFERROR(__xludf.DUMMYFUNCTION("""COMPUTED_VALUE"""),228.0)</f>
        <v>228</v>
      </c>
      <c r="M120" s="86"/>
    </row>
    <row r="121">
      <c r="F121" s="94">
        <f>IFERROR(__xludf.DUMMYFUNCTION("""COMPUTED_VALUE"""),44552.0)</f>
        <v>44552</v>
      </c>
      <c r="G121" s="86">
        <f>IFERROR(__xludf.DUMMYFUNCTION("""COMPUTED_VALUE"""),195.0)</f>
        <v>195</v>
      </c>
      <c r="M121" s="86"/>
    </row>
    <row r="122">
      <c r="F122" s="94">
        <f>IFERROR(__xludf.DUMMYFUNCTION("""COMPUTED_VALUE"""),44553.0)</f>
        <v>44553</v>
      </c>
      <c r="G122" s="86">
        <f>IFERROR(__xludf.DUMMYFUNCTION("""COMPUTED_VALUE"""),207.0)</f>
        <v>207</v>
      </c>
      <c r="M122" s="86"/>
    </row>
    <row r="123">
      <c r="F123" s="94">
        <f>IFERROR(__xludf.DUMMYFUNCTION("""COMPUTED_VALUE"""),44554.0)</f>
        <v>44554</v>
      </c>
      <c r="G123" s="86">
        <f>IFERROR(__xludf.DUMMYFUNCTION("""COMPUTED_VALUE"""),135.0)</f>
        <v>135</v>
      </c>
      <c r="M123" s="86"/>
    </row>
    <row r="124">
      <c r="F124" s="94">
        <f>IFERROR(__xludf.DUMMYFUNCTION("""COMPUTED_VALUE"""),44555.0)</f>
        <v>44555</v>
      </c>
      <c r="G124" s="86">
        <f>IFERROR(__xludf.DUMMYFUNCTION("""COMPUTED_VALUE"""),207.0)</f>
        <v>207</v>
      </c>
      <c r="M124" s="86"/>
    </row>
    <row r="125">
      <c r="F125" s="94">
        <f>IFERROR(__xludf.DUMMYFUNCTION("""COMPUTED_VALUE"""),44556.0)</f>
        <v>44556</v>
      </c>
      <c r="G125" s="86">
        <f>IFERROR(__xludf.DUMMYFUNCTION("""COMPUTED_VALUE"""),207.0)</f>
        <v>207</v>
      </c>
      <c r="M125" s="86"/>
    </row>
    <row r="126">
      <c r="F126" s="94">
        <f>IFERROR(__xludf.DUMMYFUNCTION("""COMPUTED_VALUE"""),44557.0)</f>
        <v>44557</v>
      </c>
      <c r="G126" s="86">
        <f>IFERROR(__xludf.DUMMYFUNCTION("""COMPUTED_VALUE"""),177.0)</f>
        <v>177</v>
      </c>
      <c r="M126" s="86"/>
    </row>
    <row r="127">
      <c r="F127" s="94">
        <f>IFERROR(__xludf.DUMMYFUNCTION("""COMPUTED_VALUE"""),44558.0)</f>
        <v>44558</v>
      </c>
      <c r="G127" s="86">
        <f>IFERROR(__xludf.DUMMYFUNCTION("""COMPUTED_VALUE"""),195.0)</f>
        <v>195</v>
      </c>
      <c r="M127" s="86"/>
    </row>
    <row r="128">
      <c r="F128" s="94">
        <f>IFERROR(__xludf.DUMMYFUNCTION("""COMPUTED_VALUE"""),44559.0)</f>
        <v>44559</v>
      </c>
      <c r="G128" s="86">
        <f>IFERROR(__xludf.DUMMYFUNCTION("""COMPUTED_VALUE"""),147.0)</f>
        <v>147</v>
      </c>
      <c r="M128" s="86"/>
    </row>
    <row r="129">
      <c r="F129" s="94">
        <f>IFERROR(__xludf.DUMMYFUNCTION("""COMPUTED_VALUE"""),44560.0)</f>
        <v>44560</v>
      </c>
      <c r="G129" s="86">
        <f>IFERROR(__xludf.DUMMYFUNCTION("""COMPUTED_VALUE"""),171.0)</f>
        <v>171</v>
      </c>
      <c r="M129" s="86"/>
    </row>
    <row r="130">
      <c r="F130" s="94">
        <f>IFERROR(__xludf.DUMMYFUNCTION("""COMPUTED_VALUE"""),44561.0)</f>
        <v>44561</v>
      </c>
      <c r="G130" s="86">
        <f>IFERROR(__xludf.DUMMYFUNCTION("""COMPUTED_VALUE"""),219.0)</f>
        <v>219</v>
      </c>
      <c r="M130" s="86"/>
    </row>
    <row r="131">
      <c r="F131" s="94">
        <f>IFERROR(__xludf.DUMMYFUNCTION("""COMPUTED_VALUE"""),44562.0)</f>
        <v>44562</v>
      </c>
      <c r="G131" s="86">
        <f>IFERROR(__xludf.DUMMYFUNCTION("""COMPUTED_VALUE"""),135.0)</f>
        <v>135</v>
      </c>
      <c r="M131" s="86"/>
    </row>
    <row r="132">
      <c r="F132" s="94">
        <f>IFERROR(__xludf.DUMMYFUNCTION("""COMPUTED_VALUE"""),44563.0)</f>
        <v>44563</v>
      </c>
      <c r="G132" s="86">
        <f>IFERROR(__xludf.DUMMYFUNCTION("""COMPUTED_VALUE"""),243.0)</f>
        <v>243</v>
      </c>
      <c r="M132" s="86"/>
    </row>
    <row r="133">
      <c r="F133" s="94">
        <f>IFERROR(__xludf.DUMMYFUNCTION("""COMPUTED_VALUE"""),44564.0)</f>
        <v>44564</v>
      </c>
      <c r="G133" s="86">
        <f>IFERROR(__xludf.DUMMYFUNCTION("""COMPUTED_VALUE"""),159.0)</f>
        <v>159</v>
      </c>
      <c r="M133" s="86"/>
    </row>
    <row r="134">
      <c r="F134" s="94">
        <f>IFERROR(__xludf.DUMMYFUNCTION("""COMPUTED_VALUE"""),44565.0)</f>
        <v>44565</v>
      </c>
      <c r="G134" s="86">
        <f>IFERROR(__xludf.DUMMYFUNCTION("""COMPUTED_VALUE"""),147.0)</f>
        <v>147</v>
      </c>
      <c r="M134" s="86"/>
    </row>
    <row r="135">
      <c r="F135" s="94">
        <f>IFERROR(__xludf.DUMMYFUNCTION("""COMPUTED_VALUE"""),44566.0)</f>
        <v>44566</v>
      </c>
      <c r="G135" s="86">
        <f>IFERROR(__xludf.DUMMYFUNCTION("""COMPUTED_VALUE"""),141.0)</f>
        <v>141</v>
      </c>
      <c r="M135" s="86"/>
    </row>
    <row r="136">
      <c r="F136" s="94">
        <f>IFERROR(__xludf.DUMMYFUNCTION("""COMPUTED_VALUE"""),44567.0)</f>
        <v>44567</v>
      </c>
      <c r="G136" s="86">
        <f>IFERROR(__xludf.DUMMYFUNCTION("""COMPUTED_VALUE"""),123.0)</f>
        <v>123</v>
      </c>
      <c r="M136" s="86"/>
    </row>
    <row r="137">
      <c r="F137" s="94">
        <f>IFERROR(__xludf.DUMMYFUNCTION("""COMPUTED_VALUE"""),44568.0)</f>
        <v>44568</v>
      </c>
      <c r="G137" s="86">
        <f>IFERROR(__xludf.DUMMYFUNCTION("""COMPUTED_VALUE"""),48.0)</f>
        <v>48</v>
      </c>
      <c r="M137" s="86"/>
    </row>
    <row r="138">
      <c r="F138" s="94">
        <f>IFERROR(__xludf.DUMMYFUNCTION("""COMPUTED_VALUE"""),44569.0)</f>
        <v>44569</v>
      </c>
      <c r="G138" s="86">
        <f>IFERROR(__xludf.DUMMYFUNCTION("""COMPUTED_VALUE"""),127.0)</f>
        <v>127</v>
      </c>
      <c r="M138" s="86"/>
    </row>
    <row r="139">
      <c r="F139" s="94">
        <f>IFERROR(__xludf.DUMMYFUNCTION("""COMPUTED_VALUE"""),44570.0)</f>
        <v>44570</v>
      </c>
      <c r="G139" s="86">
        <f>IFERROR(__xludf.DUMMYFUNCTION("""COMPUTED_VALUE"""),192.0)</f>
        <v>192</v>
      </c>
      <c r="M139" s="86"/>
    </row>
    <row r="140">
      <c r="F140" s="94">
        <f>IFERROR(__xludf.DUMMYFUNCTION("""COMPUTED_VALUE"""),44571.0)</f>
        <v>44571</v>
      </c>
      <c r="G140" s="86">
        <f>IFERROR(__xludf.DUMMYFUNCTION("""COMPUTED_VALUE"""),190.0)</f>
        <v>190</v>
      </c>
      <c r="M140" s="86"/>
    </row>
    <row r="141">
      <c r="F141" s="94">
        <f>IFERROR(__xludf.DUMMYFUNCTION("""COMPUTED_VALUE"""),44572.0)</f>
        <v>44572</v>
      </c>
      <c r="G141" s="86">
        <f>IFERROR(__xludf.DUMMYFUNCTION("""COMPUTED_VALUE"""),129.0)</f>
        <v>129</v>
      </c>
      <c r="M141" s="86"/>
    </row>
    <row r="142">
      <c r="M142" s="86"/>
    </row>
    <row r="143">
      <c r="M143" s="86"/>
    </row>
    <row r="144">
      <c r="M144" s="86"/>
    </row>
    <row r="145">
      <c r="M145" s="86"/>
    </row>
    <row r="146">
      <c r="M146" s="86"/>
    </row>
    <row r="147">
      <c r="M147" s="86"/>
    </row>
    <row r="148">
      <c r="M148" s="86"/>
    </row>
    <row r="149">
      <c r="M149" s="86"/>
    </row>
    <row r="150">
      <c r="M150" s="86"/>
    </row>
    <row r="151">
      <c r="M151" s="86"/>
    </row>
    <row r="152">
      <c r="M152" s="86"/>
    </row>
    <row r="153">
      <c r="M153" s="86"/>
    </row>
    <row r="154">
      <c r="M154" s="86"/>
    </row>
    <row r="155">
      <c r="M155" s="86"/>
    </row>
    <row r="156">
      <c r="M156" s="86"/>
    </row>
    <row r="157">
      <c r="M157" s="86"/>
    </row>
    <row r="158">
      <c r="M158" s="86"/>
    </row>
    <row r="159">
      <c r="M159" s="86"/>
    </row>
    <row r="160">
      <c r="M160" s="86"/>
    </row>
    <row r="161">
      <c r="M161" s="86"/>
    </row>
    <row r="162">
      <c r="M162" s="86"/>
    </row>
    <row r="163">
      <c r="M163" s="86"/>
    </row>
    <row r="164">
      <c r="M164" s="86"/>
    </row>
    <row r="165">
      <c r="M165" s="86"/>
    </row>
    <row r="166">
      <c r="M166" s="86"/>
    </row>
    <row r="167">
      <c r="M167" s="86"/>
    </row>
    <row r="168">
      <c r="M168" s="86"/>
    </row>
    <row r="169">
      <c r="M169" s="86"/>
    </row>
    <row r="170">
      <c r="M170" s="86"/>
    </row>
    <row r="171">
      <c r="M171" s="86"/>
    </row>
    <row r="172">
      <c r="M172" s="86"/>
    </row>
    <row r="173">
      <c r="M173" s="86"/>
    </row>
    <row r="174">
      <c r="M174" s="86"/>
    </row>
    <row r="175">
      <c r="M175" s="86"/>
    </row>
    <row r="176">
      <c r="M176" s="86"/>
    </row>
    <row r="177">
      <c r="M177" s="86"/>
    </row>
    <row r="178">
      <c r="M178" s="86"/>
    </row>
    <row r="179">
      <c r="M179" s="86"/>
    </row>
    <row r="180">
      <c r="M180" s="86"/>
    </row>
    <row r="181">
      <c r="M181" s="86"/>
    </row>
    <row r="182">
      <c r="M182" s="86"/>
    </row>
    <row r="183">
      <c r="M183" s="86"/>
    </row>
    <row r="184">
      <c r="M184" s="86"/>
    </row>
    <row r="185">
      <c r="M185" s="86"/>
    </row>
    <row r="186">
      <c r="M186" s="86"/>
    </row>
    <row r="187">
      <c r="M187" s="86"/>
    </row>
    <row r="188">
      <c r="M188" s="86"/>
    </row>
    <row r="189">
      <c r="M189" s="86"/>
    </row>
    <row r="190">
      <c r="M190" s="86"/>
    </row>
    <row r="191">
      <c r="M191" s="86"/>
    </row>
    <row r="192">
      <c r="M192" s="86"/>
    </row>
    <row r="193">
      <c r="M193" s="86"/>
    </row>
    <row r="194">
      <c r="M194" s="86"/>
    </row>
    <row r="195">
      <c r="M195" s="86"/>
    </row>
    <row r="196">
      <c r="M196" s="86"/>
    </row>
    <row r="197">
      <c r="M197" s="86"/>
    </row>
    <row r="198">
      <c r="M198" s="86"/>
    </row>
    <row r="199">
      <c r="M199" s="86"/>
    </row>
    <row r="200">
      <c r="M200" s="86"/>
    </row>
    <row r="201">
      <c r="M201" s="86"/>
    </row>
    <row r="202">
      <c r="M202" s="86"/>
    </row>
    <row r="203">
      <c r="M203" s="86"/>
    </row>
    <row r="204">
      <c r="M204" s="86"/>
    </row>
    <row r="205">
      <c r="M205" s="86"/>
    </row>
    <row r="206">
      <c r="M206" s="86"/>
    </row>
    <row r="207">
      <c r="M207" s="86"/>
    </row>
    <row r="208">
      <c r="M208" s="86"/>
    </row>
    <row r="209">
      <c r="M209" s="86"/>
    </row>
    <row r="210">
      <c r="M210" s="86"/>
    </row>
    <row r="211">
      <c r="M211" s="86"/>
    </row>
    <row r="212">
      <c r="M212" s="86"/>
    </row>
    <row r="213">
      <c r="M213" s="86"/>
    </row>
    <row r="214">
      <c r="M214" s="86"/>
    </row>
    <row r="215">
      <c r="M215" s="86"/>
    </row>
    <row r="216">
      <c r="M216" s="86"/>
    </row>
    <row r="217">
      <c r="M217" s="86"/>
    </row>
    <row r="218">
      <c r="M218" s="86"/>
    </row>
    <row r="219">
      <c r="M219" s="86"/>
    </row>
    <row r="220">
      <c r="M220" s="86"/>
    </row>
    <row r="221">
      <c r="M221" s="86"/>
    </row>
    <row r="222">
      <c r="M222" s="86"/>
    </row>
    <row r="223">
      <c r="M223" s="86"/>
    </row>
    <row r="224">
      <c r="M224" s="86"/>
    </row>
    <row r="225">
      <c r="M225" s="86"/>
    </row>
    <row r="226">
      <c r="M226" s="86"/>
    </row>
    <row r="227">
      <c r="M227" s="86"/>
    </row>
    <row r="228">
      <c r="M228" s="86"/>
    </row>
    <row r="229">
      <c r="M229" s="86"/>
    </row>
    <row r="230">
      <c r="M230" s="86"/>
    </row>
    <row r="231">
      <c r="M231" s="86"/>
    </row>
    <row r="232">
      <c r="M232" s="86"/>
    </row>
    <row r="233">
      <c r="M233" s="86"/>
    </row>
    <row r="234">
      <c r="M234" s="86"/>
    </row>
    <row r="235">
      <c r="M235" s="86"/>
    </row>
    <row r="236">
      <c r="M236" s="86"/>
    </row>
    <row r="237">
      <c r="M237" s="86"/>
    </row>
    <row r="238">
      <c r="M238" s="86"/>
    </row>
    <row r="239">
      <c r="M239" s="86"/>
    </row>
    <row r="240">
      <c r="M240" s="86"/>
    </row>
    <row r="241">
      <c r="M241" s="86"/>
    </row>
    <row r="242">
      <c r="M242" s="86"/>
    </row>
    <row r="243">
      <c r="M243" s="86"/>
    </row>
    <row r="244">
      <c r="M244" s="86"/>
    </row>
    <row r="245">
      <c r="M245" s="86"/>
    </row>
    <row r="246">
      <c r="M246" s="86"/>
    </row>
    <row r="247">
      <c r="M247" s="86"/>
    </row>
    <row r="248">
      <c r="M248" s="86"/>
    </row>
    <row r="249">
      <c r="M249" s="86"/>
    </row>
    <row r="250">
      <c r="M250" s="86"/>
    </row>
    <row r="251">
      <c r="M251" s="86"/>
    </row>
    <row r="252">
      <c r="M252" s="86"/>
    </row>
    <row r="253">
      <c r="M253" s="86"/>
    </row>
    <row r="254">
      <c r="M254" s="86"/>
    </row>
    <row r="255">
      <c r="M255" s="86"/>
    </row>
    <row r="256">
      <c r="M256" s="86"/>
    </row>
    <row r="257">
      <c r="M257" s="86"/>
    </row>
    <row r="258">
      <c r="M258" s="86"/>
    </row>
    <row r="259">
      <c r="M259" s="86"/>
    </row>
    <row r="260">
      <c r="M260" s="86"/>
    </row>
    <row r="261">
      <c r="M261" s="86"/>
    </row>
    <row r="262">
      <c r="M262" s="86"/>
    </row>
    <row r="263">
      <c r="M263" s="86"/>
    </row>
    <row r="264">
      <c r="M264" s="86"/>
    </row>
    <row r="265">
      <c r="M265" s="86"/>
    </row>
    <row r="266">
      <c r="M266" s="86"/>
    </row>
    <row r="267">
      <c r="M267" s="86"/>
    </row>
    <row r="268">
      <c r="M268" s="86"/>
    </row>
    <row r="269">
      <c r="M269" s="86"/>
    </row>
    <row r="270">
      <c r="M270" s="86"/>
    </row>
    <row r="271">
      <c r="M271" s="86"/>
    </row>
    <row r="272">
      <c r="M272" s="86"/>
    </row>
    <row r="273">
      <c r="M273" s="86"/>
    </row>
    <row r="274">
      <c r="M274" s="86"/>
    </row>
    <row r="275">
      <c r="M275" s="86"/>
    </row>
    <row r="276">
      <c r="M276" s="86"/>
    </row>
    <row r="277">
      <c r="M277" s="86"/>
    </row>
    <row r="278">
      <c r="M278" s="86"/>
    </row>
    <row r="279">
      <c r="M279" s="86"/>
    </row>
    <row r="280">
      <c r="M280" s="86"/>
    </row>
    <row r="281">
      <c r="M281" s="86"/>
    </row>
    <row r="282">
      <c r="M282" s="86"/>
    </row>
    <row r="283">
      <c r="M283" s="86"/>
    </row>
    <row r="284">
      <c r="M284" s="86"/>
    </row>
    <row r="285">
      <c r="M285" s="86"/>
    </row>
    <row r="286">
      <c r="M286" s="86"/>
    </row>
    <row r="287">
      <c r="M287" s="86"/>
    </row>
    <row r="288">
      <c r="M288" s="86"/>
    </row>
    <row r="289">
      <c r="M289" s="86"/>
    </row>
    <row r="290">
      <c r="M290" s="86"/>
    </row>
    <row r="291">
      <c r="M291" s="86"/>
    </row>
    <row r="292">
      <c r="M292" s="86"/>
    </row>
    <row r="293">
      <c r="M293" s="86"/>
    </row>
    <row r="294">
      <c r="M294" s="86"/>
    </row>
    <row r="295">
      <c r="M295" s="86"/>
    </row>
    <row r="296">
      <c r="M296" s="86"/>
    </row>
    <row r="297">
      <c r="M297" s="86"/>
    </row>
    <row r="298">
      <c r="M298" s="86"/>
    </row>
    <row r="299">
      <c r="M299" s="86"/>
    </row>
    <row r="300">
      <c r="M300" s="86"/>
    </row>
    <row r="301">
      <c r="M301" s="86"/>
    </row>
    <row r="302">
      <c r="M302" s="86"/>
    </row>
    <row r="303">
      <c r="M303" s="86"/>
    </row>
    <row r="304">
      <c r="M304" s="86"/>
    </row>
    <row r="305">
      <c r="M305" s="86"/>
    </row>
    <row r="306">
      <c r="M306" s="86"/>
    </row>
    <row r="307">
      <c r="M307" s="86"/>
    </row>
    <row r="308">
      <c r="M308" s="86"/>
    </row>
    <row r="309">
      <c r="M309" s="86"/>
    </row>
    <row r="310">
      <c r="M310" s="86"/>
    </row>
    <row r="311">
      <c r="M311" s="86"/>
    </row>
    <row r="312">
      <c r="M312" s="86"/>
    </row>
    <row r="313">
      <c r="M313" s="86"/>
    </row>
    <row r="314">
      <c r="M314" s="86"/>
    </row>
    <row r="315">
      <c r="M315" s="86"/>
    </row>
    <row r="316">
      <c r="M316" s="86"/>
    </row>
    <row r="317">
      <c r="M317" s="86"/>
    </row>
    <row r="318">
      <c r="M318" s="86"/>
    </row>
    <row r="319">
      <c r="M319" s="86"/>
    </row>
    <row r="320">
      <c r="M320" s="86"/>
    </row>
    <row r="321">
      <c r="M321" s="86"/>
    </row>
    <row r="322">
      <c r="M322" s="86"/>
    </row>
    <row r="323">
      <c r="M323" s="86"/>
    </row>
    <row r="324">
      <c r="M324" s="86"/>
    </row>
    <row r="325">
      <c r="M325" s="86"/>
    </row>
    <row r="326">
      <c r="M326" s="86"/>
    </row>
    <row r="327">
      <c r="M327" s="86"/>
    </row>
    <row r="328">
      <c r="M328" s="86"/>
    </row>
    <row r="329">
      <c r="M329" s="86"/>
    </row>
    <row r="330">
      <c r="M330" s="86"/>
    </row>
    <row r="331">
      <c r="M331" s="86"/>
    </row>
    <row r="332">
      <c r="M332" s="86"/>
    </row>
    <row r="333">
      <c r="M333" s="86"/>
    </row>
    <row r="334">
      <c r="M334" s="86"/>
    </row>
    <row r="335">
      <c r="M335" s="86"/>
    </row>
    <row r="336">
      <c r="M336" s="86"/>
    </row>
    <row r="337">
      <c r="M337" s="86"/>
    </row>
    <row r="338">
      <c r="M338" s="86"/>
    </row>
    <row r="339">
      <c r="M339" s="86"/>
    </row>
    <row r="340">
      <c r="M340" s="86"/>
    </row>
    <row r="341">
      <c r="M341" s="86"/>
    </row>
    <row r="342">
      <c r="M342" s="86"/>
    </row>
    <row r="343">
      <c r="M343" s="86"/>
    </row>
    <row r="344">
      <c r="M344" s="86"/>
    </row>
    <row r="345">
      <c r="M345" s="86"/>
    </row>
    <row r="346">
      <c r="M346" s="86"/>
    </row>
    <row r="347">
      <c r="M347" s="86"/>
    </row>
    <row r="348">
      <c r="M348" s="86"/>
    </row>
    <row r="349">
      <c r="M349" s="86"/>
    </row>
    <row r="350">
      <c r="M350" s="86"/>
    </row>
    <row r="351">
      <c r="M351" s="86"/>
    </row>
    <row r="352">
      <c r="M352" s="86"/>
    </row>
    <row r="353">
      <c r="M353" s="86"/>
    </row>
    <row r="354">
      <c r="M354" s="86"/>
    </row>
    <row r="355">
      <c r="M355" s="86"/>
    </row>
    <row r="356">
      <c r="M356" s="86"/>
    </row>
    <row r="357">
      <c r="M357" s="86"/>
    </row>
    <row r="358">
      <c r="M358" s="86"/>
    </row>
    <row r="359">
      <c r="M359" s="86"/>
    </row>
    <row r="360">
      <c r="M360" s="86"/>
    </row>
    <row r="361">
      <c r="M361" s="86"/>
    </row>
    <row r="362">
      <c r="M362" s="86"/>
    </row>
    <row r="363">
      <c r="M363" s="86"/>
    </row>
    <row r="364">
      <c r="M364" s="86"/>
    </row>
    <row r="365">
      <c r="M365" s="86"/>
    </row>
    <row r="366">
      <c r="M366" s="86"/>
    </row>
    <row r="367">
      <c r="M367" s="86"/>
    </row>
    <row r="368">
      <c r="M368" s="86"/>
    </row>
    <row r="369">
      <c r="M369" s="86"/>
    </row>
    <row r="370">
      <c r="M370" s="86"/>
    </row>
    <row r="371">
      <c r="M371" s="86"/>
    </row>
    <row r="372">
      <c r="M372" s="86"/>
    </row>
    <row r="373">
      <c r="M373" s="86"/>
    </row>
    <row r="374">
      <c r="M374" s="86"/>
    </row>
    <row r="375">
      <c r="M375" s="86"/>
    </row>
    <row r="376">
      <c r="M376" s="86"/>
    </row>
    <row r="377">
      <c r="M377" s="86"/>
    </row>
    <row r="378">
      <c r="M378" s="86"/>
    </row>
    <row r="379">
      <c r="M379" s="86"/>
    </row>
    <row r="380">
      <c r="M380" s="86"/>
    </row>
    <row r="381">
      <c r="M381" s="86"/>
    </row>
    <row r="382">
      <c r="M382" s="86"/>
    </row>
    <row r="383">
      <c r="M383" s="86"/>
    </row>
    <row r="384">
      <c r="M384" s="86"/>
    </row>
    <row r="385">
      <c r="M385" s="86"/>
    </row>
    <row r="386">
      <c r="M386" s="86"/>
    </row>
    <row r="387">
      <c r="M387" s="86"/>
    </row>
    <row r="388">
      <c r="M388" s="86"/>
    </row>
    <row r="389">
      <c r="M389" s="86"/>
    </row>
    <row r="390">
      <c r="M390" s="86"/>
    </row>
    <row r="391">
      <c r="M391" s="86"/>
    </row>
    <row r="392">
      <c r="M392" s="86"/>
    </row>
    <row r="393">
      <c r="M393" s="86"/>
    </row>
    <row r="394">
      <c r="M394" s="86"/>
    </row>
    <row r="395">
      <c r="M395" s="86"/>
    </row>
    <row r="396">
      <c r="M396" s="86"/>
    </row>
    <row r="397">
      <c r="M397" s="86"/>
    </row>
    <row r="398">
      <c r="M398" s="86"/>
    </row>
    <row r="399">
      <c r="M399" s="86"/>
    </row>
    <row r="400">
      <c r="M400" s="86"/>
    </row>
    <row r="401">
      <c r="M401" s="86"/>
    </row>
    <row r="402">
      <c r="M402" s="86"/>
    </row>
    <row r="403">
      <c r="M403" s="86"/>
    </row>
    <row r="404">
      <c r="M404" s="86"/>
    </row>
    <row r="405">
      <c r="M405" s="86"/>
    </row>
    <row r="406">
      <c r="M406" s="86"/>
    </row>
    <row r="407">
      <c r="M407" s="86"/>
    </row>
    <row r="408">
      <c r="M408" s="86"/>
    </row>
    <row r="409">
      <c r="M409" s="86"/>
    </row>
    <row r="410">
      <c r="M410" s="86"/>
    </row>
    <row r="411">
      <c r="M411" s="86"/>
    </row>
    <row r="412">
      <c r="M412" s="86"/>
    </row>
    <row r="413">
      <c r="M413" s="86"/>
    </row>
    <row r="414">
      <c r="M414" s="86"/>
    </row>
    <row r="415">
      <c r="M415" s="86"/>
    </row>
    <row r="416">
      <c r="M416" s="86"/>
    </row>
    <row r="417">
      <c r="M417" s="86"/>
    </row>
    <row r="418">
      <c r="M418" s="86"/>
    </row>
    <row r="419">
      <c r="M419" s="86"/>
    </row>
    <row r="420">
      <c r="M420" s="86"/>
    </row>
    <row r="421">
      <c r="M421" s="86"/>
    </row>
    <row r="422">
      <c r="M422" s="86"/>
    </row>
    <row r="423">
      <c r="M423" s="86"/>
    </row>
    <row r="424">
      <c r="M424" s="86"/>
    </row>
    <row r="425">
      <c r="M425" s="86"/>
    </row>
    <row r="426">
      <c r="M426" s="86"/>
    </row>
    <row r="427">
      <c r="M427" s="86"/>
    </row>
    <row r="428">
      <c r="M428" s="86"/>
    </row>
    <row r="429">
      <c r="M429" s="86"/>
    </row>
    <row r="430">
      <c r="M430" s="86"/>
    </row>
    <row r="431">
      <c r="M431" s="86"/>
    </row>
    <row r="432">
      <c r="M432" s="86"/>
    </row>
    <row r="433">
      <c r="M433" s="86"/>
    </row>
    <row r="434">
      <c r="M434" s="86"/>
    </row>
    <row r="435">
      <c r="M435" s="86"/>
    </row>
    <row r="436">
      <c r="M436" s="86"/>
    </row>
    <row r="437">
      <c r="M437" s="86"/>
    </row>
    <row r="438">
      <c r="M438" s="86"/>
    </row>
    <row r="439">
      <c r="M439" s="86"/>
    </row>
    <row r="440">
      <c r="M440" s="86"/>
    </row>
    <row r="441">
      <c r="M441" s="86"/>
    </row>
    <row r="442">
      <c r="M442" s="86"/>
    </row>
    <row r="443">
      <c r="M443" s="86"/>
    </row>
    <row r="444">
      <c r="M444" s="86"/>
    </row>
    <row r="445">
      <c r="M445" s="86"/>
    </row>
    <row r="446">
      <c r="M446" s="86"/>
    </row>
    <row r="447">
      <c r="M447" s="86"/>
    </row>
    <row r="448">
      <c r="M448" s="86"/>
    </row>
    <row r="449">
      <c r="M449" s="86"/>
    </row>
    <row r="450">
      <c r="M450" s="86"/>
    </row>
    <row r="451">
      <c r="M451" s="86"/>
    </row>
    <row r="452">
      <c r="M452" s="86"/>
    </row>
    <row r="453">
      <c r="M453" s="86"/>
    </row>
    <row r="454">
      <c r="M454" s="86"/>
    </row>
    <row r="455">
      <c r="M455" s="86"/>
    </row>
    <row r="456">
      <c r="M456" s="86"/>
    </row>
    <row r="457">
      <c r="M457" s="86"/>
    </row>
    <row r="458">
      <c r="M458" s="86"/>
    </row>
    <row r="459">
      <c r="M459" s="86"/>
    </row>
    <row r="460">
      <c r="M460" s="86"/>
    </row>
    <row r="461">
      <c r="M461" s="86"/>
    </row>
    <row r="462">
      <c r="M462" s="86"/>
    </row>
    <row r="463">
      <c r="M463" s="86"/>
    </row>
    <row r="464">
      <c r="M464" s="86"/>
    </row>
    <row r="465">
      <c r="M465" s="86"/>
    </row>
    <row r="466">
      <c r="M466" s="86"/>
    </row>
    <row r="467">
      <c r="M467" s="86"/>
    </row>
    <row r="468">
      <c r="M468" s="86"/>
    </row>
    <row r="469">
      <c r="M469" s="86"/>
    </row>
    <row r="470">
      <c r="M470" s="86"/>
    </row>
    <row r="471">
      <c r="M471" s="86"/>
    </row>
    <row r="472">
      <c r="M472" s="86"/>
    </row>
    <row r="473">
      <c r="M473" s="86"/>
    </row>
    <row r="474">
      <c r="M474" s="86"/>
    </row>
    <row r="475">
      <c r="M475" s="86"/>
    </row>
    <row r="476">
      <c r="M476" s="86"/>
    </row>
    <row r="477">
      <c r="M477" s="86"/>
    </row>
    <row r="478">
      <c r="M478" s="86"/>
    </row>
    <row r="479">
      <c r="M479" s="86"/>
    </row>
    <row r="480">
      <c r="M480" s="86"/>
    </row>
    <row r="481">
      <c r="M481" s="86"/>
    </row>
    <row r="482">
      <c r="M482" s="86"/>
    </row>
    <row r="483">
      <c r="M483" s="86"/>
    </row>
    <row r="484">
      <c r="M484" s="86"/>
    </row>
    <row r="485">
      <c r="M485" s="86"/>
    </row>
    <row r="486">
      <c r="M486" s="86"/>
    </row>
    <row r="487">
      <c r="M487" s="86"/>
    </row>
    <row r="488">
      <c r="M488" s="86"/>
    </row>
    <row r="489">
      <c r="M489" s="86"/>
    </row>
    <row r="490">
      <c r="M490" s="86"/>
    </row>
    <row r="491">
      <c r="M491" s="86"/>
    </row>
    <row r="492">
      <c r="M492" s="86"/>
    </row>
    <row r="493">
      <c r="M493" s="86"/>
    </row>
    <row r="494">
      <c r="M494" s="86"/>
    </row>
    <row r="495">
      <c r="M495" s="86"/>
    </row>
    <row r="496">
      <c r="M496" s="86"/>
    </row>
    <row r="497">
      <c r="M497" s="86"/>
    </row>
    <row r="498">
      <c r="M498" s="86"/>
    </row>
    <row r="499">
      <c r="M499" s="86"/>
    </row>
    <row r="500">
      <c r="M500" s="86"/>
    </row>
    <row r="501">
      <c r="M501" s="86"/>
    </row>
    <row r="502">
      <c r="M502" s="86"/>
    </row>
    <row r="503">
      <c r="M503" s="86"/>
    </row>
    <row r="504">
      <c r="M504" s="86"/>
    </row>
    <row r="505">
      <c r="M505" s="86"/>
    </row>
    <row r="506">
      <c r="M506" s="86"/>
    </row>
    <row r="507">
      <c r="M507" s="86"/>
    </row>
    <row r="508">
      <c r="M508" s="86"/>
    </row>
    <row r="509">
      <c r="M509" s="86"/>
    </row>
    <row r="510">
      <c r="M510" s="86"/>
    </row>
    <row r="511">
      <c r="M511" s="86"/>
    </row>
    <row r="512">
      <c r="M512" s="86"/>
    </row>
    <row r="513">
      <c r="M513" s="86"/>
    </row>
    <row r="514">
      <c r="M514" s="86"/>
    </row>
    <row r="515">
      <c r="M515" s="86"/>
    </row>
    <row r="516">
      <c r="M516" s="86"/>
    </row>
    <row r="517">
      <c r="M517" s="86"/>
    </row>
    <row r="518">
      <c r="M518" s="86"/>
    </row>
    <row r="519">
      <c r="M519" s="86"/>
    </row>
    <row r="520">
      <c r="M520" s="86"/>
    </row>
    <row r="521">
      <c r="M521" s="86"/>
    </row>
    <row r="522">
      <c r="M522" s="86"/>
    </row>
    <row r="523">
      <c r="M523" s="86"/>
    </row>
    <row r="524">
      <c r="M524" s="86"/>
    </row>
    <row r="525">
      <c r="M525" s="86"/>
    </row>
    <row r="526">
      <c r="M526" s="86"/>
    </row>
    <row r="527">
      <c r="M527" s="86"/>
    </row>
    <row r="528">
      <c r="M528" s="86"/>
    </row>
    <row r="529">
      <c r="M529" s="86"/>
    </row>
    <row r="530">
      <c r="M530" s="86"/>
    </row>
    <row r="531">
      <c r="M531" s="86"/>
    </row>
    <row r="532">
      <c r="M532" s="86"/>
    </row>
    <row r="533">
      <c r="M533" s="86"/>
    </row>
    <row r="534">
      <c r="M534" s="86"/>
    </row>
    <row r="535">
      <c r="M535" s="86"/>
    </row>
    <row r="536">
      <c r="M536" s="86"/>
    </row>
    <row r="537">
      <c r="M537" s="86"/>
    </row>
    <row r="538">
      <c r="M538" s="86"/>
    </row>
    <row r="539">
      <c r="M539" s="86"/>
    </row>
    <row r="540">
      <c r="M540" s="86"/>
    </row>
    <row r="541">
      <c r="M541" s="86"/>
    </row>
    <row r="542">
      <c r="M542" s="86"/>
    </row>
    <row r="543">
      <c r="M543" s="86"/>
    </row>
    <row r="544">
      <c r="M544" s="86"/>
    </row>
    <row r="545">
      <c r="M545" s="86"/>
    </row>
    <row r="546">
      <c r="M546" s="86"/>
    </row>
    <row r="547">
      <c r="M547" s="86"/>
    </row>
    <row r="548">
      <c r="M548" s="86"/>
    </row>
    <row r="549">
      <c r="M549" s="86"/>
    </row>
    <row r="550">
      <c r="M550" s="86"/>
    </row>
    <row r="551">
      <c r="M551" s="86"/>
    </row>
    <row r="552">
      <c r="M552" s="86"/>
    </row>
    <row r="553">
      <c r="M553" s="86"/>
    </row>
    <row r="554">
      <c r="M554" s="86"/>
    </row>
    <row r="555">
      <c r="M555" s="86"/>
    </row>
    <row r="556">
      <c r="M556" s="86"/>
    </row>
    <row r="557">
      <c r="M557" s="86"/>
    </row>
    <row r="558">
      <c r="M558" s="86"/>
    </row>
    <row r="559">
      <c r="M559" s="86"/>
    </row>
    <row r="560">
      <c r="M560" s="86"/>
    </row>
    <row r="561">
      <c r="M561" s="86"/>
    </row>
    <row r="562">
      <c r="M562" s="86"/>
    </row>
    <row r="563">
      <c r="M563" s="86"/>
    </row>
    <row r="564">
      <c r="M564" s="86"/>
    </row>
    <row r="565">
      <c r="M565" s="86"/>
    </row>
    <row r="566">
      <c r="M566" s="86"/>
    </row>
    <row r="567">
      <c r="M567" s="86"/>
    </row>
    <row r="568">
      <c r="M568" s="86"/>
    </row>
    <row r="569">
      <c r="M569" s="86"/>
    </row>
    <row r="570">
      <c r="M570" s="86"/>
    </row>
    <row r="571">
      <c r="M571" s="86"/>
    </row>
    <row r="572">
      <c r="M572" s="86"/>
    </row>
    <row r="573">
      <c r="M573" s="86"/>
    </row>
    <row r="574">
      <c r="M574" s="86"/>
    </row>
    <row r="575">
      <c r="M575" s="86"/>
    </row>
    <row r="576">
      <c r="M576" s="86"/>
    </row>
    <row r="577">
      <c r="M577" s="86"/>
    </row>
    <row r="578">
      <c r="M578" s="86"/>
    </row>
    <row r="579">
      <c r="M579" s="86"/>
    </row>
    <row r="580">
      <c r="M580" s="86"/>
    </row>
    <row r="581">
      <c r="M581" s="86"/>
    </row>
    <row r="582">
      <c r="M582" s="86"/>
    </row>
    <row r="583">
      <c r="M583" s="86"/>
    </row>
    <row r="584">
      <c r="M584" s="86"/>
    </row>
    <row r="585">
      <c r="M585" s="86"/>
    </row>
    <row r="586">
      <c r="M586" s="86"/>
    </row>
    <row r="587">
      <c r="M587" s="86"/>
    </row>
    <row r="588">
      <c r="M588" s="86"/>
    </row>
    <row r="589">
      <c r="M589" s="86"/>
    </row>
    <row r="590">
      <c r="M590" s="86"/>
    </row>
    <row r="591">
      <c r="M591" s="86"/>
    </row>
    <row r="592">
      <c r="M592" s="86"/>
    </row>
    <row r="593">
      <c r="M593" s="86"/>
    </row>
    <row r="594">
      <c r="M594" s="86"/>
    </row>
    <row r="595">
      <c r="M595" s="86"/>
    </row>
    <row r="596">
      <c r="M596" s="86"/>
    </row>
    <row r="597">
      <c r="M597" s="86"/>
    </row>
    <row r="598">
      <c r="M598" s="86"/>
    </row>
    <row r="599">
      <c r="M599" s="86"/>
    </row>
    <row r="600">
      <c r="M600" s="86"/>
    </row>
    <row r="601">
      <c r="M601" s="86"/>
    </row>
    <row r="602">
      <c r="M602" s="86"/>
    </row>
    <row r="603">
      <c r="M603" s="86"/>
    </row>
    <row r="604">
      <c r="M604" s="86"/>
    </row>
    <row r="605">
      <c r="M605" s="86"/>
    </row>
    <row r="606">
      <c r="M606" s="86"/>
    </row>
    <row r="607">
      <c r="M607" s="86"/>
    </row>
    <row r="608">
      <c r="M608" s="86"/>
    </row>
    <row r="609">
      <c r="M609" s="86"/>
    </row>
    <row r="610">
      <c r="M610" s="86"/>
    </row>
    <row r="611">
      <c r="M611" s="86"/>
    </row>
    <row r="612">
      <c r="M612" s="86"/>
    </row>
    <row r="613">
      <c r="M613" s="86"/>
    </row>
    <row r="614">
      <c r="M614" s="86"/>
    </row>
    <row r="615">
      <c r="M615" s="86"/>
    </row>
    <row r="616">
      <c r="M616" s="86"/>
    </row>
    <row r="617">
      <c r="M617" s="86"/>
    </row>
    <row r="618">
      <c r="M618" s="86"/>
    </row>
    <row r="619">
      <c r="M619" s="86"/>
    </row>
    <row r="620">
      <c r="M620" s="86"/>
    </row>
    <row r="621">
      <c r="M621" s="86"/>
    </row>
    <row r="622">
      <c r="M622" s="86"/>
    </row>
    <row r="623">
      <c r="M623" s="86"/>
    </row>
    <row r="624">
      <c r="M624" s="86"/>
    </row>
    <row r="625">
      <c r="M625" s="86"/>
    </row>
    <row r="626">
      <c r="M626" s="86"/>
    </row>
    <row r="627">
      <c r="M627" s="86"/>
    </row>
    <row r="628">
      <c r="M628" s="86"/>
    </row>
    <row r="629">
      <c r="M629" s="86"/>
    </row>
    <row r="630">
      <c r="M630" s="86"/>
    </row>
    <row r="631">
      <c r="M631" s="86"/>
    </row>
    <row r="632">
      <c r="M632" s="86"/>
    </row>
    <row r="633">
      <c r="M633" s="86"/>
    </row>
    <row r="634">
      <c r="M634" s="86"/>
    </row>
    <row r="635">
      <c r="M635" s="86"/>
    </row>
    <row r="636">
      <c r="M636" s="86"/>
    </row>
    <row r="637">
      <c r="M637" s="86"/>
    </row>
    <row r="638">
      <c r="M638" s="86"/>
    </row>
    <row r="639">
      <c r="M639" s="86"/>
    </row>
    <row r="640">
      <c r="M640" s="86"/>
    </row>
    <row r="641">
      <c r="M641" s="86"/>
    </row>
    <row r="642">
      <c r="M642" s="86"/>
    </row>
    <row r="643">
      <c r="M643" s="86"/>
    </row>
    <row r="644">
      <c r="M644" s="86"/>
    </row>
    <row r="645">
      <c r="M645" s="86"/>
    </row>
    <row r="646">
      <c r="M646" s="86"/>
    </row>
    <row r="647">
      <c r="M647" s="86"/>
    </row>
    <row r="648">
      <c r="M648" s="86"/>
    </row>
    <row r="649">
      <c r="M649" s="86"/>
    </row>
    <row r="650">
      <c r="M650" s="86"/>
    </row>
    <row r="651">
      <c r="M651" s="86"/>
    </row>
    <row r="652">
      <c r="M652" s="86"/>
    </row>
    <row r="653">
      <c r="M653" s="86"/>
    </row>
    <row r="654">
      <c r="M654" s="86"/>
    </row>
    <row r="655">
      <c r="M655" s="86"/>
    </row>
    <row r="656">
      <c r="M656" s="86"/>
    </row>
    <row r="657">
      <c r="M657" s="86"/>
    </row>
    <row r="658">
      <c r="M658" s="86"/>
    </row>
    <row r="659">
      <c r="M659" s="86"/>
    </row>
    <row r="660">
      <c r="M660" s="86"/>
    </row>
    <row r="661">
      <c r="M661" s="86"/>
    </row>
    <row r="662">
      <c r="M662" s="86"/>
    </row>
    <row r="663">
      <c r="M663" s="86"/>
    </row>
    <row r="664">
      <c r="M664" s="86"/>
    </row>
    <row r="665">
      <c r="M665" s="86"/>
    </row>
    <row r="666">
      <c r="M666" s="86"/>
    </row>
    <row r="667">
      <c r="M667" s="86"/>
    </row>
    <row r="668">
      <c r="M668" s="86"/>
    </row>
    <row r="669">
      <c r="M669" s="86"/>
    </row>
    <row r="670">
      <c r="M670" s="86"/>
    </row>
    <row r="671">
      <c r="M671" s="86"/>
    </row>
    <row r="672">
      <c r="M672" s="86"/>
    </row>
    <row r="673">
      <c r="M673" s="86"/>
    </row>
    <row r="674">
      <c r="M674" s="86"/>
    </row>
    <row r="675">
      <c r="M675" s="86"/>
    </row>
    <row r="676">
      <c r="M676" s="86"/>
    </row>
    <row r="677">
      <c r="M677" s="86"/>
    </row>
    <row r="678">
      <c r="M678" s="86"/>
    </row>
    <row r="679">
      <c r="M679" s="86"/>
    </row>
    <row r="680">
      <c r="M680" s="86"/>
    </row>
    <row r="681">
      <c r="M681" s="86"/>
    </row>
    <row r="682">
      <c r="M682" s="86"/>
    </row>
    <row r="683">
      <c r="M683" s="86"/>
    </row>
    <row r="684">
      <c r="M684" s="86"/>
    </row>
    <row r="685">
      <c r="M685" s="86"/>
    </row>
    <row r="686">
      <c r="M686" s="86"/>
    </row>
    <row r="687">
      <c r="M687" s="86"/>
    </row>
    <row r="688">
      <c r="M688" s="86"/>
    </row>
    <row r="689">
      <c r="M689" s="86"/>
    </row>
    <row r="690">
      <c r="M690" s="86"/>
    </row>
    <row r="691">
      <c r="M691" s="86"/>
    </row>
    <row r="692">
      <c r="M692" s="86"/>
    </row>
    <row r="693">
      <c r="M693" s="86"/>
    </row>
    <row r="694">
      <c r="M694" s="86"/>
    </row>
    <row r="695">
      <c r="M695" s="86"/>
    </row>
    <row r="696">
      <c r="M696" s="86"/>
    </row>
    <row r="697">
      <c r="M697" s="86"/>
    </row>
    <row r="698">
      <c r="M698" s="86"/>
    </row>
    <row r="699">
      <c r="M699" s="86"/>
    </row>
    <row r="700">
      <c r="M700" s="86"/>
    </row>
    <row r="701">
      <c r="M701" s="86"/>
    </row>
    <row r="702">
      <c r="M702" s="86"/>
    </row>
    <row r="703">
      <c r="M703" s="86"/>
    </row>
    <row r="704">
      <c r="M704" s="86"/>
    </row>
    <row r="705">
      <c r="M705" s="86"/>
    </row>
    <row r="706">
      <c r="M706" s="86"/>
    </row>
    <row r="707">
      <c r="M707" s="86"/>
    </row>
    <row r="708">
      <c r="M708" s="86"/>
    </row>
    <row r="709">
      <c r="M709" s="86"/>
    </row>
    <row r="710">
      <c r="M710" s="86"/>
    </row>
    <row r="711">
      <c r="M711" s="86"/>
    </row>
    <row r="712">
      <c r="M712" s="86"/>
    </row>
    <row r="713">
      <c r="M713" s="86"/>
    </row>
    <row r="714">
      <c r="M714" s="86"/>
    </row>
    <row r="715">
      <c r="M715" s="86"/>
    </row>
    <row r="716">
      <c r="M716" s="86"/>
    </row>
    <row r="717">
      <c r="M717" s="86"/>
    </row>
    <row r="718">
      <c r="M718" s="86"/>
    </row>
    <row r="719">
      <c r="M719" s="86"/>
    </row>
    <row r="720">
      <c r="M720" s="86"/>
    </row>
    <row r="721">
      <c r="M721" s="86"/>
    </row>
    <row r="722">
      <c r="M722" s="86"/>
    </row>
    <row r="723">
      <c r="M723" s="86"/>
    </row>
    <row r="724">
      <c r="M724" s="86"/>
    </row>
    <row r="725">
      <c r="M725" s="86"/>
    </row>
    <row r="726">
      <c r="M726" s="86"/>
    </row>
    <row r="727">
      <c r="M727" s="86"/>
    </row>
    <row r="728">
      <c r="M728" s="86"/>
    </row>
    <row r="729">
      <c r="M729" s="86"/>
    </row>
    <row r="730">
      <c r="M730" s="86"/>
    </row>
    <row r="731">
      <c r="M731" s="86"/>
    </row>
    <row r="732">
      <c r="M732" s="86"/>
    </row>
    <row r="733">
      <c r="M733" s="86"/>
    </row>
    <row r="734">
      <c r="M734" s="86"/>
    </row>
    <row r="735">
      <c r="M735" s="86"/>
    </row>
    <row r="736">
      <c r="M736" s="86"/>
    </row>
    <row r="737">
      <c r="M737" s="86"/>
    </row>
    <row r="738">
      <c r="M738" s="86"/>
    </row>
    <row r="739">
      <c r="M739" s="86"/>
    </row>
    <row r="740">
      <c r="M740" s="86"/>
    </row>
    <row r="741">
      <c r="M741" s="86"/>
    </row>
    <row r="742">
      <c r="M742" s="86"/>
    </row>
    <row r="743">
      <c r="M743" s="86"/>
    </row>
    <row r="744">
      <c r="M744" s="86"/>
    </row>
    <row r="745">
      <c r="M745" s="86"/>
    </row>
    <row r="746">
      <c r="M746" s="86"/>
    </row>
    <row r="747">
      <c r="M747" s="86"/>
    </row>
    <row r="748">
      <c r="M748" s="86"/>
    </row>
    <row r="749">
      <c r="M749" s="86"/>
    </row>
    <row r="750">
      <c r="M750" s="86"/>
    </row>
    <row r="751">
      <c r="M751" s="86"/>
    </row>
    <row r="752">
      <c r="M752" s="86"/>
    </row>
    <row r="753">
      <c r="M753" s="86"/>
    </row>
    <row r="754">
      <c r="M754" s="86"/>
    </row>
    <row r="755">
      <c r="M755" s="86"/>
    </row>
    <row r="756">
      <c r="M756" s="86"/>
    </row>
    <row r="757">
      <c r="M757" s="86"/>
    </row>
    <row r="758">
      <c r="M758" s="86"/>
    </row>
    <row r="759">
      <c r="M759" s="86"/>
    </row>
    <row r="760">
      <c r="M760" s="86"/>
    </row>
    <row r="761">
      <c r="M761" s="86"/>
    </row>
    <row r="762">
      <c r="M762" s="86"/>
    </row>
    <row r="763">
      <c r="M763" s="86"/>
    </row>
    <row r="764">
      <c r="M764" s="86"/>
    </row>
    <row r="765">
      <c r="M765" s="86"/>
    </row>
    <row r="766">
      <c r="M766" s="86"/>
    </row>
    <row r="767">
      <c r="M767" s="86"/>
    </row>
    <row r="768">
      <c r="M768" s="86"/>
    </row>
    <row r="769">
      <c r="M769" s="86"/>
    </row>
    <row r="770">
      <c r="M770" s="86"/>
    </row>
    <row r="771">
      <c r="M771" s="86"/>
    </row>
    <row r="772">
      <c r="M772" s="86"/>
    </row>
    <row r="773">
      <c r="M773" s="86"/>
    </row>
    <row r="774">
      <c r="M774" s="86"/>
    </row>
    <row r="775">
      <c r="M775" s="86"/>
    </row>
    <row r="776">
      <c r="M776" s="86"/>
    </row>
    <row r="777">
      <c r="M777" s="86"/>
    </row>
    <row r="778">
      <c r="M778" s="86"/>
    </row>
    <row r="779">
      <c r="M779" s="86"/>
    </row>
    <row r="780">
      <c r="M780" s="86"/>
    </row>
    <row r="781">
      <c r="M781" s="86"/>
    </row>
    <row r="782">
      <c r="M782" s="86"/>
    </row>
    <row r="783">
      <c r="M783" s="86"/>
    </row>
    <row r="784">
      <c r="M784" s="86"/>
    </row>
    <row r="785">
      <c r="M785" s="86"/>
    </row>
    <row r="786">
      <c r="M786" s="86"/>
    </row>
    <row r="787">
      <c r="M787" s="86"/>
    </row>
    <row r="788">
      <c r="M788" s="86"/>
    </row>
    <row r="789">
      <c r="M789" s="86"/>
    </row>
    <row r="790">
      <c r="M790" s="86"/>
    </row>
    <row r="791">
      <c r="M791" s="86"/>
    </row>
    <row r="792">
      <c r="M792" s="86"/>
    </row>
    <row r="793">
      <c r="M793" s="86"/>
    </row>
    <row r="794">
      <c r="M794" s="86"/>
    </row>
    <row r="795">
      <c r="M795" s="86"/>
    </row>
    <row r="796">
      <c r="M796" s="86"/>
    </row>
    <row r="797">
      <c r="M797" s="86"/>
    </row>
    <row r="798">
      <c r="M798" s="86"/>
    </row>
    <row r="799">
      <c r="M799" s="86"/>
    </row>
    <row r="800">
      <c r="M800" s="86"/>
    </row>
    <row r="801">
      <c r="M801" s="86"/>
    </row>
    <row r="802">
      <c r="M802" s="86"/>
    </row>
    <row r="803">
      <c r="M803" s="86"/>
    </row>
    <row r="804">
      <c r="M804" s="86"/>
    </row>
    <row r="805">
      <c r="M805" s="86"/>
    </row>
    <row r="806">
      <c r="M806" s="86"/>
    </row>
    <row r="807">
      <c r="M807" s="86"/>
    </row>
    <row r="808">
      <c r="M808" s="86"/>
    </row>
    <row r="809">
      <c r="M809" s="86"/>
    </row>
    <row r="810">
      <c r="M810" s="86"/>
    </row>
    <row r="811">
      <c r="M811" s="86"/>
    </row>
    <row r="812">
      <c r="M812" s="86"/>
    </row>
    <row r="813">
      <c r="M813" s="86"/>
    </row>
    <row r="814">
      <c r="M814" s="86"/>
    </row>
    <row r="815">
      <c r="M815" s="86"/>
    </row>
    <row r="816">
      <c r="M816" s="86"/>
    </row>
    <row r="817">
      <c r="M817" s="86"/>
    </row>
    <row r="818">
      <c r="M818" s="86"/>
    </row>
    <row r="819">
      <c r="M819" s="86"/>
    </row>
    <row r="820">
      <c r="M820" s="86"/>
    </row>
    <row r="821">
      <c r="M821" s="86"/>
    </row>
    <row r="822">
      <c r="M822" s="86"/>
    </row>
    <row r="823">
      <c r="M823" s="86"/>
    </row>
    <row r="824">
      <c r="M824" s="86"/>
    </row>
    <row r="825">
      <c r="M825" s="86"/>
    </row>
    <row r="826">
      <c r="M826" s="86"/>
    </row>
    <row r="827">
      <c r="M827" s="86"/>
    </row>
    <row r="828">
      <c r="M828" s="86"/>
    </row>
    <row r="829">
      <c r="M829" s="86"/>
    </row>
    <row r="830">
      <c r="M830" s="86"/>
    </row>
    <row r="831">
      <c r="M831" s="86"/>
    </row>
    <row r="832">
      <c r="M832" s="86"/>
    </row>
    <row r="833">
      <c r="M833" s="86"/>
    </row>
    <row r="834">
      <c r="M834" s="86"/>
    </row>
    <row r="835">
      <c r="M835" s="86"/>
    </row>
    <row r="836">
      <c r="M836" s="86"/>
    </row>
    <row r="837">
      <c r="M837" s="86"/>
    </row>
    <row r="838">
      <c r="M838" s="86"/>
    </row>
    <row r="839">
      <c r="M839" s="86"/>
    </row>
    <row r="840">
      <c r="M840" s="86"/>
    </row>
    <row r="841">
      <c r="M841" s="86"/>
    </row>
    <row r="842">
      <c r="M842" s="86"/>
    </row>
    <row r="843">
      <c r="M843" s="86"/>
    </row>
    <row r="844">
      <c r="M844" s="86"/>
    </row>
    <row r="845">
      <c r="M845" s="86"/>
    </row>
    <row r="846">
      <c r="M846" s="86"/>
    </row>
    <row r="847">
      <c r="M847" s="86"/>
    </row>
    <row r="848">
      <c r="M848" s="86"/>
    </row>
    <row r="849">
      <c r="M849" s="86"/>
    </row>
    <row r="850">
      <c r="M850" s="86"/>
    </row>
    <row r="851">
      <c r="M851" s="86"/>
    </row>
    <row r="852">
      <c r="M852" s="86"/>
    </row>
    <row r="853">
      <c r="M853" s="86"/>
    </row>
    <row r="854">
      <c r="M854" s="86"/>
    </row>
    <row r="855">
      <c r="M855" s="86"/>
    </row>
    <row r="856">
      <c r="M856" s="86"/>
    </row>
    <row r="857">
      <c r="M857" s="86"/>
    </row>
    <row r="858">
      <c r="M858" s="86"/>
    </row>
    <row r="859">
      <c r="M859" s="86"/>
    </row>
    <row r="860">
      <c r="M860" s="86"/>
    </row>
    <row r="861">
      <c r="M861" s="86"/>
    </row>
    <row r="862">
      <c r="M862" s="86"/>
    </row>
    <row r="863">
      <c r="M863" s="86"/>
    </row>
    <row r="864">
      <c r="M864" s="86"/>
    </row>
    <row r="865">
      <c r="M865" s="86"/>
    </row>
    <row r="866">
      <c r="M866" s="86"/>
    </row>
    <row r="867">
      <c r="M867" s="86"/>
    </row>
    <row r="868">
      <c r="M868" s="86"/>
    </row>
    <row r="869">
      <c r="M869" s="86"/>
    </row>
    <row r="870">
      <c r="M870" s="86"/>
    </row>
    <row r="871">
      <c r="M871" s="86"/>
    </row>
    <row r="872">
      <c r="M872" s="86"/>
    </row>
    <row r="873">
      <c r="M873" s="86"/>
    </row>
    <row r="874">
      <c r="M874" s="86"/>
    </row>
    <row r="875">
      <c r="M875" s="86"/>
    </row>
    <row r="876">
      <c r="M876" s="86"/>
    </row>
    <row r="877">
      <c r="M877" s="86"/>
    </row>
    <row r="878">
      <c r="M878" s="86"/>
    </row>
    <row r="879">
      <c r="M879" s="86"/>
    </row>
    <row r="880">
      <c r="M880" s="86"/>
    </row>
    <row r="881">
      <c r="M881" s="86"/>
    </row>
    <row r="882">
      <c r="M882" s="86"/>
    </row>
    <row r="883">
      <c r="M883" s="86"/>
    </row>
    <row r="884">
      <c r="M884" s="86"/>
    </row>
    <row r="885">
      <c r="M885" s="86"/>
    </row>
    <row r="886">
      <c r="M886" s="86"/>
    </row>
    <row r="887">
      <c r="M887" s="86"/>
    </row>
    <row r="888">
      <c r="M888" s="86"/>
    </row>
    <row r="889">
      <c r="M889" s="86"/>
    </row>
    <row r="890">
      <c r="M890" s="86"/>
    </row>
    <row r="891">
      <c r="M891" s="86"/>
    </row>
    <row r="892">
      <c r="M892" s="86"/>
    </row>
    <row r="893">
      <c r="M893" s="86"/>
    </row>
    <row r="894">
      <c r="M894" s="86"/>
    </row>
    <row r="895">
      <c r="M895" s="86"/>
    </row>
    <row r="896">
      <c r="M896" s="86"/>
    </row>
    <row r="897">
      <c r="M897" s="86"/>
    </row>
    <row r="898">
      <c r="M898" s="86"/>
    </row>
    <row r="899">
      <c r="M899" s="86"/>
    </row>
    <row r="900">
      <c r="M900" s="86"/>
    </row>
    <row r="901">
      <c r="M901" s="86"/>
    </row>
    <row r="902">
      <c r="M902" s="86"/>
    </row>
    <row r="903">
      <c r="M903" s="86"/>
    </row>
    <row r="904">
      <c r="M904" s="86"/>
    </row>
    <row r="905">
      <c r="M905" s="86"/>
    </row>
    <row r="906">
      <c r="M906" s="86"/>
    </row>
    <row r="907">
      <c r="M907" s="86"/>
    </row>
    <row r="908">
      <c r="M908" s="86"/>
    </row>
    <row r="909">
      <c r="M909" s="86"/>
    </row>
    <row r="910">
      <c r="M910" s="86"/>
    </row>
    <row r="911">
      <c r="M911" s="86"/>
    </row>
    <row r="912">
      <c r="M912" s="86"/>
    </row>
    <row r="913">
      <c r="M913" s="86"/>
    </row>
    <row r="914">
      <c r="M914" s="86"/>
    </row>
    <row r="915">
      <c r="M915" s="86"/>
    </row>
    <row r="916">
      <c r="M916" s="86"/>
    </row>
    <row r="917">
      <c r="M917" s="86"/>
    </row>
    <row r="918">
      <c r="M918" s="86"/>
    </row>
    <row r="919">
      <c r="M919" s="86"/>
    </row>
    <row r="920">
      <c r="M920" s="86"/>
    </row>
    <row r="921">
      <c r="M921" s="86"/>
    </row>
    <row r="922">
      <c r="M922" s="86"/>
    </row>
    <row r="923">
      <c r="M923" s="86"/>
    </row>
    <row r="924">
      <c r="M924" s="86"/>
    </row>
    <row r="925">
      <c r="M925" s="86"/>
    </row>
    <row r="926">
      <c r="M926" s="86"/>
    </row>
    <row r="927">
      <c r="M927" s="86"/>
    </row>
    <row r="928">
      <c r="M928" s="86"/>
    </row>
    <row r="929">
      <c r="M929" s="86"/>
    </row>
    <row r="930">
      <c r="M930" s="86"/>
    </row>
    <row r="931">
      <c r="M931" s="86"/>
    </row>
    <row r="932">
      <c r="M932" s="86"/>
    </row>
    <row r="933">
      <c r="M933" s="86"/>
    </row>
    <row r="934">
      <c r="M934" s="86"/>
    </row>
    <row r="935">
      <c r="M935" s="86"/>
    </row>
    <row r="936">
      <c r="M936" s="86"/>
    </row>
    <row r="937">
      <c r="M937" s="86"/>
    </row>
    <row r="938">
      <c r="M938" s="86"/>
    </row>
    <row r="939">
      <c r="M939" s="86"/>
    </row>
    <row r="940">
      <c r="M940" s="86"/>
    </row>
    <row r="941">
      <c r="M941" s="86"/>
    </row>
    <row r="942">
      <c r="M942" s="86"/>
    </row>
    <row r="943">
      <c r="M943" s="86"/>
    </row>
    <row r="944">
      <c r="M944" s="86"/>
    </row>
    <row r="945">
      <c r="M945" s="86"/>
    </row>
    <row r="946">
      <c r="M946" s="86"/>
    </row>
    <row r="947">
      <c r="M947" s="86"/>
    </row>
    <row r="948">
      <c r="M948" s="86"/>
    </row>
    <row r="949">
      <c r="M949" s="86"/>
    </row>
    <row r="950">
      <c r="M950" s="86"/>
    </row>
    <row r="951">
      <c r="M951" s="86"/>
    </row>
    <row r="952">
      <c r="M952" s="86"/>
    </row>
    <row r="953">
      <c r="M953" s="86"/>
    </row>
    <row r="954">
      <c r="M954" s="86"/>
    </row>
    <row r="955">
      <c r="M955" s="86"/>
    </row>
    <row r="956">
      <c r="M956" s="86"/>
    </row>
    <row r="957">
      <c r="M957" s="86"/>
    </row>
    <row r="958">
      <c r="M958" s="86"/>
    </row>
    <row r="959">
      <c r="M959" s="86"/>
    </row>
    <row r="960">
      <c r="M960" s="86"/>
    </row>
    <row r="961">
      <c r="M961" s="86"/>
    </row>
    <row r="962">
      <c r="M962" s="86"/>
    </row>
    <row r="963">
      <c r="M963" s="86"/>
    </row>
    <row r="964">
      <c r="M964" s="86"/>
    </row>
    <row r="965">
      <c r="M965" s="86"/>
    </row>
    <row r="966">
      <c r="M966" s="86"/>
    </row>
    <row r="967">
      <c r="M967" s="86"/>
    </row>
    <row r="968">
      <c r="M968" s="86"/>
    </row>
    <row r="969">
      <c r="M969" s="86"/>
    </row>
    <row r="970">
      <c r="M970" s="86"/>
    </row>
    <row r="971">
      <c r="M971" s="86"/>
    </row>
    <row r="972">
      <c r="M972" s="86"/>
    </row>
    <row r="973">
      <c r="M973" s="86"/>
    </row>
    <row r="974">
      <c r="M974" s="86"/>
    </row>
    <row r="975">
      <c r="M975" s="86"/>
    </row>
    <row r="976">
      <c r="M976" s="86"/>
    </row>
    <row r="977">
      <c r="M977" s="86"/>
    </row>
    <row r="978">
      <c r="M978" s="86"/>
    </row>
    <row r="979">
      <c r="M979" s="86"/>
    </row>
    <row r="980">
      <c r="M980" s="86"/>
    </row>
    <row r="981">
      <c r="M981" s="86"/>
    </row>
    <row r="982">
      <c r="M982" s="86"/>
    </row>
    <row r="983">
      <c r="M983" s="86"/>
    </row>
    <row r="984">
      <c r="M984" s="86"/>
    </row>
    <row r="985">
      <c r="M985" s="86"/>
    </row>
    <row r="986">
      <c r="M986" s="86"/>
    </row>
    <row r="987">
      <c r="M987" s="86"/>
    </row>
    <row r="988">
      <c r="M988" s="86"/>
    </row>
    <row r="989">
      <c r="M989" s="86"/>
    </row>
    <row r="990">
      <c r="M990" s="86"/>
    </row>
    <row r="991">
      <c r="M991" s="86"/>
    </row>
    <row r="992">
      <c r="M992" s="86"/>
    </row>
    <row r="993">
      <c r="M993" s="86"/>
    </row>
    <row r="994">
      <c r="M994" s="86"/>
    </row>
    <row r="995">
      <c r="M995" s="86"/>
    </row>
    <row r="996">
      <c r="M996" s="86"/>
    </row>
    <row r="997">
      <c r="M997" s="86"/>
    </row>
    <row r="998">
      <c r="M998" s="86"/>
    </row>
    <row r="999">
      <c r="M999" s="8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89" t="s">
        <v>36</v>
      </c>
      <c r="C3" s="89" t="s">
        <v>37</v>
      </c>
      <c r="D3" s="89" t="s">
        <v>38</v>
      </c>
      <c r="E3" s="89" t="s">
        <v>39</v>
      </c>
      <c r="F3" s="89" t="s">
        <v>40</v>
      </c>
      <c r="G3" s="89" t="s">
        <v>41</v>
      </c>
    </row>
    <row r="4">
      <c r="B4" s="106" t="s">
        <v>42</v>
      </c>
      <c r="C4" s="89" t="s">
        <v>43</v>
      </c>
      <c r="D4" s="89" t="s">
        <v>44</v>
      </c>
      <c r="F4" s="89">
        <v>37.0</v>
      </c>
    </row>
    <row r="5">
      <c r="D5" s="89" t="s">
        <v>45</v>
      </c>
      <c r="E5" s="89"/>
      <c r="F5" s="89"/>
      <c r="G5" s="107">
        <v>156.0</v>
      </c>
    </row>
    <row r="6">
      <c r="D6" s="89" t="s">
        <v>46</v>
      </c>
    </row>
    <row r="8">
      <c r="C8" s="89" t="s">
        <v>47</v>
      </c>
      <c r="D8" s="89" t="s">
        <v>48</v>
      </c>
      <c r="G8" s="89">
        <v>191.0</v>
      </c>
    </row>
    <row r="9">
      <c r="D9" s="89" t="s">
        <v>49</v>
      </c>
      <c r="F9" s="89">
        <v>105.0</v>
      </c>
    </row>
    <row r="10">
      <c r="D10" s="89" t="s">
        <v>50</v>
      </c>
      <c r="F10" s="89">
        <v>105.0</v>
      </c>
    </row>
    <row r="12">
      <c r="C12" s="89" t="s">
        <v>51</v>
      </c>
      <c r="D12" s="89" t="s">
        <v>52</v>
      </c>
    </row>
    <row r="13">
      <c r="D13" s="89" t="s">
        <v>53</v>
      </c>
    </row>
    <row r="14">
      <c r="D14" s="89" t="s">
        <v>54</v>
      </c>
    </row>
    <row r="15">
      <c r="D15" s="89" t="s">
        <v>55</v>
      </c>
    </row>
    <row r="17">
      <c r="B17" s="89" t="s">
        <v>36</v>
      </c>
      <c r="C17" s="89" t="s">
        <v>37</v>
      </c>
      <c r="D17" s="89" t="s">
        <v>38</v>
      </c>
      <c r="E17" s="89" t="s">
        <v>39</v>
      </c>
      <c r="F17" s="89" t="s">
        <v>40</v>
      </c>
      <c r="G17" s="89" t="s">
        <v>41</v>
      </c>
    </row>
    <row r="18">
      <c r="B18" s="106" t="s">
        <v>56</v>
      </c>
      <c r="C18" s="89" t="s">
        <v>43</v>
      </c>
      <c r="D18" s="89" t="s">
        <v>44</v>
      </c>
    </row>
    <row r="19">
      <c r="D19" s="89" t="s">
        <v>45</v>
      </c>
    </row>
    <row r="20">
      <c r="D20" s="89" t="s">
        <v>46</v>
      </c>
    </row>
    <row r="22">
      <c r="C22" s="89" t="s">
        <v>47</v>
      </c>
      <c r="D22" s="89" t="s">
        <v>48</v>
      </c>
    </row>
    <row r="23">
      <c r="D23" s="89" t="s">
        <v>49</v>
      </c>
    </row>
    <row r="24">
      <c r="D24" s="89" t="s">
        <v>50</v>
      </c>
    </row>
    <row r="26">
      <c r="C26" s="89" t="s">
        <v>51</v>
      </c>
      <c r="D26" s="89" t="s">
        <v>52</v>
      </c>
      <c r="F26" s="89">
        <v>34.0</v>
      </c>
    </row>
    <row r="27">
      <c r="D27" s="89" t="s">
        <v>53</v>
      </c>
      <c r="F27" s="89">
        <v>138.0</v>
      </c>
    </row>
    <row r="28">
      <c r="D28" s="89" t="s">
        <v>54</v>
      </c>
      <c r="F28" s="89">
        <v>138.0</v>
      </c>
    </row>
    <row r="29">
      <c r="D29" s="89" t="s">
        <v>55</v>
      </c>
      <c r="F29" s="89">
        <v>171.0</v>
      </c>
    </row>
    <row r="31">
      <c r="B31" s="89" t="s">
        <v>36</v>
      </c>
      <c r="C31" s="89" t="s">
        <v>37</v>
      </c>
      <c r="D31" s="89" t="s">
        <v>38</v>
      </c>
      <c r="E31" s="89" t="s">
        <v>39</v>
      </c>
      <c r="F31" s="89" t="s">
        <v>40</v>
      </c>
      <c r="G31" s="89" t="s">
        <v>41</v>
      </c>
    </row>
    <row r="32">
      <c r="B32" s="106" t="s">
        <v>57</v>
      </c>
      <c r="C32" s="89" t="s">
        <v>43</v>
      </c>
      <c r="D32" s="89" t="s">
        <v>44</v>
      </c>
    </row>
    <row r="33">
      <c r="D33" s="89" t="s">
        <v>45</v>
      </c>
    </row>
    <row r="34">
      <c r="D34" s="89" t="s">
        <v>46</v>
      </c>
    </row>
    <row r="36">
      <c r="C36" s="89" t="s">
        <v>47</v>
      </c>
      <c r="D36" s="89" t="s">
        <v>48</v>
      </c>
    </row>
    <row r="37">
      <c r="D37" s="89" t="s">
        <v>49</v>
      </c>
    </row>
    <row r="38">
      <c r="D38" s="89" t="s">
        <v>50</v>
      </c>
    </row>
    <row r="40">
      <c r="C40" s="89" t="s">
        <v>51</v>
      </c>
      <c r="D40" s="89" t="s">
        <v>52</v>
      </c>
    </row>
    <row r="41">
      <c r="D41" s="89" t="s">
        <v>53</v>
      </c>
      <c r="F41" s="89">
        <v>158.0</v>
      </c>
      <c r="G41" s="89">
        <v>97.0</v>
      </c>
    </row>
    <row r="42">
      <c r="D42" s="89" t="s">
        <v>54</v>
      </c>
      <c r="F42" s="89">
        <v>158.0</v>
      </c>
      <c r="G42" s="89">
        <v>97.0</v>
      </c>
    </row>
    <row r="43">
      <c r="D43" s="89" t="s">
        <v>55</v>
      </c>
      <c r="F43" s="89">
        <v>196.0</v>
      </c>
    </row>
  </sheetData>
  <mergeCells count="3">
    <mergeCell ref="B4:B15"/>
    <mergeCell ref="B18:B29"/>
    <mergeCell ref="B32:B43"/>
  </mergeCells>
  <drawing r:id="rId1"/>
</worksheet>
</file>