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атя работа от 9.10.23\Аналитика\"/>
    </mc:Choice>
  </mc:AlternateContent>
  <xr:revisionPtr revIDLastSave="0" documentId="8_{6B476117-EE00-4D59-AB25-EDAAC4198044}" xr6:coauthVersionLast="47" xr6:coauthVersionMax="47" xr10:uidLastSave="{00000000-0000-0000-0000-000000000000}"/>
  <bookViews>
    <workbookView xWindow="-120" yWindow="-120" windowWidth="38640" windowHeight="21240" tabRatio="212" xr2:uid="{00000000-000D-0000-FFFF-FFFF00000000}"/>
  </bookViews>
  <sheets>
    <sheet name="Аналитика продаж по бренду LANC" sheetId="1" r:id="rId1"/>
  </sheets>
  <definedNames>
    <definedName name="_xlnm._FilterDatabase" localSheetId="0" hidden="1">'Аналитика продаж по бренду LANC'!$A$1:$T$97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<sst xmlns="http://schemas.openxmlformats.org/spreadsheetml/2006/main" count="308" uniqueCount="28">
  <si>
    <t>Название бренда</t>
  </si>
  <si>
    <t>ID Wildberries</t>
  </si>
  <si>
    <t>Артикул</t>
  </si>
  <si>
    <t>Категория</t>
  </si>
  <si>
    <t>Предмет</t>
  </si>
  <si>
    <t>Заказы, шт.</t>
  </si>
  <si>
    <t>Оплат из заказов за этот день, шт.</t>
  </si>
  <si>
    <t>Конверсия, %</t>
  </si>
  <si>
    <t>Сумма выкупов с учётом скидок, руб.</t>
  </si>
  <si>
    <t>Комиссия Wildberries, руб.</t>
  </si>
  <si>
    <t>Себестоимость выкупленного товара, руб.</t>
  </si>
  <si>
    <t>Расходы на рекламу, руб.</t>
  </si>
  <si>
    <t>Стоимость доставки, руб.</t>
  </si>
  <si>
    <t>Хранение, руб.</t>
  </si>
  <si>
    <t>Валовая прибыль, руб.</t>
  </si>
  <si>
    <t>Маржинальность, %</t>
  </si>
  <si>
    <t>Средний остаток в периоде, шт.</t>
  </si>
  <si>
    <t>Средняя себестоимость остатков в периоде, руб.</t>
  </si>
  <si>
    <t>Себестоимость единицы товара, руб.</t>
  </si>
  <si>
    <t>Рентабельность товарных остатков, %.</t>
  </si>
  <si>
    <t>LANCOF</t>
  </si>
  <si>
    <t>Кофе и цикорий</t>
  </si>
  <si>
    <t>Кофе молотый</t>
  </si>
  <si>
    <t>Кофе зерновой</t>
  </si>
  <si>
    <t>Вкусные подарки</t>
  </si>
  <si>
    <t>Чай и кофе</t>
  </si>
  <si>
    <t>lancof</t>
  </si>
  <si>
    <t>Продукты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</si>
</sst>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\₽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0"/>
      <color rgb="FF2358C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A78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/>
    <xf numFmtId="49" fontId="3" fillId="0" borderId="1" xfId="0" applyNumberFormat="1" applyFont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64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2.75" x14ac:dyDescent="0.2"/>
  <cols>
    <col min="1" max="2" width="11.42578125" customWidth="1"/>
    <col min="3" max="3" width="55" customWidth="1"/>
    <col min="4" max="5" width="11.42578125" customWidth="1"/>
    <col min="6" max="7" width="7.7109375" customWidth="1"/>
    <col min="8" max="8" width="5.7109375" customWidth="1"/>
    <col min="9" max="13" width="13.85546875" customWidth="1"/>
    <col min="14" max="14" width="11.42578125" customWidth="1"/>
    <col min="15" max="15" width="13.85546875" customWidth="1"/>
    <col min="16" max="16" width="5.7109375" customWidth="1"/>
    <col min="17" max="17" width="7.7109375" customWidth="1"/>
    <col min="18" max="19" width="13.85546875" customWidth="1"/>
    <col min="20" max="20" width="11.42578125" customWidth="1"/>
    <col min="21" max="1024" width="11.42578125"/>
  </cols>
  <sheetData>
    <row r="1" spans="1:20" ht="7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</row>
    <row r="2" spans="1:20" x14ac:dyDescent="0.2">
      <c r="A2" s="4" t="s">
        <v>20</v>
      </c>
      <c r="B2" s="8" t="str">
        <f>HYPERLINK("https://eggheads.solutions/wbProductRating/detalization/26878415/2024-08-31/30", "26878415")</f>
        <v>26878415</v>
      </c>
      <c r="C2" s="8" t="str">
        <f>HYPERLINK("https://www.wildberries.ru/catalog/26878415/detail.aspx?targetUrl=SP", "кофенаб_№7_кнп_мол_фр.в_ирл.кр_бв.ш_750")</f>
        <v>кофенаб_№7_кнп_мол_фр.в_ирл.кр_бв.ш_750</v>
      </c>
      <c r="D2" s="4" t="s">
        <v>21</v>
      </c>
      <c r="E2" s="4" t="s">
        <v>22</v>
      </c>
      <c r="F2" s="5">
        <v>200</v>
      </c>
      <c r="G2" s="5">
        <v>208</v>
      </c>
      <c r="H2" s="5">
        <v>100</v>
      </c>
      <c r="I2" s="6">
        <v>315685.55</v>
      </c>
      <c r="J2" s="6">
        <v>39035.4</v>
      </c>
      <c r="K2" s="6">
        <v>157217.9</v>
      </c>
      <c r="L2" s="6">
        <v>5867</v>
      </c>
      <c r="M2" s="6">
        <v>10214.34</v>
      </c>
      <c r="N2" s="6">
        <v>1173.3399999999999</v>
      </c>
      <c r="O2" s="9">
        <v>102177.55</v>
      </c>
      <c r="P2" s="5">
        <v>32</v>
      </c>
      <c r="Q2" s="7">
        <v>209.7</v>
      </c>
      <c r="R2" s="6">
        <v>159255.79</v>
      </c>
      <c r="S2" s="9">
        <v>768.89</v>
      </c>
      <c r="T2" s="10">
        <v>781</v>
      </c>
    </row>
    <row r="3" spans="1:20" x14ac:dyDescent="0.2">
      <c r="A3" s="4" t="s">
        <v>20</v>
      </c>
      <c r="B3" s="8" t="str">
        <f>HYPERLINK("https://eggheads.solutions/wbProductRating/detalization/25709473/2024-08-31/30", "25709473")</f>
        <v>25709473</v>
      </c>
      <c r="C3" s="8" t="str">
        <f>HYPERLINK("https://www.wildberries.ru/catalog/25709473/detail.aspx?targetUrl=SP", "кофе_кнп_ирлкрем_1000")</f>
        <v>кофе_кнп_ирлкрем_1000</v>
      </c>
      <c r="D3" s="4" t="s">
        <v>23</v>
      </c>
      <c r="E3" s="4" t="s">
        <v>23</v>
      </c>
      <c r="F3" s="5">
        <v>118</v>
      </c>
      <c r="G3" s="5">
        <v>125</v>
      </c>
      <c r="H3" s="5">
        <v>100</v>
      </c>
      <c r="I3" s="6">
        <v>217180.97</v>
      </c>
      <c r="J3" s="6">
        <v>27035.11</v>
      </c>
      <c r="K3" s="6">
        <v>117300</v>
      </c>
      <c r="L3" s="6">
        <v>3381</v>
      </c>
      <c r="M3" s="6">
        <v>7677.72</v>
      </c>
      <c r="N3" s="6">
        <v>2076.7600000000002</v>
      </c>
      <c r="O3" s="9">
        <v>59710.44</v>
      </c>
      <c r="P3" s="5">
        <v>27</v>
      </c>
      <c r="Q3" s="7">
        <v>223</v>
      </c>
      <c r="R3" s="6">
        <v>208947.17</v>
      </c>
      <c r="S3" s="9">
        <v>946</v>
      </c>
      <c r="T3" s="10">
        <v>348</v>
      </c>
    </row>
    <row r="4" spans="1:20" x14ac:dyDescent="0.2">
      <c r="A4" s="4" t="s">
        <v>20</v>
      </c>
      <c r="B4" s="8" t="str">
        <f>HYPERLINK("https://eggheads.solutions/wbProductRating/detalization/32880778/2024-08-31/30", "32880778")</f>
        <v>32880778</v>
      </c>
      <c r="C4" s="8" t="str">
        <f>HYPERLINK("https://www.wildberries.ru/catalog/32880778/detail.aspx?targetUrl=SP", "кофенаб_№3_кнп_мол_иркр_швшок_крап_750")</f>
        <v>кофенаб_№3_кнп_мол_иркр_швшок_крап_750</v>
      </c>
      <c r="D4" s="4" t="s">
        <v>21</v>
      </c>
      <c r="E4" s="4" t="s">
        <v>22</v>
      </c>
      <c r="F4" s="5">
        <v>158</v>
      </c>
      <c r="G4" s="5">
        <v>157</v>
      </c>
      <c r="H4" s="5">
        <v>99</v>
      </c>
      <c r="I4" s="6">
        <v>209430.95</v>
      </c>
      <c r="J4" s="6">
        <v>26150.61</v>
      </c>
      <c r="K4" s="6">
        <v>119646.19</v>
      </c>
      <c r="L4" s="6">
        <v>0</v>
      </c>
      <c r="M4" s="6">
        <v>8500.7900000000009</v>
      </c>
      <c r="N4" s="6">
        <v>820.77</v>
      </c>
      <c r="O4" s="9">
        <v>54312.51</v>
      </c>
      <c r="P4" s="5">
        <v>26</v>
      </c>
      <c r="Q4" s="7">
        <v>146.66999999999999</v>
      </c>
      <c r="R4" s="6">
        <v>111734.32</v>
      </c>
      <c r="S4" s="9">
        <v>768.9</v>
      </c>
      <c r="T4" s="10">
        <v>591</v>
      </c>
    </row>
    <row r="5" spans="1:20" x14ac:dyDescent="0.2">
      <c r="A5" s="4" t="s">
        <v>20</v>
      </c>
      <c r="B5" s="8" t="str">
        <f>HYPERLINK("https://eggheads.solutions/wbProductRating/detalization/26873084/2024-08-31/30", "26873084")</f>
        <v>26873084</v>
      </c>
      <c r="C5" s="8" t="str">
        <f>HYPERLINK("https://www.wildberries.ru/catalog/26873084/detail.aspx?targetUrl=SP", "кофенаб_№29_кнп_фр.в_ирл.кр_бав.ш_750")</f>
        <v>кофенаб_№29_кнп_фр.в_ирл.кр_бав.ш_750</v>
      </c>
      <c r="D5" s="4" t="s">
        <v>21</v>
      </c>
      <c r="E5" s="4" t="s">
        <v>23</v>
      </c>
      <c r="F5" s="5">
        <v>129</v>
      </c>
      <c r="G5" s="5">
        <v>132</v>
      </c>
      <c r="H5" s="5">
        <v>100</v>
      </c>
      <c r="I5" s="6">
        <v>199412.97</v>
      </c>
      <c r="J5" s="6">
        <v>24724.639999999999</v>
      </c>
      <c r="K5" s="6">
        <v>99495.48</v>
      </c>
      <c r="L5" s="6">
        <v>3395</v>
      </c>
      <c r="M5" s="6">
        <v>7100.1</v>
      </c>
      <c r="N5" s="6">
        <v>948.78</v>
      </c>
      <c r="O5" s="9">
        <v>63748.9</v>
      </c>
      <c r="P5" s="5">
        <v>32</v>
      </c>
      <c r="Q5" s="7">
        <v>156.63</v>
      </c>
      <c r="R5" s="6">
        <v>119071.63</v>
      </c>
      <c r="S5" s="9">
        <v>768.89</v>
      </c>
      <c r="T5" s="10">
        <v>651</v>
      </c>
    </row>
    <row r="6" spans="1:20" x14ac:dyDescent="0.2">
      <c r="A6" s="4" t="s">
        <v>20</v>
      </c>
      <c r="B6" s="8" t="str">
        <f>HYPERLINK("https://eggheads.solutions/wbProductRating/detalization/32880787/2024-08-31/30", "32880787")</f>
        <v>32880787</v>
      </c>
      <c r="C6" s="8" t="str">
        <f>HYPERLINK("https://www.wildberries.ru/catalog/32880787/detail.aspx?targetUrl=SP", "кофенаб_№8_кнп_мол_ирлкр_бейл_баун_750")</f>
        <v>кофенаб_№8_кнп_мол_ирлкр_бейл_баун_750</v>
      </c>
      <c r="D6" s="4" t="s">
        <v>22</v>
      </c>
      <c r="E6" s="4" t="s">
        <v>22</v>
      </c>
      <c r="F6" s="5">
        <v>112</v>
      </c>
      <c r="G6" s="5">
        <v>120</v>
      </c>
      <c r="H6" s="5">
        <v>100</v>
      </c>
      <c r="I6" s="6">
        <v>183272.53</v>
      </c>
      <c r="J6" s="6">
        <v>22825.06</v>
      </c>
      <c r="K6" s="6">
        <v>91553.87</v>
      </c>
      <c r="L6" s="6">
        <v>0</v>
      </c>
      <c r="M6" s="6">
        <v>6769.24</v>
      </c>
      <c r="N6" s="6">
        <v>1883.08</v>
      </c>
      <c r="O6" s="9">
        <v>60241.14</v>
      </c>
      <c r="P6" s="5">
        <v>33</v>
      </c>
      <c r="Q6" s="7">
        <v>292.37</v>
      </c>
      <c r="R6" s="6">
        <v>222653.97</v>
      </c>
      <c r="S6" s="9">
        <v>768.89</v>
      </c>
      <c r="T6" s="10">
        <v>329</v>
      </c>
    </row>
    <row r="7" spans="1:20" x14ac:dyDescent="0.2">
      <c r="A7" s="4" t="s">
        <v>20</v>
      </c>
      <c r="B7" s="8" t="str">
        <f>HYPERLINK("https://eggheads.solutions/wbProductRating/detalization/127656385/2024-08-31/30", "127656385")</f>
        <v>127656385</v>
      </c>
      <c r="C7" s="8" t="str">
        <f>HYPERLINK("https://www.wildberries.ru/catalog/127656385/detail.aspx?targetUrl=SP", "кофенаб_№2_кнп_мол_ирлкр_бисквмери_солкар_750")</f>
        <v>кофенаб_№2_кнп_мол_ирлкр_бисквмери_солкар_750</v>
      </c>
      <c r="D7" s="4" t="s">
        <v>22</v>
      </c>
      <c r="E7" s="4" t="s">
        <v>22</v>
      </c>
      <c r="F7" s="5">
        <v>114</v>
      </c>
      <c r="G7" s="5">
        <v>116</v>
      </c>
      <c r="H7" s="5">
        <v>100</v>
      </c>
      <c r="I7" s="6">
        <v>177422.73</v>
      </c>
      <c r="J7" s="6">
        <v>22075.14</v>
      </c>
      <c r="K7" s="6">
        <v>88264.04</v>
      </c>
      <c r="L7" s="6">
        <v>4037</v>
      </c>
      <c r="M7" s="6">
        <v>6187.14</v>
      </c>
      <c r="N7" s="6">
        <v>1842.46</v>
      </c>
      <c r="O7" s="9">
        <v>55016.81</v>
      </c>
      <c r="P7" s="5">
        <v>31</v>
      </c>
      <c r="Q7" s="7">
        <v>316.63</v>
      </c>
      <c r="R7" s="6">
        <v>241721.97</v>
      </c>
      <c r="S7" s="9">
        <v>768.9</v>
      </c>
      <c r="T7" s="10">
        <v>277</v>
      </c>
    </row>
    <row r="8" spans="1:20" x14ac:dyDescent="0.2">
      <c r="A8" s="4" t="s">
        <v>20</v>
      </c>
      <c r="B8" s="8" t="str">
        <f>HYPERLINK("https://eggheads.solutions/wbProductRating/detalization/26876543/2024-08-31/30", "26876543")</f>
        <v>26876543</v>
      </c>
      <c r="C8" s="8" t="str">
        <f>HYPERLINK("https://www.wildberries.ru/catalog/26876543/detail.aspx?targetUrl=SP", "кофе_кнп_мол_соленкарам_250")</f>
        <v>кофе_кнп_мол_соленкарам_250</v>
      </c>
      <c r="D8" s="4" t="s">
        <v>22</v>
      </c>
      <c r="E8" s="4" t="s">
        <v>22</v>
      </c>
      <c r="F8" s="5">
        <v>281</v>
      </c>
      <c r="G8" s="5">
        <v>310</v>
      </c>
      <c r="H8" s="5">
        <v>100</v>
      </c>
      <c r="I8" s="6">
        <v>176039.27</v>
      </c>
      <c r="J8" s="6">
        <v>20940.59</v>
      </c>
      <c r="K8" s="6">
        <v>78857.919999999998</v>
      </c>
      <c r="L8" s="6">
        <v>7641</v>
      </c>
      <c r="M8" s="6">
        <v>12037.91</v>
      </c>
      <c r="N8" s="6">
        <v>539.52</v>
      </c>
      <c r="O8" s="9">
        <v>56022.33</v>
      </c>
      <c r="P8" s="5">
        <v>32</v>
      </c>
      <c r="Q8" s="7">
        <v>221.1</v>
      </c>
      <c r="R8" s="6">
        <v>56114.98</v>
      </c>
      <c r="S8" s="9">
        <v>256.3</v>
      </c>
      <c r="T8" s="10">
        <v>1215</v>
      </c>
    </row>
    <row r="9" spans="1:20" x14ac:dyDescent="0.2">
      <c r="A9" s="4" t="s">
        <v>20</v>
      </c>
      <c r="B9" s="8" t="str">
        <f>HYPERLINK("https://eggheads.solutions/wbProductRating/detalization/25711828/2024-08-31/30", "25711828")</f>
        <v>25711828</v>
      </c>
      <c r="C9" s="8" t="str">
        <f>HYPERLINK("https://www.wildberries.ru/catalog/25711828/detail.aspx?targetUrl=SP", "кофе_кнп_мол_ирлкрем_250")</f>
        <v>кофе_кнп_мол_ирлкрем_250</v>
      </c>
      <c r="D9" s="4" t="s">
        <v>21</v>
      </c>
      <c r="E9" s="4" t="s">
        <v>22</v>
      </c>
      <c r="F9" s="5">
        <v>279</v>
      </c>
      <c r="G9" s="5">
        <v>293</v>
      </c>
      <c r="H9" s="5">
        <v>100</v>
      </c>
      <c r="I9" s="6">
        <v>165061.88</v>
      </c>
      <c r="J9" s="6">
        <v>20369.41</v>
      </c>
      <c r="K9" s="6">
        <v>74643.59</v>
      </c>
      <c r="L9" s="6">
        <v>0</v>
      </c>
      <c r="M9" s="6">
        <v>10601.27</v>
      </c>
      <c r="N9" s="6">
        <v>1455.46</v>
      </c>
      <c r="O9" s="9">
        <v>57992.03</v>
      </c>
      <c r="P9" s="5">
        <v>35</v>
      </c>
      <c r="Q9" s="7">
        <v>573.16999999999996</v>
      </c>
      <c r="R9" s="6">
        <v>146067.24</v>
      </c>
      <c r="S9" s="9">
        <v>256.3</v>
      </c>
      <c r="T9" s="10">
        <v>483</v>
      </c>
    </row>
    <row r="10" spans="1:20" x14ac:dyDescent="0.2">
      <c r="A10" s="4" t="s">
        <v>20</v>
      </c>
      <c r="B10" s="8" t="str">
        <f>HYPERLINK("https://eggheads.solutions/wbProductRating/detalization/142727921/2024-08-31/30", "142727921")</f>
        <v>142727921</v>
      </c>
      <c r="C10" s="8" t="str">
        <f>HYPERLINK("https://www.wildberries.ru/catalog/142727921/detail.aspx?targetUrl=SP", "кофенаб_№18_кнп_ирлкр_баунти_бавшок_750")</f>
        <v>кофенаб_№18_кнп_ирлкр_баунти_бавшок_750</v>
      </c>
      <c r="D10" s="4" t="s">
        <v>23</v>
      </c>
      <c r="E10" s="4" t="s">
        <v>23</v>
      </c>
      <c r="F10" s="5">
        <v>105</v>
      </c>
      <c r="G10" s="5">
        <v>105</v>
      </c>
      <c r="H10" s="5">
        <v>100</v>
      </c>
      <c r="I10" s="6">
        <v>148451.07</v>
      </c>
      <c r="J10" s="6">
        <v>18394.57</v>
      </c>
      <c r="K10" s="6">
        <v>80377.38</v>
      </c>
      <c r="L10" s="6">
        <v>3804</v>
      </c>
      <c r="M10" s="6">
        <v>5217.5200000000004</v>
      </c>
      <c r="N10" s="6">
        <v>491.67</v>
      </c>
      <c r="O10" s="9">
        <v>40165.800000000003</v>
      </c>
      <c r="P10" s="5">
        <v>27</v>
      </c>
      <c r="Q10" s="7">
        <v>83.67</v>
      </c>
      <c r="R10" s="6">
        <v>63726.78</v>
      </c>
      <c r="S10" s="9">
        <v>768.9</v>
      </c>
      <c r="T10" s="10">
        <v>767</v>
      </c>
    </row>
    <row r="11" spans="1:20" x14ac:dyDescent="0.2">
      <c r="A11" s="4" t="s">
        <v>20</v>
      </c>
      <c r="B11" s="8" t="str">
        <f>HYPERLINK("https://eggheads.solutions/wbProductRating/detalization/32880782/2024-08-31/30", "32880782")</f>
        <v>32880782</v>
      </c>
      <c r="C11" s="8" t="str">
        <f>HYPERLINK("https://www.wildberries.ru/catalog/32880782/detail.aspx?targetUrl=SP", "кофенаб_№11_кнп_мол_баунт_заб_амар_750")</f>
        <v>кофенаб_№11_кнп_мол_баунт_заб_амар_750</v>
      </c>
      <c r="D11" s="4" t="s">
        <v>22</v>
      </c>
      <c r="E11" s="4" t="s">
        <v>22</v>
      </c>
      <c r="F11" s="5">
        <v>99</v>
      </c>
      <c r="G11" s="5">
        <v>88</v>
      </c>
      <c r="H11" s="5">
        <v>88</v>
      </c>
      <c r="I11" s="6">
        <v>134714.64000000001</v>
      </c>
      <c r="J11" s="6">
        <v>16841.310000000001</v>
      </c>
      <c r="K11" s="6">
        <v>67377.5</v>
      </c>
      <c r="L11" s="6">
        <v>14871</v>
      </c>
      <c r="M11" s="6">
        <v>4866.26</v>
      </c>
      <c r="N11" s="6">
        <v>1532.83</v>
      </c>
      <c r="O11" s="9">
        <v>29225.67</v>
      </c>
      <c r="P11" s="5">
        <v>22</v>
      </c>
      <c r="Q11" s="7">
        <v>240.23</v>
      </c>
      <c r="R11" s="6">
        <v>183220.77</v>
      </c>
      <c r="S11" s="9">
        <v>768.89</v>
      </c>
      <c r="T11" s="10">
        <v>194</v>
      </c>
    </row>
    <row r="12" spans="1:20" x14ac:dyDescent="0.2">
      <c r="A12" s="4" t="s">
        <v>20</v>
      </c>
      <c r="B12" s="8" t="str">
        <f>HYPERLINK("https://eggheads.solutions/wbProductRating/detalization/240371371/2024-08-31/30", "240371371")</f>
        <v>240371371</v>
      </c>
      <c r="C12" s="8" t="str">
        <f>HYPERLINK("https://www.wildberries.ru/catalog/240371371/detail.aspx?targetUrl=SP", "кофенаб_№43_кнп_мол_750_ирл.кр_шв.шок_нутелла")</f>
        <v>кофенаб_№43_кнп_мол_750_ирл.кр_шв.шок_нутелла</v>
      </c>
      <c r="D12" s="4" t="s">
        <v>22</v>
      </c>
      <c r="E12" s="4" t="s">
        <v>22</v>
      </c>
      <c r="F12" s="5">
        <v>78</v>
      </c>
      <c r="G12" s="5">
        <v>79</v>
      </c>
      <c r="H12" s="5">
        <v>100</v>
      </c>
      <c r="I12" s="6">
        <v>122007.54</v>
      </c>
      <c r="J12" s="6">
        <v>15075.64</v>
      </c>
      <c r="K12" s="6">
        <v>56898.52</v>
      </c>
      <c r="L12" s="6">
        <v>0</v>
      </c>
      <c r="M12" s="6">
        <v>4132.7299999999996</v>
      </c>
      <c r="N12" s="6">
        <v>284.66000000000003</v>
      </c>
      <c r="O12" s="9">
        <v>45615.93</v>
      </c>
      <c r="P12" s="5">
        <v>37</v>
      </c>
      <c r="Q12" s="7">
        <v>55.07</v>
      </c>
      <c r="R12" s="6">
        <v>40700.44</v>
      </c>
      <c r="S12" s="9">
        <v>768.9</v>
      </c>
      <c r="T12" s="10">
        <v>1364</v>
      </c>
    </row>
    <row r="13" spans="1:20" x14ac:dyDescent="0.2">
      <c r="A13" s="4" t="s">
        <v>20</v>
      </c>
      <c r="B13" s="8" t="str">
        <f>HYPERLINK("https://eggheads.solutions/wbProductRating/detalization/122831720/2024-08-31/30", "122831720")</f>
        <v>122831720</v>
      </c>
      <c r="C13" s="8" t="str">
        <f>HYPERLINK("https://www.wildberries.ru/catalog/122831720/detail.aspx?targetUrl=SP", "кофе_кнп_мол_ирлкрем_500")</f>
        <v>кофе_кнп_мол_ирлкрем_500</v>
      </c>
      <c r="D13" s="4" t="s">
        <v>21</v>
      </c>
      <c r="E13" s="4" t="s">
        <v>22</v>
      </c>
      <c r="F13" s="5">
        <v>104</v>
      </c>
      <c r="G13" s="5">
        <v>117</v>
      </c>
      <c r="H13" s="5">
        <v>100</v>
      </c>
      <c r="I13" s="6">
        <v>120428.5</v>
      </c>
      <c r="J13" s="6">
        <v>14973.94</v>
      </c>
      <c r="K13" s="6">
        <v>59402.93</v>
      </c>
      <c r="L13" s="6">
        <v>3144</v>
      </c>
      <c r="M13" s="6">
        <v>5148.9799999999996</v>
      </c>
      <c r="N13" s="6">
        <v>380.41</v>
      </c>
      <c r="O13" s="9">
        <v>37378.17</v>
      </c>
      <c r="P13" s="5">
        <v>31</v>
      </c>
      <c r="Q13" s="7">
        <v>100.63</v>
      </c>
      <c r="R13" s="6">
        <v>51230.82</v>
      </c>
      <c r="S13" s="9">
        <v>512.6</v>
      </c>
      <c r="T13" s="10">
        <v>888</v>
      </c>
    </row>
    <row r="14" spans="1:20" x14ac:dyDescent="0.2">
      <c r="A14" s="4" t="s">
        <v>20</v>
      </c>
      <c r="B14" s="8" t="str">
        <f>HYPERLINK("https://eggheads.solutions/wbProductRating/detalization/108613210/2024-08-31/30", "108613210")</f>
        <v>108613210</v>
      </c>
      <c r="C14" s="8" t="str">
        <f>HYPERLINK("https://www.wildberries.ru/catalog/108613210/detail.aspx?targetUrl=SP", "кофе_кнп_мол_ромсшок_250")</f>
        <v>кофе_кнп_мол_ромсшок_250</v>
      </c>
      <c r="D14" s="4" t="s">
        <v>21</v>
      </c>
      <c r="E14" s="4" t="s">
        <v>22</v>
      </c>
      <c r="F14" s="5">
        <v>188</v>
      </c>
      <c r="G14" s="5">
        <v>197</v>
      </c>
      <c r="H14" s="5">
        <v>100</v>
      </c>
      <c r="I14" s="6">
        <v>110774.23</v>
      </c>
      <c r="J14" s="6">
        <v>13695.12</v>
      </c>
      <c r="K14" s="6">
        <v>49967.38</v>
      </c>
      <c r="L14" s="6">
        <v>0</v>
      </c>
      <c r="M14" s="6">
        <v>7869.73</v>
      </c>
      <c r="N14" s="6">
        <v>1412.02</v>
      </c>
      <c r="O14" s="9">
        <v>37829.870000000003</v>
      </c>
      <c r="P14" s="5">
        <v>34</v>
      </c>
      <c r="Q14" s="7">
        <v>500.9</v>
      </c>
      <c r="R14" s="6">
        <v>127594.47</v>
      </c>
      <c r="S14" s="9">
        <v>232.5</v>
      </c>
      <c r="T14" s="10">
        <v>361</v>
      </c>
    </row>
    <row r="15" spans="1:20" x14ac:dyDescent="0.2">
      <c r="A15" s="4" t="s">
        <v>20</v>
      </c>
      <c r="B15" s="8" t="str">
        <f>HYPERLINK("https://eggheads.solutions/wbProductRating/detalization/240371372/2024-08-31/30", "240371372")</f>
        <v>240371372</v>
      </c>
      <c r="C15" s="8" t="str">
        <f>HYPERLINK("https://www.wildberries.ru/catalog/240371372/detail.aspx?targetUrl=SP", "кофенаб_№44_кнп_мол_750_фр.ван_бейлис_сол.кар")</f>
        <v>кофенаб_№44_кнп_мол_750_фр.ван_бейлис_сол.кар</v>
      </c>
      <c r="D15" s="4" t="s">
        <v>22</v>
      </c>
      <c r="E15" s="4" t="s">
        <v>22</v>
      </c>
      <c r="F15" s="5">
        <v>64</v>
      </c>
      <c r="G15" s="5">
        <v>74</v>
      </c>
      <c r="H15" s="5">
        <v>100</v>
      </c>
      <c r="I15" s="6">
        <v>109174.78</v>
      </c>
      <c r="J15" s="6">
        <v>13384.55</v>
      </c>
      <c r="K15" s="6">
        <v>53054.080000000002</v>
      </c>
      <c r="L15" s="6">
        <v>0</v>
      </c>
      <c r="M15" s="6">
        <v>3185.98</v>
      </c>
      <c r="N15" s="6">
        <v>135.34</v>
      </c>
      <c r="O15" s="9">
        <v>39414.81</v>
      </c>
      <c r="P15" s="5">
        <v>36</v>
      </c>
      <c r="Q15" s="7">
        <v>28.47</v>
      </c>
      <c r="R15" s="6">
        <v>20939.71</v>
      </c>
      <c r="S15" s="9">
        <v>768.9</v>
      </c>
      <c r="T15" s="10">
        <v>2290</v>
      </c>
    </row>
    <row r="16" spans="1:20" x14ac:dyDescent="0.2">
      <c r="A16" s="4" t="s">
        <v>20</v>
      </c>
      <c r="B16" s="8" t="str">
        <f>HYPERLINK("https://eggheads.solutions/wbProductRating/detalization/26877626/2024-08-31/30", "26877626")</f>
        <v>26877626</v>
      </c>
      <c r="C16" s="8" t="str">
        <f>HYPERLINK("https://www.wildberries.ru/catalog/26877626/detail.aspx?targetUrl=SP", "кофе_кнп_забаглионе_1000")</f>
        <v>кофе_кнп_забаглионе_1000</v>
      </c>
      <c r="D16" s="4" t="s">
        <v>23</v>
      </c>
      <c r="E16" s="4" t="s">
        <v>23</v>
      </c>
      <c r="F16" s="5">
        <v>62</v>
      </c>
      <c r="G16" s="5">
        <v>65</v>
      </c>
      <c r="H16" s="5">
        <v>100</v>
      </c>
      <c r="I16" s="6">
        <v>109227.95</v>
      </c>
      <c r="J16" s="6">
        <v>13590.17</v>
      </c>
      <c r="K16" s="6">
        <v>61300</v>
      </c>
      <c r="L16" s="6">
        <v>325</v>
      </c>
      <c r="M16" s="6">
        <v>3332.14</v>
      </c>
      <c r="N16" s="6">
        <v>1053.3499999999999</v>
      </c>
      <c r="O16" s="9">
        <v>29627.32</v>
      </c>
      <c r="P16" s="5">
        <v>27</v>
      </c>
      <c r="Q16" s="7">
        <v>122.03</v>
      </c>
      <c r="R16" s="6">
        <v>114199.03</v>
      </c>
      <c r="S16" s="9">
        <v>946</v>
      </c>
      <c r="T16" s="10">
        <v>316</v>
      </c>
    </row>
    <row r="17" spans="1:20" x14ac:dyDescent="0.2">
      <c r="A17" s="4" t="s">
        <v>20</v>
      </c>
      <c r="B17" s="8" t="str">
        <f>HYPERLINK("https://eggheads.solutions/wbProductRating/detalization/127656384/2024-08-31/30", "127656384")</f>
        <v>127656384</v>
      </c>
      <c r="C17" s="8" t="str">
        <f>HYPERLINK("https://www.wildberries.ru/catalog/127656384/detail.aspx?targetUrl=SP", "кофенаб_№16_кнп_мол_ромсшок_забагл_турмед_750")</f>
        <v>кофенаб_№16_кнп_мол_ромсшок_забагл_турмед_750</v>
      </c>
      <c r="D17" s="4" t="s">
        <v>22</v>
      </c>
      <c r="E17" s="4" t="s">
        <v>22</v>
      </c>
      <c r="F17" s="5">
        <v>77</v>
      </c>
      <c r="G17" s="5">
        <v>76</v>
      </c>
      <c r="H17" s="5">
        <v>98</v>
      </c>
      <c r="I17" s="6">
        <v>106588.08</v>
      </c>
      <c r="J17" s="6">
        <v>13175.83</v>
      </c>
      <c r="K17" s="6">
        <v>58436.32</v>
      </c>
      <c r="L17" s="6">
        <v>0</v>
      </c>
      <c r="M17" s="6">
        <v>4016.96</v>
      </c>
      <c r="N17" s="6">
        <v>329.03</v>
      </c>
      <c r="O17" s="9">
        <v>30629.85</v>
      </c>
      <c r="P17" s="5">
        <v>29</v>
      </c>
      <c r="Q17" s="7">
        <v>57.4</v>
      </c>
      <c r="R17" s="6">
        <v>43651.72</v>
      </c>
      <c r="S17" s="9">
        <v>768.89</v>
      </c>
      <c r="T17" s="10">
        <v>854</v>
      </c>
    </row>
    <row r="18" spans="1:20" x14ac:dyDescent="0.2">
      <c r="A18" s="4" t="s">
        <v>20</v>
      </c>
      <c r="B18" s="8" t="str">
        <f>HYPERLINK("https://eggheads.solutions/wbProductRating/detalization/39824420/2024-08-31/30", "39824420")</f>
        <v>39824420</v>
      </c>
      <c r="C18" s="8" t="str">
        <f>HYPERLINK("https://www.wildberries.ru/catalog/39824420/detail.aspx?targetUrl=SP", "кофенаб_№31_кнп_бейл_амар_забагл_750")</f>
        <v>кофенаб_№31_кнп_бейл_амар_забагл_750</v>
      </c>
      <c r="D18" s="4" t="s">
        <v>24</v>
      </c>
      <c r="E18" s="4" t="s">
        <v>23</v>
      </c>
      <c r="F18" s="5">
        <v>67</v>
      </c>
      <c r="G18" s="5">
        <v>76</v>
      </c>
      <c r="H18" s="5">
        <v>100</v>
      </c>
      <c r="I18" s="6">
        <v>102877.97</v>
      </c>
      <c r="J18" s="6">
        <v>12734.1</v>
      </c>
      <c r="K18" s="6">
        <v>58150.7</v>
      </c>
      <c r="L18" s="6">
        <v>197</v>
      </c>
      <c r="M18" s="6">
        <v>3342.19</v>
      </c>
      <c r="N18" s="6">
        <v>402.85</v>
      </c>
      <c r="O18" s="9">
        <v>28051.01</v>
      </c>
      <c r="P18" s="5">
        <v>27</v>
      </c>
      <c r="Q18" s="7">
        <v>71.900000000000006</v>
      </c>
      <c r="R18" s="6">
        <v>54715.09</v>
      </c>
      <c r="S18" s="9">
        <v>768.89</v>
      </c>
      <c r="T18" s="10">
        <v>624</v>
      </c>
    </row>
    <row r="19" spans="1:20" x14ac:dyDescent="0.2">
      <c r="A19" s="4" t="s">
        <v>20</v>
      </c>
      <c r="B19" s="8" t="str">
        <f>HYPERLINK("https://eggheads.solutions/wbProductRating/detalization/25714647/2024-08-31/30", "25714647")</f>
        <v>25714647</v>
      </c>
      <c r="C19" s="8" t="str">
        <f>HYPERLINK("https://www.wildberries.ru/catalog/25714647/detail.aspx?targetUrl=SP", "кофе_кнп_фрваниль_1000")</f>
        <v>кофе_кнп_фрваниль_1000</v>
      </c>
      <c r="D19" s="4" t="s">
        <v>23</v>
      </c>
      <c r="E19" s="4" t="s">
        <v>23</v>
      </c>
      <c r="F19" s="5">
        <v>57</v>
      </c>
      <c r="G19" s="5">
        <v>60</v>
      </c>
      <c r="H19" s="5">
        <v>100</v>
      </c>
      <c r="I19" s="6">
        <v>99187.520000000004</v>
      </c>
      <c r="J19" s="6">
        <v>12232.63</v>
      </c>
      <c r="K19" s="6">
        <v>56665</v>
      </c>
      <c r="L19" s="6">
        <v>1111</v>
      </c>
      <c r="M19" s="6">
        <v>3514.67</v>
      </c>
      <c r="N19" s="6">
        <v>1156.92</v>
      </c>
      <c r="O19" s="9">
        <v>24507.279999999999</v>
      </c>
      <c r="P19" s="5">
        <v>25</v>
      </c>
      <c r="Q19" s="7">
        <v>154.4</v>
      </c>
      <c r="R19" s="6">
        <v>145273.9</v>
      </c>
      <c r="S19" s="9">
        <v>946</v>
      </c>
      <c r="T19" s="10">
        <v>205</v>
      </c>
    </row>
    <row r="20" spans="1:20" x14ac:dyDescent="0.2">
      <c r="A20" s="4" t="s">
        <v>20</v>
      </c>
      <c r="B20" s="8" t="str">
        <f>HYPERLINK("https://eggheads.solutions/wbProductRating/detalization/142727379/2024-08-31/30", "142727379")</f>
        <v>142727379</v>
      </c>
      <c r="C20" s="8" t="str">
        <f>HYPERLINK("https://www.wildberries.ru/catalog/142727379/detail.aspx?targetUrl=SP", "кофенаб_№15_кнп_мол_ирлкр_баунти_бавшок_750")</f>
        <v>кофенаб_№15_кнп_мол_ирлкр_баунти_бавшок_750</v>
      </c>
      <c r="D20" s="4" t="s">
        <v>22</v>
      </c>
      <c r="E20" s="4" t="s">
        <v>22</v>
      </c>
      <c r="F20" s="5">
        <v>67</v>
      </c>
      <c r="G20" s="5">
        <v>64</v>
      </c>
      <c r="H20" s="5">
        <v>95</v>
      </c>
      <c r="I20" s="6">
        <v>95627.64</v>
      </c>
      <c r="J20" s="6">
        <v>10847.56</v>
      </c>
      <c r="K20" s="6">
        <v>49066.67</v>
      </c>
      <c r="L20" s="6">
        <v>0</v>
      </c>
      <c r="M20" s="6">
        <v>3851.21</v>
      </c>
      <c r="N20" s="6">
        <v>929.59</v>
      </c>
      <c r="O20" s="9">
        <v>30932.49</v>
      </c>
      <c r="P20" s="5">
        <v>32</v>
      </c>
      <c r="Q20" s="7">
        <v>147.07</v>
      </c>
      <c r="R20" s="6">
        <v>112060.92</v>
      </c>
      <c r="S20" s="9">
        <v>768.9</v>
      </c>
      <c r="T20" s="10">
        <v>336</v>
      </c>
    </row>
    <row r="21" spans="1:20" x14ac:dyDescent="0.2">
      <c r="A21" s="4" t="s">
        <v>20</v>
      </c>
      <c r="B21" s="8" t="str">
        <f>HYPERLINK("https://eggheads.solutions/wbProductRating/detalization/39824411/2024-08-31/30", "39824411")</f>
        <v>39824411</v>
      </c>
      <c r="C21" s="8" t="str">
        <f>HYPERLINK("https://www.wildberries.ru/catalog/39824411/detail.aspx?targetUrl=SP", "кофенаб_№10_кнп_мол_бейл_амар_забагл_750")</f>
        <v>кофенаб_№10_кнп_мол_бейл_амар_забагл_750</v>
      </c>
      <c r="D21" s="4" t="s">
        <v>22</v>
      </c>
      <c r="E21" s="4" t="s">
        <v>22</v>
      </c>
      <c r="F21" s="5">
        <v>60</v>
      </c>
      <c r="G21" s="5">
        <v>61</v>
      </c>
      <c r="H21" s="5">
        <v>100</v>
      </c>
      <c r="I21" s="6">
        <v>94622.03</v>
      </c>
      <c r="J21" s="6">
        <v>11773.48</v>
      </c>
      <c r="K21" s="6">
        <v>46545.81</v>
      </c>
      <c r="L21" s="6">
        <v>6725</v>
      </c>
      <c r="M21" s="6">
        <v>3150.63</v>
      </c>
      <c r="N21" s="6">
        <v>808.14</v>
      </c>
      <c r="O21" s="9">
        <v>25618.959999999999</v>
      </c>
      <c r="P21" s="5">
        <v>27</v>
      </c>
      <c r="Q21" s="7">
        <v>132.69999999999999</v>
      </c>
      <c r="R21" s="6">
        <v>101307.13</v>
      </c>
      <c r="S21" s="9">
        <v>768.89</v>
      </c>
      <c r="T21" s="10">
        <v>308</v>
      </c>
    </row>
    <row r="22" spans="1:20" x14ac:dyDescent="0.2">
      <c r="A22" s="4" t="s">
        <v>20</v>
      </c>
      <c r="B22" s="8" t="str">
        <f>HYPERLINK("https://eggheads.solutions/wbProductRating/detalization/186120145/2024-08-31/30", "186120145")</f>
        <v>186120145</v>
      </c>
      <c r="C22" s="8" t="str">
        <f>HYPERLINK("https://www.wildberries.ru/catalog/186120145/detail.aspx?targetUrl=SP", "кофенаб_№5_кнп_мол_ирлкр_амаретто_ночьтур_750")</f>
        <v>кофенаб_№5_кнп_мол_ирлкр_амаретто_ночьтур_750</v>
      </c>
      <c r="D22" s="4" t="s">
        <v>21</v>
      </c>
      <c r="E22" s="4" t="s">
        <v>22</v>
      </c>
      <c r="F22" s="5">
        <v>70</v>
      </c>
      <c r="G22" s="5">
        <v>68</v>
      </c>
      <c r="H22" s="5">
        <v>97</v>
      </c>
      <c r="I22" s="6">
        <v>93719.05</v>
      </c>
      <c r="J22" s="6">
        <v>11674.76</v>
      </c>
      <c r="K22" s="6">
        <v>52213.68</v>
      </c>
      <c r="L22" s="6">
        <v>0</v>
      </c>
      <c r="M22" s="6">
        <v>3678.92</v>
      </c>
      <c r="N22" s="6">
        <v>965.33</v>
      </c>
      <c r="O22" s="9">
        <v>25186.3</v>
      </c>
      <c r="P22" s="5">
        <v>27</v>
      </c>
      <c r="Q22" s="7">
        <v>150.6</v>
      </c>
      <c r="R22" s="6">
        <v>114941.92</v>
      </c>
      <c r="S22" s="9">
        <v>768.89</v>
      </c>
      <c r="T22" s="10">
        <v>267</v>
      </c>
    </row>
    <row r="23" spans="1:20" x14ac:dyDescent="0.2">
      <c r="A23" s="4" t="s">
        <v>20</v>
      </c>
      <c r="B23" s="8" t="str">
        <f>HYPERLINK("https://eggheads.solutions/wbProductRating/detalization/25717633/2024-08-31/30", "25717633")</f>
        <v>25717633</v>
      </c>
      <c r="C23" s="8" t="str">
        <f>HYPERLINK("https://www.wildberries.ru/catalog/25717633/detail.aspx?targetUrl=SP", "кофе_кнп_мол_фрваниль_250")</f>
        <v>кофе_кнп_мол_фрваниль_250</v>
      </c>
      <c r="D23" s="4" t="s">
        <v>22</v>
      </c>
      <c r="E23" s="4" t="s">
        <v>22</v>
      </c>
      <c r="F23" s="5">
        <v>164</v>
      </c>
      <c r="G23" s="5">
        <v>166</v>
      </c>
      <c r="H23" s="5">
        <v>100</v>
      </c>
      <c r="I23" s="6">
        <v>92591.91</v>
      </c>
      <c r="J23" s="6">
        <v>11444.12</v>
      </c>
      <c r="K23" s="6">
        <v>42117.3</v>
      </c>
      <c r="L23" s="6">
        <v>0</v>
      </c>
      <c r="M23" s="6">
        <v>6532.34</v>
      </c>
      <c r="N23" s="6">
        <v>679.55</v>
      </c>
      <c r="O23" s="9">
        <v>31818.48</v>
      </c>
      <c r="P23" s="5">
        <v>34</v>
      </c>
      <c r="Q23" s="7">
        <v>242.67</v>
      </c>
      <c r="R23" s="6">
        <v>61669.48</v>
      </c>
      <c r="S23" s="9">
        <v>256.3</v>
      </c>
      <c r="T23" s="10">
        <v>628</v>
      </c>
    </row>
    <row r="24" spans="1:20" x14ac:dyDescent="0.2">
      <c r="A24" s="4" t="s">
        <v>20</v>
      </c>
      <c r="B24" s="8" t="str">
        <f>HYPERLINK("https://eggheads.solutions/wbProductRating/detalization/152462638/2024-08-31/30", "152462638")</f>
        <v>152462638</v>
      </c>
      <c r="C24" s="8" t="str">
        <f>HYPERLINK("https://www.wildberries.ru/catalog/152462638/detail.aspx?targetUrl=SP", "кофенаб_№14_кнп_мол_espr.crema_фр.ван_бав.шок_750")</f>
        <v>кофенаб_№14_кнп_мол_espr.crema_фр.ван_бав.шок_750</v>
      </c>
      <c r="D24" s="4" t="s">
        <v>22</v>
      </c>
      <c r="E24" s="4" t="s">
        <v>22</v>
      </c>
      <c r="F24" s="5">
        <v>54</v>
      </c>
      <c r="G24" s="5">
        <v>65</v>
      </c>
      <c r="H24" s="5">
        <v>100</v>
      </c>
      <c r="I24" s="6">
        <v>91389</v>
      </c>
      <c r="J24" s="6">
        <v>11348.15</v>
      </c>
      <c r="K24" s="6">
        <v>49687.09</v>
      </c>
      <c r="L24" s="6">
        <v>0</v>
      </c>
      <c r="M24" s="6">
        <v>3214.44</v>
      </c>
      <c r="N24" s="6">
        <v>486.52</v>
      </c>
      <c r="O24" s="9">
        <v>26652.67</v>
      </c>
      <c r="P24" s="5">
        <v>29</v>
      </c>
      <c r="Q24" s="7">
        <v>88.07</v>
      </c>
      <c r="R24" s="6">
        <v>66835.259999999995</v>
      </c>
      <c r="S24" s="9">
        <v>702</v>
      </c>
      <c r="T24" s="10">
        <v>485</v>
      </c>
    </row>
    <row r="25" spans="1:20" x14ac:dyDescent="0.2">
      <c r="A25" s="4" t="s">
        <v>20</v>
      </c>
      <c r="B25" s="8" t="str">
        <f>HYPERLINK("https://eggheads.solutions/wbProductRating/detalization/240371373/2024-08-31/30", "240371373")</f>
        <v>240371373</v>
      </c>
      <c r="C25" s="8" t="str">
        <f>HYPERLINK("https://www.wildberries.ru/catalog/240371373/detail.aspx?targetUrl=SP", "кофенаб_№45_кнп_мол_750_фр.ван_ромшок_корица")</f>
        <v>кофенаб_№45_кнп_мол_750_фр.ван_ромшок_корица</v>
      </c>
      <c r="D25" s="4" t="s">
        <v>22</v>
      </c>
      <c r="E25" s="4" t="s">
        <v>22</v>
      </c>
      <c r="F25" s="5">
        <v>54</v>
      </c>
      <c r="G25" s="5">
        <v>61</v>
      </c>
      <c r="H25" s="5">
        <v>100</v>
      </c>
      <c r="I25" s="6">
        <v>90102.43</v>
      </c>
      <c r="J25" s="6">
        <v>11103.69</v>
      </c>
      <c r="K25" s="6">
        <v>43827.25</v>
      </c>
      <c r="L25" s="6">
        <v>0</v>
      </c>
      <c r="M25" s="6">
        <v>2869.73</v>
      </c>
      <c r="N25" s="6">
        <v>271.14999999999998</v>
      </c>
      <c r="O25" s="9">
        <v>32030.560000000001</v>
      </c>
      <c r="P25" s="5">
        <v>36</v>
      </c>
      <c r="Q25" s="7">
        <v>46.1</v>
      </c>
      <c r="R25" s="6">
        <v>33319</v>
      </c>
      <c r="S25" s="9">
        <v>768.9</v>
      </c>
      <c r="T25" s="10">
        <v>1170</v>
      </c>
    </row>
    <row r="26" spans="1:20" x14ac:dyDescent="0.2">
      <c r="A26" s="4" t="s">
        <v>20</v>
      </c>
      <c r="B26" s="8" t="str">
        <f>HYPERLINK("https://eggheads.solutions/wbProductRating/detalization/25719515/2024-08-31/30", "25719515")</f>
        <v>25719515</v>
      </c>
      <c r="C26" s="8" t="str">
        <f>HYPERLINK("https://www.wildberries.ru/catalog/25719515/detail.aspx?targetUrl=SP", "кофе_кнп_бавшок_1000")</f>
        <v>кофе_кнп_бавшок_1000</v>
      </c>
      <c r="D26" s="4" t="s">
        <v>23</v>
      </c>
      <c r="E26" s="4" t="s">
        <v>23</v>
      </c>
      <c r="F26" s="5">
        <v>51</v>
      </c>
      <c r="G26" s="5">
        <v>53</v>
      </c>
      <c r="H26" s="5">
        <v>100</v>
      </c>
      <c r="I26" s="6">
        <v>88128.38</v>
      </c>
      <c r="J26" s="6">
        <v>10929.57</v>
      </c>
      <c r="K26" s="6">
        <v>49093</v>
      </c>
      <c r="L26" s="6">
        <v>1115</v>
      </c>
      <c r="M26" s="6">
        <v>2720.25</v>
      </c>
      <c r="N26" s="6">
        <v>488.76</v>
      </c>
      <c r="O26" s="9">
        <v>23781.79</v>
      </c>
      <c r="P26" s="5">
        <v>27</v>
      </c>
      <c r="Q26" s="7">
        <v>60.57</v>
      </c>
      <c r="R26" s="6">
        <v>56558.23</v>
      </c>
      <c r="S26" s="9">
        <v>946</v>
      </c>
      <c r="T26" s="10">
        <v>512</v>
      </c>
    </row>
    <row r="27" spans="1:20" x14ac:dyDescent="0.2">
      <c r="A27" s="4" t="s">
        <v>20</v>
      </c>
      <c r="B27" s="8" t="str">
        <f>HYPERLINK("https://eggheads.solutions/wbProductRating/detalization/186120146/2024-08-31/30", "186120146")</f>
        <v>186120146</v>
      </c>
      <c r="C27" s="8" t="str">
        <f>HYPERLINK("https://www.wildberries.ru/catalog/186120146/detail.aspx?targetUrl=SP", "кофенаб_№1_кнп_мол_збгл_гаворех_крембрюле_750")</f>
        <v>кофенаб_№1_кнп_мол_збгл_гаворех_крембрюле_750</v>
      </c>
      <c r="D27" s="4" t="s">
        <v>24</v>
      </c>
      <c r="E27" s="4" t="s">
        <v>22</v>
      </c>
      <c r="F27" s="5">
        <v>53</v>
      </c>
      <c r="G27" s="5">
        <v>59</v>
      </c>
      <c r="H27" s="5">
        <v>100</v>
      </c>
      <c r="I27" s="6">
        <v>87524.17</v>
      </c>
      <c r="J27" s="6">
        <v>10876.54</v>
      </c>
      <c r="K27" s="6">
        <v>45222.25</v>
      </c>
      <c r="L27" s="6">
        <v>3957</v>
      </c>
      <c r="M27" s="6">
        <v>2799.2</v>
      </c>
      <c r="N27" s="6">
        <v>1227.9000000000001</v>
      </c>
      <c r="O27" s="9">
        <v>23441.23</v>
      </c>
      <c r="P27" s="5">
        <v>27</v>
      </c>
      <c r="Q27" s="7">
        <v>202.43</v>
      </c>
      <c r="R27" s="6">
        <v>154744.21</v>
      </c>
      <c r="S27" s="9">
        <v>768.9</v>
      </c>
      <c r="T27" s="10">
        <v>184</v>
      </c>
    </row>
    <row r="28" spans="1:20" x14ac:dyDescent="0.2">
      <c r="A28" s="4" t="s">
        <v>20</v>
      </c>
      <c r="B28" s="8" t="str">
        <f>HYPERLINK("https://eggheads.solutions/wbProductRating/detalization/25719724/2024-08-31/30", "25719724")</f>
        <v>25719724</v>
      </c>
      <c r="C28" s="8" t="str">
        <f>HYPERLINK("https://www.wildberries.ru/catalog/25719724/detail.aspx?targetUrl=SP", "кофе_кнп_мол_бавшок_250")</f>
        <v>кофе_кнп_мол_бавшок_250</v>
      </c>
      <c r="D28" s="4" t="s">
        <v>22</v>
      </c>
      <c r="E28" s="4" t="s">
        <v>22</v>
      </c>
      <c r="F28" s="5">
        <v>152</v>
      </c>
      <c r="G28" s="5">
        <v>155</v>
      </c>
      <c r="H28" s="5">
        <v>100</v>
      </c>
      <c r="I28" s="6">
        <v>86604.61</v>
      </c>
      <c r="J28" s="6">
        <v>10689.21</v>
      </c>
      <c r="K28" s="6">
        <v>39393.19</v>
      </c>
      <c r="L28" s="6">
        <v>0</v>
      </c>
      <c r="M28" s="6">
        <v>6799.99</v>
      </c>
      <c r="N28" s="6">
        <v>736.03</v>
      </c>
      <c r="O28" s="9">
        <v>28986.06</v>
      </c>
      <c r="P28" s="5">
        <v>33</v>
      </c>
      <c r="Q28" s="7">
        <v>284.52999999999997</v>
      </c>
      <c r="R28" s="6">
        <v>72212.679999999993</v>
      </c>
      <c r="S28" s="9">
        <v>256.3</v>
      </c>
      <c r="T28" s="10">
        <v>488</v>
      </c>
    </row>
    <row r="29" spans="1:20" x14ac:dyDescent="0.2">
      <c r="A29" s="4" t="s">
        <v>20</v>
      </c>
      <c r="B29" s="8" t="str">
        <f>HYPERLINK("https://eggheads.solutions/wbProductRating/detalization/142727378/2024-08-31/30", "142727378")</f>
        <v>142727378</v>
      </c>
      <c r="C29" s="8" t="str">
        <f>HYPERLINK("https://www.wildberries.ru/catalog/142727378/detail.aspx?targetUrl=SP", "кофенаб_№9_кнп_мол_крап_фрван_швшок_750")</f>
        <v>кофенаб_№9_кнп_мол_крап_фрван_швшок_750</v>
      </c>
      <c r="D29" s="4" t="s">
        <v>22</v>
      </c>
      <c r="E29" s="4" t="s">
        <v>22</v>
      </c>
      <c r="F29" s="5">
        <v>61</v>
      </c>
      <c r="G29" s="5">
        <v>55</v>
      </c>
      <c r="H29" s="5">
        <v>90</v>
      </c>
      <c r="I29" s="6">
        <v>84282.93</v>
      </c>
      <c r="J29" s="6">
        <v>10524.49</v>
      </c>
      <c r="K29" s="6">
        <v>41646.81</v>
      </c>
      <c r="L29" s="6">
        <v>0</v>
      </c>
      <c r="M29" s="6">
        <v>2921.83</v>
      </c>
      <c r="N29" s="6">
        <v>492.04</v>
      </c>
      <c r="O29" s="9">
        <v>28697.69</v>
      </c>
      <c r="P29" s="5">
        <v>34</v>
      </c>
      <c r="Q29" s="7">
        <v>76.13</v>
      </c>
      <c r="R29" s="6">
        <v>57796.36</v>
      </c>
      <c r="S29" s="9">
        <v>768.89</v>
      </c>
      <c r="T29" s="10">
        <v>604</v>
      </c>
    </row>
    <row r="30" spans="1:20" x14ac:dyDescent="0.2">
      <c r="A30" s="4" t="s">
        <v>20</v>
      </c>
      <c r="B30" s="8" t="str">
        <f>HYPERLINK("https://eggheads.solutions/wbProductRating/detalization/142727920/2024-08-31/30", "142727920")</f>
        <v>142727920</v>
      </c>
      <c r="C30" s="8" t="str">
        <f>HYPERLINK("https://www.wildberries.ru/catalog/142727920/detail.aspx?targetUrl=SP", "кофенаб_№32_кнп_крап_фрван_швшок_750")</f>
        <v>кофенаб_№32_кнп_крап_фрван_швшок_750</v>
      </c>
      <c r="D30" s="4" t="s">
        <v>23</v>
      </c>
      <c r="E30" s="4" t="s">
        <v>23</v>
      </c>
      <c r="F30" s="5">
        <v>60</v>
      </c>
      <c r="G30" s="5">
        <v>63</v>
      </c>
      <c r="H30" s="5">
        <v>100</v>
      </c>
      <c r="I30" s="6">
        <v>80369.97</v>
      </c>
      <c r="J30" s="6">
        <v>9965.4500000000007</v>
      </c>
      <c r="K30" s="6">
        <v>48155.03</v>
      </c>
      <c r="L30" s="6">
        <v>0</v>
      </c>
      <c r="M30" s="6">
        <v>3196.9</v>
      </c>
      <c r="N30" s="6">
        <v>229.24</v>
      </c>
      <c r="O30" s="9">
        <v>18823.32</v>
      </c>
      <c r="P30" s="5">
        <v>23</v>
      </c>
      <c r="Q30" s="7">
        <v>42.07</v>
      </c>
      <c r="R30" s="6">
        <v>32026.14</v>
      </c>
      <c r="S30" s="9">
        <v>768.89</v>
      </c>
      <c r="T30" s="10">
        <v>715</v>
      </c>
    </row>
    <row r="31" spans="1:20" x14ac:dyDescent="0.2">
      <c r="A31" s="4" t="s">
        <v>20</v>
      </c>
      <c r="B31" s="8" t="str">
        <f>HYPERLINK("https://eggheads.solutions/wbProductRating/detalization/186120147/2024-08-31/30", "186120147")</f>
        <v>186120147</v>
      </c>
      <c r="C31" s="8" t="str">
        <f>HYPERLINK("https://www.wildberries.ru/catalog/186120147/detail.aspx?targetUrl=SP", "кофенаб_№6_кнп_мол_крап_ромсшок_нутелла_750")</f>
        <v>кофенаб_№6_кнп_мол_крап_ромсшок_нутелла_750</v>
      </c>
      <c r="D31" s="4" t="s">
        <v>21</v>
      </c>
      <c r="E31" s="4" t="s">
        <v>22</v>
      </c>
      <c r="F31" s="5">
        <v>57</v>
      </c>
      <c r="G31" s="5">
        <v>52</v>
      </c>
      <c r="H31" s="5">
        <v>91</v>
      </c>
      <c r="I31" s="6">
        <v>80041.56</v>
      </c>
      <c r="J31" s="6">
        <v>10000.709999999999</v>
      </c>
      <c r="K31" s="6">
        <v>39982.71</v>
      </c>
      <c r="L31" s="6">
        <v>6144</v>
      </c>
      <c r="M31" s="6">
        <v>3143.65</v>
      </c>
      <c r="N31" s="6">
        <v>1013.76</v>
      </c>
      <c r="O31" s="9">
        <v>19756.650000000001</v>
      </c>
      <c r="P31" s="5">
        <v>25</v>
      </c>
      <c r="Q31" s="7">
        <v>157.5</v>
      </c>
      <c r="R31" s="6">
        <v>119971.25</v>
      </c>
      <c r="S31" s="9">
        <v>768.89</v>
      </c>
      <c r="T31" s="10">
        <v>200</v>
      </c>
    </row>
    <row r="32" spans="1:20" x14ac:dyDescent="0.2">
      <c r="A32" s="4" t="s">
        <v>20</v>
      </c>
      <c r="B32" s="8" t="str">
        <f>HYPERLINK("https://eggheads.solutions/wbProductRating/detalization/127654997/2024-08-31/30", "127654997")</f>
        <v>127654997</v>
      </c>
      <c r="C32" s="8" t="str">
        <f>HYPERLINK("https://www.wildberries.ru/catalog/127654997/detail.aspx?targetUrl=SP", "кофенаб_№26_кнп_ирлкр_бисквмери_солкар_750")</f>
        <v>кофенаб_№26_кнп_ирлкр_бисквмери_солкар_750</v>
      </c>
      <c r="D32" s="4" t="s">
        <v>23</v>
      </c>
      <c r="E32" s="4" t="s">
        <v>23</v>
      </c>
      <c r="F32" s="5">
        <v>48</v>
      </c>
      <c r="G32" s="5">
        <v>51</v>
      </c>
      <c r="H32" s="5">
        <v>100</v>
      </c>
      <c r="I32" s="6">
        <v>79120.05</v>
      </c>
      <c r="J32" s="6">
        <v>9715.48</v>
      </c>
      <c r="K32" s="6">
        <v>38714.01</v>
      </c>
      <c r="L32" s="6">
        <v>0</v>
      </c>
      <c r="M32" s="6">
        <v>2332.14</v>
      </c>
      <c r="N32" s="6">
        <v>357.38</v>
      </c>
      <c r="O32" s="9">
        <v>28001.01</v>
      </c>
      <c r="P32" s="5">
        <v>35</v>
      </c>
      <c r="Q32" s="7">
        <v>64.77</v>
      </c>
      <c r="R32" s="6">
        <v>49537.29</v>
      </c>
      <c r="S32" s="9">
        <v>768.89</v>
      </c>
      <c r="T32" s="10">
        <v>688</v>
      </c>
    </row>
    <row r="33" spans="1:20" x14ac:dyDescent="0.2">
      <c r="A33" s="4" t="s">
        <v>20</v>
      </c>
      <c r="B33" s="8" t="str">
        <f>HYPERLINK("https://eggheads.solutions/wbProductRating/detalization/186114907/2024-08-31/30", "186114907")</f>
        <v>186114907</v>
      </c>
      <c r="C33" s="8" t="str">
        <f>HYPERLINK("https://www.wildberries.ru/catalog/186114907/detail.aspx?targetUrl=SP", "кофенаб_№22_кнп_ирлкр_амаретто_ночьтур_750")</f>
        <v>кофенаб_№22_кнп_ирлкр_амаретто_ночьтур_750</v>
      </c>
      <c r="D33" s="4" t="s">
        <v>23</v>
      </c>
      <c r="E33" s="4" t="s">
        <v>23</v>
      </c>
      <c r="F33" s="5">
        <v>59</v>
      </c>
      <c r="G33" s="5">
        <v>59</v>
      </c>
      <c r="H33" s="5">
        <v>100</v>
      </c>
      <c r="I33" s="6">
        <v>78554.960000000006</v>
      </c>
      <c r="J33" s="6">
        <v>9791.85</v>
      </c>
      <c r="K33" s="6">
        <v>44722.42</v>
      </c>
      <c r="L33" s="6">
        <v>0</v>
      </c>
      <c r="M33" s="6">
        <v>3143.29</v>
      </c>
      <c r="N33" s="6">
        <v>400.11</v>
      </c>
      <c r="O33" s="9">
        <v>20497.259999999998</v>
      </c>
      <c r="P33" s="5">
        <v>26</v>
      </c>
      <c r="Q33" s="7">
        <v>66.23</v>
      </c>
      <c r="R33" s="6">
        <v>50460.33</v>
      </c>
      <c r="S33" s="9">
        <v>768.9</v>
      </c>
      <c r="T33" s="10">
        <v>494</v>
      </c>
    </row>
    <row r="34" spans="1:20" x14ac:dyDescent="0.2">
      <c r="A34" s="4" t="s">
        <v>20</v>
      </c>
      <c r="B34" s="8" t="str">
        <f>HYPERLINK("https://eggheads.solutions/wbProductRating/detalization/32880774/2024-08-31/30", "32880774")</f>
        <v>32880774</v>
      </c>
      <c r="C34" s="8" t="str">
        <f>HYPERLINK("https://www.wildberries.ru/catalog/32880774/detail.aspx?targetUrl=SP", "кофенаб_№21_кнп_ирлкр_швшок_крап_750")</f>
        <v>кофенаб_№21_кнп_ирлкр_швшок_крап_750</v>
      </c>
      <c r="D34" s="4" t="s">
        <v>23</v>
      </c>
      <c r="E34" s="4" t="s">
        <v>23</v>
      </c>
      <c r="F34" s="5">
        <v>58</v>
      </c>
      <c r="G34" s="5">
        <v>54</v>
      </c>
      <c r="H34" s="5">
        <v>93</v>
      </c>
      <c r="I34" s="6">
        <v>76038.149999999994</v>
      </c>
      <c r="J34" s="6">
        <v>8373.06</v>
      </c>
      <c r="K34" s="6">
        <v>41020.71</v>
      </c>
      <c r="L34" s="6">
        <v>3758</v>
      </c>
      <c r="M34" s="6">
        <v>2837.81</v>
      </c>
      <c r="N34" s="6">
        <v>511.51</v>
      </c>
      <c r="O34" s="9">
        <v>19537.04</v>
      </c>
      <c r="P34" s="5">
        <v>26</v>
      </c>
      <c r="Q34" s="7">
        <v>89.2</v>
      </c>
      <c r="R34" s="6">
        <v>68062.28</v>
      </c>
      <c r="S34" s="9">
        <v>768.9</v>
      </c>
      <c r="T34" s="10">
        <v>349</v>
      </c>
    </row>
    <row r="35" spans="1:20" x14ac:dyDescent="0.2">
      <c r="A35" s="4" t="s">
        <v>20</v>
      </c>
      <c r="B35" s="8" t="str">
        <f>HYPERLINK("https://eggheads.solutions/wbProductRating/detalization/25717884/2024-08-31/30", "25717884")</f>
        <v>25717884</v>
      </c>
      <c r="C35" s="8" t="str">
        <f>HYPERLINK("https://www.wildberries.ru/catalog/25717884/detail.aspx?targetUrl=SP", "кофе_кнп_бейлис_1000")</f>
        <v>кофе_кнп_бейлис_1000</v>
      </c>
      <c r="D35" s="4" t="s">
        <v>21</v>
      </c>
      <c r="E35" s="4" t="s">
        <v>23</v>
      </c>
      <c r="F35" s="5">
        <v>45</v>
      </c>
      <c r="G35" s="5">
        <v>49</v>
      </c>
      <c r="H35" s="5">
        <v>100</v>
      </c>
      <c r="I35" s="6">
        <v>76147.7</v>
      </c>
      <c r="J35" s="6">
        <v>9452.17</v>
      </c>
      <c r="K35" s="6">
        <v>45784</v>
      </c>
      <c r="L35" s="6">
        <v>0</v>
      </c>
      <c r="M35" s="6">
        <v>2865.38</v>
      </c>
      <c r="N35" s="6">
        <v>664.6</v>
      </c>
      <c r="O35" s="9">
        <v>17381.54</v>
      </c>
      <c r="P35" s="5">
        <v>23</v>
      </c>
      <c r="Q35" s="7">
        <v>80.400000000000006</v>
      </c>
      <c r="R35" s="6">
        <v>75114.73</v>
      </c>
      <c r="S35" s="9">
        <v>946</v>
      </c>
      <c r="T35" s="10">
        <v>282</v>
      </c>
    </row>
    <row r="36" spans="1:20" x14ac:dyDescent="0.2">
      <c r="A36" s="4" t="s">
        <v>20</v>
      </c>
      <c r="B36" s="8" t="str">
        <f>HYPERLINK("https://eggheads.solutions/wbProductRating/detalization/145520918/2024-08-31/30", "145520918")</f>
        <v>145520918</v>
      </c>
      <c r="C36" s="8" t="str">
        <f>HYPERLINK("https://www.wildberries.ru/catalog/145520918/detail.aspx?targetUrl=SP", "кофенаб_№4_кнп_мол_кр.ап_бав.шок_корица_750")</f>
        <v>кофенаб_№4_кнп_мол_кр.ап_бав.шок_корица_750</v>
      </c>
      <c r="D36" s="4" t="s">
        <v>21</v>
      </c>
      <c r="E36" s="4" t="s">
        <v>22</v>
      </c>
      <c r="F36" s="5">
        <v>55</v>
      </c>
      <c r="G36" s="5">
        <v>51</v>
      </c>
      <c r="H36" s="5">
        <v>92</v>
      </c>
      <c r="I36" s="6">
        <v>74058.61</v>
      </c>
      <c r="J36" s="6">
        <v>9217.4500000000007</v>
      </c>
      <c r="K36" s="6">
        <v>38428.42</v>
      </c>
      <c r="L36" s="6">
        <v>0</v>
      </c>
      <c r="M36" s="6">
        <v>2381.91</v>
      </c>
      <c r="N36" s="6">
        <v>644.01</v>
      </c>
      <c r="O36" s="9">
        <v>23386.74</v>
      </c>
      <c r="P36" s="5">
        <v>32</v>
      </c>
      <c r="Q36" s="7">
        <v>103</v>
      </c>
      <c r="R36" s="6">
        <v>78344.66</v>
      </c>
      <c r="S36" s="9">
        <v>768.9</v>
      </c>
      <c r="T36" s="10">
        <v>363</v>
      </c>
    </row>
    <row r="37" spans="1:20" x14ac:dyDescent="0.2">
      <c r="A37" s="4" t="s">
        <v>20</v>
      </c>
      <c r="B37" s="8" t="str">
        <f>HYPERLINK("https://eggheads.solutions/wbProductRating/detalization/26876343/2024-08-31/30", "26876343")</f>
        <v>26876343</v>
      </c>
      <c r="C37" s="8" t="str">
        <f>HYPERLINK("https://www.wildberries.ru/catalog/26876343/detail.aspx?targetUrl=SP", "кофе_кнп_мол_краснапель_250")</f>
        <v>кофе_кнп_мол_краснапель_250</v>
      </c>
      <c r="D37" s="4" t="s">
        <v>21</v>
      </c>
      <c r="E37" s="4" t="s">
        <v>22</v>
      </c>
      <c r="F37" s="5">
        <v>128</v>
      </c>
      <c r="G37" s="5">
        <v>128</v>
      </c>
      <c r="H37" s="5">
        <v>100</v>
      </c>
      <c r="I37" s="6">
        <v>72437.960000000006</v>
      </c>
      <c r="J37" s="6">
        <v>9063.82</v>
      </c>
      <c r="K37" s="6">
        <v>32473.07</v>
      </c>
      <c r="L37" s="6">
        <v>0</v>
      </c>
      <c r="M37" s="6">
        <v>5251.62</v>
      </c>
      <c r="N37" s="6">
        <v>500.38</v>
      </c>
      <c r="O37" s="9">
        <v>25148.95</v>
      </c>
      <c r="P37" s="5">
        <v>35</v>
      </c>
      <c r="Q37" s="7">
        <v>202.97</v>
      </c>
      <c r="R37" s="6">
        <v>51417.42</v>
      </c>
      <c r="S37" s="9">
        <v>256.3</v>
      </c>
      <c r="T37" s="10">
        <v>595</v>
      </c>
    </row>
    <row r="38" spans="1:20" x14ac:dyDescent="0.2">
      <c r="A38" s="4" t="s">
        <v>20</v>
      </c>
      <c r="B38" s="8" t="str">
        <f>HYPERLINK("https://eggheads.solutions/wbProductRating/detalization/159837980/2024-08-31/30", "159837980")</f>
        <v>159837980</v>
      </c>
      <c r="C38" s="8" t="str">
        <f>HYPERLINK("https://www.wildberries.ru/catalog/159837980/detail.aspx?targetUrl=SP", "кофе_кнп_мол_нутелла_250")</f>
        <v>кофе_кнп_мол_нутелла_250</v>
      </c>
      <c r="D38" s="4" t="s">
        <v>22</v>
      </c>
      <c r="E38" s="4" t="s">
        <v>22</v>
      </c>
      <c r="F38" s="5">
        <v>122</v>
      </c>
      <c r="G38" s="5">
        <v>126</v>
      </c>
      <c r="H38" s="5">
        <v>100</v>
      </c>
      <c r="I38" s="6">
        <v>70603.67</v>
      </c>
      <c r="J38" s="6">
        <v>8712.73</v>
      </c>
      <c r="K38" s="6">
        <v>32055.73</v>
      </c>
      <c r="L38" s="6">
        <v>0</v>
      </c>
      <c r="M38" s="6">
        <v>5587.82</v>
      </c>
      <c r="N38" s="6">
        <v>1321.31</v>
      </c>
      <c r="O38" s="9">
        <v>22925.98</v>
      </c>
      <c r="P38" s="5">
        <v>32</v>
      </c>
      <c r="Q38" s="7">
        <v>227.47</v>
      </c>
      <c r="R38" s="6">
        <v>57846.71</v>
      </c>
      <c r="S38" s="9">
        <v>256.3</v>
      </c>
      <c r="T38" s="10">
        <v>482</v>
      </c>
    </row>
    <row r="39" spans="1:20" x14ac:dyDescent="0.2">
      <c r="A39" s="4" t="s">
        <v>20</v>
      </c>
      <c r="B39" s="8" t="str">
        <f>HYPERLINK("https://eggheads.solutions/wbProductRating/detalization/39824407/2024-08-31/30", "39824407")</f>
        <v>39824407</v>
      </c>
      <c r="C39" s="8" t="str">
        <f>HYPERLINK("https://www.wildberries.ru/catalog/39824407/detail.aspx?targetUrl=SP", "кофенаб_№13_кнп_мол_забг_ирл.кр_баун_750")</f>
        <v>кофенаб_№13_кнп_мол_забг_ирл.кр_баун_750</v>
      </c>
      <c r="D39" s="4" t="s">
        <v>21</v>
      </c>
      <c r="E39" s="4" t="s">
        <v>22</v>
      </c>
      <c r="F39" s="5">
        <v>38</v>
      </c>
      <c r="G39" s="5">
        <v>43</v>
      </c>
      <c r="H39" s="5">
        <v>100</v>
      </c>
      <c r="I39" s="6">
        <v>60899.34</v>
      </c>
      <c r="J39" s="6">
        <v>7436.42</v>
      </c>
      <c r="K39" s="6">
        <v>32348.65</v>
      </c>
      <c r="L39" s="6">
        <v>0</v>
      </c>
      <c r="M39" s="6">
        <v>2079.21</v>
      </c>
      <c r="N39" s="6">
        <v>630.70000000000005</v>
      </c>
      <c r="O39" s="9">
        <v>18404.330000000002</v>
      </c>
      <c r="P39" s="5">
        <v>30</v>
      </c>
      <c r="Q39" s="7">
        <v>97.37</v>
      </c>
      <c r="R39" s="6">
        <v>74044.13</v>
      </c>
      <c r="S39" s="9">
        <v>768.89</v>
      </c>
      <c r="T39" s="10">
        <v>302</v>
      </c>
    </row>
    <row r="40" spans="1:20" x14ac:dyDescent="0.2">
      <c r="A40" s="4" t="s">
        <v>20</v>
      </c>
      <c r="B40" s="8" t="str">
        <f>HYPERLINK("https://eggheads.solutions/wbProductRating/detalization/159837983/2024-08-31/30", "159837983")</f>
        <v>159837983</v>
      </c>
      <c r="C40" s="8" t="str">
        <f>HYPERLINK("https://www.wildberries.ru/catalog/159837983/detail.aspx?targetUrl=SP", "кофе_кнп_мол_нутелла_500")</f>
        <v>кофе_кнп_мол_нутелла_500</v>
      </c>
      <c r="D40" s="4" t="s">
        <v>22</v>
      </c>
      <c r="E40" s="4" t="s">
        <v>22</v>
      </c>
      <c r="F40" s="5">
        <v>66</v>
      </c>
      <c r="G40" s="5">
        <v>66</v>
      </c>
      <c r="H40" s="5">
        <v>100</v>
      </c>
      <c r="I40" s="6">
        <v>60232</v>
      </c>
      <c r="J40" s="6">
        <v>7552.41</v>
      </c>
      <c r="K40" s="6">
        <v>33736.33</v>
      </c>
      <c r="L40" s="6">
        <v>0</v>
      </c>
      <c r="M40" s="6">
        <v>2843.41</v>
      </c>
      <c r="N40" s="6">
        <v>126.76</v>
      </c>
      <c r="O40" s="9">
        <v>15973.03</v>
      </c>
      <c r="P40" s="5">
        <v>27</v>
      </c>
      <c r="Q40" s="7">
        <v>41.03</v>
      </c>
      <c r="R40" s="6">
        <v>20940.07</v>
      </c>
      <c r="S40" s="9">
        <v>512.6</v>
      </c>
      <c r="T40" s="10">
        <v>928</v>
      </c>
    </row>
    <row r="41" spans="1:20" x14ac:dyDescent="0.2">
      <c r="A41" s="4" t="s">
        <v>20</v>
      </c>
      <c r="B41" s="8" t="str">
        <f>HYPERLINK("https://eggheads.solutions/wbProductRating/detalization/122833861/2024-08-31/30", "122833861")</f>
        <v>122833861</v>
      </c>
      <c r="C41" s="8" t="str">
        <f>HYPERLINK("https://www.wildberries.ru/catalog/122833861/detail.aspx?targetUrl=SP", "кофе_кнп_мол_ромсшок_500")</f>
        <v>кофе_кнп_мол_ромсшок_500</v>
      </c>
      <c r="D41" s="4" t="s">
        <v>21</v>
      </c>
      <c r="E41" s="4" t="s">
        <v>22</v>
      </c>
      <c r="F41" s="5">
        <v>66</v>
      </c>
      <c r="G41" s="5">
        <v>65</v>
      </c>
      <c r="H41" s="5">
        <v>98</v>
      </c>
      <c r="I41" s="6">
        <v>59883</v>
      </c>
      <c r="J41" s="6">
        <v>7520.94</v>
      </c>
      <c r="K41" s="6">
        <v>33033.360000000001</v>
      </c>
      <c r="L41" s="6">
        <v>0</v>
      </c>
      <c r="M41" s="6">
        <v>2937.62</v>
      </c>
      <c r="N41" s="6">
        <v>171.15</v>
      </c>
      <c r="O41" s="9">
        <v>16219.86</v>
      </c>
      <c r="P41" s="5">
        <v>27</v>
      </c>
      <c r="Q41" s="7">
        <v>54.07</v>
      </c>
      <c r="R41" s="6">
        <v>27579.7</v>
      </c>
      <c r="S41" s="9">
        <v>512.6</v>
      </c>
      <c r="T41" s="10">
        <v>716</v>
      </c>
    </row>
    <row r="42" spans="1:20" x14ac:dyDescent="0.2">
      <c r="A42" s="4" t="s">
        <v>20</v>
      </c>
      <c r="B42" s="8" t="str">
        <f>HYPERLINK("https://eggheads.solutions/wbProductRating/detalization/32880788/2024-08-31/30", "32880788")</f>
        <v>32880788</v>
      </c>
      <c r="C42" s="8" t="str">
        <f>HYPERLINK("https://www.wildberries.ru/catalog/32880788/detail.aspx?targetUrl=SP", "кофенаб_№25_кнп_ирлкр_бейл_баун_750")</f>
        <v>кофенаб_№25_кнп_ирлкр_бейл_баун_750</v>
      </c>
      <c r="D42" s="4" t="s">
        <v>21</v>
      </c>
      <c r="E42" s="4" t="s">
        <v>23</v>
      </c>
      <c r="F42" s="5">
        <v>42</v>
      </c>
      <c r="G42" s="5">
        <v>38</v>
      </c>
      <c r="H42" s="5">
        <v>90</v>
      </c>
      <c r="I42" s="6">
        <v>58851.15</v>
      </c>
      <c r="J42" s="6">
        <v>7362.99</v>
      </c>
      <c r="K42" s="6">
        <v>28861.14</v>
      </c>
      <c r="L42" s="6">
        <v>0</v>
      </c>
      <c r="M42" s="6">
        <v>1959.08</v>
      </c>
      <c r="N42" s="6">
        <v>647.6</v>
      </c>
      <c r="O42" s="9">
        <v>20020.330000000002</v>
      </c>
      <c r="P42" s="5">
        <v>34</v>
      </c>
      <c r="Q42" s="7">
        <v>105.53</v>
      </c>
      <c r="R42" s="6">
        <v>80768.539999999994</v>
      </c>
      <c r="S42" s="9">
        <v>697.5</v>
      </c>
      <c r="T42" s="10">
        <v>302</v>
      </c>
    </row>
    <row r="43" spans="1:20" x14ac:dyDescent="0.2">
      <c r="A43" s="4" t="s">
        <v>20</v>
      </c>
      <c r="B43" s="8" t="str">
        <f>HYPERLINK("https://eggheads.solutions/wbProductRating/detalization/39824403/2024-08-31/30", "39824403")</f>
        <v>39824403</v>
      </c>
      <c r="C43" s="8" t="str">
        <f>HYPERLINK("https://www.wildberries.ru/catalog/39824403/detail.aspx?targetUrl=SP", "кофенаб_№24_кнп_забгл_ирл.кр_баунт_750")</f>
        <v>кофенаб_№24_кнп_забгл_ирл.кр_баунт_750</v>
      </c>
      <c r="D43" s="4" t="s">
        <v>23</v>
      </c>
      <c r="E43" s="4" t="s">
        <v>23</v>
      </c>
      <c r="F43" s="5">
        <v>41</v>
      </c>
      <c r="G43" s="5">
        <v>44</v>
      </c>
      <c r="H43" s="5">
        <v>100</v>
      </c>
      <c r="I43" s="6">
        <v>58040.99</v>
      </c>
      <c r="J43" s="6">
        <v>7253.9</v>
      </c>
      <c r="K43" s="6">
        <v>33474.559999999998</v>
      </c>
      <c r="L43" s="6">
        <v>0</v>
      </c>
      <c r="M43" s="6">
        <v>1979.78</v>
      </c>
      <c r="N43" s="6">
        <v>146.65</v>
      </c>
      <c r="O43" s="9">
        <v>15186.08</v>
      </c>
      <c r="P43" s="5">
        <v>26</v>
      </c>
      <c r="Q43" s="7">
        <v>29.87</v>
      </c>
      <c r="R43" s="6">
        <v>22764.560000000001</v>
      </c>
      <c r="S43" s="9">
        <v>697.5</v>
      </c>
      <c r="T43" s="10">
        <v>812</v>
      </c>
    </row>
    <row r="44" spans="1:20" x14ac:dyDescent="0.2">
      <c r="A44" s="4" t="s">
        <v>20</v>
      </c>
      <c r="B44" s="8" t="str">
        <f>HYPERLINK("https://eggheads.solutions/wbProductRating/detalization/152462639/2024-08-31/30", "152462639")</f>
        <v>152462639</v>
      </c>
      <c r="C44" s="8" t="str">
        <f>HYPERLINK("https://www.wildberries.ru/catalog/152462639/detail.aspx?targetUrl=SP", "кофенаб_№12_кнп_мол_espr.crema_ирл.крем_кр.апельсин_750")</f>
        <v>кофенаб_№12_кнп_мол_espr.crema_ирл.крем_кр.апельсин_750</v>
      </c>
      <c r="D44" s="4" t="s">
        <v>22</v>
      </c>
      <c r="E44" s="4" t="s">
        <v>22</v>
      </c>
      <c r="F44" s="5">
        <v>33</v>
      </c>
      <c r="G44" s="5">
        <v>39</v>
      </c>
      <c r="H44" s="5">
        <v>100</v>
      </c>
      <c r="I44" s="6">
        <v>54076</v>
      </c>
      <c r="J44" s="6">
        <v>5557.69</v>
      </c>
      <c r="K44" s="6">
        <v>29889.52</v>
      </c>
      <c r="L44" s="6">
        <v>0</v>
      </c>
      <c r="M44" s="6">
        <v>1557</v>
      </c>
      <c r="N44" s="6">
        <v>254.26</v>
      </c>
      <c r="O44" s="9">
        <v>16817.43</v>
      </c>
      <c r="P44" s="5">
        <v>31</v>
      </c>
      <c r="Q44" s="7">
        <v>43.7</v>
      </c>
      <c r="R44" s="6">
        <v>33294.18</v>
      </c>
      <c r="S44" s="9">
        <v>766.39</v>
      </c>
      <c r="T44" s="10">
        <v>615</v>
      </c>
    </row>
    <row r="45" spans="1:20" x14ac:dyDescent="0.2">
      <c r="A45" s="4" t="s">
        <v>20</v>
      </c>
      <c r="B45" s="8" t="str">
        <f>HYPERLINK("https://eggheads.solutions/wbProductRating/detalization/26877955/2024-08-31/30", "26877955")</f>
        <v>26877955</v>
      </c>
      <c r="C45" s="8" t="str">
        <f>HYPERLINK("https://www.wildberries.ru/catalog/26877955/detail.aspx?targetUrl=SP", "кофе_кнп_амаретто_1000")</f>
        <v>кофе_кнп_амаретто_1000</v>
      </c>
      <c r="D45" s="4" t="s">
        <v>23</v>
      </c>
      <c r="E45" s="4" t="s">
        <v>23</v>
      </c>
      <c r="F45" s="5">
        <v>34</v>
      </c>
      <c r="G45" s="5">
        <v>35</v>
      </c>
      <c r="H45" s="5">
        <v>100</v>
      </c>
      <c r="I45" s="6">
        <v>55148.46</v>
      </c>
      <c r="J45" s="6">
        <v>6906.42</v>
      </c>
      <c r="K45" s="6">
        <v>32730</v>
      </c>
      <c r="L45" s="6">
        <v>0</v>
      </c>
      <c r="M45" s="6">
        <v>1821.25</v>
      </c>
      <c r="N45" s="6">
        <v>298.82</v>
      </c>
      <c r="O45" s="9">
        <v>13391.96</v>
      </c>
      <c r="P45" s="5">
        <v>24</v>
      </c>
      <c r="Q45" s="7">
        <v>42.7</v>
      </c>
      <c r="R45" s="6">
        <v>40144.03</v>
      </c>
      <c r="S45" s="9">
        <v>946</v>
      </c>
      <c r="T45" s="10">
        <v>406</v>
      </c>
    </row>
    <row r="46" spans="1:20" x14ac:dyDescent="0.2">
      <c r="A46" s="4" t="s">
        <v>20</v>
      </c>
      <c r="B46" s="8" t="str">
        <f>HYPERLINK("https://eggheads.solutions/wbProductRating/detalization/240369677/2024-08-31/30", "240369677")</f>
        <v>240369677</v>
      </c>
      <c r="C46" s="8" t="str">
        <f>HYPERLINK("https://www.wildberries.ru/catalog/240369677/detail.aspx?targetUrl=SP", "кофенаб_№39_кнп_750_ирл.кр_шв.шок_нутелла")</f>
        <v>кофенаб_№39_кнп_750_ирл.кр_шв.шок_нутелла</v>
      </c>
      <c r="D46" s="4" t="s">
        <v>21</v>
      </c>
      <c r="E46" s="4" t="s">
        <v>23</v>
      </c>
      <c r="F46" s="5">
        <v>36</v>
      </c>
      <c r="G46" s="5">
        <v>38</v>
      </c>
      <c r="H46" s="5">
        <v>100</v>
      </c>
      <c r="I46" s="6">
        <v>55082.8</v>
      </c>
      <c r="J46" s="6">
        <v>6847.78</v>
      </c>
      <c r="K46" s="6">
        <v>26142.58</v>
      </c>
      <c r="L46" s="6">
        <v>0</v>
      </c>
      <c r="M46" s="6">
        <v>2221.8000000000002</v>
      </c>
      <c r="N46" s="6">
        <v>164.1</v>
      </c>
      <c r="O46" s="9">
        <v>19706.54</v>
      </c>
      <c r="P46" s="5">
        <v>36</v>
      </c>
      <c r="Q46" s="7">
        <v>28.2</v>
      </c>
      <c r="R46" s="6">
        <v>19145.61</v>
      </c>
      <c r="S46" s="9">
        <v>768.9</v>
      </c>
      <c r="T46" s="10">
        <v>1252</v>
      </c>
    </row>
    <row r="47" spans="1:20" x14ac:dyDescent="0.2">
      <c r="A47" s="4" t="s">
        <v>20</v>
      </c>
      <c r="B47" s="8" t="str">
        <f>HYPERLINK("https://eggheads.solutions/wbProductRating/detalization/186114909/2024-08-31/30", "186114909")</f>
        <v>186114909</v>
      </c>
      <c r="C47" s="8" t="str">
        <f>HYPERLINK("https://www.wildberries.ru/catalog/186114909/detail.aspx?targetUrl=SP", "кофенаб_№30_кнп_крап_ромсшок_нутелла_750")</f>
        <v>кофенаб_№30_кнп_крап_ромсшок_нутелла_750</v>
      </c>
      <c r="D47" s="4" t="s">
        <v>23</v>
      </c>
      <c r="E47" s="4" t="s">
        <v>23</v>
      </c>
      <c r="F47" s="5">
        <v>42</v>
      </c>
      <c r="G47" s="5">
        <v>39</v>
      </c>
      <c r="H47" s="5">
        <v>92</v>
      </c>
      <c r="I47" s="6">
        <v>54689.96</v>
      </c>
      <c r="J47" s="6">
        <v>6839.95</v>
      </c>
      <c r="K47" s="6">
        <v>29630.05</v>
      </c>
      <c r="L47" s="6">
        <v>0</v>
      </c>
      <c r="M47" s="6">
        <v>2025.03</v>
      </c>
      <c r="N47" s="6">
        <v>149.87</v>
      </c>
      <c r="O47" s="9">
        <v>16045.04</v>
      </c>
      <c r="P47" s="5">
        <v>29</v>
      </c>
      <c r="Q47" s="7">
        <v>26.1</v>
      </c>
      <c r="R47" s="6">
        <v>19920.73</v>
      </c>
      <c r="S47" s="9">
        <v>768.9</v>
      </c>
      <c r="T47" s="10">
        <v>980</v>
      </c>
    </row>
    <row r="48" spans="1:20" x14ac:dyDescent="0.2">
      <c r="A48" s="4" t="s">
        <v>20</v>
      </c>
      <c r="B48" s="8" t="str">
        <f>HYPERLINK("https://eggheads.solutions/wbProductRating/detalization/26877701/2024-08-31/30", "26877701")</f>
        <v>26877701</v>
      </c>
      <c r="C48" s="8" t="str">
        <f>HYPERLINK("https://www.wildberries.ru/catalog/26877701/detail.aspx?targetUrl=SP", "кофе_кнп_краснапельс_1000")</f>
        <v>кофе_кнп_краснапельс_1000</v>
      </c>
      <c r="D48" s="4" t="s">
        <v>23</v>
      </c>
      <c r="E48" s="4" t="s">
        <v>23</v>
      </c>
      <c r="F48" s="5">
        <v>29</v>
      </c>
      <c r="G48" s="5">
        <v>32</v>
      </c>
      <c r="H48" s="5">
        <v>100</v>
      </c>
      <c r="I48" s="6">
        <v>53102.7</v>
      </c>
      <c r="J48" s="6">
        <v>6583</v>
      </c>
      <c r="K48" s="6">
        <v>30272</v>
      </c>
      <c r="L48" s="6">
        <v>222</v>
      </c>
      <c r="M48" s="6">
        <v>1779.31</v>
      </c>
      <c r="N48" s="6">
        <v>555.15</v>
      </c>
      <c r="O48" s="9">
        <v>13691.24</v>
      </c>
      <c r="P48" s="5">
        <v>26</v>
      </c>
      <c r="Q48" s="7">
        <v>68.47</v>
      </c>
      <c r="R48" s="6">
        <v>64459.13</v>
      </c>
      <c r="S48" s="9">
        <v>851</v>
      </c>
      <c r="T48" s="10">
        <v>258</v>
      </c>
    </row>
    <row r="49" spans="1:20" x14ac:dyDescent="0.2">
      <c r="A49" s="4" t="s">
        <v>20</v>
      </c>
      <c r="B49" s="8" t="str">
        <f>HYPERLINK("https://eggheads.solutions/wbProductRating/detalization/26876605/2024-08-31/30", "26876605")</f>
        <v>26876605</v>
      </c>
      <c r="C49" s="8" t="str">
        <f>HYPERLINK("https://www.wildberries.ru/catalog/26876605/detail.aspx?targetUrl=SP", "кофе_кнп_мол_скорицей_250")</f>
        <v>кофе_кнп_мол_скорицей_250</v>
      </c>
      <c r="D49" s="4" t="s">
        <v>21</v>
      </c>
      <c r="E49" s="4" t="s">
        <v>22</v>
      </c>
      <c r="F49" s="5">
        <v>94</v>
      </c>
      <c r="G49" s="5">
        <v>93</v>
      </c>
      <c r="H49" s="5">
        <v>98</v>
      </c>
      <c r="I49" s="6">
        <v>51645.04</v>
      </c>
      <c r="J49" s="6">
        <v>6433.89</v>
      </c>
      <c r="K49" s="6">
        <v>23574</v>
      </c>
      <c r="L49" s="6">
        <v>0</v>
      </c>
      <c r="M49" s="6">
        <v>4194.3999999999996</v>
      </c>
      <c r="N49" s="6">
        <v>670.4</v>
      </c>
      <c r="O49" s="9">
        <v>16772.18</v>
      </c>
      <c r="P49" s="5">
        <v>32</v>
      </c>
      <c r="Q49" s="7">
        <v>233.93</v>
      </c>
      <c r="R49" s="6">
        <v>59548.54</v>
      </c>
      <c r="S49" s="9">
        <v>256.3</v>
      </c>
      <c r="T49" s="10">
        <v>343</v>
      </c>
    </row>
    <row r="50" spans="1:20" x14ac:dyDescent="0.2">
      <c r="A50" s="4" t="s">
        <v>20</v>
      </c>
      <c r="B50" s="8" t="str">
        <f>HYPERLINK("https://eggheads.solutions/wbProductRating/detalization/159020378/2024-08-31/30", "159020378")</f>
        <v>159020378</v>
      </c>
      <c r="C50" s="8" t="str">
        <f>HYPERLINK("https://www.wildberries.ru/catalog/159020378/detail.aspx?targetUrl=SP", "кофе_кнп_мол_краснапель_500")</f>
        <v>кофе_кнп_мол_краснапель_500</v>
      </c>
      <c r="D50" s="4" t="s">
        <v>22</v>
      </c>
      <c r="E50" s="4" t="s">
        <v>22</v>
      </c>
      <c r="F50" s="5">
        <v>51</v>
      </c>
      <c r="G50" s="5">
        <v>54</v>
      </c>
      <c r="H50" s="5">
        <v>100</v>
      </c>
      <c r="I50" s="6">
        <v>49606.5</v>
      </c>
      <c r="J50" s="6">
        <v>6175.71</v>
      </c>
      <c r="K50" s="6">
        <v>27585.18</v>
      </c>
      <c r="L50" s="6">
        <v>0</v>
      </c>
      <c r="M50" s="6">
        <v>2182.39</v>
      </c>
      <c r="N50" s="6">
        <v>156.63999999999999</v>
      </c>
      <c r="O50" s="9">
        <v>13506.49</v>
      </c>
      <c r="P50" s="5">
        <v>27</v>
      </c>
      <c r="Q50" s="7">
        <v>46.7</v>
      </c>
      <c r="R50" s="6">
        <v>23876.54</v>
      </c>
      <c r="S50" s="9">
        <v>512.6</v>
      </c>
      <c r="T50" s="10">
        <v>688</v>
      </c>
    </row>
    <row r="51" spans="1:20" x14ac:dyDescent="0.2">
      <c r="A51" s="4" t="s">
        <v>20</v>
      </c>
      <c r="B51" s="8" t="str">
        <f>HYPERLINK("https://eggheads.solutions/wbProductRating/detalization/122832258/2024-08-31/30", "122832258")</f>
        <v>122832258</v>
      </c>
      <c r="C51" s="8" t="str">
        <f>HYPERLINK("https://www.wildberries.ru/catalog/122832258/detail.aspx?targetUrl=SP", "кофе_кнп_мол_фрваниль_500")</f>
        <v>кофе_кнп_мол_фрваниль_500</v>
      </c>
      <c r="D51" s="4" t="s">
        <v>21</v>
      </c>
      <c r="E51" s="4" t="s">
        <v>22</v>
      </c>
      <c r="F51" s="5">
        <v>46</v>
      </c>
      <c r="G51" s="5">
        <v>50</v>
      </c>
      <c r="H51" s="5">
        <v>100</v>
      </c>
      <c r="I51" s="6">
        <v>49550</v>
      </c>
      <c r="J51" s="6">
        <v>6182.69</v>
      </c>
      <c r="K51" s="6">
        <v>25201.57</v>
      </c>
      <c r="L51" s="6">
        <v>0</v>
      </c>
      <c r="M51" s="6">
        <v>2127.96</v>
      </c>
      <c r="N51" s="6">
        <v>358.71</v>
      </c>
      <c r="O51" s="9">
        <v>15679.05</v>
      </c>
      <c r="P51" s="5">
        <v>32</v>
      </c>
      <c r="Q51" s="7">
        <v>117.2</v>
      </c>
      <c r="R51" s="6">
        <v>59392.86</v>
      </c>
      <c r="S51" s="9">
        <v>512.6</v>
      </c>
      <c r="T51" s="10">
        <v>321</v>
      </c>
    </row>
    <row r="52" spans="1:20" x14ac:dyDescent="0.2">
      <c r="A52" s="4" t="s">
        <v>20</v>
      </c>
      <c r="B52" s="8" t="str">
        <f>HYPERLINK("https://eggheads.solutions/wbProductRating/detalization/240369678/2024-08-31/30", "240369678")</f>
        <v>240369678</v>
      </c>
      <c r="C52" s="8" t="str">
        <f>HYPERLINK("https://www.wildberries.ru/catalog/240369678/detail.aspx?targetUrl=SP", "кофенаб_№40_кнп_750_фр.ван_бейлис_сол.кар")</f>
        <v>кофенаб_№40_кнп_750_фр.ван_бейлис_сол.кар</v>
      </c>
      <c r="D52" s="4" t="s">
        <v>23</v>
      </c>
      <c r="E52" s="4" t="s">
        <v>23</v>
      </c>
      <c r="F52" s="5">
        <v>27</v>
      </c>
      <c r="G52" s="5">
        <v>32</v>
      </c>
      <c r="H52" s="5">
        <v>100</v>
      </c>
      <c r="I52" s="6">
        <v>46850.36</v>
      </c>
      <c r="J52" s="6">
        <v>5669.04</v>
      </c>
      <c r="K52" s="6">
        <v>24604.78</v>
      </c>
      <c r="L52" s="6">
        <v>0</v>
      </c>
      <c r="M52" s="6">
        <v>1277.76</v>
      </c>
      <c r="N52" s="6">
        <v>142.82</v>
      </c>
      <c r="O52" s="9">
        <v>15155.93</v>
      </c>
      <c r="P52" s="5">
        <v>32</v>
      </c>
      <c r="Q52" s="7">
        <v>26.67</v>
      </c>
      <c r="R52" s="6">
        <v>19478.8</v>
      </c>
      <c r="S52" s="9">
        <v>768.9</v>
      </c>
      <c r="T52" s="10">
        <v>947</v>
      </c>
    </row>
    <row r="53" spans="1:20" x14ac:dyDescent="0.2">
      <c r="A53" s="4" t="s">
        <v>20</v>
      </c>
      <c r="B53" s="8" t="str">
        <f>HYPERLINK("https://eggheads.solutions/wbProductRating/detalization/26876288/2024-08-31/30", "26876288")</f>
        <v>26876288</v>
      </c>
      <c r="C53" s="8" t="str">
        <f>HYPERLINK("https://www.wildberries.ru/catalog/26876288/detail.aspx?targetUrl=SP", "кофе_кнп_мол_забаглион_250")</f>
        <v>кофе_кнп_мол_забаглион_250</v>
      </c>
      <c r="D53" s="4" t="s">
        <v>22</v>
      </c>
      <c r="E53" s="4" t="s">
        <v>22</v>
      </c>
      <c r="F53" s="5">
        <v>90</v>
      </c>
      <c r="G53" s="5">
        <v>83</v>
      </c>
      <c r="H53" s="5">
        <v>92</v>
      </c>
      <c r="I53" s="6">
        <v>46753.22</v>
      </c>
      <c r="J53" s="6">
        <v>5797.74</v>
      </c>
      <c r="K53" s="6">
        <v>21011.03</v>
      </c>
      <c r="L53" s="6">
        <v>3572</v>
      </c>
      <c r="M53" s="6">
        <v>3275.13</v>
      </c>
      <c r="N53" s="6">
        <v>531.9</v>
      </c>
      <c r="O53" s="9">
        <v>12565.37</v>
      </c>
      <c r="P53" s="5">
        <v>27</v>
      </c>
      <c r="Q53" s="7">
        <v>173.2</v>
      </c>
      <c r="R53" s="6">
        <v>43943.72</v>
      </c>
      <c r="S53" s="9">
        <v>256.3</v>
      </c>
      <c r="T53" s="10">
        <v>348</v>
      </c>
    </row>
    <row r="54" spans="1:20" x14ac:dyDescent="0.2">
      <c r="A54" s="4" t="s">
        <v>20</v>
      </c>
      <c r="B54" s="8" t="str">
        <f>HYPERLINK("https://eggheads.solutions/wbProductRating/detalization/159020377/2024-08-31/30", "159020377")</f>
        <v>159020377</v>
      </c>
      <c r="C54" s="8" t="str">
        <f>HYPERLINK("https://www.wildberries.ru/catalog/159020377/detail.aspx?targetUrl=SP", "кофе_кнп_мол_забаглион_500")</f>
        <v>кофе_кнп_мол_забаглион_500</v>
      </c>
      <c r="D54" s="4" t="s">
        <v>21</v>
      </c>
      <c r="E54" s="4" t="s">
        <v>22</v>
      </c>
      <c r="F54" s="5">
        <v>52</v>
      </c>
      <c r="G54" s="5">
        <v>52</v>
      </c>
      <c r="H54" s="5">
        <v>100</v>
      </c>
      <c r="I54" s="6">
        <v>46736</v>
      </c>
      <c r="J54" s="6">
        <v>5870.4</v>
      </c>
      <c r="K54" s="6">
        <v>26417.19</v>
      </c>
      <c r="L54" s="6">
        <v>0</v>
      </c>
      <c r="M54" s="6">
        <v>2183.7399999999998</v>
      </c>
      <c r="N54" s="6">
        <v>141.06</v>
      </c>
      <c r="O54" s="9">
        <v>12123.61</v>
      </c>
      <c r="P54" s="5">
        <v>26</v>
      </c>
      <c r="Q54" s="7">
        <v>32.57</v>
      </c>
      <c r="R54" s="6">
        <v>16460.43</v>
      </c>
      <c r="S54" s="9">
        <v>512.6</v>
      </c>
      <c r="T54" s="10">
        <v>896</v>
      </c>
    </row>
    <row r="55" spans="1:20" x14ac:dyDescent="0.2">
      <c r="A55" s="4" t="s">
        <v>20</v>
      </c>
      <c r="B55" s="8" t="str">
        <f>HYPERLINK("https://eggheads.solutions/wbProductRating/detalization/108613038/2024-08-31/30", "108613038")</f>
        <v>108613038</v>
      </c>
      <c r="C55" s="8" t="str">
        <f>HYPERLINK("https://www.wildberries.ru/catalog/108613038/detail.aspx?targetUrl=SP", "кофе_кнп_ромсшок_1000")</f>
        <v>кофе_кнп_ромсшок_1000</v>
      </c>
      <c r="D55" s="4" t="s">
        <v>23</v>
      </c>
      <c r="E55" s="4" t="s">
        <v>23</v>
      </c>
      <c r="F55" s="5">
        <v>25</v>
      </c>
      <c r="G55" s="5">
        <v>28</v>
      </c>
      <c r="H55" s="5">
        <v>100</v>
      </c>
      <c r="I55" s="6">
        <v>46357.65</v>
      </c>
      <c r="J55" s="6">
        <v>5708.8</v>
      </c>
      <c r="K55" s="6">
        <v>26108</v>
      </c>
      <c r="L55" s="6">
        <v>72</v>
      </c>
      <c r="M55" s="6">
        <v>2098.69</v>
      </c>
      <c r="N55" s="6">
        <v>688.15</v>
      </c>
      <c r="O55" s="9">
        <v>11682.03</v>
      </c>
      <c r="P55" s="5">
        <v>25</v>
      </c>
      <c r="Q55" s="7">
        <v>81.430000000000007</v>
      </c>
      <c r="R55" s="6">
        <v>76263.27</v>
      </c>
      <c r="S55" s="9">
        <v>946</v>
      </c>
      <c r="T55" s="10">
        <v>186</v>
      </c>
    </row>
    <row r="56" spans="1:20" x14ac:dyDescent="0.2">
      <c r="A56" s="4" t="s">
        <v>20</v>
      </c>
      <c r="B56" s="8" t="str">
        <f>HYPERLINK("https://eggheads.solutions/wbProductRating/detalization/25719337/2024-08-31/30", "25719337")</f>
        <v>25719337</v>
      </c>
      <c r="C56" s="8" t="str">
        <f>HYPERLINK("https://www.wildberries.ru/catalog/25719337/detail.aspx?targetUrl=SP", "кофе_кнп_мол_баунти_250")</f>
        <v>кофе_кнп_мол_баунти_250</v>
      </c>
      <c r="D56" s="4" t="s">
        <v>22</v>
      </c>
      <c r="E56" s="4" t="s">
        <v>22</v>
      </c>
      <c r="F56" s="5">
        <v>92</v>
      </c>
      <c r="G56" s="5">
        <v>94</v>
      </c>
      <c r="H56" s="5">
        <v>100</v>
      </c>
      <c r="I56" s="6">
        <v>46434.77</v>
      </c>
      <c r="J56" s="6">
        <v>5806.12</v>
      </c>
      <c r="K56" s="6">
        <v>24020.73</v>
      </c>
      <c r="L56" s="6">
        <v>0</v>
      </c>
      <c r="M56" s="6">
        <v>3932.53</v>
      </c>
      <c r="N56" s="6">
        <v>106.88</v>
      </c>
      <c r="O56" s="9">
        <v>12568.48</v>
      </c>
      <c r="P56" s="5">
        <v>27</v>
      </c>
      <c r="Q56" s="7">
        <v>49.3</v>
      </c>
      <c r="R56" s="6">
        <v>12481.68</v>
      </c>
      <c r="S56" s="9">
        <v>256.3</v>
      </c>
      <c r="T56" s="10">
        <v>1225</v>
      </c>
    </row>
    <row r="57" spans="1:20" x14ac:dyDescent="0.2">
      <c r="A57" s="4" t="s">
        <v>20</v>
      </c>
      <c r="B57" s="8" t="str">
        <f>HYPERLINK("https://eggheads.solutions/wbProductRating/detalization/240371370/2024-08-31/30", "240371370")</f>
        <v>240371370</v>
      </c>
      <c r="C57" s="8" t="str">
        <f>HYPERLINK("https://www.wildberries.ru/catalog/240371370/detail.aspx?targetUrl=SP", "кофенаб_№42_кнп_мол_750_кр.ап_бав.шок_крембрюле")</f>
        <v>кофенаб_№42_кнп_мол_750_кр.ап_бав.шок_крембрюле</v>
      </c>
      <c r="D57" s="4" t="s">
        <v>22</v>
      </c>
      <c r="E57" s="4" t="s">
        <v>22</v>
      </c>
      <c r="F57" s="5">
        <v>24</v>
      </c>
      <c r="G57" s="5">
        <v>31</v>
      </c>
      <c r="H57" s="5">
        <v>100</v>
      </c>
      <c r="I57" s="6">
        <v>46003.21</v>
      </c>
      <c r="J57" s="6">
        <v>5548.13</v>
      </c>
      <c r="K57" s="6">
        <v>23835.88</v>
      </c>
      <c r="L57" s="6">
        <v>0</v>
      </c>
      <c r="M57" s="6">
        <v>1127.73</v>
      </c>
      <c r="N57" s="6">
        <v>151.54</v>
      </c>
      <c r="O57" s="9">
        <v>15339.89</v>
      </c>
      <c r="P57" s="5">
        <v>33</v>
      </c>
      <c r="Q57" s="7">
        <v>26</v>
      </c>
      <c r="R57" s="6">
        <v>18966.2</v>
      </c>
      <c r="S57" s="9">
        <v>768.9</v>
      </c>
      <c r="T57" s="10">
        <v>984</v>
      </c>
    </row>
    <row r="58" spans="1:20" x14ac:dyDescent="0.2">
      <c r="A58" s="4" t="s">
        <v>20</v>
      </c>
      <c r="B58" s="8" t="str">
        <f>HYPERLINK("https://eggheads.solutions/wbProductRating/detalization/159839666/2024-08-31/30", "159839666")</f>
        <v>159839666</v>
      </c>
      <c r="C58" s="8" t="str">
        <f>HYPERLINK("https://www.wildberries.ru/catalog/159839666/detail.aspx?targetUrl=SP", "кофе_кнп_крембрюле_1000")</f>
        <v>кофе_кнп_крембрюле_1000</v>
      </c>
      <c r="D58" s="4" t="s">
        <v>23</v>
      </c>
      <c r="E58" s="4" t="s">
        <v>23</v>
      </c>
      <c r="F58" s="5">
        <v>29</v>
      </c>
      <c r="G58" s="5">
        <v>29</v>
      </c>
      <c r="H58" s="5">
        <v>100</v>
      </c>
      <c r="I58" s="6">
        <v>43785.65</v>
      </c>
      <c r="J58" s="6">
        <v>4192.01</v>
      </c>
      <c r="K58" s="6">
        <v>27339</v>
      </c>
      <c r="L58" s="6">
        <v>0</v>
      </c>
      <c r="M58" s="6">
        <v>1855.53</v>
      </c>
      <c r="N58" s="6">
        <v>171.98</v>
      </c>
      <c r="O58" s="9">
        <v>10227.14</v>
      </c>
      <c r="P58" s="5">
        <v>23</v>
      </c>
      <c r="Q58" s="7">
        <v>21.57</v>
      </c>
      <c r="R58" s="6">
        <v>20269.07</v>
      </c>
      <c r="S58" s="9">
        <v>946</v>
      </c>
      <c r="T58" s="10">
        <v>614</v>
      </c>
    </row>
    <row r="59" spans="1:20" x14ac:dyDescent="0.2">
      <c r="A59" s="4" t="s">
        <v>20</v>
      </c>
      <c r="B59" s="8" t="str">
        <f>HYPERLINK("https://eggheads.solutions/wbProductRating/detalization/145520639/2024-08-31/30", "145520639")</f>
        <v>145520639</v>
      </c>
      <c r="C59" s="8" t="str">
        <f>HYPERLINK("https://www.wildberries.ru/catalog/145520639/detail.aspx?targetUrl=SP", "кофенаб_№27_кнп_кр.ап_бав.шок_корица_750")</f>
        <v>кофенаб_№27_кнп_кр.ап_бав.шок_корица_750</v>
      </c>
      <c r="D59" s="4" t="s">
        <v>23</v>
      </c>
      <c r="E59" s="4" t="s">
        <v>23</v>
      </c>
      <c r="F59" s="5">
        <v>32</v>
      </c>
      <c r="G59" s="5">
        <v>33</v>
      </c>
      <c r="H59" s="5">
        <v>100</v>
      </c>
      <c r="I59" s="6">
        <v>43936.1</v>
      </c>
      <c r="J59" s="6">
        <v>5481.9</v>
      </c>
      <c r="K59" s="6">
        <v>24873.87</v>
      </c>
      <c r="L59" s="6">
        <v>1426</v>
      </c>
      <c r="M59" s="6">
        <v>1768.79</v>
      </c>
      <c r="N59" s="6">
        <v>131.22999999999999</v>
      </c>
      <c r="O59" s="9">
        <v>10254.36</v>
      </c>
      <c r="P59" s="5">
        <v>23</v>
      </c>
      <c r="Q59" s="7">
        <v>30.23</v>
      </c>
      <c r="R59" s="6">
        <v>22929.87</v>
      </c>
      <c r="S59" s="9">
        <v>768.9</v>
      </c>
      <c r="T59" s="10">
        <v>544</v>
      </c>
    </row>
    <row r="60" spans="1:20" x14ac:dyDescent="0.2">
      <c r="A60" s="4" t="s">
        <v>20</v>
      </c>
      <c r="B60" s="8" t="str">
        <f>HYPERLINK("https://eggheads.solutions/wbProductRating/detalization/127654998/2024-08-31/30", "127654998")</f>
        <v>127654998</v>
      </c>
      <c r="C60" s="8" t="str">
        <f>HYPERLINK("https://www.wildberries.ru/catalog/127654998/detail.aspx?targetUrl=SP", "кофенаб_№19_кнп_ромсшок_забагл_турмед_750")</f>
        <v>кофенаб_№19_кнп_ромсшок_забагл_турмед_750</v>
      </c>
      <c r="D60" s="4" t="s">
        <v>23</v>
      </c>
      <c r="E60" s="4" t="s">
        <v>23</v>
      </c>
      <c r="F60" s="5">
        <v>33</v>
      </c>
      <c r="G60" s="5">
        <v>33</v>
      </c>
      <c r="H60" s="5">
        <v>100</v>
      </c>
      <c r="I60" s="6">
        <v>42434.12</v>
      </c>
      <c r="J60" s="6">
        <v>5284.22</v>
      </c>
      <c r="K60" s="6">
        <v>25159.45</v>
      </c>
      <c r="L60" s="6">
        <v>0</v>
      </c>
      <c r="M60" s="6">
        <v>1570.44</v>
      </c>
      <c r="N60" s="6">
        <v>220.21</v>
      </c>
      <c r="O60" s="9">
        <v>10199.709999999999</v>
      </c>
      <c r="P60" s="5">
        <v>24</v>
      </c>
      <c r="Q60" s="7">
        <v>40.1</v>
      </c>
      <c r="R60" s="6">
        <v>30463.99</v>
      </c>
      <c r="S60" s="9">
        <v>768.9</v>
      </c>
      <c r="T60" s="10">
        <v>407</v>
      </c>
    </row>
    <row r="61" spans="1:20" x14ac:dyDescent="0.2">
      <c r="A61" s="4" t="s">
        <v>20</v>
      </c>
      <c r="B61" s="8" t="str">
        <f>HYPERLINK("https://eggheads.solutions/wbProductRating/detalization/153738826/2024-08-31/30", "153738826")</f>
        <v>153738826</v>
      </c>
      <c r="C61" s="8" t="str">
        <f>HYPERLINK("https://www.wildberries.ru/catalog/153738826/detail.aspx?targetUrl=SP", "кофенаб_№33_кнп_мол_фр.ван_шв.шок_500х2")</f>
        <v>кофенаб_№33_кнп_мол_фр.ван_шв.шок_500х2</v>
      </c>
      <c r="D61" s="4" t="s">
        <v>21</v>
      </c>
      <c r="E61" s="4" t="s">
        <v>22</v>
      </c>
      <c r="F61" s="5">
        <v>19</v>
      </c>
      <c r="G61" s="5">
        <v>24</v>
      </c>
      <c r="H61" s="5">
        <v>100</v>
      </c>
      <c r="I61" s="6">
        <v>42251.47</v>
      </c>
      <c r="J61" s="6">
        <v>5119.29</v>
      </c>
      <c r="K61" s="6">
        <v>24414.38</v>
      </c>
      <c r="L61" s="6">
        <v>0</v>
      </c>
      <c r="M61" s="6">
        <v>1025.17</v>
      </c>
      <c r="N61" s="6">
        <v>88.65</v>
      </c>
      <c r="O61" s="9">
        <v>11603.98</v>
      </c>
      <c r="P61" s="5">
        <v>27</v>
      </c>
      <c r="Q61" s="7">
        <v>14.13</v>
      </c>
      <c r="R61" s="6">
        <v>14330.83</v>
      </c>
      <c r="S61" s="9">
        <v>1025.2</v>
      </c>
      <c r="T61" s="10">
        <v>985</v>
      </c>
    </row>
    <row r="62" spans="1:20" x14ac:dyDescent="0.2">
      <c r="A62" s="4" t="s">
        <v>20</v>
      </c>
      <c r="B62" s="8" t="str">
        <f>HYPERLINK("https://eggheads.solutions/wbProductRating/detalization/240369679/2024-08-31/30", "240369679")</f>
        <v>240369679</v>
      </c>
      <c r="C62" s="8" t="str">
        <f>HYPERLINK("https://www.wildberries.ru/catalog/240369679/detail.aspx?targetUrl=SP", "кофенаб_№41_кнп_750_фр.ван_ромшок_корица")</f>
        <v>кофенаб_№41_кнп_750_фр.ван_ромшок_корица</v>
      </c>
      <c r="D62" s="4" t="s">
        <v>23</v>
      </c>
      <c r="E62" s="4" t="s">
        <v>23</v>
      </c>
      <c r="F62" s="5">
        <v>30</v>
      </c>
      <c r="G62" s="5">
        <v>27</v>
      </c>
      <c r="H62" s="5">
        <v>90</v>
      </c>
      <c r="I62" s="6">
        <v>39338.199999999997</v>
      </c>
      <c r="J62" s="6">
        <v>4890.3599999999997</v>
      </c>
      <c r="K62" s="6">
        <v>17684.7</v>
      </c>
      <c r="L62" s="6">
        <v>0</v>
      </c>
      <c r="M62" s="6">
        <v>1481.7</v>
      </c>
      <c r="N62" s="6">
        <v>194.39</v>
      </c>
      <c r="O62" s="9">
        <v>15087.06</v>
      </c>
      <c r="P62" s="5">
        <v>38</v>
      </c>
      <c r="Q62" s="7">
        <v>29.37</v>
      </c>
      <c r="R62" s="6">
        <v>20145.18</v>
      </c>
      <c r="S62" s="9">
        <v>768.9</v>
      </c>
      <c r="T62" s="10">
        <v>911</v>
      </c>
    </row>
    <row r="63" spans="1:20" x14ac:dyDescent="0.2">
      <c r="A63" s="4" t="s">
        <v>20</v>
      </c>
      <c r="B63" s="8" t="str">
        <f>HYPERLINK("https://eggheads.solutions/wbProductRating/detalization/157832311/2024-08-31/30", "157832311")</f>
        <v>157832311</v>
      </c>
      <c r="C63" s="8" t="str">
        <f>HYPERLINK("https://www.wildberries.ru/catalog/157832311/detail.aspx?targetUrl=SP", "кофе_кнп_вт_далат(внутри_втнм+бразил)_1000_моно")</f>
        <v>кофе_кнп_вт_далат(внутри_втнм+бразил)_1000_моно</v>
      </c>
      <c r="D63" s="4" t="s">
        <v>23</v>
      </c>
      <c r="E63" s="4" t="s">
        <v>23</v>
      </c>
      <c r="F63" s="5">
        <v>20</v>
      </c>
      <c r="G63" s="5">
        <v>25</v>
      </c>
      <c r="H63" s="5">
        <v>100</v>
      </c>
      <c r="I63" s="6">
        <v>38399</v>
      </c>
      <c r="J63" s="6">
        <v>4644.8599999999997</v>
      </c>
      <c r="K63" s="6">
        <v>25581</v>
      </c>
      <c r="L63" s="6">
        <v>0</v>
      </c>
      <c r="M63" s="6">
        <v>1205.81</v>
      </c>
      <c r="N63" s="6">
        <v>104.5</v>
      </c>
      <c r="O63" s="9">
        <v>6862.83</v>
      </c>
      <c r="P63" s="5">
        <v>18</v>
      </c>
      <c r="Q63" s="7">
        <v>16.5</v>
      </c>
      <c r="R63" s="6">
        <v>16830.37</v>
      </c>
      <c r="S63" s="9">
        <v>1025</v>
      </c>
      <c r="T63" s="10">
        <v>496</v>
      </c>
    </row>
    <row r="64" spans="1:20" x14ac:dyDescent="0.2">
      <c r="A64" s="4" t="s">
        <v>20</v>
      </c>
      <c r="B64" s="8" t="str">
        <f>HYPERLINK("https://eggheads.solutions/wbProductRating/detalization/122825734/2024-08-31/30", "122825734")</f>
        <v>122825734</v>
      </c>
      <c r="C64" s="8" t="str">
        <f>HYPERLINK("https://www.wildberries.ru/catalog/122825734/detail.aspx?targetUrl=SP", "кофе_кнп_гаворех_1000")</f>
        <v>кофе_кнп_гаворех_1000</v>
      </c>
      <c r="D64" s="4" t="s">
        <v>23</v>
      </c>
      <c r="E64" s="4" t="s">
        <v>23</v>
      </c>
      <c r="F64" s="5">
        <v>20</v>
      </c>
      <c r="G64" s="5">
        <v>22</v>
      </c>
      <c r="H64" s="5">
        <v>100</v>
      </c>
      <c r="I64" s="6">
        <v>37562.82</v>
      </c>
      <c r="J64" s="6">
        <v>4641.33</v>
      </c>
      <c r="K64" s="6">
        <v>20622</v>
      </c>
      <c r="L64" s="6">
        <v>0</v>
      </c>
      <c r="M64" s="6">
        <v>1316.58</v>
      </c>
      <c r="N64" s="6">
        <v>250.76</v>
      </c>
      <c r="O64" s="9">
        <v>10732.12</v>
      </c>
      <c r="P64" s="5">
        <v>29</v>
      </c>
      <c r="Q64" s="7">
        <v>29.03</v>
      </c>
      <c r="R64" s="6">
        <v>27177.37</v>
      </c>
      <c r="S64" s="9">
        <v>851</v>
      </c>
      <c r="T64" s="10">
        <v>480</v>
      </c>
    </row>
    <row r="65" spans="1:20" x14ac:dyDescent="0.2">
      <c r="A65" s="4" t="s">
        <v>20</v>
      </c>
      <c r="B65" s="8" t="str">
        <f>HYPERLINK("https://eggheads.solutions/wbProductRating/detalization/32880783/2024-08-31/30", "32880783")</f>
        <v>32880783</v>
      </c>
      <c r="C65" s="8" t="str">
        <f>HYPERLINK("https://www.wildberries.ru/catalog/32880783/detail.aspx?targetUrl=SP", "кофенаб_№23_кнп_баунт_забаг_амар_750")</f>
        <v>кофенаб_№23_кнп_баунт_забаг_амар_750</v>
      </c>
      <c r="D65" s="4" t="s">
        <v>23</v>
      </c>
      <c r="E65" s="4" t="s">
        <v>23</v>
      </c>
      <c r="F65" s="5">
        <v>29</v>
      </c>
      <c r="G65" s="5">
        <v>28</v>
      </c>
      <c r="H65" s="5">
        <v>96</v>
      </c>
      <c r="I65" s="6">
        <v>36544.1</v>
      </c>
      <c r="J65" s="6">
        <v>4549.78</v>
      </c>
      <c r="K65" s="6">
        <v>21314.97</v>
      </c>
      <c r="L65" s="6">
        <v>0</v>
      </c>
      <c r="M65" s="6">
        <v>1438.83</v>
      </c>
      <c r="N65" s="6">
        <v>103.53</v>
      </c>
      <c r="O65" s="9">
        <v>9136.9599999999991</v>
      </c>
      <c r="P65" s="5">
        <v>25</v>
      </c>
      <c r="Q65" s="7">
        <v>21.13</v>
      </c>
      <c r="R65" s="6">
        <v>16075.68</v>
      </c>
      <c r="S65" s="9">
        <v>697.5</v>
      </c>
      <c r="T65" s="10">
        <v>692</v>
      </c>
    </row>
    <row r="66" spans="1:20" x14ac:dyDescent="0.2">
      <c r="A66" s="4" t="s">
        <v>20</v>
      </c>
      <c r="B66" s="8" t="str">
        <f>HYPERLINK("https://eggheads.solutions/wbProductRating/detalization/152462761/2024-08-31/30", "152462761")</f>
        <v>152462761</v>
      </c>
      <c r="C66" s="8" t="str">
        <f>HYPERLINK("https://www.wildberries.ru/catalog/152462761/detail.aspx?targetUrl=SP", "кофенаб_№17_кнп_espr.crema_ирл.крем_кр.апельсин_750")</f>
        <v>кофенаб_№17_кнп_espr.crema_ирл.крем_кр.апельсин_750</v>
      </c>
      <c r="D66" s="4" t="s">
        <v>23</v>
      </c>
      <c r="E66" s="4" t="s">
        <v>23</v>
      </c>
      <c r="F66" s="5">
        <v>30</v>
      </c>
      <c r="G66" s="5">
        <v>30</v>
      </c>
      <c r="H66" s="5">
        <v>100</v>
      </c>
      <c r="I66" s="6">
        <v>36388</v>
      </c>
      <c r="J66" s="6">
        <v>4536.55</v>
      </c>
      <c r="K66" s="6">
        <v>22991.96</v>
      </c>
      <c r="L66" s="6">
        <v>0</v>
      </c>
      <c r="M66" s="6">
        <v>1543.73</v>
      </c>
      <c r="N66" s="6">
        <v>159.71</v>
      </c>
      <c r="O66" s="9">
        <v>7155.99</v>
      </c>
      <c r="P66" s="5">
        <v>20</v>
      </c>
      <c r="Q66" s="7">
        <v>28.63</v>
      </c>
      <c r="R66" s="6">
        <v>21725.62</v>
      </c>
      <c r="S66" s="9">
        <v>766.4</v>
      </c>
      <c r="T66" s="10">
        <v>401</v>
      </c>
    </row>
    <row r="67" spans="1:20" x14ac:dyDescent="0.2">
      <c r="A67" s="4" t="s">
        <v>20</v>
      </c>
      <c r="B67" s="8" t="str">
        <f>HYPERLINK("https://eggheads.solutions/wbProductRating/detalization/26876702/2024-08-31/30", "26876702")</f>
        <v>26876702</v>
      </c>
      <c r="C67" s="8" t="str">
        <f>HYPERLINK("https://www.wildberries.ru/catalog/26876702/detail.aspx?targetUrl=SP", "кофе_кнп_мол_амаретто_250")</f>
        <v>кофе_кнп_мол_амаретто_250</v>
      </c>
      <c r="D67" s="4" t="s">
        <v>22</v>
      </c>
      <c r="E67" s="4" t="s">
        <v>22</v>
      </c>
      <c r="F67" s="5">
        <v>56</v>
      </c>
      <c r="G67" s="5">
        <v>60</v>
      </c>
      <c r="H67" s="5">
        <v>100</v>
      </c>
      <c r="I67" s="6">
        <v>34122.14</v>
      </c>
      <c r="J67" s="6">
        <v>4229.7299999999996</v>
      </c>
      <c r="K67" s="6">
        <v>15306.57</v>
      </c>
      <c r="L67" s="6">
        <v>0</v>
      </c>
      <c r="M67" s="6">
        <v>2404.2199999999998</v>
      </c>
      <c r="N67" s="6">
        <v>176.22</v>
      </c>
      <c r="O67" s="9">
        <v>12005.38</v>
      </c>
      <c r="P67" s="5">
        <v>35</v>
      </c>
      <c r="Q67" s="7">
        <v>68.7</v>
      </c>
      <c r="R67" s="6">
        <v>17403.13</v>
      </c>
      <c r="S67" s="9">
        <v>256.3</v>
      </c>
      <c r="T67" s="10">
        <v>839</v>
      </c>
    </row>
    <row r="68" spans="1:20" x14ac:dyDescent="0.2">
      <c r="A68" s="4" t="s">
        <v>20</v>
      </c>
      <c r="B68" s="8" t="str">
        <f>HYPERLINK("https://eggheads.solutions/wbProductRating/detalization/186114908/2024-08-31/30", "186114908")</f>
        <v>186114908</v>
      </c>
      <c r="C68" s="8" t="str">
        <f>HYPERLINK("https://www.wildberries.ru/catalog/186114908/detail.aspx?targetUrl=SP", "кофенаб_кнп_№20_збгл_гаворех_крембрюле_750")</f>
        <v>кофенаб_кнп_№20_збгл_гаворех_крембрюле_750</v>
      </c>
      <c r="D68" s="4" t="s">
        <v>23</v>
      </c>
      <c r="E68" s="4" t="s">
        <v>23</v>
      </c>
      <c r="F68" s="5">
        <v>23</v>
      </c>
      <c r="G68" s="5">
        <v>26</v>
      </c>
      <c r="H68" s="5">
        <v>100</v>
      </c>
      <c r="I68" s="6">
        <v>33923.269999999997</v>
      </c>
      <c r="J68" s="6">
        <v>4235.26</v>
      </c>
      <c r="K68" s="6">
        <v>19991.37</v>
      </c>
      <c r="L68" s="6">
        <v>0</v>
      </c>
      <c r="M68" s="6">
        <v>1164.82</v>
      </c>
      <c r="N68" s="6">
        <v>90.27</v>
      </c>
      <c r="O68" s="9">
        <v>8441.5400000000009</v>
      </c>
      <c r="P68" s="5">
        <v>25</v>
      </c>
      <c r="Q68" s="7">
        <v>18.100000000000001</v>
      </c>
      <c r="R68" s="6">
        <v>13736.21</v>
      </c>
      <c r="S68" s="9">
        <v>768.89</v>
      </c>
      <c r="T68" s="10">
        <v>748</v>
      </c>
    </row>
    <row r="69" spans="1:20" x14ac:dyDescent="0.2">
      <c r="A69" s="4" t="s">
        <v>20</v>
      </c>
      <c r="B69" s="8" t="str">
        <f>HYPERLINK("https://eggheads.solutions/wbProductRating/detalization/152462759/2024-08-31/30", "152462759")</f>
        <v>152462759</v>
      </c>
      <c r="C69" s="8" t="str">
        <f>HYPERLINK("https://www.wildberries.ru/catalog/152462759/detail.aspx?targetUrl=SP", "кофенаб_№28_кнп_espr.crema_фр.ван_бав.шок_750")</f>
        <v>кофенаб_№28_кнп_espr.crema_фр.ван_бав.шок_750</v>
      </c>
      <c r="D69" s="4" t="s">
        <v>23</v>
      </c>
      <c r="E69" s="4" t="s">
        <v>23</v>
      </c>
      <c r="F69" s="5">
        <v>22</v>
      </c>
      <c r="G69" s="5">
        <v>22</v>
      </c>
      <c r="H69" s="5">
        <v>100</v>
      </c>
      <c r="I69" s="6">
        <v>32779</v>
      </c>
      <c r="J69" s="6">
        <v>4108.78</v>
      </c>
      <c r="K69" s="6">
        <v>16860.740000000002</v>
      </c>
      <c r="L69" s="6">
        <v>0</v>
      </c>
      <c r="M69" s="6">
        <v>1273.43</v>
      </c>
      <c r="N69" s="6">
        <v>138.01</v>
      </c>
      <c r="O69" s="9">
        <v>10398.01</v>
      </c>
      <c r="P69" s="5">
        <v>32</v>
      </c>
      <c r="Q69" s="7">
        <v>21.77</v>
      </c>
      <c r="R69" s="6">
        <v>16493.060000000001</v>
      </c>
      <c r="S69" s="9">
        <v>766.39</v>
      </c>
      <c r="T69" s="10">
        <v>767</v>
      </c>
    </row>
    <row r="70" spans="1:20" x14ac:dyDescent="0.2">
      <c r="A70" s="4" t="s">
        <v>20</v>
      </c>
      <c r="B70" s="8" t="str">
        <f>HYPERLINK("https://eggheads.solutions/wbProductRating/detalization/108608819/2024-08-31/30", "108608819")</f>
        <v>108608819</v>
      </c>
      <c r="C70" s="8" t="str">
        <f>HYPERLINK("https://www.wildberries.ru/catalog/108608819/detail.aspx?targetUrl=SP", "кофе_кнп_мол_бисквитмери_250")</f>
        <v>кофе_кнп_мол_бисквитмери_250</v>
      </c>
      <c r="D70" s="4" t="s">
        <v>22</v>
      </c>
      <c r="E70" s="4" t="s">
        <v>22</v>
      </c>
      <c r="F70" s="5">
        <v>54</v>
      </c>
      <c r="G70" s="5">
        <v>58</v>
      </c>
      <c r="H70" s="5">
        <v>100</v>
      </c>
      <c r="I70" s="6">
        <v>32399.63</v>
      </c>
      <c r="J70" s="6">
        <v>4014.47</v>
      </c>
      <c r="K70" s="6">
        <v>14746.35</v>
      </c>
      <c r="L70" s="6">
        <v>0</v>
      </c>
      <c r="M70" s="6">
        <v>2890.2</v>
      </c>
      <c r="N70" s="6">
        <v>320.58999999999997</v>
      </c>
      <c r="O70" s="9">
        <v>10427.969999999999</v>
      </c>
      <c r="P70" s="5">
        <v>32</v>
      </c>
      <c r="Q70" s="7">
        <v>57.8</v>
      </c>
      <c r="R70" s="6">
        <v>14626.91</v>
      </c>
      <c r="S70" s="9">
        <v>256.3</v>
      </c>
      <c r="T70" s="10">
        <v>867</v>
      </c>
    </row>
    <row r="71" spans="1:20" x14ac:dyDescent="0.2">
      <c r="A71" s="4" t="s">
        <v>20</v>
      </c>
      <c r="B71" s="8" t="str">
        <f>HYPERLINK("https://eggheads.solutions/wbProductRating/detalization/216206342/2024-08-31/30", "216206342")</f>
        <v>216206342</v>
      </c>
      <c r="C71" s="8" t="str">
        <f>HYPERLINK("https://www.wildberries.ru/catalog/216206342/detail.aspx?targetUrl=SP", "кофенаб_№36_кнп_3000_ирл.кр_фр.ван_шв.шок")</f>
        <v>кофенаб_№36_кнп_3000_ирл.кр_фр.ван_шв.шок</v>
      </c>
      <c r="D71" s="4" t="s">
        <v>23</v>
      </c>
      <c r="E71" s="4" t="s">
        <v>23</v>
      </c>
      <c r="F71" s="5">
        <v>6</v>
      </c>
      <c r="G71" s="5">
        <v>7</v>
      </c>
      <c r="H71" s="5">
        <v>100</v>
      </c>
      <c r="I71" s="6">
        <v>32300</v>
      </c>
      <c r="J71" s="6">
        <v>4042.8</v>
      </c>
      <c r="K71" s="6">
        <v>19866</v>
      </c>
      <c r="L71" s="6">
        <v>0</v>
      </c>
      <c r="M71" s="6">
        <v>394.19</v>
      </c>
      <c r="N71" s="6">
        <v>37.69</v>
      </c>
      <c r="O71" s="9">
        <v>7959.31</v>
      </c>
      <c r="P71" s="5">
        <v>25</v>
      </c>
      <c r="Q71" s="7">
        <v>5.7</v>
      </c>
      <c r="R71" s="6">
        <v>16062.6</v>
      </c>
      <c r="S71" s="9">
        <v>2838</v>
      </c>
      <c r="T71" s="10">
        <v>603</v>
      </c>
    </row>
    <row r="72" spans="1:20" x14ac:dyDescent="0.2">
      <c r="A72" s="4" t="s">
        <v>20</v>
      </c>
      <c r="B72" s="8" t="str">
        <f>HYPERLINK("https://eggheads.solutions/wbProductRating/detalization/165397731/2024-08-31/30", "165397731")</f>
        <v>165397731</v>
      </c>
      <c r="C72" s="8" t="str">
        <f>HYPERLINK("https://www.wildberries.ru/catalog/165397731/detail.aspx?targetUrl=SP", "кофе_кнп_мол_бавшок_500")</f>
        <v>кофе_кнп_мол_бавшок_500</v>
      </c>
      <c r="D72" s="4" t="s">
        <v>22</v>
      </c>
      <c r="E72" s="4" t="s">
        <v>22</v>
      </c>
      <c r="F72" s="5">
        <v>37</v>
      </c>
      <c r="G72" s="5">
        <v>37</v>
      </c>
      <c r="H72" s="5">
        <v>100</v>
      </c>
      <c r="I72" s="6">
        <v>32103</v>
      </c>
      <c r="J72" s="6">
        <v>4032.45</v>
      </c>
      <c r="K72" s="6">
        <v>18918.580000000002</v>
      </c>
      <c r="L72" s="6">
        <v>0</v>
      </c>
      <c r="M72" s="6">
        <v>1563.67</v>
      </c>
      <c r="N72" s="6">
        <v>56.71</v>
      </c>
      <c r="O72" s="9">
        <v>7531.59</v>
      </c>
      <c r="P72" s="5">
        <v>23</v>
      </c>
      <c r="Q72" s="7">
        <v>19.43</v>
      </c>
      <c r="R72" s="6">
        <v>9879.02</v>
      </c>
      <c r="S72" s="9">
        <v>512.6</v>
      </c>
      <c r="T72" s="10">
        <v>928</v>
      </c>
    </row>
    <row r="73" spans="1:20" x14ac:dyDescent="0.2">
      <c r="A73" s="4" t="s">
        <v>20</v>
      </c>
      <c r="B73" s="8" t="str">
        <f>HYPERLINK("https://eggheads.solutions/wbProductRating/detalization/122828369/2024-08-31/30", "122828369")</f>
        <v>122828369</v>
      </c>
      <c r="C73" s="8" t="str">
        <f>HYPERLINK("https://www.wildberries.ru/catalog/122828369/detail.aspx?targetUrl=SP", "кофе_кнп_турмед_1000")</f>
        <v>кофе_кнп_турмед_1000</v>
      </c>
      <c r="D73" s="4" t="s">
        <v>21</v>
      </c>
      <c r="E73" s="4" t="s">
        <v>23</v>
      </c>
      <c r="F73" s="5">
        <v>18</v>
      </c>
      <c r="G73" s="5">
        <v>21</v>
      </c>
      <c r="H73" s="5">
        <v>100</v>
      </c>
      <c r="I73" s="6">
        <v>32000.02</v>
      </c>
      <c r="J73" s="6">
        <v>3986.74</v>
      </c>
      <c r="K73" s="6">
        <v>19581</v>
      </c>
      <c r="L73" s="6">
        <v>0</v>
      </c>
      <c r="M73" s="6">
        <v>976.36</v>
      </c>
      <c r="N73" s="6">
        <v>217.72</v>
      </c>
      <c r="O73" s="9">
        <v>7238.25</v>
      </c>
      <c r="P73" s="5">
        <v>23</v>
      </c>
      <c r="Q73" s="7">
        <v>27.97</v>
      </c>
      <c r="R73" s="6">
        <v>26133.47</v>
      </c>
      <c r="S73" s="9">
        <v>946</v>
      </c>
      <c r="T73" s="10">
        <v>337</v>
      </c>
    </row>
    <row r="74" spans="1:20" x14ac:dyDescent="0.2">
      <c r="A74" s="4" t="s">
        <v>20</v>
      </c>
      <c r="B74" s="8" t="str">
        <f>HYPERLINK("https://eggheads.solutions/wbProductRating/detalization/25719241/2024-08-31/30", "25719241")</f>
        <v>25719241</v>
      </c>
      <c r="C74" s="8" t="str">
        <f>HYPERLINK("https://www.wildberries.ru/catalog/25719241/detail.aspx?targetUrl=SP", "кофе_кнп_мол_бейлис_250")</f>
        <v>кофе_кнп_мол_бейлис_250</v>
      </c>
      <c r="D74" s="4" t="s">
        <v>22</v>
      </c>
      <c r="E74" s="4" t="s">
        <v>22</v>
      </c>
      <c r="F74" s="5">
        <v>57</v>
      </c>
      <c r="G74" s="5">
        <v>57</v>
      </c>
      <c r="H74" s="5">
        <v>100</v>
      </c>
      <c r="I74" s="6">
        <v>31518.959999999999</v>
      </c>
      <c r="J74" s="6">
        <v>3930.83</v>
      </c>
      <c r="K74" s="6">
        <v>14537.64</v>
      </c>
      <c r="L74" s="6">
        <v>0</v>
      </c>
      <c r="M74" s="6">
        <v>2303.48</v>
      </c>
      <c r="N74" s="6">
        <v>61.74</v>
      </c>
      <c r="O74" s="9">
        <v>10685.16</v>
      </c>
      <c r="P74" s="5">
        <v>34</v>
      </c>
      <c r="Q74" s="7">
        <v>29.87</v>
      </c>
      <c r="R74" s="6">
        <v>7565.18</v>
      </c>
      <c r="S74" s="9">
        <v>256.3</v>
      </c>
      <c r="T74" s="10">
        <v>1718</v>
      </c>
    </row>
    <row r="75" spans="1:20" x14ac:dyDescent="0.2">
      <c r="A75" s="4" t="s">
        <v>20</v>
      </c>
      <c r="B75" s="8" t="str">
        <f>HYPERLINK("https://eggheads.solutions/wbProductRating/detalization/25710270/2024-08-31/30", "25710270")</f>
        <v>25710270</v>
      </c>
      <c r="C75" s="8" t="str">
        <f>HYPERLINK("https://www.wildberries.ru/catalog/25710270/detail.aspx?targetUrl=SP", "кофе_кнп_ирлкрем_250")</f>
        <v>кофе_кнп_ирлкрем_250</v>
      </c>
      <c r="D75" s="4" t="s">
        <v>23</v>
      </c>
      <c r="E75" s="4" t="s">
        <v>23</v>
      </c>
      <c r="F75" s="5">
        <v>49</v>
      </c>
      <c r="G75" s="5">
        <v>53</v>
      </c>
      <c r="H75" s="5">
        <v>100</v>
      </c>
      <c r="I75" s="6">
        <v>28727.1</v>
      </c>
      <c r="J75" s="6">
        <v>3519.63</v>
      </c>
      <c r="K75" s="6">
        <v>13536.27</v>
      </c>
      <c r="L75" s="6">
        <v>0</v>
      </c>
      <c r="M75" s="6">
        <v>1862.94</v>
      </c>
      <c r="N75" s="6">
        <v>238.91</v>
      </c>
      <c r="O75" s="9">
        <v>9569.2800000000007</v>
      </c>
      <c r="P75" s="5">
        <v>33</v>
      </c>
      <c r="Q75" s="7">
        <v>85.77</v>
      </c>
      <c r="R75" s="6">
        <v>21739.23</v>
      </c>
      <c r="S75" s="9">
        <v>232.5</v>
      </c>
      <c r="T75" s="10">
        <v>536</v>
      </c>
    </row>
    <row r="76" spans="1:20" x14ac:dyDescent="0.2">
      <c r="A76" s="4" t="s">
        <v>20</v>
      </c>
      <c r="B76" s="8" t="str">
        <f>HYPERLINK("https://eggheads.solutions/wbProductRating/detalization/26876806/2024-08-31/30", "26876806")</f>
        <v>26876806</v>
      </c>
      <c r="C76" s="8" t="str">
        <f>HYPERLINK("https://www.wildberries.ru/catalog/26876806/detail.aspx?targetUrl=SP", "кофе_кнп_мол_швейцшок_250")</f>
        <v>кофе_кнп_мол_швейцшок_250</v>
      </c>
      <c r="D76" s="4" t="s">
        <v>22</v>
      </c>
      <c r="E76" s="4" t="s">
        <v>22</v>
      </c>
      <c r="F76" s="5">
        <v>57</v>
      </c>
      <c r="G76" s="5">
        <v>58</v>
      </c>
      <c r="H76" s="5">
        <v>100</v>
      </c>
      <c r="I76" s="6">
        <v>26471.75</v>
      </c>
      <c r="J76" s="6">
        <v>2942.39</v>
      </c>
      <c r="K76" s="6">
        <v>14817.75</v>
      </c>
      <c r="L76" s="6">
        <v>0</v>
      </c>
      <c r="M76" s="6">
        <v>2335.0500000000002</v>
      </c>
      <c r="N76" s="6">
        <v>54.61</v>
      </c>
      <c r="O76" s="9">
        <v>6321.89</v>
      </c>
      <c r="P76" s="5">
        <v>24</v>
      </c>
      <c r="Q76" s="7">
        <v>26.47</v>
      </c>
      <c r="R76" s="6">
        <v>6673.93</v>
      </c>
      <c r="S76" s="9">
        <v>256.3</v>
      </c>
      <c r="T76" s="10">
        <v>1152</v>
      </c>
    </row>
    <row r="77" spans="1:20" x14ac:dyDescent="0.2">
      <c r="A77" s="4" t="s">
        <v>20</v>
      </c>
      <c r="B77" s="8" t="str">
        <f>HYPERLINK("https://eggheads.solutions/wbProductRating/detalization/26878090/2024-08-31/30", "26878090")</f>
        <v>26878090</v>
      </c>
      <c r="C77" s="8" t="str">
        <f>HYPERLINK("https://www.wildberries.ru/catalog/26878090/detail.aspx?targetUrl=SP", "кофе_кнп_швейцшоколад_1000")</f>
        <v>кофе_кнп_швейцшоколад_1000</v>
      </c>
      <c r="D77" s="4" t="s">
        <v>23</v>
      </c>
      <c r="E77" s="4" t="s">
        <v>23</v>
      </c>
      <c r="F77" s="5">
        <v>16</v>
      </c>
      <c r="G77" s="5">
        <v>16</v>
      </c>
      <c r="H77" s="5">
        <v>100</v>
      </c>
      <c r="I77" s="6">
        <v>26863.89</v>
      </c>
      <c r="J77" s="6">
        <v>3371.64</v>
      </c>
      <c r="K77" s="6">
        <v>15136</v>
      </c>
      <c r="L77" s="6">
        <v>141</v>
      </c>
      <c r="M77" s="6">
        <v>976.42</v>
      </c>
      <c r="N77" s="6">
        <v>1270.02</v>
      </c>
      <c r="O77" s="9">
        <v>5968.8</v>
      </c>
      <c r="P77" s="5">
        <v>22</v>
      </c>
      <c r="Q77" s="7">
        <v>48.13</v>
      </c>
      <c r="R77" s="6">
        <v>45309.3</v>
      </c>
      <c r="S77" s="9">
        <v>946</v>
      </c>
      <c r="T77" s="10">
        <v>160</v>
      </c>
    </row>
    <row r="78" spans="1:20" x14ac:dyDescent="0.2">
      <c r="A78" s="4" t="s">
        <v>20</v>
      </c>
      <c r="B78" s="8" t="str">
        <f>HYPERLINK("https://eggheads.solutions/wbProductRating/detalization/240369676/2024-08-31/30", "240369676")</f>
        <v>240369676</v>
      </c>
      <c r="C78" s="8" t="str">
        <f>HYPERLINK("https://www.wildberries.ru/catalog/240369676/detail.aspx?targetUrl=SP", "кофенаб_№38_кнп_750_кр.ап_бав.шок_крембрюле")</f>
        <v>кофенаб_№38_кнп_750_кр.ап_бав.шок_крембрюле</v>
      </c>
      <c r="D78" s="4" t="s">
        <v>21</v>
      </c>
      <c r="E78" s="4" t="s">
        <v>23</v>
      </c>
      <c r="F78" s="5">
        <v>20</v>
      </c>
      <c r="G78" s="5">
        <v>18</v>
      </c>
      <c r="H78" s="5">
        <v>90</v>
      </c>
      <c r="I78" s="6">
        <v>26357.1</v>
      </c>
      <c r="J78" s="6">
        <v>3260.48</v>
      </c>
      <c r="K78" s="6">
        <v>13840.2</v>
      </c>
      <c r="L78" s="6">
        <v>0</v>
      </c>
      <c r="M78" s="6">
        <v>892.68</v>
      </c>
      <c r="N78" s="6">
        <v>170.15</v>
      </c>
      <c r="O78" s="9">
        <v>8193.59</v>
      </c>
      <c r="P78" s="5">
        <v>31</v>
      </c>
      <c r="Q78" s="7">
        <v>30.1</v>
      </c>
      <c r="R78" s="6">
        <v>22118.69</v>
      </c>
      <c r="S78" s="9">
        <v>768.9</v>
      </c>
      <c r="T78" s="10">
        <v>451</v>
      </c>
    </row>
    <row r="79" spans="1:20" x14ac:dyDescent="0.2">
      <c r="A79" s="4" t="s">
        <v>20</v>
      </c>
      <c r="B79" s="8" t="str">
        <f>HYPERLINK("https://eggheads.solutions/wbProductRating/detalization/165397728/2024-08-31/30", "165397728")</f>
        <v>165397728</v>
      </c>
      <c r="C79" s="8" t="str">
        <f>HYPERLINK("https://www.wildberries.ru/catalog/165397728/detail.aspx?targetUrl=SP", "кофе_кнп_мол_амаретто_500")</f>
        <v>кофе_кнп_мол_амаретто_500</v>
      </c>
      <c r="D79" s="4" t="s">
        <v>21</v>
      </c>
      <c r="E79" s="4" t="s">
        <v>22</v>
      </c>
      <c r="F79" s="5">
        <v>25</v>
      </c>
      <c r="G79" s="5">
        <v>26</v>
      </c>
      <c r="H79" s="5">
        <v>100</v>
      </c>
      <c r="I79" s="6">
        <v>25424.5</v>
      </c>
      <c r="J79" s="6">
        <v>3198.12</v>
      </c>
      <c r="K79" s="6">
        <v>13279.99</v>
      </c>
      <c r="L79" s="6">
        <v>0</v>
      </c>
      <c r="M79" s="6">
        <v>1054.28</v>
      </c>
      <c r="N79" s="6">
        <v>167.02</v>
      </c>
      <c r="O79" s="9">
        <v>7725.12</v>
      </c>
      <c r="P79" s="5">
        <v>30</v>
      </c>
      <c r="Q79" s="7">
        <v>45.97</v>
      </c>
      <c r="R79" s="6">
        <v>23414.95</v>
      </c>
      <c r="S79" s="9">
        <v>512.6</v>
      </c>
      <c r="T79" s="10">
        <v>401</v>
      </c>
    </row>
    <row r="80" spans="1:20" x14ac:dyDescent="0.2">
      <c r="A80" s="4" t="s">
        <v>20</v>
      </c>
      <c r="B80" s="8" t="str">
        <f>HYPERLINK("https://eggheads.solutions/wbProductRating/detalization/216208978/2024-08-31/30", "216208978")</f>
        <v>216208978</v>
      </c>
      <c r="C80" s="8" t="str">
        <f>HYPERLINK("https://www.wildberries.ru/catalog/216208978/detail.aspx?targetUrl=SP", "кофенаб_№37_кнп_3000_фр.ван_забагл_бейлис")</f>
        <v>кофенаб_№37_кнп_3000_фр.ван_забагл_бейлис</v>
      </c>
      <c r="D80" s="4" t="s">
        <v>21</v>
      </c>
      <c r="E80" s="4" t="s">
        <v>23</v>
      </c>
      <c r="F80" s="5">
        <v>5</v>
      </c>
      <c r="G80" s="5">
        <v>6</v>
      </c>
      <c r="H80" s="5">
        <v>100</v>
      </c>
      <c r="I80" s="6">
        <v>24480</v>
      </c>
      <c r="J80" s="6">
        <v>3040.41</v>
      </c>
      <c r="K80" s="6">
        <v>16743</v>
      </c>
      <c r="L80" s="6">
        <v>0</v>
      </c>
      <c r="M80" s="6">
        <v>382.66</v>
      </c>
      <c r="N80" s="6">
        <v>58.93</v>
      </c>
      <c r="O80" s="9">
        <v>4255</v>
      </c>
      <c r="P80" s="5">
        <v>17</v>
      </c>
      <c r="Q80" s="7">
        <v>7.43</v>
      </c>
      <c r="R80" s="6">
        <v>20810.8</v>
      </c>
      <c r="S80" s="9">
        <v>2838</v>
      </c>
      <c r="T80" s="10">
        <v>249</v>
      </c>
    </row>
    <row r="81" spans="1:20" x14ac:dyDescent="0.2">
      <c r="A81" s="4" t="s">
        <v>20</v>
      </c>
      <c r="B81" s="8" t="str">
        <f>HYPERLINK("https://eggheads.solutions/wbProductRating/detalization/122832101/2024-08-31/30", "122832101")</f>
        <v>122832101</v>
      </c>
      <c r="C81" s="8" t="str">
        <f>HYPERLINK("https://www.wildberries.ru/catalog/122832101/detail.aspx?targetUrl=SP", "кофе_кнп_мол_швейцшок_500")</f>
        <v>кофе_кнп_мол_швейцшок_500</v>
      </c>
      <c r="D81" s="4" t="s">
        <v>22</v>
      </c>
      <c r="E81" s="4" t="s">
        <v>22</v>
      </c>
      <c r="F81" s="5">
        <v>26</v>
      </c>
      <c r="G81" s="5">
        <v>26</v>
      </c>
      <c r="H81" s="5">
        <v>100</v>
      </c>
      <c r="I81" s="6">
        <v>23369.5</v>
      </c>
      <c r="J81" s="6">
        <v>2934.81</v>
      </c>
      <c r="K81" s="6">
        <v>13327.6</v>
      </c>
      <c r="L81" s="6">
        <v>0</v>
      </c>
      <c r="M81" s="6">
        <v>1004</v>
      </c>
      <c r="N81" s="6">
        <v>41.49</v>
      </c>
      <c r="O81" s="9">
        <v>6061.64</v>
      </c>
      <c r="P81" s="5">
        <v>26</v>
      </c>
      <c r="Q81" s="7">
        <v>14.27</v>
      </c>
      <c r="R81" s="6">
        <v>7224.24</v>
      </c>
      <c r="S81" s="9">
        <v>512.6</v>
      </c>
      <c r="T81" s="10">
        <v>1021</v>
      </c>
    </row>
    <row r="82" spans="1:20" x14ac:dyDescent="0.2">
      <c r="A82" s="4" t="s">
        <v>20</v>
      </c>
      <c r="B82" s="8" t="str">
        <f>HYPERLINK("https://eggheads.solutions/wbProductRating/detalization/26877752/2024-08-31/30", "26877752")</f>
        <v>26877752</v>
      </c>
      <c r="C82" s="8" t="str">
        <f>HYPERLINK("https://www.wildberries.ru/catalog/26877752/detail.aspx?targetUrl=SP", "кофе_кнп_соленкарам_1000")</f>
        <v>кофе_кнп_соленкарам_1000</v>
      </c>
      <c r="D82" s="4" t="s">
        <v>23</v>
      </c>
      <c r="E82" s="4" t="s">
        <v>23</v>
      </c>
      <c r="F82" s="5">
        <v>9</v>
      </c>
      <c r="G82" s="5">
        <v>13</v>
      </c>
      <c r="H82" s="5">
        <v>100</v>
      </c>
      <c r="I82" s="6">
        <v>21787.26</v>
      </c>
      <c r="J82" s="6">
        <v>2628.19</v>
      </c>
      <c r="K82" s="6">
        <v>12298</v>
      </c>
      <c r="L82" s="6">
        <v>144</v>
      </c>
      <c r="M82" s="6">
        <v>502.34</v>
      </c>
      <c r="N82" s="6">
        <v>203.01</v>
      </c>
      <c r="O82" s="9">
        <v>6011.71</v>
      </c>
      <c r="P82" s="5">
        <v>28</v>
      </c>
      <c r="Q82" s="7">
        <v>25.57</v>
      </c>
      <c r="R82" s="6">
        <v>23996.07</v>
      </c>
      <c r="S82" s="9">
        <v>851</v>
      </c>
      <c r="T82" s="10">
        <v>305</v>
      </c>
    </row>
    <row r="83" spans="1:20" x14ac:dyDescent="0.2">
      <c r="A83" s="4" t="s">
        <v>20</v>
      </c>
      <c r="B83" s="8" t="str">
        <f>HYPERLINK("https://eggheads.solutions/wbProductRating/detalization/122832626/2024-08-31/30", "122832626")</f>
        <v>122832626</v>
      </c>
      <c r="C83" s="8" t="str">
        <f>HYPERLINK("https://www.wildberries.ru/catalog/122832626/detail.aspx?targetUrl=SP", "кофе_кнп_мол_баунти_500")</f>
        <v>кофе_кнп_мол_баунти_500</v>
      </c>
      <c r="D83" s="4" t="s">
        <v>22</v>
      </c>
      <c r="E83" s="4" t="s">
        <v>22</v>
      </c>
      <c r="F83" s="5">
        <v>22</v>
      </c>
      <c r="G83" s="5">
        <v>22</v>
      </c>
      <c r="H83" s="5">
        <v>100</v>
      </c>
      <c r="I83" s="6">
        <v>20163</v>
      </c>
      <c r="J83" s="6">
        <v>2496.96</v>
      </c>
      <c r="K83" s="6">
        <v>10991.59</v>
      </c>
      <c r="L83" s="6">
        <v>0</v>
      </c>
      <c r="M83" s="6">
        <v>835.61</v>
      </c>
      <c r="N83" s="6">
        <v>138.30000000000001</v>
      </c>
      <c r="O83" s="9">
        <v>5700.56</v>
      </c>
      <c r="P83" s="5">
        <v>28</v>
      </c>
      <c r="Q83" s="7">
        <v>40.799999999999997</v>
      </c>
      <c r="R83" s="6">
        <v>20771.28</v>
      </c>
      <c r="S83" s="9">
        <v>512.6</v>
      </c>
      <c r="T83" s="10">
        <v>334</v>
      </c>
    </row>
    <row r="84" spans="1:20" x14ac:dyDescent="0.2">
      <c r="A84" s="4" t="s">
        <v>20</v>
      </c>
      <c r="B84" s="8" t="str">
        <f>HYPERLINK("https://eggheads.solutions/wbProductRating/detalization/25719247/2024-08-31/30", "25719247")</f>
        <v>25719247</v>
      </c>
      <c r="C84" s="8" t="str">
        <f>HYPERLINK("https://www.wildberries.ru/catalog/25719247/detail.aspx?targetUrl=SP", "кофе_кнп_баунти_1000")</f>
        <v>кофе_кнп_баунти_1000</v>
      </c>
      <c r="D84" s="4" t="s">
        <v>23</v>
      </c>
      <c r="E84" s="4" t="s">
        <v>23</v>
      </c>
      <c r="F84" s="5">
        <v>10</v>
      </c>
      <c r="G84" s="5">
        <v>11</v>
      </c>
      <c r="H84" s="5">
        <v>100</v>
      </c>
      <c r="I84" s="6">
        <v>18536.63</v>
      </c>
      <c r="J84" s="6">
        <v>2302</v>
      </c>
      <c r="K84" s="6">
        <v>10406</v>
      </c>
      <c r="L84" s="6">
        <v>0</v>
      </c>
      <c r="M84" s="6">
        <v>563.41999999999996</v>
      </c>
      <c r="N84" s="6">
        <v>85.86</v>
      </c>
      <c r="O84" s="9">
        <v>5179.3100000000004</v>
      </c>
      <c r="P84" s="5">
        <v>28</v>
      </c>
      <c r="Q84" s="7">
        <v>12.67</v>
      </c>
      <c r="R84" s="6">
        <v>11833.83</v>
      </c>
      <c r="S84" s="9">
        <v>946</v>
      </c>
      <c r="T84" s="10">
        <v>532</v>
      </c>
    </row>
    <row r="85" spans="1:20" x14ac:dyDescent="0.2">
      <c r="A85" s="4" t="s">
        <v>20</v>
      </c>
      <c r="B85" s="8" t="str">
        <f>HYPERLINK("https://eggheads.solutions/wbProductRating/detalization/157832309/2024-08-31/30", "157832309")</f>
        <v>157832309</v>
      </c>
      <c r="C85" s="8" t="str">
        <f>HYPERLINK("https://www.wildberries.ru/catalog/157832309/detail.aspx?targetUrl=SP", "кофе_кнп_робуста_инд_1000_моно")</f>
        <v>кофе_кнп_робуста_инд_1000_моно</v>
      </c>
      <c r="D85" s="4" t="s">
        <v>23</v>
      </c>
      <c r="E85" s="4" t="s">
        <v>23</v>
      </c>
      <c r="F85" s="5">
        <v>14</v>
      </c>
      <c r="G85" s="5">
        <v>15</v>
      </c>
      <c r="H85" s="5">
        <v>100</v>
      </c>
      <c r="I85" s="6">
        <v>17233</v>
      </c>
      <c r="J85" s="6">
        <v>2159.94</v>
      </c>
      <c r="K85" s="6">
        <v>12875</v>
      </c>
      <c r="L85" s="6">
        <v>0</v>
      </c>
      <c r="M85" s="6">
        <v>800.8</v>
      </c>
      <c r="N85" s="6">
        <v>43.06</v>
      </c>
      <c r="O85" s="9">
        <v>1354.19</v>
      </c>
      <c r="P85" s="5">
        <v>8</v>
      </c>
      <c r="Q85" s="7">
        <v>6.87</v>
      </c>
      <c r="R85" s="6">
        <v>5847.87</v>
      </c>
      <c r="S85" s="9">
        <v>871</v>
      </c>
      <c r="T85" s="10">
        <v>282</v>
      </c>
    </row>
    <row r="86" spans="1:20" x14ac:dyDescent="0.2">
      <c r="A86" s="4" t="s">
        <v>20</v>
      </c>
      <c r="B86" s="8" t="str">
        <f>HYPERLINK("https://eggheads.solutions/wbProductRating/detalization/159837981/2024-08-31/30", "159837981")</f>
        <v>159837981</v>
      </c>
      <c r="C86" s="8" t="str">
        <f>HYPERLINK("https://www.wildberries.ru/catalog/159837981/detail.aspx?targetUrl=SP", "кофе_кнп_мол_крембрюле_250")</f>
        <v>кофе_кнп_мол_крембрюле_250</v>
      </c>
      <c r="D86" s="4" t="s">
        <v>22</v>
      </c>
      <c r="E86" s="4" t="s">
        <v>22</v>
      </c>
      <c r="F86" s="5">
        <v>28</v>
      </c>
      <c r="G86" s="5">
        <v>30</v>
      </c>
      <c r="H86" s="5">
        <v>100</v>
      </c>
      <c r="I86" s="6">
        <v>16165.96</v>
      </c>
      <c r="J86" s="6">
        <v>2003.29</v>
      </c>
      <c r="K86" s="6">
        <v>7617.58</v>
      </c>
      <c r="L86" s="6">
        <v>0</v>
      </c>
      <c r="M86" s="6">
        <v>1210.71</v>
      </c>
      <c r="N86" s="6">
        <v>147.77000000000001</v>
      </c>
      <c r="O86" s="9">
        <v>5186.59</v>
      </c>
      <c r="P86" s="5">
        <v>32</v>
      </c>
      <c r="Q86" s="7">
        <v>60.4</v>
      </c>
      <c r="R86" s="6">
        <v>15395.63</v>
      </c>
      <c r="S86" s="9">
        <v>256.3</v>
      </c>
      <c r="T86" s="10">
        <v>410</v>
      </c>
    </row>
    <row r="87" spans="1:20" x14ac:dyDescent="0.2">
      <c r="A87" s="4" t="s">
        <v>20</v>
      </c>
      <c r="B87" s="8" t="str">
        <f>HYPERLINK("https://eggheads.solutions/wbProductRating/detalization/122827240/2024-08-31/30", "122827240")</f>
        <v>122827240</v>
      </c>
      <c r="C87" s="8" t="str">
        <f>HYPERLINK("https://www.wildberries.ru/catalog/122827240/detail.aspx?targetUrl=SP", "кофе_кнп_мол_гаворех_250")</f>
        <v>кофе_кнп_мол_гаворех_250</v>
      </c>
      <c r="D87" s="4" t="s">
        <v>24</v>
      </c>
      <c r="E87" s="4" t="s">
        <v>22</v>
      </c>
      <c r="F87" s="5">
        <v>38</v>
      </c>
      <c r="G87" s="5">
        <v>34</v>
      </c>
      <c r="H87" s="5">
        <v>89</v>
      </c>
      <c r="I87" s="6">
        <v>16174</v>
      </c>
      <c r="J87" s="6">
        <v>2028.82</v>
      </c>
      <c r="K87" s="6">
        <v>8690.3700000000008</v>
      </c>
      <c r="L87" s="6">
        <v>0</v>
      </c>
      <c r="M87" s="6">
        <v>1401</v>
      </c>
      <c r="N87" s="6">
        <v>47.49</v>
      </c>
      <c r="O87" s="9">
        <v>4006.27</v>
      </c>
      <c r="P87" s="5">
        <v>25</v>
      </c>
      <c r="Q87" s="7">
        <v>20.87</v>
      </c>
      <c r="R87" s="6">
        <v>5261.65</v>
      </c>
      <c r="S87" s="9">
        <v>256.3</v>
      </c>
      <c r="T87" s="10">
        <v>926</v>
      </c>
    </row>
    <row r="88" spans="1:20" x14ac:dyDescent="0.2">
      <c r="A88" s="4" t="s">
        <v>20</v>
      </c>
      <c r="B88" s="8" t="str">
        <f>HYPERLINK("https://eggheads.solutions/wbProductRating/detalization/159839665/2024-08-31/30", "159839665")</f>
        <v>159839665</v>
      </c>
      <c r="C88" s="8" t="str">
        <f>HYPERLINK("https://www.wildberries.ru/catalog/159839665/detail.aspx?targetUrl=SP", "кофе_кнп_нутелла_1000")</f>
        <v>кофе_кнп_нутелла_1000</v>
      </c>
      <c r="D88" s="4" t="s">
        <v>23</v>
      </c>
      <c r="E88" s="4" t="s">
        <v>23</v>
      </c>
      <c r="F88" s="5">
        <v>11</v>
      </c>
      <c r="G88" s="5">
        <v>10</v>
      </c>
      <c r="H88" s="5">
        <v>90</v>
      </c>
      <c r="I88" s="6">
        <v>15807.97</v>
      </c>
      <c r="J88" s="6">
        <v>1974.79</v>
      </c>
      <c r="K88" s="6">
        <v>9270</v>
      </c>
      <c r="L88" s="6">
        <v>104</v>
      </c>
      <c r="M88" s="6">
        <v>661.87</v>
      </c>
      <c r="N88" s="6">
        <v>405.45</v>
      </c>
      <c r="O88" s="9">
        <v>3391.87</v>
      </c>
      <c r="P88" s="5">
        <v>21</v>
      </c>
      <c r="Q88" s="7">
        <v>45.2</v>
      </c>
      <c r="R88" s="6">
        <v>42471.03</v>
      </c>
      <c r="S88" s="9">
        <v>946</v>
      </c>
      <c r="T88" s="10">
        <v>97</v>
      </c>
    </row>
    <row r="89" spans="1:20" x14ac:dyDescent="0.2">
      <c r="A89" s="4" t="s">
        <v>20</v>
      </c>
      <c r="B89" s="8" t="str">
        <f>HYPERLINK("https://eggheads.solutions/wbProductRating/detalization/216200902/2024-08-31/30", "216200902")</f>
        <v>216200902</v>
      </c>
      <c r="C89" s="8" t="str">
        <f>HYPERLINK("https://www.wildberries.ru/catalog/216200902/detail.aspx?targetUrl=SP", "кофенаб_№35_кнп_3000_ирл.кр_бав.шок_забагл")</f>
        <v>кофенаб_№35_кнп_3000_ирл.кр_бав.шок_забагл</v>
      </c>
      <c r="D89" s="4" t="s">
        <v>21</v>
      </c>
      <c r="E89" s="4" t="s">
        <v>23</v>
      </c>
      <c r="F89" s="5">
        <v>3</v>
      </c>
      <c r="G89" s="5">
        <v>3</v>
      </c>
      <c r="H89" s="5">
        <v>100</v>
      </c>
      <c r="I89" s="6">
        <v>12172</v>
      </c>
      <c r="J89" s="6">
        <v>1481.3</v>
      </c>
      <c r="K89" s="6">
        <v>7944</v>
      </c>
      <c r="L89" s="6">
        <v>0</v>
      </c>
      <c r="M89" s="6">
        <v>184.5</v>
      </c>
      <c r="N89" s="6">
        <v>47.54</v>
      </c>
      <c r="O89" s="9">
        <v>2514.65</v>
      </c>
      <c r="P89" s="5">
        <v>21</v>
      </c>
      <c r="Q89" s="7">
        <v>6.5</v>
      </c>
      <c r="R89" s="6">
        <v>18209.5</v>
      </c>
      <c r="S89" s="9">
        <v>2838</v>
      </c>
      <c r="T89" s="10">
        <v>168</v>
      </c>
    </row>
    <row r="90" spans="1:20" x14ac:dyDescent="0.2">
      <c r="A90" s="4" t="s">
        <v>20</v>
      </c>
      <c r="B90" s="8" t="str">
        <f>HYPERLINK("https://eggheads.solutions/wbProductRating/detalization/152458320/2024-08-31/30", "152458320")</f>
        <v>152458320</v>
      </c>
      <c r="C90" s="8" t="str">
        <f>HYPERLINK("https://www.wildberries.ru/catalog/152458320/detail.aspx?targetUrl=SP", "кофенаб_№34_кнп_мол_ирл.крем_баунти_500х2 ")</f>
        <v xml:space="preserve">кофенаб_№34_кнп_мол_ирл.крем_баунти_500х2 </v>
      </c>
      <c r="D90" s="4" t="s">
        <v>22</v>
      </c>
      <c r="E90" s="4" t="s">
        <v>22</v>
      </c>
      <c r="F90" s="5">
        <v>8</v>
      </c>
      <c r="G90" s="5">
        <v>7</v>
      </c>
      <c r="H90" s="5">
        <v>87</v>
      </c>
      <c r="I90" s="6">
        <v>12207</v>
      </c>
      <c r="J90" s="6">
        <v>1524.61</v>
      </c>
      <c r="K90" s="6">
        <v>7066.4</v>
      </c>
      <c r="L90" s="6">
        <v>0</v>
      </c>
      <c r="M90" s="6">
        <v>535.98</v>
      </c>
      <c r="N90" s="6">
        <v>127.98</v>
      </c>
      <c r="O90" s="9">
        <v>2952.04</v>
      </c>
      <c r="P90" s="5">
        <v>24</v>
      </c>
      <c r="Q90" s="7">
        <v>19.43</v>
      </c>
      <c r="R90" s="6">
        <v>19809.39</v>
      </c>
      <c r="S90" s="9">
        <v>915.2</v>
      </c>
      <c r="T90" s="10">
        <v>181</v>
      </c>
    </row>
    <row r="91" spans="1:20" x14ac:dyDescent="0.2">
      <c r="A91" s="4" t="s">
        <v>20</v>
      </c>
      <c r="B91" s="8" t="str">
        <f>HYPERLINK("https://eggheads.solutions/wbProductRating/detalization/26877828/2024-08-31/30", "26877828")</f>
        <v>26877828</v>
      </c>
      <c r="C91" s="8" t="str">
        <f>HYPERLINK("https://www.wildberries.ru/catalog/26877828/detail.aspx?targetUrl=SP", "кофе_кнп_скорицей_1000")</f>
        <v>кофе_кнп_скорицей_1000</v>
      </c>
      <c r="D91" s="4" t="s">
        <v>23</v>
      </c>
      <c r="E91" s="4" t="s">
        <v>23</v>
      </c>
      <c r="F91" s="5">
        <v>6</v>
      </c>
      <c r="G91" s="5">
        <v>6</v>
      </c>
      <c r="H91" s="5">
        <v>100</v>
      </c>
      <c r="I91" s="6">
        <v>10181.870000000001</v>
      </c>
      <c r="J91" s="6">
        <v>1280.81</v>
      </c>
      <c r="K91" s="6">
        <v>5581</v>
      </c>
      <c r="L91" s="6">
        <v>0</v>
      </c>
      <c r="M91" s="6">
        <v>343.2</v>
      </c>
      <c r="N91" s="6">
        <v>128.88999999999999</v>
      </c>
      <c r="O91" s="9">
        <v>2847.93</v>
      </c>
      <c r="P91" s="5">
        <v>28</v>
      </c>
      <c r="Q91" s="7">
        <v>17.23</v>
      </c>
      <c r="R91" s="6">
        <v>16106.4</v>
      </c>
      <c r="S91" s="9">
        <v>946</v>
      </c>
      <c r="T91" s="10">
        <v>215</v>
      </c>
    </row>
    <row r="92" spans="1:20" x14ac:dyDescent="0.2">
      <c r="A92" s="4" t="s">
        <v>20</v>
      </c>
      <c r="B92" s="8" t="str">
        <f>HYPERLINK("https://eggheads.solutions/wbProductRating/detalization/157832310/2024-08-31/30", "157832310")</f>
        <v>157832310</v>
      </c>
      <c r="C92" s="8" t="str">
        <f>HYPERLINK("https://www.wildberries.ru/catalog/157832310/detail.aspx?targetUrl=SP", "кофе_кнп_моджиана(внутри_сантос)_1000_моно")</f>
        <v>кофе_кнп_моджиана(внутри_сантос)_1000_моно</v>
      </c>
      <c r="D92" s="4" t="s">
        <v>25</v>
      </c>
      <c r="E92" s="4" t="s">
        <v>23</v>
      </c>
      <c r="F92" s="5">
        <v>4</v>
      </c>
      <c r="G92" s="5">
        <v>6</v>
      </c>
      <c r="H92" s="5">
        <v>100</v>
      </c>
      <c r="I92" s="6">
        <v>8827.2000000000007</v>
      </c>
      <c r="J92" s="6">
        <v>1059.6500000000001</v>
      </c>
      <c r="K92" s="6">
        <v>5761</v>
      </c>
      <c r="L92" s="6">
        <v>0</v>
      </c>
      <c r="M92" s="6">
        <v>197.34</v>
      </c>
      <c r="N92" s="6">
        <v>128.29</v>
      </c>
      <c r="O92" s="9">
        <v>1680.91</v>
      </c>
      <c r="P92" s="5">
        <v>19</v>
      </c>
      <c r="Q92" s="7">
        <v>19.8</v>
      </c>
      <c r="R92" s="6">
        <v>19056.8</v>
      </c>
      <c r="S92" s="9">
        <v>971</v>
      </c>
      <c r="T92" s="10">
        <v>107</v>
      </c>
    </row>
    <row r="93" spans="1:20" x14ac:dyDescent="0.2">
      <c r="A93" s="4" t="s">
        <v>20</v>
      </c>
      <c r="B93" s="8" t="str">
        <f>HYPERLINK("https://eggheads.solutions/wbProductRating/detalization/26876827/2024-08-31/30", "26876827")</f>
        <v>26876827</v>
      </c>
      <c r="C93" s="8" t="str">
        <f>HYPERLINK("https://www.wildberries.ru/catalog/26876827/detail.aspx?targetUrl=SP", "кофе_кнп_забаглионе_250")</f>
        <v>кофе_кнп_забаглионе_250</v>
      </c>
      <c r="D93" s="4" t="s">
        <v>24</v>
      </c>
      <c r="E93" s="4" t="s">
        <v>23</v>
      </c>
      <c r="F93" s="5">
        <v>13</v>
      </c>
      <c r="G93" s="5">
        <v>12</v>
      </c>
      <c r="H93" s="5">
        <v>92</v>
      </c>
      <c r="I93" s="6">
        <v>5028</v>
      </c>
      <c r="J93" s="6">
        <v>618.69000000000005</v>
      </c>
      <c r="K93" s="6">
        <v>2790</v>
      </c>
      <c r="L93" s="6">
        <v>0</v>
      </c>
      <c r="M93" s="6">
        <v>475.5</v>
      </c>
      <c r="N93" s="6">
        <v>1.98</v>
      </c>
      <c r="O93" s="9">
        <v>1141.8399999999999</v>
      </c>
      <c r="P93" s="5">
        <v>23</v>
      </c>
      <c r="Q93" s="7">
        <v>2.5</v>
      </c>
      <c r="R93" s="6">
        <v>609.02</v>
      </c>
      <c r="S93" s="9">
        <v>256.3</v>
      </c>
      <c r="T93" s="10">
        <v>2281</v>
      </c>
    </row>
    <row r="94" spans="1:20" x14ac:dyDescent="0.2">
      <c r="A94" s="4" t="s">
        <v>26</v>
      </c>
      <c r="B94" s="8" t="str">
        <f>HYPERLINK("https://eggheads.solutions/wbProductRating/detalization/25714726/2024-08-31/30", "25714726")</f>
        <v>25714726</v>
      </c>
      <c r="C94" s="8" t="str">
        <f>HYPERLINK("https://www.wildberries.ru/catalog/25714726/detail.aspx?targetUrl=SP", "кофе_кнп_фрваниль_250")</f>
        <v>кофе_кнп_фрваниль_250</v>
      </c>
      <c r="D94" s="4" t="s">
        <v>23</v>
      </c>
      <c r="E94" s="4" t="s">
        <v>23</v>
      </c>
      <c r="F94" s="5">
        <v>9</v>
      </c>
      <c r="G94" s="5">
        <v>9</v>
      </c>
      <c r="H94" s="5">
        <v>100</v>
      </c>
      <c r="I94" s="6">
        <v>4274</v>
      </c>
      <c r="J94" s="6">
        <v>537.23</v>
      </c>
      <c r="K94" s="6">
        <v>2306.6999999999998</v>
      </c>
      <c r="L94" s="6">
        <v>0</v>
      </c>
      <c r="M94" s="6">
        <v>422.98</v>
      </c>
      <c r="N94" s="6">
        <v>11.33</v>
      </c>
      <c r="O94" s="9">
        <v>995.76</v>
      </c>
      <c r="P94" s="5">
        <v>23</v>
      </c>
      <c r="Q94" s="7">
        <v>5.5</v>
      </c>
      <c r="R94" s="6">
        <v>1388.23</v>
      </c>
      <c r="S94" s="9">
        <v>256.3</v>
      </c>
      <c r="T94" s="10">
        <v>873</v>
      </c>
    </row>
    <row r="95" spans="1:20" x14ac:dyDescent="0.2">
      <c r="A95" s="4" t="s">
        <v>20</v>
      </c>
      <c r="B95" s="8" t="str">
        <f>HYPERLINK("https://eggheads.solutions/wbProductRating/detalization/122833979/2024-08-31/30", "122833979")</f>
        <v>122833979</v>
      </c>
      <c r="C95" s="8" t="str">
        <f>HYPERLINK("https://www.wildberries.ru/catalog/122833979/detail.aspx?targetUrl=SP", "кофе_кнп_мол_бисквитмери_500")</f>
        <v>кофе_кнп_мол_бисквитмери_500</v>
      </c>
      <c r="D95" s="4" t="s">
        <v>25</v>
      </c>
      <c r="E95" s="4" t="s">
        <v>22</v>
      </c>
      <c r="F95" s="5">
        <v>3</v>
      </c>
      <c r="G95" s="5">
        <v>3</v>
      </c>
      <c r="H95" s="5">
        <v>100</v>
      </c>
      <c r="I95" s="6">
        <v>2307</v>
      </c>
      <c r="J95" s="6">
        <v>287.31</v>
      </c>
      <c r="K95" s="6">
        <v>1395</v>
      </c>
      <c r="L95" s="6">
        <v>0</v>
      </c>
      <c r="M95" s="6">
        <v>113.25</v>
      </c>
      <c r="N95" s="6">
        <v>0.42</v>
      </c>
      <c r="O95" s="9">
        <v>511.01</v>
      </c>
      <c r="P95" s="5">
        <v>22</v>
      </c>
      <c r="Q95" s="7">
        <v>0.53</v>
      </c>
      <c r="R95" s="6">
        <v>260.69</v>
      </c>
      <c r="S95" s="9">
        <v>512.6</v>
      </c>
      <c r="T95" s="10">
        <v>2385</v>
      </c>
    </row>
    <row r="96" spans="1:20" x14ac:dyDescent="0.2">
      <c r="A96" s="4" t="s">
        <v>26</v>
      </c>
      <c r="B96" s="8" t="str">
        <f>HYPERLINK("https://eggheads.solutions/wbProductRating/detalization/25719681/2024-08-31/30", "25719681")</f>
        <v>25719681</v>
      </c>
      <c r="C96" s="8" t="str">
        <f>HYPERLINK("https://www.wildberries.ru/catalog/25719681/detail.aspx?targetUrl=SP", "кофе_кнп_бавшок_250")</f>
        <v>кофе_кнп_бавшок_250</v>
      </c>
      <c r="D96" s="4" t="s">
        <v>23</v>
      </c>
      <c r="E96" s="4" t="s">
        <v>23</v>
      </c>
      <c r="F96" s="5">
        <v>3</v>
      </c>
      <c r="G96" s="5">
        <v>2</v>
      </c>
      <c r="H96" s="5">
        <v>66</v>
      </c>
      <c r="I96" s="6">
        <v>1088</v>
      </c>
      <c r="J96" s="6">
        <v>147.44</v>
      </c>
      <c r="K96" s="6">
        <v>465</v>
      </c>
      <c r="L96" s="6">
        <v>0</v>
      </c>
      <c r="M96" s="6">
        <v>60</v>
      </c>
      <c r="N96" s="6">
        <v>0.19</v>
      </c>
      <c r="O96" s="9">
        <v>415.38</v>
      </c>
      <c r="P96" s="5">
        <v>38</v>
      </c>
      <c r="Q96" s="7">
        <v>1.7</v>
      </c>
      <c r="R96" s="6">
        <v>430.95</v>
      </c>
      <c r="S96" s="9">
        <v>256.3</v>
      </c>
      <c r="T96" s="10">
        <v>1173</v>
      </c>
    </row>
    <row r="97" spans="1:20" x14ac:dyDescent="0.2">
      <c r="A97" s="4" t="s">
        <v>20</v>
      </c>
      <c r="B97" s="8" t="str">
        <f>HYPERLINK("https://eggheads.solutions/wbProductRating/detalization/165397730/2024-08-31/30", "165397730")</f>
        <v>165397730</v>
      </c>
      <c r="C97" s="8" t="str">
        <f>HYPERLINK("https://www.wildberries.ru/catalog/165397730/detail.aspx?targetUrl=SP", "кофе_кнп_мол_бейлис_500")</f>
        <v>кофе_кнп_мол_бейлис_500</v>
      </c>
      <c r="D97" s="4" t="s">
        <v>27</v>
      </c>
      <c r="E97" s="4" t="s">
        <v>22</v>
      </c>
      <c r="F97" s="5">
        <v>0</v>
      </c>
      <c r="G97" s="5">
        <v>0</v>
      </c>
      <c r="H97" s="5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11">
        <v>0</v>
      </c>
      <c r="P97" s="5">
        <v>0</v>
      </c>
      <c r="Q97" s="7">
        <v>0.13</v>
      </c>
      <c r="R97" s="6">
        <v>62</v>
      </c>
      <c r="S97" s="9">
        <v>465</v>
      </c>
      <c r="T97" s="10">
        <v>0</v>
      </c>
    </row>
  </sheetData>
  <autoFilter ref="A1:T97" xr:uid="{00000000-0001-0000-0000-000000000000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Аналитика продаж по бренду LANC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Katerina</dc:creator>
  <dc:description/>
  <cp:lastModifiedBy>Katerina</cp:lastModifiedBy>
  <cp:revision>0</cp:revision>
  <dcterms:created xsi:type="dcterms:W3CDTF">2024-09-12T10:41:06Z</dcterms:created>
  <dcterms:modified xsi:type="dcterms:W3CDTF">2024-09-12T07:52:14Z</dcterms:modified>
</cp:coreProperties>
</file>