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yascn\Documents\Portafolio Personal\PortfolioData\"/>
    </mc:Choice>
  </mc:AlternateContent>
  <xr:revisionPtr revIDLastSave="0" documentId="13_ncr:1_{DCFBB6F3-C465-4891-BC6A-6FFF5105DBAA}" xr6:coauthVersionLast="47" xr6:coauthVersionMax="47" xr10:uidLastSave="{00000000-0000-0000-0000-000000000000}"/>
  <bookViews>
    <workbookView xWindow="-108" yWindow="-108" windowWidth="27096" windowHeight="16296" xr2:uid="{00000000-000D-0000-FFFF-FFFF00000000}"/>
  </bookViews>
  <sheets>
    <sheet name="Dashboard" sheetId="2" r:id="rId1"/>
    <sheet name="Pivot Tables" sheetId="3" r:id="rId2"/>
    <sheet name="Actuals" sheetId="4" r:id="rId3"/>
    <sheet name="Budget" sheetId="5" r:id="rId4"/>
  </sheets>
  <definedNames>
    <definedName name="Slicer_Month">#N/A</definedName>
    <definedName name="Slicer_Month1">#N/A</definedName>
  </definedNames>
  <calcPr calcId="191029"/>
  <pivotCaches>
    <pivotCache cacheId="45" r:id="rId5"/>
    <pivotCache cacheId="4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C105" i="3" l="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2" i="3"/>
  <c r="M5" i="2"/>
  <c r="I5" i="2"/>
  <c r="G5" i="2"/>
  <c r="E5" i="2"/>
  <c r="C5" i="2"/>
  <c r="C116" i="3"/>
  <c r="C102" i="3"/>
  <c r="C89" i="3"/>
  <c r="C87" i="3"/>
  <c r="C41" i="3"/>
  <c r="K5" i="2"/>
  <c r="C35" i="3"/>
  <c r="C101" i="3"/>
  <c r="C65" i="3"/>
  <c r="C53" i="3"/>
  <c r="C47" i="3"/>
  <c r="C117" i="3"/>
  <c r="C90" i="3"/>
  <c r="C88" i="3"/>
  <c r="C86" i="3"/>
  <c r="C85" i="3"/>
  <c r="C59" i="3"/>
  <c r="C106" i="3" l="1"/>
  <c r="C107" i="3" s="1"/>
</calcChain>
</file>

<file path=xl/sharedStrings.xml><?xml version="1.0" encoding="utf-8"?>
<sst xmlns="http://schemas.openxmlformats.org/spreadsheetml/2006/main" count="617" uniqueCount="74">
  <si>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</si>
  <si>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</si>
  <si>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</si>
  <si>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</si>
  <si>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</si>
  <si>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</si>
  <si>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</si>
  <si>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</si>
  <si>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</si>
  <si>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</si>
  <si>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</si>
  <si>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</si>
  <si>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</si>
  <si>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</si>
  <si>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</si>
  <si>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</si>
  <si>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</si>
  <si>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</si>
  <si>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</si>
  <si>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</si>
  <si>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</si>
  <si>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</si>
  <si>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</si>
  <si>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</si>
  <si>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</si>
  <si>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</si>
  <si>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</si>
  <si>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</si>
  <si>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</si>
  <si>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</si>
  <si>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</si>
  <si>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</si>
  <si>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</si>
  <si>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</si>
  <si>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</si>
  <si>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</si>
  <si>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</si>
  <si>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</si>
  <si>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</si>
  <si>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</si>
  <si>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</si>
  <si>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</si>
  <si>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</si>
  <si>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</si>
  <si>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</si>
  <si>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</si>
  <si>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</si>
  <si>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</si>
  <si>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</si>
  <si>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</si>
  <si>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</si>
  <si>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</si>
  <si>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</si>
  <si>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</si>
  <si>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</si>
  <si>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</si>
  <si>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</si>
  <si>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</si>
  <si>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</si>
  <si>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Row Labels</t>
  </si>
  <si>
    <t>Grand Total</t>
  </si>
  <si>
    <t>Sum of Amount</t>
  </si>
  <si>
    <t>Column Labels</t>
  </si>
  <si>
    <t>Sum of Budget</t>
  </si>
  <si>
    <t>Total Budget</t>
  </si>
  <si>
    <t>Graphs</t>
  </si>
  <si>
    <t>Total</t>
  </si>
  <si>
    <t>Change in Cash</t>
  </si>
  <si>
    <t>Ending Cash Balance</t>
  </si>
  <si>
    <t>Actuals</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</si>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</sst>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7" formatCode="&quot;$&quot;#,##0.00_);\(&quot;$&quot;#,##0.00\)"/>
    <numFmt numFmtId="164" formatCode="&quot;$&quot;#,##0"/>
    <numFmt numFmtId="165" formatCode="&quot;$&quot;#,##0.00"/>
  </numFmts>
  <fonts count="14"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font>
    <font>
      <b/>
      <sz val="11"/>
      <color theme="1"/>
      <name val="Calibri"/>
      <family val="2"/>
    </font>
    <font>
      <sz val="12"/>
      <color theme="1"/>
      <name val="Calibri"/>
      <family val="2"/>
      <scheme val="minor"/>
    </font>
    <font>
      <b/>
      <sz val="28"/>
      <color theme="0"/>
      <name val="Calibri"/>
      <family val="2"/>
    </font>
    <font>
      <sz val="12"/>
      <name val="Calibri"/>
      <family val="2"/>
    </font>
    <font>
      <b/>
      <sz val="24"/>
      <color theme="0"/>
      <name val="Calibri"/>
      <family val="2"/>
    </font>
    <font>
      <b/>
      <sz val="11"/>
      <color theme="0"/>
      <name val="Calibri"/>
      <family val="2"/>
    </font>
    <font>
      <b/>
      <sz val="16"/>
      <color rgb="FF293D68"/>
      <name val="Calibri"/>
      <family val="2"/>
    </font>
    <font>
      <sz val="11"/>
      <color rgb="FF0000FF"/>
      <name val="Calibri"/>
      <family val="2"/>
    </font>
    <font>
      <b/>
      <sz val="12"/>
      <color theme="0"/>
      <name val="Calibri"/>
      <family val="2"/>
    </font>
    <font>
      <b/>
      <sz val="12"/>
      <color theme="0"/>
      <name val="Calibri"/>
      <family val="2"/>
      <scheme val="minor"/>
    </font>
  </fonts>
  <fills count="6">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theme="4" tint="-0.249977111117893"/>
        <bgColor theme="4" tint="-0.249977111117893"/>
      </patternFill>
    </fill>
    <fill>
      <patternFill patternType="solid">
        <fgColor theme="0"/>
        <bgColor rgb="FF293D68"/>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right/>
      <top/>
      <bottom style="thin">
        <color theme="4" tint="-0.249977111117893"/>
      </bottom>
      <diagonal/>
    </border>
    <border>
      <left/>
      <right/>
      <top style="thin">
        <color theme="4" tint="0.79998168889431442"/>
      </top>
      <bottom style="thin">
        <color theme="4" tint="0.79998168889431442"/>
      </bottom>
      <diagonal/>
    </border>
  </borders>
  <cellStyleXfs count="1">
    <xf numFmtId="0" fontId="0" fillId="0" borderId="0"/>
  </cellStyleXfs>
  <cellXfs count="35">
    <xf numFmtId="0" fontId="0" fillId="0" borderId="0" xfId="0"/>
    <xf numFmtId="0" fontId="5" fillId="0" borderId="0" xfId="0" applyFont="1"/>
    <xf numFmtId="0" fontId="3" fillId="2" borderId="1" xfId="0" applyFont="1" applyFill="1" applyBorder="1"/>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164" fontId="9" fillId="3" borderId="1" xfId="0" applyNumberFormat="1" applyFont="1" applyFill="1" applyBorder="1" applyAlignment="1">
      <alignment horizontal="center" vertical="center"/>
    </xf>
    <xf numFmtId="0" fontId="3" fillId="2" borderId="1" xfId="0" applyFont="1" applyFill="1" applyBorder="1" applyAlignment="1">
      <alignment vertical="center"/>
    </xf>
    <xf numFmtId="0" fontId="10" fillId="0" borderId="8" xfId="0" applyFont="1" applyBorder="1"/>
    <xf numFmtId="0" fontId="9" fillId="2" borderId="1" xfId="0" applyFont="1" applyFill="1" applyBorder="1"/>
    <xf numFmtId="16" fontId="3" fillId="0" borderId="0" xfId="0" applyNumberFormat="1" applyFont="1" applyAlignment="1">
      <alignment horizontal="left"/>
    </xf>
    <xf numFmtId="7" fontId="11" fillId="0" borderId="0" xfId="0" applyNumberFormat="1" applyFont="1"/>
    <xf numFmtId="0" fontId="9" fillId="0" borderId="0" xfId="0" applyFont="1"/>
    <xf numFmtId="0" fontId="10" fillId="0" borderId="0" xfId="0" applyFont="1"/>
    <xf numFmtId="17" fontId="12" fillId="2" borderId="1" xfId="0" applyNumberFormat="1" applyFont="1" applyFill="1" applyBorder="1"/>
    <xf numFmtId="165" fontId="11" fillId="0" borderId="0" xfId="0" applyNumberFormat="1" applyFont="1"/>
    <xf numFmtId="0" fontId="0" fillId="0" borderId="0" xfId="0" pivotButton="1"/>
    <xf numFmtId="0" fontId="0" fillId="0" borderId="0" xfId="0" applyAlignment="1">
      <alignment horizontal="left"/>
    </xf>
    <xf numFmtId="0" fontId="0" fillId="0" borderId="4" xfId="0" applyBorder="1"/>
    <xf numFmtId="0" fontId="2" fillId="0" borderId="0" xfId="0" applyFont="1"/>
    <xf numFmtId="165" fontId="0" fillId="0" borderId="0" xfId="0" applyNumberFormat="1"/>
    <xf numFmtId="0" fontId="13" fillId="4" borderId="9" xfId="0" applyFont="1" applyFill="1" applyBorder="1" applyAlignment="1">
      <alignment horizontal="center"/>
    </xf>
    <xf numFmtId="0" fontId="0" fillId="0" borderId="10" xfId="0" applyBorder="1" applyAlignment="1">
      <alignment horizontal="left"/>
    </xf>
    <xf numFmtId="0" fontId="2" fillId="0" borderId="10" xfId="0" applyFont="1" applyBorder="1" applyAlignment="1">
      <alignment horizontal="left"/>
    </xf>
    <xf numFmtId="164" fontId="0" fillId="0" borderId="0" xfId="0" applyNumberFormat="1"/>
    <xf numFmtId="5" fontId="0" fillId="0" borderId="0" xfId="0" applyNumberFormat="1"/>
    <xf numFmtId="0" fontId="1" fillId="0" borderId="0" xfId="0" applyFont="1"/>
    <xf numFmtId="0" fontId="3" fillId="5" borderId="1" xfId="0" applyFont="1" applyFill="1" applyBorder="1"/>
    <xf numFmtId="0" fontId="6" fillId="2" borderId="2" xfId="0" applyFont="1" applyFill="1" applyBorder="1" applyAlignment="1">
      <alignment horizontal="center" vertical="center"/>
    </xf>
    <xf numFmtId="0" fontId="7" fillId="0" borderId="3" xfId="0" applyFont="1" applyBorder="1"/>
    <xf numFmtId="0" fontId="7" fillId="0" borderId="4" xfId="0" applyFont="1" applyBorder="1"/>
    <xf numFmtId="0" fontId="4" fillId="0" borderId="5" xfId="0" applyFont="1" applyBorder="1" applyAlignment="1">
      <alignment horizontal="center"/>
    </xf>
    <xf numFmtId="0" fontId="7" fillId="0" borderId="5" xfId="0" applyFont="1" applyBorder="1"/>
    <xf numFmtId="164" fontId="9" fillId="2" borderId="6" xfId="0" applyNumberFormat="1" applyFont="1" applyFill="1" applyBorder="1" applyAlignment="1">
      <alignment horizontal="center" vertical="center"/>
    </xf>
    <xf numFmtId="0" fontId="7" fillId="0" borderId="7" xfId="0" applyFont="1" applyBorder="1"/>
    <xf numFmtId="0" fontId="13" fillId="4" borderId="9" xfId="0" applyFont="1" applyFill="1" applyBorder="1" applyAlignment="1">
      <alignment horizontal="center"/>
    </xf>
  </cellXfs>
  <cellStyles count="1">
    <cellStyle name="Normal" xfId="0" builtinId="0"/>
  </cellStyles>
  <dxfs count="19">
    <dxf>
      <numFmt numFmtId="0" formatCode="General"/>
    </dxf>
    <dxf>
      <numFmt numFmtId="0" formatCode="General"/>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4">
    <tableStyle name="Actuals-style" pivot="0" count="3" xr9:uid="{00000000-0011-0000-FFFF-FFFF00000000}">
      <tableStyleElement type="headerRow" dxfId="18"/>
      <tableStyleElement type="firstRowStripe" dxfId="17"/>
      <tableStyleElement type="secondRowStripe" dxfId="16"/>
    </tableStyle>
    <tableStyle name="Actuals-style 2" pivot="0" count="3" xr9:uid="{00000000-0011-0000-FFFF-FFFF01000000}">
      <tableStyleElement type="headerRow" dxfId="15"/>
      <tableStyleElement type="firstRowStripe" dxfId="14"/>
      <tableStyleElement type="secondRowStripe" dxfId="13"/>
    </tableStyle>
    <tableStyle name="Budget-style" pivot="0" count="3" xr9:uid="{00000000-0011-0000-FFFF-FFFF02000000}">
      <tableStyleElement type="headerRow" dxfId="12"/>
      <tableStyleElement type="firstRowStripe" dxfId="11"/>
      <tableStyleElement type="secondRowStripe" dxfId="10"/>
    </tableStyle>
    <tableStyle name="Invisible" pivot="0" table="0" count="0" xr9:uid="{79A80B7B-682C-409B-8151-6446BB35079E}"/>
  </tableStyles>
  <colors>
    <mruColors>
      <color rgb="FF211C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r>
              <a:rPr lang="es-VE" sz="1600" b="1" i="0" u="none" strike="noStrike" kern="1200" spc="0" baseline="0">
                <a:solidFill>
                  <a:srgbClr val="002060"/>
                </a:solidFill>
                <a:latin typeface="+mn-lt"/>
                <a:ea typeface="+mn-ea"/>
                <a:cs typeface="+mn-cs"/>
              </a:rPr>
              <a:t>Expenses by Category</a:t>
            </a:r>
          </a:p>
        </c:rich>
      </c:tx>
      <c:overlay val="0"/>
      <c:spPr>
        <a:noFill/>
        <a:ln>
          <a:noFill/>
        </a:ln>
        <a:effectLst/>
      </c:spPr>
      <c:txPr>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endParaRPr lang="es-VE"/>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6BA1-412D-BEC7-DFAFAE5308A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6BA1-412D-BEC7-DFAFAE5308A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6BA1-412D-BEC7-DFAFAE5308A2}"/>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6BA1-412D-BEC7-DFAFAE5308A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6BA1-412D-BEC7-DFAFAE5308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Tables'!$B$85:$B$90</c:f>
              <c:strCache>
                <c:ptCount val="6"/>
                <c:pt idx="0">
                  <c:v>Groceries</c:v>
                </c:pt>
                <c:pt idx="1">
                  <c:v>Leisure</c:v>
                </c:pt>
                <c:pt idx="2">
                  <c:v>Other</c:v>
                </c:pt>
                <c:pt idx="3">
                  <c:v>Rent</c:v>
                </c:pt>
                <c:pt idx="4">
                  <c:v>Transport</c:v>
                </c:pt>
                <c:pt idx="5">
                  <c:v>Utilities</c:v>
                </c:pt>
              </c:strCache>
            </c:strRef>
          </c:cat>
          <c:val>
            <c:numRef>
              <c:f>'Pivot Tables'!$C$85:$C$90</c:f>
              <c:numCache>
                <c:formatCode>"$"#,##0</c:formatCode>
                <c:ptCount val="6"/>
                <c:pt idx="0">
                  <c:v>1860</c:v>
                </c:pt>
                <c:pt idx="1">
                  <c:v>2269</c:v>
                </c:pt>
                <c:pt idx="2">
                  <c:v>964</c:v>
                </c:pt>
                <c:pt idx="3">
                  <c:v>4250</c:v>
                </c:pt>
                <c:pt idx="4">
                  <c:v>275</c:v>
                </c:pt>
                <c:pt idx="5">
                  <c:v>650</c:v>
                </c:pt>
              </c:numCache>
            </c:numRef>
          </c:val>
          <c:extLst>
            <c:ext xmlns:c16="http://schemas.microsoft.com/office/drawing/2014/chart" uri="{C3380CC4-5D6E-409C-BE32-E72D297353CC}">
              <c16:uniqueId val="{00000000-3E34-4046-8AE8-96B19FC25D8E}"/>
            </c:ext>
          </c:extLst>
        </c:ser>
        <c:dLbls>
          <c:dLblPos val="outEnd"/>
          <c:showLegendKey val="0"/>
          <c:showVal val="1"/>
          <c:showCatName val="0"/>
          <c:showSerName val="0"/>
          <c:showPercent val="0"/>
          <c:showBubbleSize val="0"/>
        </c:dLbls>
        <c:gapWidth val="94"/>
        <c:overlap val="-27"/>
        <c:axId val="341418463"/>
        <c:axId val="2030385951"/>
      </c:barChart>
      <c:catAx>
        <c:axId val="3414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2030385951"/>
        <c:crosses val="autoZero"/>
        <c:auto val="1"/>
        <c:lblAlgn val="ctr"/>
        <c:lblOffset val="100"/>
        <c:noMultiLvlLbl val="0"/>
      </c:catAx>
      <c:valAx>
        <c:axId val="2030385951"/>
        <c:scaling>
          <c:orientation val="minMax"/>
        </c:scaling>
        <c:delete val="1"/>
        <c:axPos val="l"/>
        <c:numFmt formatCode="&quot;$&quot;#,##0" sourceLinked="1"/>
        <c:majorTickMark val="none"/>
        <c:minorTickMark val="none"/>
        <c:tickLblPos val="nextTo"/>
        <c:crossAx val="34141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r>
              <a:rPr lang="es-VE" sz="1600" b="1" i="0" u="none" strike="noStrike" kern="1200" spc="0" baseline="0">
                <a:solidFill>
                  <a:srgbClr val="002060"/>
                </a:solidFill>
                <a:latin typeface="+mn-lt"/>
                <a:ea typeface="+mn-ea"/>
                <a:cs typeface="+mn-cs"/>
              </a:rPr>
              <a:t>Cash Balance</a:t>
            </a:r>
          </a:p>
        </c:rich>
      </c:tx>
      <c:overlay val="0"/>
      <c:spPr>
        <a:noFill/>
        <a:ln>
          <a:noFill/>
        </a:ln>
        <a:effectLst/>
      </c:spPr>
      <c:txPr>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endParaRPr lang="es-VE"/>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3DED-4A29-AD77-815793CB28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Tables'!$B$105,'Pivot Tables'!$B$107)</c:f>
              <c:strCache>
                <c:ptCount val="2"/>
                <c:pt idx="0">
                  <c:v>Starting Cash Balance</c:v>
                </c:pt>
                <c:pt idx="1">
                  <c:v>Ending Cash Balance</c:v>
                </c:pt>
              </c:strCache>
            </c:strRef>
          </c:cat>
          <c:val>
            <c:numRef>
              <c:f>('Pivot Tables'!$C$105,'Pivot Tables'!$C$107)</c:f>
              <c:numCache>
                <c:formatCode>"$"#,##0</c:formatCode>
                <c:ptCount val="2"/>
                <c:pt idx="0">
                  <c:v>3000</c:v>
                </c:pt>
                <c:pt idx="1">
                  <c:v>12565</c:v>
                </c:pt>
              </c:numCache>
            </c:numRef>
          </c:val>
          <c:extLst>
            <c:ext xmlns:c16="http://schemas.microsoft.com/office/drawing/2014/chart" uri="{C3380CC4-5D6E-409C-BE32-E72D297353CC}">
              <c16:uniqueId val="{00000000-3DED-4A29-AD77-815793CB28F6}"/>
            </c:ext>
          </c:extLst>
        </c:ser>
        <c:dLbls>
          <c:dLblPos val="outEnd"/>
          <c:showLegendKey val="0"/>
          <c:showVal val="1"/>
          <c:showCatName val="0"/>
          <c:showSerName val="0"/>
          <c:showPercent val="0"/>
          <c:showBubbleSize val="0"/>
        </c:dLbls>
        <c:gapWidth val="219"/>
        <c:overlap val="-27"/>
        <c:axId val="1957299295"/>
        <c:axId val="1957297855"/>
      </c:barChart>
      <c:catAx>
        <c:axId val="19572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1957297855"/>
        <c:crosses val="autoZero"/>
        <c:auto val="1"/>
        <c:lblAlgn val="ctr"/>
        <c:lblOffset val="100"/>
        <c:noMultiLvlLbl val="0"/>
      </c:catAx>
      <c:valAx>
        <c:axId val="1957297855"/>
        <c:scaling>
          <c:orientation val="minMax"/>
        </c:scaling>
        <c:delete val="1"/>
        <c:axPos val="l"/>
        <c:numFmt formatCode="&quot;$&quot;#,##0" sourceLinked="1"/>
        <c:majorTickMark val="none"/>
        <c:minorTickMark val="none"/>
        <c:tickLblPos val="nextTo"/>
        <c:crossAx val="195729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s-VE" sz="1600" b="1">
                <a:solidFill>
                  <a:srgbClr val="002060"/>
                </a:solidFill>
              </a:rPr>
              <a:t>Expenses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s-VE"/>
        </a:p>
      </c:txPr>
    </c:title>
    <c:autoTitleDeleted val="0"/>
    <c:plotArea>
      <c:layout>
        <c:manualLayout>
          <c:layoutTarget val="inner"/>
          <c:xMode val="edge"/>
          <c:yMode val="edge"/>
          <c:x val="0.19605475234431838"/>
          <c:y val="0.24147135416666668"/>
          <c:w val="0.66356750390887209"/>
          <c:h val="0.6869140624999999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AF16-4496-932F-F1B4C16BFA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Tables'!$B$101,'Pivot Tables'!$B$116)</c:f>
              <c:strCache>
                <c:ptCount val="2"/>
                <c:pt idx="0">
                  <c:v>Actual Expense</c:v>
                </c:pt>
                <c:pt idx="1">
                  <c:v>Planned Expense</c:v>
                </c:pt>
              </c:strCache>
            </c:strRef>
          </c:cat>
          <c:val>
            <c:numRef>
              <c:f>('Pivot Tables'!$C$101,'Pivot Tables'!$C$116)</c:f>
              <c:numCache>
                <c:formatCode>"$"#,##0</c:formatCode>
                <c:ptCount val="2"/>
                <c:pt idx="0">
                  <c:v>10268</c:v>
                </c:pt>
                <c:pt idx="1">
                  <c:v>28500</c:v>
                </c:pt>
              </c:numCache>
            </c:numRef>
          </c:val>
          <c:extLst>
            <c:ext xmlns:c16="http://schemas.microsoft.com/office/drawing/2014/chart" uri="{C3380CC4-5D6E-409C-BE32-E72D297353CC}">
              <c16:uniqueId val="{00000000-AF16-4496-932F-F1B4C16BFA16}"/>
            </c:ext>
          </c:extLst>
        </c:ser>
        <c:dLbls>
          <c:dLblPos val="outEnd"/>
          <c:showLegendKey val="0"/>
          <c:showVal val="1"/>
          <c:showCatName val="0"/>
          <c:showSerName val="0"/>
          <c:showPercent val="0"/>
          <c:showBubbleSize val="0"/>
        </c:dLbls>
        <c:gapWidth val="182"/>
        <c:axId val="880386991"/>
        <c:axId val="880383631"/>
      </c:barChart>
      <c:catAx>
        <c:axId val="88038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880383631"/>
        <c:crosses val="autoZero"/>
        <c:auto val="1"/>
        <c:lblAlgn val="ctr"/>
        <c:lblOffset val="100"/>
        <c:noMultiLvlLbl val="0"/>
      </c:catAx>
      <c:valAx>
        <c:axId val="880383631"/>
        <c:scaling>
          <c:orientation val="minMax"/>
        </c:scaling>
        <c:delete val="1"/>
        <c:axPos val="b"/>
        <c:numFmt formatCode="&quot;$&quot;#,##0" sourceLinked="1"/>
        <c:majorTickMark val="none"/>
        <c:minorTickMark val="none"/>
        <c:tickLblPos val="nextTo"/>
        <c:crossAx val="88038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r>
              <a:rPr lang="es-VE" sz="1600" b="1" i="0" u="none" strike="noStrike" kern="1200" spc="0" baseline="0">
                <a:solidFill>
                  <a:srgbClr val="002060"/>
                </a:solidFill>
                <a:latin typeface="+mn-lt"/>
                <a:ea typeface="+mn-ea"/>
                <a:cs typeface="+mn-cs"/>
              </a:rPr>
              <a:t>Income</a:t>
            </a:r>
          </a:p>
        </c:rich>
      </c:tx>
      <c:overlay val="0"/>
      <c:spPr>
        <a:noFill/>
        <a:ln>
          <a:noFill/>
        </a:ln>
        <a:effectLst/>
      </c:spPr>
      <c:txPr>
        <a:bodyPr rot="0" spcFirstLastPara="1" vertOverflow="ellipsis" vert="horz" wrap="square" anchor="ctr" anchorCtr="1"/>
        <a:lstStyle/>
        <a:p>
          <a:pPr algn="ctr" rtl="0">
            <a:defRPr lang="es-VE" sz="1600" b="1" i="0" u="none" strike="noStrike" kern="1200" spc="0" baseline="0">
              <a:solidFill>
                <a:srgbClr val="002060"/>
              </a:solidFill>
              <a:latin typeface="+mn-lt"/>
              <a:ea typeface="+mn-ea"/>
              <a:cs typeface="+mn-cs"/>
            </a:defRPr>
          </a:pPr>
          <a:endParaRPr lang="es-VE"/>
        </a:p>
      </c:txPr>
    </c:title>
    <c:autoTitleDeleted val="0"/>
    <c:plotArea>
      <c:layout>
        <c:manualLayout>
          <c:layoutTarget val="inner"/>
          <c:xMode val="edge"/>
          <c:yMode val="edge"/>
          <c:x val="0.1911091426071741"/>
          <c:y val="0.26164658634538157"/>
          <c:w val="0.75889085739282591"/>
          <c:h val="0.67811244979919683"/>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E369-4C3F-944C-DB1A7CED6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Tables'!$B$102,'Pivot Tables'!$B$117)</c:f>
              <c:strCache>
                <c:ptCount val="2"/>
                <c:pt idx="0">
                  <c:v>Actual Income</c:v>
                </c:pt>
                <c:pt idx="1">
                  <c:v>Planned Income</c:v>
                </c:pt>
              </c:strCache>
            </c:strRef>
          </c:cat>
          <c:val>
            <c:numRef>
              <c:f>('Pivot Tables'!$C$102,'Pivot Tables'!$C$117)</c:f>
              <c:numCache>
                <c:formatCode>"$"#,##0</c:formatCode>
                <c:ptCount val="2"/>
                <c:pt idx="0">
                  <c:v>19833</c:v>
                </c:pt>
                <c:pt idx="1">
                  <c:v>33600</c:v>
                </c:pt>
              </c:numCache>
            </c:numRef>
          </c:val>
          <c:extLst>
            <c:ext xmlns:c16="http://schemas.microsoft.com/office/drawing/2014/chart" uri="{C3380CC4-5D6E-409C-BE32-E72D297353CC}">
              <c16:uniqueId val="{00000000-E369-4C3F-944C-DB1A7CED6723}"/>
            </c:ext>
          </c:extLst>
        </c:ser>
        <c:dLbls>
          <c:dLblPos val="outEnd"/>
          <c:showLegendKey val="0"/>
          <c:showVal val="1"/>
          <c:showCatName val="0"/>
          <c:showSerName val="0"/>
          <c:showPercent val="0"/>
          <c:showBubbleSize val="0"/>
        </c:dLbls>
        <c:gapWidth val="182"/>
        <c:axId val="872782783"/>
        <c:axId val="872781343"/>
      </c:barChart>
      <c:catAx>
        <c:axId val="87278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872781343"/>
        <c:crosses val="autoZero"/>
        <c:auto val="1"/>
        <c:lblAlgn val="ctr"/>
        <c:lblOffset val="100"/>
        <c:noMultiLvlLbl val="0"/>
      </c:catAx>
      <c:valAx>
        <c:axId val="872781343"/>
        <c:scaling>
          <c:orientation val="minMax"/>
        </c:scaling>
        <c:delete val="1"/>
        <c:axPos val="b"/>
        <c:numFmt formatCode="&quot;$&quot;#,##0" sourceLinked="1"/>
        <c:majorTickMark val="none"/>
        <c:minorTickMark val="none"/>
        <c:tickLblPos val="nextTo"/>
        <c:crossAx val="872782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9</xdr:row>
      <xdr:rowOff>144780</xdr:rowOff>
    </xdr:from>
    <xdr:to>
      <xdr:col>2</xdr:col>
      <xdr:colOff>777240</xdr:colOff>
      <xdr:row>18</xdr:row>
      <xdr:rowOff>187960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7B8F83C8-5975-499B-917F-0A046228F5B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2880" y="2133600"/>
              <a:ext cx="1828800" cy="1826260"/>
            </a:xfrm>
            <a:prstGeom prst="rect">
              <a:avLst/>
            </a:prstGeom>
            <a:solidFill>
              <a:prstClr val="white"/>
            </a:solidFill>
            <a:ln w="1">
              <a:solidFill>
                <a:prstClr val="green"/>
              </a:solidFill>
            </a:ln>
          </xdr:spPr>
          <xdr:txBody>
            <a:bodyPr vertOverflow="clip" horzOverflow="clip"/>
            <a:lstStyle/>
            <a:p>
              <a:r>
                <a:rPr lang="es-V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19</xdr:row>
      <xdr:rowOff>45720</xdr:rowOff>
    </xdr:from>
    <xdr:to>
      <xdr:col>2</xdr:col>
      <xdr:colOff>777240</xdr:colOff>
      <xdr:row>33</xdr:row>
      <xdr:rowOff>66675</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2F1A5E25-2ECA-4923-A92F-85615FFF6E6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2880" y="4015740"/>
              <a:ext cx="1828800" cy="2695575"/>
            </a:xfrm>
            <a:prstGeom prst="rect">
              <a:avLst/>
            </a:prstGeom>
            <a:solidFill>
              <a:prstClr val="white"/>
            </a:solidFill>
            <a:ln w="1">
              <a:solidFill>
                <a:prstClr val="green"/>
              </a:solidFill>
            </a:ln>
          </xdr:spPr>
          <xdr:txBody>
            <a:bodyPr vertOverflow="clip" horzOverflow="clip"/>
            <a:lstStyle/>
            <a:p>
              <a:r>
                <a:rPr lang="es-V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411480</xdr:colOff>
      <xdr:row>3</xdr:row>
      <xdr:rowOff>236220</xdr:rowOff>
    </xdr:from>
    <xdr:to>
      <xdr:col>1</xdr:col>
      <xdr:colOff>777240</xdr:colOff>
      <xdr:row>5</xdr:row>
      <xdr:rowOff>30480</xdr:rowOff>
    </xdr:to>
    <xdr:pic>
      <xdr:nvPicPr>
        <xdr:cNvPr id="7" name="Graphic 6" descr="House with solid fill">
          <a:extLst>
            <a:ext uri="{FF2B5EF4-FFF2-40B4-BE49-F238E27FC236}">
              <a16:creationId xmlns:a16="http://schemas.microsoft.com/office/drawing/2014/main" id="{B8023131-3202-792E-CC74-529DBA6174F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38200" y="861060"/>
          <a:ext cx="365760" cy="365760"/>
        </a:xfrm>
        <a:prstGeom prst="rect">
          <a:avLst/>
        </a:prstGeom>
      </xdr:spPr>
    </xdr:pic>
    <xdr:clientData/>
  </xdr:twoCellAnchor>
  <xdr:twoCellAnchor editAs="oneCell">
    <xdr:from>
      <xdr:col>3</xdr:col>
      <xdr:colOff>411480</xdr:colOff>
      <xdr:row>3</xdr:row>
      <xdr:rowOff>213360</xdr:rowOff>
    </xdr:from>
    <xdr:to>
      <xdr:col>3</xdr:col>
      <xdr:colOff>777240</xdr:colOff>
      <xdr:row>5</xdr:row>
      <xdr:rowOff>7620</xdr:rowOff>
    </xdr:to>
    <xdr:pic>
      <xdr:nvPicPr>
        <xdr:cNvPr id="8" name="Graphic 7" descr="Taxi with solid fill">
          <a:extLst>
            <a:ext uri="{FF2B5EF4-FFF2-40B4-BE49-F238E27FC236}">
              <a16:creationId xmlns:a16="http://schemas.microsoft.com/office/drawing/2014/main" id="{C3A9B25A-D396-4E3F-8396-96073E7E04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2453640" y="838200"/>
          <a:ext cx="365760" cy="365760"/>
        </a:xfrm>
        <a:prstGeom prst="rect">
          <a:avLst/>
        </a:prstGeom>
      </xdr:spPr>
    </xdr:pic>
    <xdr:clientData/>
  </xdr:twoCellAnchor>
  <xdr:twoCellAnchor editAs="oneCell">
    <xdr:from>
      <xdr:col>5</xdr:col>
      <xdr:colOff>426720</xdr:colOff>
      <xdr:row>3</xdr:row>
      <xdr:rowOff>220980</xdr:rowOff>
    </xdr:from>
    <xdr:to>
      <xdr:col>5</xdr:col>
      <xdr:colOff>792480</xdr:colOff>
      <xdr:row>5</xdr:row>
      <xdr:rowOff>15240</xdr:rowOff>
    </xdr:to>
    <xdr:pic>
      <xdr:nvPicPr>
        <xdr:cNvPr id="9" name="Graphic 8" descr="Apple with solid fill">
          <a:extLst>
            <a:ext uri="{FF2B5EF4-FFF2-40B4-BE49-F238E27FC236}">
              <a16:creationId xmlns:a16="http://schemas.microsoft.com/office/drawing/2014/main" id="{5E149882-41B4-4258-9AE8-C230E88FC9E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084320" y="845820"/>
          <a:ext cx="365760" cy="365760"/>
        </a:xfrm>
        <a:prstGeom prst="rect">
          <a:avLst/>
        </a:prstGeom>
      </xdr:spPr>
    </xdr:pic>
    <xdr:clientData/>
  </xdr:twoCellAnchor>
  <xdr:twoCellAnchor editAs="oneCell">
    <xdr:from>
      <xdr:col>7</xdr:col>
      <xdr:colOff>403860</xdr:colOff>
      <xdr:row>3</xdr:row>
      <xdr:rowOff>220980</xdr:rowOff>
    </xdr:from>
    <xdr:to>
      <xdr:col>7</xdr:col>
      <xdr:colOff>769620</xdr:colOff>
      <xdr:row>5</xdr:row>
      <xdr:rowOff>15240</xdr:rowOff>
    </xdr:to>
    <xdr:pic>
      <xdr:nvPicPr>
        <xdr:cNvPr id="10" name="Graphic 9" descr="Lightbulb with solid fill">
          <a:extLst>
            <a:ext uri="{FF2B5EF4-FFF2-40B4-BE49-F238E27FC236}">
              <a16:creationId xmlns:a16="http://schemas.microsoft.com/office/drawing/2014/main" id="{D90064E0-D7B9-4788-A67B-2149E5B0765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5676900" y="845820"/>
          <a:ext cx="365760" cy="365760"/>
        </a:xfrm>
        <a:prstGeom prst="rect">
          <a:avLst/>
        </a:prstGeom>
      </xdr:spPr>
    </xdr:pic>
    <xdr:clientData/>
  </xdr:twoCellAnchor>
  <xdr:twoCellAnchor editAs="oneCell">
    <xdr:from>
      <xdr:col>9</xdr:col>
      <xdr:colOff>403860</xdr:colOff>
      <xdr:row>3</xdr:row>
      <xdr:rowOff>228600</xdr:rowOff>
    </xdr:from>
    <xdr:to>
      <xdr:col>9</xdr:col>
      <xdr:colOff>769620</xdr:colOff>
      <xdr:row>5</xdr:row>
      <xdr:rowOff>22860</xdr:rowOff>
    </xdr:to>
    <xdr:pic>
      <xdr:nvPicPr>
        <xdr:cNvPr id="11" name="Graphic 10" descr="Video camera with solid fill">
          <a:extLst>
            <a:ext uri="{FF2B5EF4-FFF2-40B4-BE49-F238E27FC236}">
              <a16:creationId xmlns:a16="http://schemas.microsoft.com/office/drawing/2014/main" id="{D8757FCB-F6AC-4305-A162-20C756232B6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7292340" y="853440"/>
          <a:ext cx="365760" cy="365760"/>
        </a:xfrm>
        <a:prstGeom prst="rect">
          <a:avLst/>
        </a:prstGeom>
      </xdr:spPr>
    </xdr:pic>
    <xdr:clientData/>
  </xdr:twoCellAnchor>
  <xdr:twoCellAnchor editAs="oneCell">
    <xdr:from>
      <xdr:col>11</xdr:col>
      <xdr:colOff>403860</xdr:colOff>
      <xdr:row>3</xdr:row>
      <xdr:rowOff>259080</xdr:rowOff>
    </xdr:from>
    <xdr:to>
      <xdr:col>11</xdr:col>
      <xdr:colOff>769620</xdr:colOff>
      <xdr:row>5</xdr:row>
      <xdr:rowOff>53340</xdr:rowOff>
    </xdr:to>
    <xdr:pic>
      <xdr:nvPicPr>
        <xdr:cNvPr id="12" name="Graphic 11" descr="Packing Box Open with solid fill">
          <a:extLst>
            <a:ext uri="{FF2B5EF4-FFF2-40B4-BE49-F238E27FC236}">
              <a16:creationId xmlns:a16="http://schemas.microsoft.com/office/drawing/2014/main" id="{E1ADA2EB-0728-45B4-84E4-B41DF490DC3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8907780" y="883920"/>
          <a:ext cx="365760" cy="365760"/>
        </a:xfrm>
        <a:prstGeom prst="rect">
          <a:avLst/>
        </a:prstGeom>
      </xdr:spPr>
    </xdr:pic>
    <xdr:clientData/>
  </xdr:twoCellAnchor>
  <xdr:twoCellAnchor>
    <xdr:from>
      <xdr:col>3</xdr:col>
      <xdr:colOff>213360</xdr:colOff>
      <xdr:row>8</xdr:row>
      <xdr:rowOff>15240</xdr:rowOff>
    </xdr:from>
    <xdr:to>
      <xdr:col>8</xdr:col>
      <xdr:colOff>746760</xdr:colOff>
      <xdr:row>22</xdr:row>
      <xdr:rowOff>0</xdr:rowOff>
    </xdr:to>
    <xdr:graphicFrame macro="">
      <xdr:nvGraphicFramePr>
        <xdr:cNvPr id="13" name="Chart 12">
          <a:extLst>
            <a:ext uri="{FF2B5EF4-FFF2-40B4-BE49-F238E27FC236}">
              <a16:creationId xmlns:a16="http://schemas.microsoft.com/office/drawing/2014/main" id="{855ADB85-1652-4D3A-A813-C19487327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152400</xdr:colOff>
      <xdr:row>8</xdr:row>
      <xdr:rowOff>15240</xdr:rowOff>
    </xdr:from>
    <xdr:to>
      <xdr:col>14</xdr:col>
      <xdr:colOff>685800</xdr:colOff>
      <xdr:row>22</xdr:row>
      <xdr:rowOff>0</xdr:rowOff>
    </xdr:to>
    <xdr:graphicFrame macro="">
      <xdr:nvGraphicFramePr>
        <xdr:cNvPr id="15" name="Chart 14">
          <a:extLst>
            <a:ext uri="{FF2B5EF4-FFF2-40B4-BE49-F238E27FC236}">
              <a16:creationId xmlns:a16="http://schemas.microsoft.com/office/drawing/2014/main" id="{616E6188-CF66-4458-9492-BF83DE001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213360</xdr:colOff>
      <xdr:row>22</xdr:row>
      <xdr:rowOff>114300</xdr:rowOff>
    </xdr:from>
    <xdr:to>
      <xdr:col>8</xdr:col>
      <xdr:colOff>746760</xdr:colOff>
      <xdr:row>33</xdr:row>
      <xdr:rowOff>30480</xdr:rowOff>
    </xdr:to>
    <xdr:graphicFrame macro="">
      <xdr:nvGraphicFramePr>
        <xdr:cNvPr id="16" name="Chart 15">
          <a:extLst>
            <a:ext uri="{FF2B5EF4-FFF2-40B4-BE49-F238E27FC236}">
              <a16:creationId xmlns:a16="http://schemas.microsoft.com/office/drawing/2014/main" id="{688B4860-DC4B-45FA-AD08-537C02293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152400</xdr:colOff>
      <xdr:row>22</xdr:row>
      <xdr:rowOff>114300</xdr:rowOff>
    </xdr:from>
    <xdr:to>
      <xdr:col>14</xdr:col>
      <xdr:colOff>685800</xdr:colOff>
      <xdr:row>33</xdr:row>
      <xdr:rowOff>30480</xdr:rowOff>
    </xdr:to>
    <xdr:graphicFrame macro="">
      <xdr:nvGraphicFramePr>
        <xdr:cNvPr id="17" name="Chart 16">
          <a:extLst>
            <a:ext uri="{FF2B5EF4-FFF2-40B4-BE49-F238E27FC236}">
              <a16:creationId xmlns:a16="http://schemas.microsoft.com/office/drawing/2014/main" id="{D431E16F-BBF8-43F6-8D68-048D7F9E7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cnay Patricia Izquierdo Carrillo" refreshedDate="45726.626412268517" createdVersion="8" refreshedVersion="8" minRefreshableVersion="3" recordCount="56" xr:uid="{8C6C378B-1A27-443B-9F32-C694747A0C3C}">
  <cacheSource type="worksheet">
    <worksheetSource name="ActualIncExp"/>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7">
      <sharedItems containsSemiMixedTypes="0" containsString="0" containsNumber="1" containsInteger="1" minValue="18" maxValue="3000"/>
    </cacheField>
  </cacheFields>
  <extLst>
    <ext xmlns:x14="http://schemas.microsoft.com/office/spreadsheetml/2009/9/main" uri="{725AE2AE-9491-48be-B2B4-4EB974FC3084}">
      <x14:pivotCacheDefinition pivotCacheId="1971277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cnay Patricia Izquierdo Carrillo" refreshedDate="45726.75998761574" createdVersion="8" refreshedVersion="8" minRefreshableVersion="3" recordCount="108" xr:uid="{76595BA5-1C08-4514-8FC8-DBE0A74F733E}">
  <cacheSource type="worksheet">
    <worksheetSource name="MonthBudget"/>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5">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1580975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A24F54-EAB0-4218-8F96-EC964CF9BB47}" name="Utilities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4:O57"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h="1" x="0"/>
        <item h="1" x="8"/>
        <item h="1" x="2"/>
        <item x="1"/>
        <item t="default"/>
      </items>
    </pivotField>
    <pivotField dataField="1" numFmtId="165" showAll="0"/>
    <pivotField showAll="0"/>
  </pivotFields>
  <rowFields count="1">
    <field x="1"/>
  </rowFields>
  <rowItems count="2">
    <i>
      <x v="8"/>
    </i>
    <i t="grand">
      <x/>
    </i>
  </rowItems>
  <colFields count="1">
    <field x="0"/>
  </colFields>
  <colItems count="13">
    <i>
      <x/>
    </i>
    <i>
      <x v="1"/>
    </i>
    <i>
      <x v="2"/>
    </i>
    <i>
      <x v="3"/>
    </i>
    <i>
      <x v="4"/>
    </i>
    <i>
      <x v="5"/>
    </i>
    <i>
      <x v="6"/>
    </i>
    <i>
      <x v="7"/>
    </i>
    <i>
      <x v="8"/>
    </i>
    <i>
      <x v="9"/>
    </i>
    <i>
      <x v="10"/>
    </i>
    <i>
      <x v="11"/>
    </i>
    <i t="grand">
      <x/>
    </i>
  </colItems>
  <dataFields count="1">
    <dataField name="Sum of Budget" fld="2" baseField="1" baseItem="8"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293CA5-7217-450D-A956-535266BA1243}" name="Utilities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18:H2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7"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2" baseItem="8" numFmtId="5"/>
  </dataFields>
  <formats count="5">
    <format dxfId="9">
      <pivotArea collapsedLevelsAreSubtotals="1" fieldPosition="0">
        <references count="2">
          <reference field="1" count="0" selected="0"/>
          <reference field="2" count="0"/>
        </references>
      </pivotArea>
    </format>
    <format dxfId="8">
      <pivotArea field="1" grandRow="1" outline="0" collapsedLevelsAreSubtotals="1" axis="axisCol" fieldPosition="0">
        <references count="1">
          <reference field="1" count="0" selected="0"/>
        </references>
      </pivotArea>
    </format>
    <format dxfId="7">
      <pivotArea field="2" grandCol="1" collapsedLevelsAreSubtotals="1" axis="axisRow" fieldPosition="0">
        <references count="1">
          <reference field="2" count="0"/>
        </references>
      </pivotArea>
    </format>
    <format dxfId="6">
      <pivotArea grandRow="1" grandCol="1" outline="0" collapsedLevelsAreSubtotals="1" fieldPosition="0"/>
    </format>
    <format dxfId="5">
      <pivotArea outline="0" fieldPosition="0">
        <references count="1">
          <reference field="4294967294" count="1">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EC9777-55AF-44D5-B172-417E2AD47B1F}" name="Other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6:O69"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x="5"/>
        <item h="1" x="0"/>
        <item h="1" x="8"/>
        <item h="1" x="2"/>
        <item h="1" x="1"/>
        <item t="default"/>
      </items>
    </pivotField>
    <pivotField dataField="1" numFmtId="165" showAll="0"/>
    <pivotField showAll="0"/>
  </pivotFields>
  <rowFields count="1">
    <field x="1"/>
  </rowFields>
  <rowItems count="2">
    <i>
      <x v="4"/>
    </i>
    <i t="grand">
      <x/>
    </i>
  </rowItems>
  <colFields count="1">
    <field x="0"/>
  </colFields>
  <colItems count="13">
    <i>
      <x/>
    </i>
    <i>
      <x v="1"/>
    </i>
    <i>
      <x v="2"/>
    </i>
    <i>
      <x v="3"/>
    </i>
    <i>
      <x v="4"/>
    </i>
    <i>
      <x v="5"/>
    </i>
    <i>
      <x v="6"/>
    </i>
    <i>
      <x v="7"/>
    </i>
    <i>
      <x v="8"/>
    </i>
    <i>
      <x v="9"/>
    </i>
    <i>
      <x v="10"/>
    </i>
    <i>
      <x v="11"/>
    </i>
    <i t="grand">
      <x/>
    </i>
  </colItems>
  <dataFields count="1">
    <dataField name="Sum of Budget" fld="2" baseField="1" baseItem="4"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490AE1-1A3B-4576-8AB8-479A2C74975C}" name="PivotTable2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9:O113" firstHeaderRow="1" firstDataRow="2" firstDataCol="1"/>
  <pivotFields count="4">
    <pivotField axis="axisCol" showAll="0">
      <items count="13">
        <item x="0"/>
        <item x="1"/>
        <item x="2"/>
        <item x="3"/>
        <item x="4"/>
        <item x="5"/>
        <item x="6"/>
        <item x="7"/>
        <item x="8"/>
        <item x="9"/>
        <item x="10"/>
        <item x="11"/>
        <item t="default"/>
      </items>
    </pivotField>
    <pivotField showAll="0"/>
    <pivotField dataField="1" numFmtId="165" showAll="0"/>
    <pivotField axis="axisRow" showAll="0">
      <items count="3">
        <item x="0"/>
        <item x="1"/>
        <item t="default"/>
      </items>
    </pivotField>
  </pivotFields>
  <rowFields count="1">
    <field x="3"/>
  </rowFields>
  <rowItems count="3">
    <i>
      <x/>
    </i>
    <i>
      <x v="1"/>
    </i>
    <i t="grand">
      <x/>
    </i>
  </rowItems>
  <colFields count="1">
    <field x="0"/>
  </colFields>
  <colItems count="13">
    <i>
      <x/>
    </i>
    <i>
      <x v="1"/>
    </i>
    <i>
      <x v="2"/>
    </i>
    <i>
      <x v="3"/>
    </i>
    <i>
      <x v="4"/>
    </i>
    <i>
      <x v="5"/>
    </i>
    <i>
      <x v="6"/>
    </i>
    <i>
      <x v="7"/>
    </i>
    <i>
      <x v="8"/>
    </i>
    <i>
      <x v="9"/>
    </i>
    <i>
      <x v="10"/>
    </i>
    <i>
      <x v="11"/>
    </i>
    <i t="grand">
      <x/>
    </i>
  </colItems>
  <dataFields count="1">
    <dataField name="Sum of Budget" fld="2" baseField="3"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3A85A2-51F4-4F92-9E1F-9BC559914B0A}" name="Leisure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0:O63"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x="4"/>
        <item h="1" x="5"/>
        <item h="1" x="0"/>
        <item h="1" x="8"/>
        <item h="1" x="2"/>
        <item h="1" x="1"/>
        <item t="default"/>
      </items>
    </pivotField>
    <pivotField dataField="1" numFmtId="165" showAll="0"/>
    <pivotField showAll="0"/>
  </pivotFields>
  <rowFields count="1">
    <field x="1"/>
  </rowFields>
  <rowItems count="2">
    <i>
      <x v="3"/>
    </i>
    <i t="grand">
      <x/>
    </i>
  </rowItems>
  <colFields count="1">
    <field x="0"/>
  </colFields>
  <colItems count="13">
    <i>
      <x/>
    </i>
    <i>
      <x v="1"/>
    </i>
    <i>
      <x v="2"/>
    </i>
    <i>
      <x v="3"/>
    </i>
    <i>
      <x v="4"/>
    </i>
    <i>
      <x v="5"/>
    </i>
    <i>
      <x v="6"/>
    </i>
    <i>
      <x v="7"/>
    </i>
    <i>
      <x v="8"/>
    </i>
    <i>
      <x v="9"/>
    </i>
    <i>
      <x v="10"/>
    </i>
    <i>
      <x v="11"/>
    </i>
    <i t="grand">
      <x/>
    </i>
  </colItems>
  <dataFields count="1">
    <dataField name="Sum of Budget" fld="2" baseField="1" baseItem="3"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83E8DF-8E95-4039-B528-8096C86FBA27}" name="Transport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O45"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h="1" x="0"/>
        <item h="1" x="8"/>
        <item x="2"/>
        <item h="1" x="1"/>
        <item t="default"/>
      </items>
    </pivotField>
    <pivotField dataField="1" numFmtId="165" showAll="0"/>
    <pivotField showAll="0"/>
  </pivotFields>
  <rowFields count="1">
    <field x="1"/>
  </rowFields>
  <rowItems count="2">
    <i>
      <x v="7"/>
    </i>
    <i t="grand">
      <x/>
    </i>
  </rowItems>
  <colFields count="1">
    <field x="0"/>
  </colFields>
  <colItems count="13">
    <i>
      <x/>
    </i>
    <i>
      <x v="1"/>
    </i>
    <i>
      <x v="2"/>
    </i>
    <i>
      <x v="3"/>
    </i>
    <i>
      <x v="4"/>
    </i>
    <i>
      <x v="5"/>
    </i>
    <i>
      <x v="6"/>
    </i>
    <i>
      <x v="7"/>
    </i>
    <i>
      <x v="8"/>
    </i>
    <i>
      <x v="9"/>
    </i>
    <i>
      <x v="10"/>
    </i>
    <i>
      <x v="11"/>
    </i>
    <i t="grand">
      <x/>
    </i>
  </colItems>
  <dataFields count="1">
    <dataField name="Sum of Budget" fld="2" baseField="1" baseItem="7"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8E78590-F4B4-473F-B86C-B98799F4A58A}" name="GraphExpbyCat"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H82" firstHeaderRow="1" firstDataRow="2" firstDataCol="1" rowPageCount="1" colPageCount="1"/>
  <pivotFields count="6">
    <pivotField numFmtId="16" showAll="0"/>
    <pivotField axis="axisCol" showAll="0">
      <items count="6">
        <item x="0"/>
        <item x="1"/>
        <item x="2"/>
        <item x="3"/>
        <item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7" showAll="0"/>
  </pivotFields>
  <rowFields count="1">
    <field x="2"/>
  </rowFields>
  <rowItems count="7">
    <i>
      <x v="2"/>
    </i>
    <i>
      <x v="3"/>
    </i>
    <i>
      <x v="4"/>
    </i>
    <i>
      <x v="5"/>
    </i>
    <i>
      <x v="7"/>
    </i>
    <i>
      <x v="8"/>
    </i>
    <i t="grand">
      <x/>
    </i>
  </rowItems>
  <colFields count="1">
    <field x="1"/>
  </colFields>
  <colItems count="6">
    <i>
      <x/>
    </i>
    <i>
      <x v="1"/>
    </i>
    <i>
      <x v="2"/>
    </i>
    <i>
      <x v="3"/>
    </i>
    <i>
      <x v="4"/>
    </i>
    <i t="grand">
      <x/>
    </i>
  </colItems>
  <pageFields count="1">
    <pageField fld="4" item="0" hier="-1"/>
  </pageFields>
  <dataFields count="1">
    <dataField name="Sum of Amount" fld="5" baseField="2" baseItem="2"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7D867-5E9A-49B8-AF44-C17F5F19EB39}" name="Groceries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8:O51"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x="3"/>
        <item h="1" x="4"/>
        <item h="1" x="5"/>
        <item h="1" x="0"/>
        <item h="1" x="8"/>
        <item h="1" x="2"/>
        <item h="1" x="1"/>
        <item t="default"/>
      </items>
    </pivotField>
    <pivotField dataField="1" numFmtId="165" showAll="0"/>
    <pivotField showAll="0"/>
  </pivotFields>
  <rowFields count="1">
    <field x="1"/>
  </rowFields>
  <rowItems count="2">
    <i>
      <x v="2"/>
    </i>
    <i t="grand">
      <x/>
    </i>
  </rowItems>
  <colFields count="1">
    <field x="0"/>
  </colFields>
  <colItems count="13">
    <i>
      <x/>
    </i>
    <i>
      <x v="1"/>
    </i>
    <i>
      <x v="2"/>
    </i>
    <i>
      <x v="3"/>
    </i>
    <i>
      <x v="4"/>
    </i>
    <i>
      <x v="5"/>
    </i>
    <i>
      <x v="6"/>
    </i>
    <i>
      <x v="7"/>
    </i>
    <i>
      <x v="8"/>
    </i>
    <i>
      <x v="9"/>
    </i>
    <i>
      <x v="10"/>
    </i>
    <i>
      <x v="11"/>
    </i>
    <i t="grand">
      <x/>
    </i>
  </colItems>
  <dataFields count="1">
    <dataField name="Sum of Budget" fld="2" baseField="1" baseItem="2"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EB7AC-60E9-4814-9F83-95A2B938F84D}" name="IncomeExpenses"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4:H98" firstHeaderRow="1" firstDataRow="2" firstDataCol="1"/>
  <pivotFields count="6">
    <pivotField numFmtId="16" showAll="0"/>
    <pivotField axis="axisCol" showAll="0">
      <items count="6">
        <item x="0"/>
        <item x="1"/>
        <item x="2"/>
        <item x="3"/>
        <item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7" showAll="0"/>
  </pivotFields>
  <rowFields count="1">
    <field x="4"/>
  </rowFields>
  <rowItems count="3">
    <i>
      <x/>
    </i>
    <i>
      <x v="1"/>
    </i>
    <i t="grand">
      <x/>
    </i>
  </rowItems>
  <colFields count="1">
    <field x="1"/>
  </colFields>
  <colItems count="6">
    <i>
      <x/>
    </i>
    <i>
      <x v="1"/>
    </i>
    <i>
      <x v="2"/>
    </i>
    <i>
      <x v="3"/>
    </i>
    <i>
      <x v="4"/>
    </i>
    <i t="grand">
      <x/>
    </i>
  </colItems>
  <dataFields count="1">
    <dataField name="Sum of Amount" fld="5" baseField="4" baseItem="0"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9120C7-D2A6-4253-BF52-2C82AA612D42}" name="Transport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8:H1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7"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2" baseItem="7"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B9EC9-EF19-4A57-99E6-57FDF17FA4F9}" name="Groceries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13:H1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7"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2" baseItem="2" numFmtId="5"/>
  </dataFields>
  <formats count="3">
    <format dxfId="4">
      <pivotArea collapsedLevelsAreSubtotals="1" fieldPosition="0">
        <references count="2">
          <reference field="1" count="0" selected="0"/>
          <reference field="2" count="0"/>
        </references>
      </pivotArea>
    </format>
    <format dxfId="3">
      <pivotArea field="1" grandRow="1" outline="0" collapsedLevelsAreSubtotals="1" axis="axisCol" fieldPosition="0">
        <references count="1">
          <reference field="1" count="0" selected="0"/>
        </references>
      </pivotArea>
    </format>
    <format dxfId="2">
      <pivotArea outline="0" fieldPosition="0">
        <references count="1">
          <reference field="4294967294" count="1">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96A80F-D945-480D-BE90-665F0F0306F3}" name="Rent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3:H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7"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2" baseItem="5"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6514BA-F00A-417F-A8A4-4DE4825D83D2}" name="RentB"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O39" firstHeaderRow="1" firstDataRow="2" firstDataCol="1"/>
  <pivotFields count="4">
    <pivotField axis="axisCol" showAll="0">
      <items count="13">
        <item x="0"/>
        <item x="1"/>
        <item x="2"/>
        <item x="3"/>
        <item x="4"/>
        <item x="5"/>
        <item x="6"/>
        <item x="7"/>
        <item x="8"/>
        <item x="9"/>
        <item x="10"/>
        <item x="11"/>
        <item t="default"/>
      </items>
    </pivotField>
    <pivotField axis="axisRow" showAll="0">
      <items count="10">
        <item h="1" x="7"/>
        <item h="1" x="6"/>
        <item h="1" x="3"/>
        <item h="1" x="4"/>
        <item h="1" x="5"/>
        <item x="0"/>
        <item h="1" x="8"/>
        <item h="1" x="2"/>
        <item h="1" x="1"/>
        <item t="default"/>
      </items>
    </pivotField>
    <pivotField dataField="1" numFmtId="165" showAll="0"/>
    <pivotField showAll="0"/>
  </pivotFields>
  <rowFields count="1">
    <field x="1"/>
  </rowFields>
  <rowItems count="2">
    <i>
      <x v="5"/>
    </i>
    <i t="grand">
      <x/>
    </i>
  </rowItems>
  <colFields count="1">
    <field x="0"/>
  </colFields>
  <colItems count="13">
    <i>
      <x/>
    </i>
    <i>
      <x v="1"/>
    </i>
    <i>
      <x v="2"/>
    </i>
    <i>
      <x v="3"/>
    </i>
    <i>
      <x v="4"/>
    </i>
    <i>
      <x v="5"/>
    </i>
    <i>
      <x v="6"/>
    </i>
    <i>
      <x v="7"/>
    </i>
    <i>
      <x v="8"/>
    </i>
    <i>
      <x v="9"/>
    </i>
    <i>
      <x v="10"/>
    </i>
    <i>
      <x v="11"/>
    </i>
    <i t="grand">
      <x/>
    </i>
  </colItems>
  <dataFields count="1">
    <dataField name="Sum of Budget" fld="2" baseField="1" baseItem="5"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733336-E266-4F57-96EC-DF08D0AB5F48}" name="Other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28:H3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7"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2" baseItem="4"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85D49A-8B90-41EC-90DB-C864FFB8C95E}" name="LeisureA" cacheId="4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23:H2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7"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2" baseItem="3" numFmtId="5"/>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B337C0-AD42-4B97-A8EC-0A1E47ED4BC1}" sourceName="Month">
  <pivotTables>
    <pivotTable tabId="3" name="RentA"/>
    <pivotTable tabId="3" name="TransportA"/>
    <pivotTable tabId="3" name="GroceriesA"/>
    <pivotTable tabId="3" name="UtilitiesA"/>
    <pivotTable tabId="3" name="LeisureA"/>
    <pivotTable tabId="3" name="OtherA"/>
    <pivotTable tabId="3" name="GraphExpbyCat"/>
    <pivotTable tabId="3" name="IncomeExpenses"/>
  </pivotTables>
  <data>
    <tabular pivotCacheId="197127724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DB5023C-2E8E-4BB7-8EA9-3334CCE73629}" sourceName="Month">
  <pivotTables>
    <pivotTable tabId="3" name="OtherB"/>
    <pivotTable tabId="3" name="GroceriesB"/>
    <pivotTable tabId="3" name="LeisureB"/>
    <pivotTable tabId="3" name="RentB"/>
    <pivotTable tabId="3" name="TransportB"/>
    <pivotTable tabId="3" name="UtilitiesB"/>
  </pivotTables>
  <data>
    <tabular pivotCacheId="158097543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35BE8E0-6441-4DC7-88C2-B3D7216DF78F}" cache="Slicer_Month" caption="Actual" style="SlicerStyleDark1" rowHeight="260350"/>
  <slicer name="Month 1" xr10:uid="{B35488AE-D283-4C4E-910B-DB6F284CD03E}" cache="Slicer_Month1" caption="Budget"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tegory" displayName="Category"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ctualIncExp" displayName="ActualIncExp" ref="B4:G6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dataDxfId="1">
      <calculatedColumnFormula>_xlfn.XLOOKUP(Actuals!$D5,$J$5:$J$13,$K$5:$K$13)</calculatedColumnFormula>
    </tableColumn>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onthBudget" displayName="MonthBudget" ref="B4:E112">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dataDxfId="0">
      <calculatedColumnFormula>_xlfn.XLOOKUP(Budget!$C5,Actuals!$J$5:$J$13,Actuals!$K$5:$K$13)</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workbookViewId="0">
      <selection activeCell="Q8" sqref="Q8"/>
    </sheetView>
  </sheetViews>
  <sheetFormatPr defaultColWidth="11.19921875" defaultRowHeight="15" customHeight="1" x14ac:dyDescent="0.3"/>
  <cols>
    <col min="1" max="1" width="5.59765625" customWidth="1"/>
    <col min="2" max="26" width="10.59765625" customWidth="1"/>
  </cols>
  <sheetData>
    <row r="1" spans="1:26" ht="6" customHeight="1" x14ac:dyDescent="0.3">
      <c r="A1" s="2"/>
      <c r="B1" s="2"/>
      <c r="C1" s="2"/>
      <c r="D1" s="2"/>
      <c r="E1" s="2"/>
      <c r="F1" s="2"/>
      <c r="G1" s="2"/>
      <c r="H1" s="2"/>
      <c r="I1" s="2"/>
      <c r="J1" s="2"/>
      <c r="K1" s="2"/>
      <c r="L1" s="2"/>
      <c r="M1" s="2"/>
      <c r="N1" s="2"/>
      <c r="O1" s="2"/>
      <c r="T1" s="26"/>
      <c r="U1" s="26"/>
      <c r="V1" s="26"/>
      <c r="W1" s="26"/>
      <c r="X1" s="26"/>
      <c r="Y1" s="26"/>
      <c r="Z1" s="26"/>
    </row>
    <row r="2" spans="1:26" ht="36.6" x14ac:dyDescent="0.3">
      <c r="A2" s="2"/>
      <c r="B2" s="27" t="s">
        <v>0</v>
      </c>
      <c r="C2" s="28"/>
      <c r="D2" s="28"/>
      <c r="E2" s="28"/>
      <c r="F2" s="28"/>
      <c r="G2" s="28"/>
      <c r="H2" s="28"/>
      <c r="I2" s="28"/>
      <c r="J2" s="28"/>
      <c r="K2" s="28"/>
      <c r="L2" s="28"/>
      <c r="M2" s="28"/>
      <c r="N2" s="29"/>
      <c r="O2" s="2"/>
      <c r="T2" s="26"/>
      <c r="U2" s="26"/>
      <c r="V2" s="26"/>
      <c r="W2" s="26"/>
      <c r="X2" s="26"/>
      <c r="Y2" s="26"/>
      <c r="Z2" s="26"/>
    </row>
    <row r="3" spans="1:26" ht="6.75" customHeight="1" x14ac:dyDescent="0.3">
      <c r="A3" s="2"/>
      <c r="B3" s="3"/>
      <c r="C3" s="3"/>
      <c r="D3" s="3"/>
      <c r="E3" s="3"/>
      <c r="F3" s="3"/>
      <c r="G3" s="3"/>
      <c r="H3" s="3"/>
      <c r="I3" s="3"/>
      <c r="J3" s="3"/>
      <c r="K3" s="3"/>
      <c r="L3" s="3"/>
      <c r="M3" s="3"/>
      <c r="N3" s="2"/>
      <c r="O3" s="2"/>
      <c r="T3" s="26"/>
      <c r="U3" s="26"/>
      <c r="V3" s="26"/>
      <c r="W3" s="26"/>
      <c r="X3" s="26"/>
      <c r="Y3" s="26"/>
      <c r="Z3" s="26"/>
    </row>
    <row r="4" spans="1:26" ht="22.5" customHeight="1" x14ac:dyDescent="0.3">
      <c r="A4" s="2"/>
      <c r="B4" s="2"/>
      <c r="C4" s="4" t="s">
        <v>1</v>
      </c>
      <c r="D4" s="4"/>
      <c r="E4" s="4" t="s">
        <v>2</v>
      </c>
      <c r="F4" s="4"/>
      <c r="G4" s="4" t="s">
        <v>3</v>
      </c>
      <c r="H4" s="4"/>
      <c r="I4" s="4" t="s">
        <v>4</v>
      </c>
      <c r="J4" s="4"/>
      <c r="K4" s="4" t="s">
        <v>5</v>
      </c>
      <c r="L4" s="4"/>
      <c r="M4" s="4" t="s">
        <v>6</v>
      </c>
      <c r="N4" s="2"/>
      <c r="O4" s="2"/>
      <c r="T4" s="26"/>
      <c r="U4" s="26"/>
      <c r="V4" s="26"/>
      <c r="W4" s="26"/>
      <c r="X4" s="26"/>
      <c r="Y4" s="26"/>
      <c r="Z4" s="26"/>
    </row>
    <row r="5" spans="1:26" ht="23.25" customHeight="1" x14ac:dyDescent="0.3">
      <c r="A5" s="2"/>
      <c r="B5" s="2"/>
      <c r="C5" s="5">
        <f>GETPIVOTDATA("Amount",'Pivot Tables'!$B$3,"Category","Rent")</f>
        <v>4250</v>
      </c>
      <c r="D5" s="6"/>
      <c r="E5" s="5">
        <f>GETPIVOTDATA("Amount",'Pivot Tables'!$B$8,"Category","Transport")</f>
        <v>275</v>
      </c>
      <c r="F5" s="6"/>
      <c r="G5" s="5">
        <f>GETPIVOTDATA("Amount",'Pivot Tables'!$B$13,"Category","Groceries")</f>
        <v>1860</v>
      </c>
      <c r="H5" s="6"/>
      <c r="I5" s="5">
        <f>GETPIVOTDATA("Amount",'Pivot Tables'!$B$18,"Category","Utilities")</f>
        <v>650</v>
      </c>
      <c r="J5" s="6"/>
      <c r="K5" s="5">
        <f>GETPIVOTDATA("Amount",'Pivot Tables'!$B$23,"Category","Leisure")</f>
        <v>2269</v>
      </c>
      <c r="L5" s="6"/>
      <c r="M5" s="5">
        <f>GETPIVOTDATA("Amount",'Pivot Tables'!$B$28,"Category","Other")</f>
        <v>964</v>
      </c>
      <c r="N5" s="2"/>
      <c r="O5" s="2"/>
      <c r="T5" s="26"/>
      <c r="U5" s="26"/>
      <c r="V5" s="26"/>
      <c r="W5" s="26"/>
      <c r="X5" s="26"/>
      <c r="Y5" s="26"/>
      <c r="Z5" s="26"/>
    </row>
    <row r="6" spans="1:26" ht="15.6" x14ac:dyDescent="0.3">
      <c r="A6" s="2"/>
      <c r="B6" s="2"/>
      <c r="C6" s="2"/>
      <c r="D6" s="2"/>
      <c r="E6" s="2"/>
      <c r="F6" s="2"/>
      <c r="G6" s="2"/>
      <c r="H6" s="2"/>
      <c r="I6" s="2"/>
      <c r="J6" s="2"/>
      <c r="K6" s="2"/>
      <c r="L6" s="2"/>
      <c r="M6" s="2"/>
      <c r="N6" s="2"/>
      <c r="O6" s="2"/>
      <c r="T6" s="26"/>
      <c r="U6" s="26"/>
      <c r="V6" s="26"/>
      <c r="W6" s="26"/>
      <c r="X6" s="26"/>
      <c r="Y6" s="26"/>
      <c r="Z6" s="26"/>
    </row>
    <row r="7" spans="1:26" ht="15.6" x14ac:dyDescent="0.3"/>
    <row r="8" spans="1:26" ht="15.6" x14ac:dyDescent="0.3">
      <c r="B8" s="30" t="s">
        <v>7</v>
      </c>
      <c r="C8" s="31"/>
    </row>
    <row r="9" spans="1:26" ht="15.6" x14ac:dyDescent="0.3">
      <c r="B9" s="32">
        <v>3000</v>
      </c>
      <c r="C9" s="33"/>
    </row>
    <row r="10" spans="1:26" ht="15.6" x14ac:dyDescent="0.3"/>
    <row r="11" spans="1:26" ht="15.6" x14ac:dyDescent="0.3"/>
    <row r="12" spans="1:26" ht="15.6" x14ac:dyDescent="0.3"/>
    <row r="13" spans="1:26" ht="15.6" x14ac:dyDescent="0.3"/>
    <row r="14" spans="1:26" ht="15.6" x14ac:dyDescent="0.3"/>
    <row r="15" spans="1:26" ht="15.6" x14ac:dyDescent="0.3"/>
    <row r="16" spans="1:26" ht="15.6" x14ac:dyDescent="0.3"/>
    <row r="17" ht="15.6" x14ac:dyDescent="0.3"/>
    <row r="18" ht="15.6" x14ac:dyDescent="0.3"/>
    <row r="19" ht="15.6" x14ac:dyDescent="0.3"/>
    <row r="20" ht="15.6" x14ac:dyDescent="0.3"/>
  </sheetData>
  <mergeCells count="3">
    <mergeCell ref="B2:N2"/>
    <mergeCell ref="B8:C8"/>
    <mergeCell ref="B9:C9"/>
  </mergeCells>
  <conditionalFormatting sqref="E5">
    <cfRule type="dataBar" priority="6">
      <dataBar>
        <cfvo type="min"/>
        <cfvo type="num" val="&quot;0+'Pivot Tables'!$C$40&quot;"/>
        <color theme="4"/>
      </dataBar>
      <extLst>
        <ext xmlns:x14="http://schemas.microsoft.com/office/spreadsheetml/2009/9/main" uri="{B025F937-C7B1-47D3-B67F-A62EFF666E3E}">
          <x14:id>{2BE56E22-2933-4391-8C6E-244FE11C656B}</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7" id="{6A0680CC-525E-4CC5-8104-1661B9B04B39}">
            <x14:dataBar minLength="0" maxLength="100" gradient="0">
              <x14:cfvo type="autoMin"/>
              <x14:cfvo type="num">
                <xm:f>'Pivot Tables'!$C$35</xm:f>
              </x14:cfvo>
              <x14:fillColor theme="4"/>
              <x14:negativeFillColor rgb="FFFF0000"/>
              <x14:axisColor rgb="FF000000"/>
            </x14:dataBar>
          </x14:cfRule>
          <xm:sqref>C5</xm:sqref>
        </x14:conditionalFormatting>
        <x14:conditionalFormatting xmlns:xm="http://schemas.microsoft.com/office/excel/2006/main">
          <x14:cfRule type="dataBar" priority="4" id="{0AA2E463-6604-4877-B85C-87A03979DD59}">
            <x14:dataBar minLength="0" maxLength="100" gradient="0">
              <x14:cfvo type="autoMin"/>
              <x14:cfvo type="num">
                <xm:f>'Pivot Tables'!$C$41</xm:f>
              </x14:cfvo>
              <x14:fillColor rgb="FF0070C0"/>
              <x14:negativeFillColor rgb="FFFF0000"/>
              <x14:axisColor rgb="FF000000"/>
            </x14:dataBar>
          </x14:cfRule>
          <x14:cfRule type="dataBar" id="{2BE56E22-2933-4391-8C6E-244FE11C656B}">
            <x14:dataBar minLength="0" maxLength="100" gradient="0">
              <x14:cfvo type="autoMin"/>
              <x14:cfvo type="num">
                <xm:f>"0+'Pivot Tables'!$C$40"</xm:f>
              </x14:cfvo>
              <x14:negativeFillColor rgb="FFFF0000"/>
              <x14:axisColor rgb="FF000000"/>
            </x14:dataBar>
          </x14:cfRule>
          <xm:sqref>E5</xm:sqref>
        </x14:conditionalFormatting>
        <x14:conditionalFormatting xmlns:xm="http://schemas.microsoft.com/office/excel/2006/main">
          <x14:cfRule type="dataBar" priority="5" id="{F46ACB18-3A4E-443B-AB34-0FEE4FCF9667}">
            <x14:dataBar minLength="0" maxLength="100" gradient="0">
              <x14:cfvo type="autoMin"/>
              <x14:cfvo type="num">
                <xm:f>'Pivot Tables'!$C$47</xm:f>
              </x14:cfvo>
              <x14:fillColor rgb="FF0070C0"/>
              <x14:negativeFillColor rgb="FFFF0000"/>
              <x14:axisColor rgb="FF000000"/>
            </x14:dataBar>
          </x14:cfRule>
          <xm:sqref>G5</xm:sqref>
        </x14:conditionalFormatting>
        <x14:conditionalFormatting xmlns:xm="http://schemas.microsoft.com/office/excel/2006/main">
          <x14:cfRule type="dataBar" priority="3" id="{A4DA6502-376B-47E5-AF6B-64ACC7F59C40}">
            <x14:dataBar minLength="0" maxLength="100" gradient="0">
              <x14:cfvo type="autoMin"/>
              <x14:cfvo type="num">
                <xm:f>'Pivot Tables'!$C$53</xm:f>
              </x14:cfvo>
              <x14:fillColor rgb="FF0070C0"/>
              <x14:negativeFillColor rgb="FFFF0000"/>
              <x14:axisColor rgb="FF000000"/>
            </x14:dataBar>
          </x14:cfRule>
          <xm:sqref>I5</xm:sqref>
        </x14:conditionalFormatting>
        <x14:conditionalFormatting xmlns:xm="http://schemas.microsoft.com/office/excel/2006/main">
          <x14:cfRule type="dataBar" priority="2" id="{8EFAFD20-53A3-4891-B86D-F7EC09D79412}">
            <x14:dataBar minLength="0" maxLength="100" gradient="0">
              <x14:cfvo type="autoMin"/>
              <x14:cfvo type="num">
                <xm:f>'Pivot Tables'!$C$59</xm:f>
              </x14:cfvo>
              <x14:fillColor rgb="FF0070C0"/>
              <x14:negativeFillColor rgb="FFFF0000"/>
              <x14:axisColor rgb="FF000000"/>
            </x14:dataBar>
          </x14:cfRule>
          <xm:sqref>K5</xm:sqref>
        </x14:conditionalFormatting>
        <x14:conditionalFormatting xmlns:xm="http://schemas.microsoft.com/office/excel/2006/main">
          <x14:cfRule type="dataBar" priority="1" id="{F9F5CF30-6873-483B-9DB6-387B7140B0F3}">
            <x14:dataBar minLength="0" maxLength="100" gradient="0">
              <x14:cfvo type="autoMin"/>
              <x14:cfvo type="num">
                <xm:f>'Pivot Tables'!$C$65</xm:f>
              </x14:cfvo>
              <x14:fillColor rgb="FF0070C0"/>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117"/>
  <sheetViews>
    <sheetView zoomScale="150" zoomScaleNormal="150" workbookViewId="0">
      <selection activeCell="C2" sqref="C2"/>
    </sheetView>
  </sheetViews>
  <sheetFormatPr defaultColWidth="11.19921875" defaultRowHeight="15" customHeight="1" x14ac:dyDescent="0.3"/>
  <cols>
    <col min="1" max="1" width="2.69921875" customWidth="1"/>
    <col min="2" max="2" width="14.09765625" bestFit="1" customWidth="1"/>
    <col min="3" max="3" width="15.19921875" bestFit="1" customWidth="1"/>
    <col min="4" max="4" width="8.296875" bestFit="1" customWidth="1"/>
    <col min="5" max="7" width="7" bestFit="1" customWidth="1"/>
    <col min="8" max="8" width="10.8984375" bestFit="1" customWidth="1"/>
    <col min="9" max="9" width="10.09765625" customWidth="1"/>
    <col min="10" max="10" width="6.69921875" bestFit="1" customWidth="1"/>
    <col min="11" max="11" width="10" bestFit="1" customWidth="1"/>
    <col min="12" max="12" width="7.59765625" bestFit="1" customWidth="1"/>
    <col min="13" max="13" width="9.59765625" bestFit="1" customWidth="1"/>
    <col min="14" max="14" width="9.296875" bestFit="1" customWidth="1"/>
    <col min="15" max="15" width="10.8984375" bestFit="1" customWidth="1"/>
    <col min="16" max="26" width="10.59765625" customWidth="1"/>
  </cols>
  <sheetData>
    <row r="2" spans="2:8" ht="15" customHeight="1" x14ac:dyDescent="0.3">
      <c r="B2" s="25" t="s">
        <v>1</v>
      </c>
      <c r="C2">
        <f>GETPIVOTDATA("Amount",$B$3,"Category","Rent")</f>
        <v>4250</v>
      </c>
    </row>
    <row r="3" spans="2:8" ht="15" customHeight="1" x14ac:dyDescent="0.3">
      <c r="B3" s="15" t="s">
        <v>61</v>
      </c>
      <c r="C3" s="15" t="s">
        <v>62</v>
      </c>
    </row>
    <row r="4" spans="2:8" ht="15" customHeight="1" x14ac:dyDescent="0.3">
      <c r="B4" s="15" t="s">
        <v>59</v>
      </c>
      <c r="C4" t="s">
        <v>47</v>
      </c>
      <c r="D4" t="s">
        <v>48</v>
      </c>
      <c r="E4" t="s">
        <v>49</v>
      </c>
      <c r="F4" t="s">
        <v>50</v>
      </c>
      <c r="G4" t="s">
        <v>51</v>
      </c>
      <c r="H4" t="s">
        <v>60</v>
      </c>
    </row>
    <row r="5" spans="2:8" ht="15" customHeight="1" x14ac:dyDescent="0.3">
      <c r="B5" s="16" t="s">
        <v>1</v>
      </c>
      <c r="C5" s="24">
        <v>850</v>
      </c>
      <c r="D5" s="24">
        <v>850</v>
      </c>
      <c r="E5" s="24">
        <v>850</v>
      </c>
      <c r="F5" s="24">
        <v>850</v>
      </c>
      <c r="G5" s="24">
        <v>850</v>
      </c>
      <c r="H5" s="24">
        <v>4250</v>
      </c>
    </row>
    <row r="6" spans="2:8" ht="15" customHeight="1" x14ac:dyDescent="0.3">
      <c r="B6" s="16" t="s">
        <v>60</v>
      </c>
      <c r="C6" s="24">
        <v>850</v>
      </c>
      <c r="D6" s="24">
        <v>850</v>
      </c>
      <c r="E6" s="24">
        <v>850</v>
      </c>
      <c r="F6" s="24">
        <v>850</v>
      </c>
      <c r="G6" s="24">
        <v>850</v>
      </c>
      <c r="H6" s="24">
        <v>4250</v>
      </c>
    </row>
    <row r="8" spans="2:8" ht="15" customHeight="1" x14ac:dyDescent="0.3">
      <c r="B8" s="15" t="s">
        <v>61</v>
      </c>
      <c r="C8" s="15" t="s">
        <v>62</v>
      </c>
    </row>
    <row r="9" spans="2:8" ht="15" customHeight="1" x14ac:dyDescent="0.3">
      <c r="B9" s="15" t="s">
        <v>59</v>
      </c>
      <c r="C9" t="s">
        <v>47</v>
      </c>
      <c r="D9" t="s">
        <v>48</v>
      </c>
      <c r="E9" t="s">
        <v>49</v>
      </c>
      <c r="F9" t="s">
        <v>50</v>
      </c>
      <c r="G9" t="s">
        <v>51</v>
      </c>
      <c r="H9" t="s">
        <v>60</v>
      </c>
    </row>
    <row r="10" spans="2:8" ht="15" customHeight="1" x14ac:dyDescent="0.3">
      <c r="B10" s="16" t="s">
        <v>2</v>
      </c>
      <c r="C10" s="24">
        <v>55</v>
      </c>
      <c r="D10" s="24">
        <v>55</v>
      </c>
      <c r="E10" s="24">
        <v>55</v>
      </c>
      <c r="F10" s="24">
        <v>55</v>
      </c>
      <c r="G10" s="24">
        <v>55</v>
      </c>
      <c r="H10" s="24">
        <v>275</v>
      </c>
    </row>
    <row r="11" spans="2:8" ht="15" customHeight="1" x14ac:dyDescent="0.3">
      <c r="B11" s="16" t="s">
        <v>60</v>
      </c>
      <c r="C11" s="24">
        <v>55</v>
      </c>
      <c r="D11" s="24">
        <v>55</v>
      </c>
      <c r="E11" s="24">
        <v>55</v>
      </c>
      <c r="F11" s="24">
        <v>55</v>
      </c>
      <c r="G11" s="24">
        <v>55</v>
      </c>
      <c r="H11" s="24">
        <v>275</v>
      </c>
    </row>
    <row r="13" spans="2:8" ht="15" customHeight="1" x14ac:dyDescent="0.3">
      <c r="B13" s="15" t="s">
        <v>61</v>
      </c>
      <c r="C13" s="15" t="s">
        <v>62</v>
      </c>
    </row>
    <row r="14" spans="2:8" ht="15" customHeight="1" x14ac:dyDescent="0.3">
      <c r="B14" s="15" t="s">
        <v>59</v>
      </c>
      <c r="C14" t="s">
        <v>47</v>
      </c>
      <c r="D14" t="s">
        <v>48</v>
      </c>
      <c r="E14" t="s">
        <v>49</v>
      </c>
      <c r="F14" t="s">
        <v>50</v>
      </c>
      <c r="G14" t="s">
        <v>51</v>
      </c>
      <c r="H14" t="s">
        <v>60</v>
      </c>
    </row>
    <row r="15" spans="2:8" ht="15" customHeight="1" x14ac:dyDescent="0.3">
      <c r="B15" s="16" t="s">
        <v>20</v>
      </c>
      <c r="C15" s="24">
        <v>449</v>
      </c>
      <c r="D15" s="24">
        <v>305</v>
      </c>
      <c r="E15" s="24">
        <v>208</v>
      </c>
      <c r="F15" s="24">
        <v>449</v>
      </c>
      <c r="G15" s="24">
        <v>449</v>
      </c>
      <c r="H15" s="24">
        <v>1860</v>
      </c>
    </row>
    <row r="16" spans="2:8" ht="15" customHeight="1" x14ac:dyDescent="0.3">
      <c r="B16" s="16" t="s">
        <v>60</v>
      </c>
      <c r="C16" s="24">
        <v>449</v>
      </c>
      <c r="D16" s="24">
        <v>305</v>
      </c>
      <c r="E16" s="24">
        <v>208</v>
      </c>
      <c r="F16" s="24">
        <v>449</v>
      </c>
      <c r="G16" s="24">
        <v>449</v>
      </c>
      <c r="H16" s="24">
        <v>1860</v>
      </c>
    </row>
    <row r="18" spans="2:8" ht="15" customHeight="1" x14ac:dyDescent="0.3">
      <c r="B18" s="15" t="s">
        <v>61</v>
      </c>
      <c r="C18" s="15" t="s">
        <v>62</v>
      </c>
    </row>
    <row r="19" spans="2:8" ht="15" customHeight="1" x14ac:dyDescent="0.3">
      <c r="B19" s="15" t="s">
        <v>59</v>
      </c>
      <c r="C19" t="s">
        <v>47</v>
      </c>
      <c r="D19" t="s">
        <v>48</v>
      </c>
      <c r="E19" t="s">
        <v>49</v>
      </c>
      <c r="F19" t="s">
        <v>50</v>
      </c>
      <c r="G19" t="s">
        <v>51</v>
      </c>
      <c r="H19" t="s">
        <v>60</v>
      </c>
    </row>
    <row r="20" spans="2:8" ht="15" customHeight="1" x14ac:dyDescent="0.3">
      <c r="B20" s="16" t="s">
        <v>4</v>
      </c>
      <c r="C20" s="24">
        <v>140</v>
      </c>
      <c r="D20" s="24">
        <v>105</v>
      </c>
      <c r="E20" s="24">
        <v>110</v>
      </c>
      <c r="F20" s="24">
        <v>140</v>
      </c>
      <c r="G20" s="24">
        <v>155</v>
      </c>
      <c r="H20" s="24">
        <v>650</v>
      </c>
    </row>
    <row r="21" spans="2:8" ht="15" customHeight="1" x14ac:dyDescent="0.3">
      <c r="B21" s="16" t="s">
        <v>60</v>
      </c>
      <c r="C21" s="24">
        <v>140</v>
      </c>
      <c r="D21" s="24">
        <v>105</v>
      </c>
      <c r="E21" s="24">
        <v>110</v>
      </c>
      <c r="F21" s="24">
        <v>140</v>
      </c>
      <c r="G21" s="24">
        <v>155</v>
      </c>
      <c r="H21" s="24">
        <v>650</v>
      </c>
    </row>
    <row r="23" spans="2:8" ht="15" customHeight="1" x14ac:dyDescent="0.3">
      <c r="B23" s="15" t="s">
        <v>61</v>
      </c>
      <c r="C23" s="15" t="s">
        <v>62</v>
      </c>
    </row>
    <row r="24" spans="2:8" ht="15" customHeight="1" x14ac:dyDescent="0.3">
      <c r="B24" s="15" t="s">
        <v>59</v>
      </c>
      <c r="C24" t="s">
        <v>47</v>
      </c>
      <c r="D24" t="s">
        <v>48</v>
      </c>
      <c r="E24" t="s">
        <v>49</v>
      </c>
      <c r="F24" t="s">
        <v>50</v>
      </c>
      <c r="G24" t="s">
        <v>51</v>
      </c>
      <c r="H24" t="s">
        <v>60</v>
      </c>
    </row>
    <row r="25" spans="2:8" ht="15" customHeight="1" x14ac:dyDescent="0.3">
      <c r="B25" s="16" t="s">
        <v>5</v>
      </c>
      <c r="C25" s="24">
        <v>562</v>
      </c>
      <c r="D25" s="24">
        <v>194</v>
      </c>
      <c r="E25" s="24">
        <v>405</v>
      </c>
      <c r="F25" s="24">
        <v>462</v>
      </c>
      <c r="G25" s="24">
        <v>646</v>
      </c>
      <c r="H25" s="24">
        <v>2269</v>
      </c>
    </row>
    <row r="26" spans="2:8" ht="15" customHeight="1" x14ac:dyDescent="0.3">
      <c r="B26" s="16" t="s">
        <v>60</v>
      </c>
      <c r="C26" s="24">
        <v>562</v>
      </c>
      <c r="D26" s="24">
        <v>194</v>
      </c>
      <c r="E26" s="24">
        <v>405</v>
      </c>
      <c r="F26" s="24">
        <v>462</v>
      </c>
      <c r="G26" s="24">
        <v>646</v>
      </c>
      <c r="H26" s="24">
        <v>2269</v>
      </c>
    </row>
    <row r="28" spans="2:8" ht="15" customHeight="1" x14ac:dyDescent="0.3">
      <c r="B28" s="15" t="s">
        <v>61</v>
      </c>
      <c r="C28" s="15" t="s">
        <v>62</v>
      </c>
    </row>
    <row r="29" spans="2:8" ht="15" customHeight="1" x14ac:dyDescent="0.3">
      <c r="B29" s="15" t="s">
        <v>59</v>
      </c>
      <c r="C29" t="s">
        <v>47</v>
      </c>
      <c r="D29" t="s">
        <v>48</v>
      </c>
      <c r="E29" t="s">
        <v>49</v>
      </c>
      <c r="F29" t="s">
        <v>50</v>
      </c>
      <c r="G29" t="s">
        <v>51</v>
      </c>
      <c r="H29" t="s">
        <v>60</v>
      </c>
    </row>
    <row r="30" spans="2:8" ht="15" customHeight="1" x14ac:dyDescent="0.3">
      <c r="B30" s="16" t="s">
        <v>6</v>
      </c>
      <c r="C30" s="24">
        <v>249</v>
      </c>
      <c r="D30" s="24">
        <v>18</v>
      </c>
      <c r="E30" s="24">
        <v>199</v>
      </c>
      <c r="F30" s="24">
        <v>249</v>
      </c>
      <c r="G30" s="24">
        <v>249</v>
      </c>
      <c r="H30" s="24">
        <v>964</v>
      </c>
    </row>
    <row r="31" spans="2:8" ht="15" customHeight="1" x14ac:dyDescent="0.3">
      <c r="B31" s="16" t="s">
        <v>60</v>
      </c>
      <c r="C31" s="24">
        <v>249</v>
      </c>
      <c r="D31" s="24">
        <v>18</v>
      </c>
      <c r="E31" s="24">
        <v>199</v>
      </c>
      <c r="F31" s="24">
        <v>249</v>
      </c>
      <c r="G31" s="24">
        <v>249</v>
      </c>
      <c r="H31" s="24">
        <v>964</v>
      </c>
    </row>
    <row r="34" spans="2:15" s="17" customFormat="1" ht="15" customHeight="1" x14ac:dyDescent="0.3">
      <c r="B34" s="34" t="s">
        <v>46</v>
      </c>
      <c r="C34" s="34"/>
    </row>
    <row r="35" spans="2:15" ht="15" customHeight="1" x14ac:dyDescent="0.3">
      <c r="B35" s="18" t="s">
        <v>64</v>
      </c>
      <c r="C35" s="23">
        <f>GETPIVOTDATA("Budget",$B$36,"Category","Rent")</f>
        <v>10200</v>
      </c>
    </row>
    <row r="36" spans="2:15" ht="15" customHeight="1" x14ac:dyDescent="0.3">
      <c r="B36" s="15" t="s">
        <v>63</v>
      </c>
      <c r="C36" s="15" t="s">
        <v>62</v>
      </c>
    </row>
    <row r="37" spans="2:15" ht="15" customHeight="1" x14ac:dyDescent="0.3">
      <c r="B37" s="15" t="s">
        <v>59</v>
      </c>
      <c r="C37" t="s">
        <v>47</v>
      </c>
      <c r="D37" t="s">
        <v>48</v>
      </c>
      <c r="E37" t="s">
        <v>49</v>
      </c>
      <c r="F37" t="s">
        <v>50</v>
      </c>
      <c r="G37" t="s">
        <v>51</v>
      </c>
      <c r="H37" t="s">
        <v>52</v>
      </c>
      <c r="I37" t="s">
        <v>53</v>
      </c>
      <c r="J37" t="s">
        <v>54</v>
      </c>
      <c r="K37" t="s">
        <v>55</v>
      </c>
      <c r="L37" t="s">
        <v>56</v>
      </c>
      <c r="M37" t="s">
        <v>57</v>
      </c>
      <c r="N37" t="s">
        <v>58</v>
      </c>
      <c r="O37" t="s">
        <v>60</v>
      </c>
    </row>
    <row r="38" spans="2:15" ht="15" customHeight="1" x14ac:dyDescent="0.3">
      <c r="B38" s="16" t="s">
        <v>1</v>
      </c>
      <c r="C38" s="23">
        <v>850</v>
      </c>
      <c r="D38" s="23">
        <v>850</v>
      </c>
      <c r="E38" s="23">
        <v>850</v>
      </c>
      <c r="F38" s="23">
        <v>850</v>
      </c>
      <c r="G38" s="23">
        <v>850</v>
      </c>
      <c r="H38" s="23">
        <v>850</v>
      </c>
      <c r="I38" s="23">
        <v>850</v>
      </c>
      <c r="J38" s="23">
        <v>850</v>
      </c>
      <c r="K38" s="23">
        <v>850</v>
      </c>
      <c r="L38" s="23">
        <v>850</v>
      </c>
      <c r="M38" s="23">
        <v>850</v>
      </c>
      <c r="N38" s="23">
        <v>850</v>
      </c>
      <c r="O38" s="23">
        <v>10200</v>
      </c>
    </row>
    <row r="39" spans="2:15" ht="15" customHeight="1" x14ac:dyDescent="0.3">
      <c r="B39" s="16" t="s">
        <v>60</v>
      </c>
      <c r="C39" s="23">
        <v>850</v>
      </c>
      <c r="D39" s="23">
        <v>850</v>
      </c>
      <c r="E39" s="23">
        <v>850</v>
      </c>
      <c r="F39" s="23">
        <v>850</v>
      </c>
      <c r="G39" s="23">
        <v>850</v>
      </c>
      <c r="H39" s="23">
        <v>850</v>
      </c>
      <c r="I39" s="23">
        <v>850</v>
      </c>
      <c r="J39" s="23">
        <v>850</v>
      </c>
      <c r="K39" s="23">
        <v>850</v>
      </c>
      <c r="L39" s="23">
        <v>850</v>
      </c>
      <c r="M39" s="23">
        <v>850</v>
      </c>
      <c r="N39" s="23">
        <v>850</v>
      </c>
      <c r="O39" s="23">
        <v>10200</v>
      </c>
    </row>
    <row r="41" spans="2:15" ht="15" customHeight="1" x14ac:dyDescent="0.3">
      <c r="B41" s="18" t="s">
        <v>64</v>
      </c>
      <c r="C41" s="23">
        <f>GETPIVOTDATA("Budget",$B$42,"Category","Transport")</f>
        <v>900</v>
      </c>
    </row>
    <row r="42" spans="2:15" ht="15" customHeight="1" x14ac:dyDescent="0.3">
      <c r="B42" s="15" t="s">
        <v>63</v>
      </c>
      <c r="C42" s="15" t="s">
        <v>62</v>
      </c>
    </row>
    <row r="43" spans="2:15" ht="15" customHeight="1" x14ac:dyDescent="0.3">
      <c r="B43" s="15" t="s">
        <v>59</v>
      </c>
      <c r="C43" t="s">
        <v>47</v>
      </c>
      <c r="D43" t="s">
        <v>48</v>
      </c>
      <c r="E43" t="s">
        <v>49</v>
      </c>
      <c r="F43" t="s">
        <v>50</v>
      </c>
      <c r="G43" t="s">
        <v>51</v>
      </c>
      <c r="H43" t="s">
        <v>52</v>
      </c>
      <c r="I43" t="s">
        <v>53</v>
      </c>
      <c r="J43" t="s">
        <v>54</v>
      </c>
      <c r="K43" t="s">
        <v>55</v>
      </c>
      <c r="L43" t="s">
        <v>56</v>
      </c>
      <c r="M43" t="s">
        <v>57</v>
      </c>
      <c r="N43" t="s">
        <v>58</v>
      </c>
      <c r="O43" t="s">
        <v>60</v>
      </c>
    </row>
    <row r="44" spans="2:15" ht="15" customHeight="1" x14ac:dyDescent="0.3">
      <c r="B44" s="16" t="s">
        <v>2</v>
      </c>
      <c r="C44" s="23">
        <v>75</v>
      </c>
      <c r="D44" s="23">
        <v>75</v>
      </c>
      <c r="E44" s="23">
        <v>75</v>
      </c>
      <c r="F44" s="23">
        <v>75</v>
      </c>
      <c r="G44" s="23">
        <v>75</v>
      </c>
      <c r="H44" s="23">
        <v>75</v>
      </c>
      <c r="I44" s="23">
        <v>75</v>
      </c>
      <c r="J44" s="23">
        <v>75</v>
      </c>
      <c r="K44" s="23">
        <v>75</v>
      </c>
      <c r="L44" s="23">
        <v>75</v>
      </c>
      <c r="M44" s="23">
        <v>75</v>
      </c>
      <c r="N44" s="23">
        <v>75</v>
      </c>
      <c r="O44" s="23">
        <v>900</v>
      </c>
    </row>
    <row r="45" spans="2:15" ht="15" customHeight="1" x14ac:dyDescent="0.3">
      <c r="B45" s="16" t="s">
        <v>60</v>
      </c>
      <c r="C45" s="23">
        <v>75</v>
      </c>
      <c r="D45" s="23">
        <v>75</v>
      </c>
      <c r="E45" s="23">
        <v>75</v>
      </c>
      <c r="F45" s="23">
        <v>75</v>
      </c>
      <c r="G45" s="23">
        <v>75</v>
      </c>
      <c r="H45" s="23">
        <v>75</v>
      </c>
      <c r="I45" s="23">
        <v>75</v>
      </c>
      <c r="J45" s="23">
        <v>75</v>
      </c>
      <c r="K45" s="23">
        <v>75</v>
      </c>
      <c r="L45" s="23">
        <v>75</v>
      </c>
      <c r="M45" s="23">
        <v>75</v>
      </c>
      <c r="N45" s="23">
        <v>75</v>
      </c>
      <c r="O45" s="23">
        <v>900</v>
      </c>
    </row>
    <row r="47" spans="2:15" ht="15" customHeight="1" x14ac:dyDescent="0.3">
      <c r="B47" s="18" t="s">
        <v>64</v>
      </c>
      <c r="C47" s="19">
        <f>GETPIVOTDATA("Budget",$B$48,"Category","Groceries")</f>
        <v>6600</v>
      </c>
    </row>
    <row r="48" spans="2:15" ht="15" customHeight="1" x14ac:dyDescent="0.3">
      <c r="B48" s="15" t="s">
        <v>63</v>
      </c>
      <c r="C48" s="15" t="s">
        <v>62</v>
      </c>
    </row>
    <row r="49" spans="2:15" ht="15" customHeight="1" x14ac:dyDescent="0.3">
      <c r="B49" s="15" t="s">
        <v>59</v>
      </c>
      <c r="C49" t="s">
        <v>47</v>
      </c>
      <c r="D49" t="s">
        <v>48</v>
      </c>
      <c r="E49" t="s">
        <v>49</v>
      </c>
      <c r="F49" t="s">
        <v>50</v>
      </c>
      <c r="G49" t="s">
        <v>51</v>
      </c>
      <c r="H49" t="s">
        <v>52</v>
      </c>
      <c r="I49" t="s">
        <v>53</v>
      </c>
      <c r="J49" t="s">
        <v>54</v>
      </c>
      <c r="K49" t="s">
        <v>55</v>
      </c>
      <c r="L49" t="s">
        <v>56</v>
      </c>
      <c r="M49" t="s">
        <v>57</v>
      </c>
      <c r="N49" t="s">
        <v>58</v>
      </c>
      <c r="O49" t="s">
        <v>60</v>
      </c>
    </row>
    <row r="50" spans="2:15" ht="15" customHeight="1" x14ac:dyDescent="0.3">
      <c r="B50" s="16" t="s">
        <v>20</v>
      </c>
      <c r="C50" s="23">
        <v>550</v>
      </c>
      <c r="D50" s="23">
        <v>550</v>
      </c>
      <c r="E50" s="23">
        <v>550</v>
      </c>
      <c r="F50" s="23">
        <v>550</v>
      </c>
      <c r="G50" s="23">
        <v>550</v>
      </c>
      <c r="H50" s="23">
        <v>550</v>
      </c>
      <c r="I50" s="23">
        <v>550</v>
      </c>
      <c r="J50" s="23">
        <v>550</v>
      </c>
      <c r="K50" s="23">
        <v>550</v>
      </c>
      <c r="L50" s="23">
        <v>550</v>
      </c>
      <c r="M50" s="23">
        <v>550</v>
      </c>
      <c r="N50" s="23">
        <v>550</v>
      </c>
      <c r="O50" s="23">
        <v>6600</v>
      </c>
    </row>
    <row r="51" spans="2:15" ht="15" customHeight="1" x14ac:dyDescent="0.3">
      <c r="B51" s="16" t="s">
        <v>60</v>
      </c>
      <c r="C51" s="23">
        <v>550</v>
      </c>
      <c r="D51" s="23">
        <v>550</v>
      </c>
      <c r="E51" s="23">
        <v>550</v>
      </c>
      <c r="F51" s="23">
        <v>550</v>
      </c>
      <c r="G51" s="23">
        <v>550</v>
      </c>
      <c r="H51" s="23">
        <v>550</v>
      </c>
      <c r="I51" s="23">
        <v>550</v>
      </c>
      <c r="J51" s="23">
        <v>550</v>
      </c>
      <c r="K51" s="23">
        <v>550</v>
      </c>
      <c r="L51" s="23">
        <v>550</v>
      </c>
      <c r="M51" s="23">
        <v>550</v>
      </c>
      <c r="N51" s="23">
        <v>550</v>
      </c>
      <c r="O51" s="23">
        <v>6600</v>
      </c>
    </row>
    <row r="53" spans="2:15" ht="15" customHeight="1" x14ac:dyDescent="0.3">
      <c r="B53" s="18" t="s">
        <v>64</v>
      </c>
      <c r="C53" s="19">
        <f>GETPIVOTDATA("Budget",$B$54,"Category","Utilities")</f>
        <v>2400</v>
      </c>
    </row>
    <row r="54" spans="2:15" ht="15" customHeight="1" x14ac:dyDescent="0.3">
      <c r="B54" s="15" t="s">
        <v>63</v>
      </c>
      <c r="C54" s="15" t="s">
        <v>62</v>
      </c>
    </row>
    <row r="55" spans="2:15" ht="15" customHeight="1" x14ac:dyDescent="0.3">
      <c r="B55" s="15" t="s">
        <v>59</v>
      </c>
      <c r="C55" t="s">
        <v>47</v>
      </c>
      <c r="D55" t="s">
        <v>48</v>
      </c>
      <c r="E55" t="s">
        <v>49</v>
      </c>
      <c r="F55" t="s">
        <v>50</v>
      </c>
      <c r="G55" t="s">
        <v>51</v>
      </c>
      <c r="H55" t="s">
        <v>52</v>
      </c>
      <c r="I55" t="s">
        <v>53</v>
      </c>
      <c r="J55" t="s">
        <v>54</v>
      </c>
      <c r="K55" t="s">
        <v>55</v>
      </c>
      <c r="L55" t="s">
        <v>56</v>
      </c>
      <c r="M55" t="s">
        <v>57</v>
      </c>
      <c r="N55" t="s">
        <v>58</v>
      </c>
      <c r="O55" t="s">
        <v>60</v>
      </c>
    </row>
    <row r="56" spans="2:15" ht="15" customHeight="1" x14ac:dyDescent="0.3">
      <c r="B56" s="16" t="s">
        <v>4</v>
      </c>
      <c r="C56" s="23">
        <v>200</v>
      </c>
      <c r="D56" s="23">
        <v>200</v>
      </c>
      <c r="E56" s="23">
        <v>200</v>
      </c>
      <c r="F56" s="23">
        <v>200</v>
      </c>
      <c r="G56" s="23">
        <v>200</v>
      </c>
      <c r="H56" s="23">
        <v>200</v>
      </c>
      <c r="I56" s="23">
        <v>200</v>
      </c>
      <c r="J56" s="23">
        <v>200</v>
      </c>
      <c r="K56" s="23">
        <v>200</v>
      </c>
      <c r="L56" s="23">
        <v>200</v>
      </c>
      <c r="M56" s="23">
        <v>200</v>
      </c>
      <c r="N56" s="23">
        <v>200</v>
      </c>
      <c r="O56" s="23">
        <v>2400</v>
      </c>
    </row>
    <row r="57" spans="2:15" ht="15" customHeight="1" x14ac:dyDescent="0.3">
      <c r="B57" s="16" t="s">
        <v>60</v>
      </c>
      <c r="C57" s="23">
        <v>200</v>
      </c>
      <c r="D57" s="23">
        <v>200</v>
      </c>
      <c r="E57" s="23">
        <v>200</v>
      </c>
      <c r="F57" s="23">
        <v>200</v>
      </c>
      <c r="G57" s="23">
        <v>200</v>
      </c>
      <c r="H57" s="23">
        <v>200</v>
      </c>
      <c r="I57" s="23">
        <v>200</v>
      </c>
      <c r="J57" s="23">
        <v>200</v>
      </c>
      <c r="K57" s="23">
        <v>200</v>
      </c>
      <c r="L57" s="23">
        <v>200</v>
      </c>
      <c r="M57" s="23">
        <v>200</v>
      </c>
      <c r="N57" s="23">
        <v>200</v>
      </c>
      <c r="O57" s="23">
        <v>2400</v>
      </c>
    </row>
    <row r="59" spans="2:15" ht="15" customHeight="1" x14ac:dyDescent="0.3">
      <c r="B59" s="18" t="s">
        <v>64</v>
      </c>
      <c r="C59" s="19">
        <f>GETPIVOTDATA("Budget",$B$60,"Category","Leisure")</f>
        <v>4800</v>
      </c>
    </row>
    <row r="60" spans="2:15" ht="15" customHeight="1" x14ac:dyDescent="0.3">
      <c r="B60" s="15" t="s">
        <v>63</v>
      </c>
      <c r="C60" s="15" t="s">
        <v>62</v>
      </c>
    </row>
    <row r="61" spans="2:15" ht="15" customHeight="1" x14ac:dyDescent="0.3">
      <c r="B61" s="15" t="s">
        <v>59</v>
      </c>
      <c r="C61" t="s">
        <v>47</v>
      </c>
      <c r="D61" t="s">
        <v>48</v>
      </c>
      <c r="E61" t="s">
        <v>49</v>
      </c>
      <c r="F61" t="s">
        <v>50</v>
      </c>
      <c r="G61" t="s">
        <v>51</v>
      </c>
      <c r="H61" t="s">
        <v>52</v>
      </c>
      <c r="I61" t="s">
        <v>53</v>
      </c>
      <c r="J61" t="s">
        <v>54</v>
      </c>
      <c r="K61" t="s">
        <v>55</v>
      </c>
      <c r="L61" t="s">
        <v>56</v>
      </c>
      <c r="M61" t="s">
        <v>57</v>
      </c>
      <c r="N61" t="s">
        <v>58</v>
      </c>
      <c r="O61" t="s">
        <v>60</v>
      </c>
    </row>
    <row r="62" spans="2:15" ht="15" customHeight="1" x14ac:dyDescent="0.3">
      <c r="B62" s="16" t="s">
        <v>5</v>
      </c>
      <c r="C62" s="23">
        <v>400</v>
      </c>
      <c r="D62" s="23">
        <v>400</v>
      </c>
      <c r="E62" s="23">
        <v>400</v>
      </c>
      <c r="F62" s="23">
        <v>400</v>
      </c>
      <c r="G62" s="23">
        <v>400</v>
      </c>
      <c r="H62" s="23">
        <v>400</v>
      </c>
      <c r="I62" s="23">
        <v>400</v>
      </c>
      <c r="J62" s="23">
        <v>400</v>
      </c>
      <c r="K62" s="23">
        <v>400</v>
      </c>
      <c r="L62" s="23">
        <v>400</v>
      </c>
      <c r="M62" s="23">
        <v>400</v>
      </c>
      <c r="N62" s="23">
        <v>400</v>
      </c>
      <c r="O62" s="23">
        <v>4800</v>
      </c>
    </row>
    <row r="63" spans="2:15" ht="15" customHeight="1" x14ac:dyDescent="0.3">
      <c r="B63" s="16" t="s">
        <v>60</v>
      </c>
      <c r="C63" s="23">
        <v>400</v>
      </c>
      <c r="D63" s="23">
        <v>400</v>
      </c>
      <c r="E63" s="23">
        <v>400</v>
      </c>
      <c r="F63" s="23">
        <v>400</v>
      </c>
      <c r="G63" s="23">
        <v>400</v>
      </c>
      <c r="H63" s="23">
        <v>400</v>
      </c>
      <c r="I63" s="23">
        <v>400</v>
      </c>
      <c r="J63" s="23">
        <v>400</v>
      </c>
      <c r="K63" s="23">
        <v>400</v>
      </c>
      <c r="L63" s="23">
        <v>400</v>
      </c>
      <c r="M63" s="23">
        <v>400</v>
      </c>
      <c r="N63" s="23">
        <v>400</v>
      </c>
      <c r="O63" s="23">
        <v>4800</v>
      </c>
    </row>
    <row r="65" spans="2:15" ht="15" customHeight="1" x14ac:dyDescent="0.3">
      <c r="B65" s="18" t="s">
        <v>64</v>
      </c>
      <c r="C65" s="19">
        <f>GETPIVOTDATA("Budget",$B$66,"Category","Other")</f>
        <v>3600</v>
      </c>
    </row>
    <row r="66" spans="2:15" ht="15" customHeight="1" x14ac:dyDescent="0.3">
      <c r="B66" s="15" t="s">
        <v>63</v>
      </c>
      <c r="C66" s="15" t="s">
        <v>62</v>
      </c>
    </row>
    <row r="67" spans="2:15" ht="15" customHeight="1" x14ac:dyDescent="0.3">
      <c r="B67" s="15" t="s">
        <v>59</v>
      </c>
      <c r="C67" t="s">
        <v>47</v>
      </c>
      <c r="D67" t="s">
        <v>48</v>
      </c>
      <c r="E67" t="s">
        <v>49</v>
      </c>
      <c r="F67" t="s">
        <v>50</v>
      </c>
      <c r="G67" t="s">
        <v>51</v>
      </c>
      <c r="H67" t="s">
        <v>52</v>
      </c>
      <c r="I67" t="s">
        <v>53</v>
      </c>
      <c r="J67" t="s">
        <v>54</v>
      </c>
      <c r="K67" t="s">
        <v>55</v>
      </c>
      <c r="L67" t="s">
        <v>56</v>
      </c>
      <c r="M67" t="s">
        <v>57</v>
      </c>
      <c r="N67" t="s">
        <v>58</v>
      </c>
      <c r="O67" t="s">
        <v>60</v>
      </c>
    </row>
    <row r="68" spans="2:15" ht="15" customHeight="1" x14ac:dyDescent="0.3">
      <c r="B68" s="16" t="s">
        <v>6</v>
      </c>
      <c r="C68" s="23">
        <v>300</v>
      </c>
      <c r="D68" s="23">
        <v>300</v>
      </c>
      <c r="E68" s="23">
        <v>300</v>
      </c>
      <c r="F68" s="23">
        <v>300</v>
      </c>
      <c r="G68" s="23">
        <v>300</v>
      </c>
      <c r="H68" s="23">
        <v>300</v>
      </c>
      <c r="I68" s="23">
        <v>300</v>
      </c>
      <c r="J68" s="23">
        <v>300</v>
      </c>
      <c r="K68" s="23">
        <v>300</v>
      </c>
      <c r="L68" s="23">
        <v>300</v>
      </c>
      <c r="M68" s="23">
        <v>300</v>
      </c>
      <c r="N68" s="23">
        <v>300</v>
      </c>
      <c r="O68" s="23">
        <v>3600</v>
      </c>
    </row>
    <row r="69" spans="2:15" ht="15" customHeight="1" x14ac:dyDescent="0.3">
      <c r="B69" s="16" t="s">
        <v>60</v>
      </c>
      <c r="C69" s="23">
        <v>300</v>
      </c>
      <c r="D69" s="23">
        <v>300</v>
      </c>
      <c r="E69" s="23">
        <v>300</v>
      </c>
      <c r="F69" s="23">
        <v>300</v>
      </c>
      <c r="G69" s="23">
        <v>300</v>
      </c>
      <c r="H69" s="23">
        <v>300</v>
      </c>
      <c r="I69" s="23">
        <v>300</v>
      </c>
      <c r="J69" s="23">
        <v>300</v>
      </c>
      <c r="K69" s="23">
        <v>300</v>
      </c>
      <c r="L69" s="23">
        <v>300</v>
      </c>
      <c r="M69" s="23">
        <v>300</v>
      </c>
      <c r="N69" s="23">
        <v>300</v>
      </c>
      <c r="O69" s="23">
        <v>3600</v>
      </c>
    </row>
    <row r="70" spans="2:15" ht="15" customHeight="1" x14ac:dyDescent="0.3">
      <c r="B70" s="16"/>
      <c r="C70" s="19"/>
      <c r="D70" s="19"/>
      <c r="E70" s="19"/>
      <c r="F70" s="19"/>
      <c r="G70" s="19"/>
      <c r="H70" s="19"/>
      <c r="I70" s="19"/>
      <c r="J70" s="19"/>
      <c r="K70" s="19"/>
      <c r="L70" s="19"/>
      <c r="M70" s="19"/>
      <c r="N70" s="19"/>
      <c r="O70" s="19"/>
    </row>
    <row r="71" spans="2:15" ht="15" customHeight="1" x14ac:dyDescent="0.3">
      <c r="B71" s="34" t="s">
        <v>65</v>
      </c>
      <c r="C71" s="34"/>
      <c r="D71" s="19"/>
      <c r="E71" s="19"/>
      <c r="F71" s="19"/>
      <c r="G71" s="19"/>
      <c r="H71" s="19"/>
      <c r="I71" s="19"/>
      <c r="J71" s="19"/>
      <c r="K71" s="19"/>
      <c r="L71" s="19"/>
      <c r="M71" s="19"/>
      <c r="N71" s="19"/>
      <c r="O71" s="19"/>
    </row>
    <row r="72" spans="2:15" ht="15" customHeight="1" x14ac:dyDescent="0.3">
      <c r="B72" s="15" t="s">
        <v>13</v>
      </c>
      <c r="C72" t="s">
        <v>17</v>
      </c>
    </row>
    <row r="74" spans="2:15" ht="15" customHeight="1" x14ac:dyDescent="0.3">
      <c r="B74" s="15" t="s">
        <v>61</v>
      </c>
      <c r="C74" s="15" t="s">
        <v>62</v>
      </c>
    </row>
    <row r="75" spans="2:15" ht="15" customHeight="1" x14ac:dyDescent="0.3">
      <c r="B75" s="15" t="s">
        <v>59</v>
      </c>
      <c r="C75" t="s">
        <v>47</v>
      </c>
      <c r="D75" t="s">
        <v>48</v>
      </c>
      <c r="E75" t="s">
        <v>49</v>
      </c>
      <c r="F75" t="s">
        <v>50</v>
      </c>
      <c r="G75" t="s">
        <v>51</v>
      </c>
      <c r="H75" t="s">
        <v>60</v>
      </c>
    </row>
    <row r="76" spans="2:15" ht="15" customHeight="1" x14ac:dyDescent="0.3">
      <c r="B76" s="16" t="s">
        <v>20</v>
      </c>
      <c r="C76" s="24">
        <v>449</v>
      </c>
      <c r="D76" s="24">
        <v>305</v>
      </c>
      <c r="E76" s="24">
        <v>208</v>
      </c>
      <c r="F76" s="24">
        <v>449</v>
      </c>
      <c r="G76" s="24">
        <v>449</v>
      </c>
      <c r="H76" s="24">
        <v>1860</v>
      </c>
    </row>
    <row r="77" spans="2:15" ht="15" customHeight="1" x14ac:dyDescent="0.3">
      <c r="B77" s="16" t="s">
        <v>5</v>
      </c>
      <c r="C77" s="24">
        <v>562</v>
      </c>
      <c r="D77" s="24">
        <v>194</v>
      </c>
      <c r="E77" s="24">
        <v>405</v>
      </c>
      <c r="F77" s="24">
        <v>462</v>
      </c>
      <c r="G77" s="24">
        <v>646</v>
      </c>
      <c r="H77" s="24">
        <v>2269</v>
      </c>
    </row>
    <row r="78" spans="2:15" ht="15" customHeight="1" x14ac:dyDescent="0.3">
      <c r="B78" s="16" t="s">
        <v>6</v>
      </c>
      <c r="C78" s="24">
        <v>249</v>
      </c>
      <c r="D78" s="24">
        <v>18</v>
      </c>
      <c r="E78" s="24">
        <v>199</v>
      </c>
      <c r="F78" s="24">
        <v>249</v>
      </c>
      <c r="G78" s="24">
        <v>249</v>
      </c>
      <c r="H78" s="24">
        <v>964</v>
      </c>
    </row>
    <row r="79" spans="2:15" ht="15" customHeight="1" x14ac:dyDescent="0.3">
      <c r="B79" s="16" t="s">
        <v>1</v>
      </c>
      <c r="C79" s="24">
        <v>850</v>
      </c>
      <c r="D79" s="24">
        <v>850</v>
      </c>
      <c r="E79" s="24">
        <v>850</v>
      </c>
      <c r="F79" s="24">
        <v>850</v>
      </c>
      <c r="G79" s="24">
        <v>850</v>
      </c>
      <c r="H79" s="24">
        <v>4250</v>
      </c>
    </row>
    <row r="80" spans="2:15" ht="15" customHeight="1" x14ac:dyDescent="0.3">
      <c r="B80" s="16" t="s">
        <v>2</v>
      </c>
      <c r="C80" s="24">
        <v>55</v>
      </c>
      <c r="D80" s="24">
        <v>55</v>
      </c>
      <c r="E80" s="24">
        <v>55</v>
      </c>
      <c r="F80" s="24">
        <v>55</v>
      </c>
      <c r="G80" s="24">
        <v>55</v>
      </c>
      <c r="H80" s="24">
        <v>275</v>
      </c>
    </row>
    <row r="81" spans="2:8" ht="15" customHeight="1" x14ac:dyDescent="0.3">
      <c r="B81" s="16" t="s">
        <v>4</v>
      </c>
      <c r="C81" s="24">
        <v>140</v>
      </c>
      <c r="D81" s="24">
        <v>105</v>
      </c>
      <c r="E81" s="24">
        <v>110</v>
      </c>
      <c r="F81" s="24">
        <v>140</v>
      </c>
      <c r="G81" s="24">
        <v>155</v>
      </c>
      <c r="H81" s="24">
        <v>650</v>
      </c>
    </row>
    <row r="82" spans="2:8" ht="15" customHeight="1" x14ac:dyDescent="0.3">
      <c r="B82" s="16" t="s">
        <v>60</v>
      </c>
      <c r="C82" s="24">
        <v>2305</v>
      </c>
      <c r="D82" s="24">
        <v>1527</v>
      </c>
      <c r="E82" s="24">
        <v>1827</v>
      </c>
      <c r="F82" s="24">
        <v>2205</v>
      </c>
      <c r="G82" s="24">
        <v>2404</v>
      </c>
      <c r="H82" s="24">
        <v>10268</v>
      </c>
    </row>
    <row r="84" spans="2:8" ht="15" customHeight="1" x14ac:dyDescent="0.3">
      <c r="B84" s="20" t="s">
        <v>11</v>
      </c>
      <c r="C84" s="20" t="s">
        <v>66</v>
      </c>
    </row>
    <row r="85" spans="2:8" ht="15" customHeight="1" x14ac:dyDescent="0.3">
      <c r="B85" s="21" t="s">
        <v>20</v>
      </c>
      <c r="C85" s="23">
        <f>GETPIVOTDATA("Amount",$B$74,"Category","Groceries")</f>
        <v>1860</v>
      </c>
    </row>
    <row r="86" spans="2:8" ht="15" customHeight="1" x14ac:dyDescent="0.3">
      <c r="B86" s="21" t="s">
        <v>5</v>
      </c>
      <c r="C86" s="23">
        <f>GETPIVOTDATA("Amount",$B$74,"Category","Leisure")</f>
        <v>2269</v>
      </c>
    </row>
    <row r="87" spans="2:8" ht="15" customHeight="1" x14ac:dyDescent="0.3">
      <c r="B87" s="21" t="s">
        <v>6</v>
      </c>
      <c r="C87" s="23">
        <f>GETPIVOTDATA("Amount",$B$74,"Category","Other")</f>
        <v>964</v>
      </c>
    </row>
    <row r="88" spans="2:8" ht="15" customHeight="1" x14ac:dyDescent="0.3">
      <c r="B88" s="21" t="s">
        <v>1</v>
      </c>
      <c r="C88" s="23">
        <f>GETPIVOTDATA("Amount",$B$74,"Category","Rent")</f>
        <v>4250</v>
      </c>
    </row>
    <row r="89" spans="2:8" ht="15" customHeight="1" x14ac:dyDescent="0.3">
      <c r="B89" s="21" t="s">
        <v>2</v>
      </c>
      <c r="C89" s="23">
        <f>GETPIVOTDATA("Amount",$B$74,"Category","Transport")</f>
        <v>275</v>
      </c>
    </row>
    <row r="90" spans="2:8" ht="15" customHeight="1" x14ac:dyDescent="0.3">
      <c r="B90" s="21" t="s">
        <v>4</v>
      </c>
      <c r="C90" s="23">
        <f>GETPIVOTDATA("Amount",$B$74,"Category","Utilities")</f>
        <v>650</v>
      </c>
    </row>
    <row r="94" spans="2:8" ht="15" customHeight="1" x14ac:dyDescent="0.3">
      <c r="B94" s="15" t="s">
        <v>61</v>
      </c>
      <c r="C94" s="15" t="s">
        <v>62</v>
      </c>
    </row>
    <row r="95" spans="2:8" ht="15" customHeight="1" x14ac:dyDescent="0.3">
      <c r="B95" s="15" t="s">
        <v>59</v>
      </c>
      <c r="C95" t="s">
        <v>47</v>
      </c>
      <c r="D95" t="s">
        <v>48</v>
      </c>
      <c r="E95" t="s">
        <v>49</v>
      </c>
      <c r="F95" t="s">
        <v>50</v>
      </c>
      <c r="G95" t="s">
        <v>51</v>
      </c>
      <c r="H95" t="s">
        <v>60</v>
      </c>
    </row>
    <row r="96" spans="2:8" ht="15" customHeight="1" x14ac:dyDescent="0.3">
      <c r="B96" s="16" t="s">
        <v>17</v>
      </c>
      <c r="C96" s="24">
        <v>2305</v>
      </c>
      <c r="D96" s="24">
        <v>1527</v>
      </c>
      <c r="E96" s="24">
        <v>1827</v>
      </c>
      <c r="F96" s="24">
        <v>2205</v>
      </c>
      <c r="G96" s="24">
        <v>2404</v>
      </c>
      <c r="H96" s="24">
        <v>10268</v>
      </c>
    </row>
    <row r="97" spans="2:15" ht="15" customHeight="1" x14ac:dyDescent="0.3">
      <c r="B97" s="16" t="s">
        <v>26</v>
      </c>
      <c r="C97" s="24">
        <v>3642</v>
      </c>
      <c r="D97" s="24">
        <v>3533</v>
      </c>
      <c r="E97" s="24">
        <v>3657</v>
      </c>
      <c r="F97" s="24">
        <v>3927</v>
      </c>
      <c r="G97" s="24">
        <v>5074</v>
      </c>
      <c r="H97" s="24">
        <v>19833</v>
      </c>
    </row>
    <row r="98" spans="2:15" ht="15" customHeight="1" x14ac:dyDescent="0.3">
      <c r="B98" s="16" t="s">
        <v>60</v>
      </c>
      <c r="C98" s="24">
        <v>5947</v>
      </c>
      <c r="D98" s="24">
        <v>5060</v>
      </c>
      <c r="E98" s="24">
        <v>5484</v>
      </c>
      <c r="F98" s="24">
        <v>6132</v>
      </c>
      <c r="G98" s="24">
        <v>7478</v>
      </c>
      <c r="H98" s="24">
        <v>30101</v>
      </c>
    </row>
    <row r="100" spans="2:15" ht="15" customHeight="1" x14ac:dyDescent="0.3">
      <c r="B100" s="34" t="s">
        <v>69</v>
      </c>
      <c r="C100" s="34"/>
    </row>
    <row r="101" spans="2:15" ht="15" customHeight="1" x14ac:dyDescent="0.3">
      <c r="B101" s="22" t="s">
        <v>70</v>
      </c>
      <c r="C101" s="23">
        <f>GETPIVOTDATA("Amount",$B$94,"Income / Expense","Expense")</f>
        <v>10268</v>
      </c>
    </row>
    <row r="102" spans="2:15" ht="15" customHeight="1" x14ac:dyDescent="0.3">
      <c r="B102" s="22" t="s">
        <v>71</v>
      </c>
      <c r="C102" s="23">
        <f>GETPIVOTDATA("Amount",$B$94,"Income / Expense","Income")</f>
        <v>19833</v>
      </c>
    </row>
    <row r="105" spans="2:15" ht="15" customHeight="1" x14ac:dyDescent="0.3">
      <c r="B105" t="s">
        <v>7</v>
      </c>
      <c r="C105" s="23">
        <f>Dashboard!$B$9</f>
        <v>3000</v>
      </c>
    </row>
    <row r="106" spans="2:15" ht="15" customHeight="1" x14ac:dyDescent="0.3">
      <c r="B106" t="s">
        <v>67</v>
      </c>
      <c r="C106" s="23">
        <f>C102-C101</f>
        <v>9565</v>
      </c>
    </row>
    <row r="107" spans="2:15" ht="15" customHeight="1" x14ac:dyDescent="0.3">
      <c r="B107" t="s">
        <v>68</v>
      </c>
      <c r="C107" s="23">
        <f>SUM(C105:C106)</f>
        <v>12565</v>
      </c>
    </row>
    <row r="109" spans="2:15" ht="15" customHeight="1" x14ac:dyDescent="0.3">
      <c r="B109" s="15" t="s">
        <v>63</v>
      </c>
      <c r="C109" s="15" t="s">
        <v>62</v>
      </c>
    </row>
    <row r="110" spans="2:15" ht="15" customHeight="1" x14ac:dyDescent="0.3">
      <c r="B110" s="15" t="s">
        <v>59</v>
      </c>
      <c r="C110" t="s">
        <v>47</v>
      </c>
      <c r="D110" t="s">
        <v>48</v>
      </c>
      <c r="E110" t="s">
        <v>49</v>
      </c>
      <c r="F110" t="s">
        <v>50</v>
      </c>
      <c r="G110" t="s">
        <v>51</v>
      </c>
      <c r="H110" t="s">
        <v>52</v>
      </c>
      <c r="I110" t="s">
        <v>53</v>
      </c>
      <c r="J110" t="s">
        <v>54</v>
      </c>
      <c r="K110" t="s">
        <v>55</v>
      </c>
      <c r="L110" t="s">
        <v>56</v>
      </c>
      <c r="M110" t="s">
        <v>57</v>
      </c>
      <c r="N110" t="s">
        <v>58</v>
      </c>
      <c r="O110" t="s">
        <v>60</v>
      </c>
    </row>
    <row r="111" spans="2:15" ht="15" customHeight="1" x14ac:dyDescent="0.3">
      <c r="B111" s="16" t="s">
        <v>17</v>
      </c>
      <c r="C111" s="23">
        <v>2375</v>
      </c>
      <c r="D111" s="23">
        <v>2375</v>
      </c>
      <c r="E111" s="23">
        <v>2375</v>
      </c>
      <c r="F111" s="23">
        <v>2375</v>
      </c>
      <c r="G111" s="23">
        <v>2375</v>
      </c>
      <c r="H111" s="23">
        <v>2375</v>
      </c>
      <c r="I111" s="23">
        <v>2375</v>
      </c>
      <c r="J111" s="23">
        <v>2375</v>
      </c>
      <c r="K111" s="23">
        <v>2375</v>
      </c>
      <c r="L111" s="23">
        <v>2375</v>
      </c>
      <c r="M111" s="23">
        <v>2375</v>
      </c>
      <c r="N111" s="23">
        <v>2375</v>
      </c>
      <c r="O111" s="23">
        <v>28500</v>
      </c>
    </row>
    <row r="112" spans="2:15" ht="15" customHeight="1" x14ac:dyDescent="0.3">
      <c r="B112" s="16" t="s">
        <v>26</v>
      </c>
      <c r="C112" s="23">
        <v>2800</v>
      </c>
      <c r="D112" s="23">
        <v>2800</v>
      </c>
      <c r="E112" s="23">
        <v>2800</v>
      </c>
      <c r="F112" s="23">
        <v>2800</v>
      </c>
      <c r="G112" s="23">
        <v>2800</v>
      </c>
      <c r="H112" s="23">
        <v>2800</v>
      </c>
      <c r="I112" s="23">
        <v>2800</v>
      </c>
      <c r="J112" s="23">
        <v>2800</v>
      </c>
      <c r="K112" s="23">
        <v>2800</v>
      </c>
      <c r="L112" s="23">
        <v>2800</v>
      </c>
      <c r="M112" s="23">
        <v>2800</v>
      </c>
      <c r="N112" s="23">
        <v>2800</v>
      </c>
      <c r="O112" s="23">
        <v>33600</v>
      </c>
    </row>
    <row r="113" spans="2:15" ht="15" customHeight="1" x14ac:dyDescent="0.3">
      <c r="B113" s="16" t="s">
        <v>60</v>
      </c>
      <c r="C113" s="23">
        <v>5175</v>
      </c>
      <c r="D113" s="23">
        <v>5175</v>
      </c>
      <c r="E113" s="23">
        <v>5175</v>
      </c>
      <c r="F113" s="23">
        <v>5175</v>
      </c>
      <c r="G113" s="23">
        <v>5175</v>
      </c>
      <c r="H113" s="23">
        <v>5175</v>
      </c>
      <c r="I113" s="23">
        <v>5175</v>
      </c>
      <c r="J113" s="23">
        <v>5175</v>
      </c>
      <c r="K113" s="23">
        <v>5175</v>
      </c>
      <c r="L113" s="23">
        <v>5175</v>
      </c>
      <c r="M113" s="23">
        <v>5175</v>
      </c>
      <c r="N113" s="23">
        <v>5175</v>
      </c>
      <c r="O113" s="23">
        <v>62100</v>
      </c>
    </row>
    <row r="115" spans="2:15" ht="15" customHeight="1" x14ac:dyDescent="0.3">
      <c r="B115" s="34" t="s">
        <v>46</v>
      </c>
      <c r="C115" s="34"/>
    </row>
    <row r="116" spans="2:15" ht="15" customHeight="1" x14ac:dyDescent="0.3">
      <c r="B116" s="21" t="s">
        <v>72</v>
      </c>
      <c r="C116" s="23">
        <f>GETPIVOTDATA("Budget",$B$109,"Income/Expense","Expense")</f>
        <v>28500</v>
      </c>
    </row>
    <row r="117" spans="2:15" ht="15" customHeight="1" x14ac:dyDescent="0.3">
      <c r="B117" s="21" t="s">
        <v>73</v>
      </c>
      <c r="C117" s="23">
        <f>GETPIVOTDATA("Budget",$B$109,"Income/Expense","Income")</f>
        <v>33600</v>
      </c>
    </row>
  </sheetData>
  <mergeCells count="4">
    <mergeCell ref="B34:C34"/>
    <mergeCell ref="B71:C71"/>
    <mergeCell ref="B100:C100"/>
    <mergeCell ref="B115:C1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A6" workbookViewId="0">
      <selection activeCell="B5" sqref="B5"/>
    </sheetView>
  </sheetViews>
  <sheetFormatPr defaultColWidth="11.19921875" defaultRowHeight="15" customHeight="1" x14ac:dyDescent="0.3"/>
  <cols>
    <col min="1" max="3" width="10.59765625" customWidth="1"/>
    <col min="4" max="4" width="13" customWidth="1"/>
    <col min="5" max="5" width="34.3984375" customWidth="1"/>
    <col min="6" max="6" width="17.3984375" customWidth="1"/>
    <col min="7" max="26" width="10.59765625" customWidth="1"/>
  </cols>
  <sheetData>
    <row r="2" spans="2:11" ht="15" customHeight="1" x14ac:dyDescent="0.4">
      <c r="B2" s="7" t="s">
        <v>8</v>
      </c>
      <c r="C2" s="7"/>
      <c r="D2" s="7"/>
      <c r="E2" s="7"/>
      <c r="F2" s="7"/>
      <c r="G2" s="7"/>
    </row>
    <row r="4" spans="2:11" ht="15.6" x14ac:dyDescent="0.3">
      <c r="B4" s="8" t="s">
        <v>9</v>
      </c>
      <c r="C4" s="8" t="s">
        <v>10</v>
      </c>
      <c r="D4" s="8" t="s">
        <v>11</v>
      </c>
      <c r="E4" s="8" t="s">
        <v>12</v>
      </c>
      <c r="F4" s="8" t="s">
        <v>13</v>
      </c>
      <c r="G4" s="8" t="s">
        <v>14</v>
      </c>
      <c r="J4" s="8" t="s">
        <v>11</v>
      </c>
      <c r="K4" s="8" t="s">
        <v>15</v>
      </c>
    </row>
    <row r="5" spans="2:11" ht="15.6" x14ac:dyDescent="0.3">
      <c r="B5" s="9">
        <v>44562</v>
      </c>
      <c r="C5" s="1" t="str">
        <f>TEXT(Actuals!$B5,"MMMM")</f>
        <v>January</v>
      </c>
      <c r="D5" s="1" t="s">
        <v>1</v>
      </c>
      <c r="E5" s="1" t="s">
        <v>16</v>
      </c>
      <c r="F5" s="1" t="str">
        <f>_xlfn.XLOOKUP(Actuals!$D5,$J$5:$J$13,$K$5:$K$13)</f>
        <v>Expense</v>
      </c>
      <c r="G5" s="10">
        <v>850</v>
      </c>
      <c r="J5" s="1" t="s">
        <v>1</v>
      </c>
      <c r="K5" s="1" t="s">
        <v>17</v>
      </c>
    </row>
    <row r="6" spans="2:11" ht="15.6" x14ac:dyDescent="0.3">
      <c r="B6" s="9">
        <v>44562</v>
      </c>
      <c r="C6" s="1" t="str">
        <f>TEXT(Actuals!$B6,"MMMM")</f>
        <v>January</v>
      </c>
      <c r="D6" s="1" t="s">
        <v>4</v>
      </c>
      <c r="E6" s="1" t="s">
        <v>18</v>
      </c>
      <c r="F6" s="1" t="str">
        <f>_xlfn.XLOOKUP(Actuals!$D6,$J$5:$J$13,$K$5:$K$13)</f>
        <v>Expense</v>
      </c>
      <c r="G6" s="10">
        <v>140</v>
      </c>
      <c r="J6" s="1" t="s">
        <v>4</v>
      </c>
      <c r="K6" s="1" t="s">
        <v>17</v>
      </c>
    </row>
    <row r="7" spans="2:11" ht="15.6" x14ac:dyDescent="0.3">
      <c r="B7" s="9">
        <v>44562</v>
      </c>
      <c r="C7" s="1" t="str">
        <f>TEXT(Actuals!$B7,"MMMM")</f>
        <v>January</v>
      </c>
      <c r="D7" s="1" t="s">
        <v>2</v>
      </c>
      <c r="E7" s="1" t="s">
        <v>19</v>
      </c>
      <c r="F7" s="1" t="str">
        <f>_xlfn.XLOOKUP(Actuals!$D7,$J$5:$J$13,$K$5:$K$13)</f>
        <v>Expense</v>
      </c>
      <c r="G7" s="10">
        <v>55</v>
      </c>
      <c r="J7" s="1" t="s">
        <v>2</v>
      </c>
      <c r="K7" s="1" t="s">
        <v>17</v>
      </c>
    </row>
    <row r="8" spans="2:11" ht="15.6" x14ac:dyDescent="0.3">
      <c r="B8" s="9">
        <v>44569</v>
      </c>
      <c r="C8" s="1" t="str">
        <f>TEXT(Actuals!$B8,"MMMM")</f>
        <v>January</v>
      </c>
      <c r="D8" s="1" t="s">
        <v>20</v>
      </c>
      <c r="E8" s="1" t="s">
        <v>21</v>
      </c>
      <c r="F8" s="1" t="str">
        <f>_xlfn.XLOOKUP(Actuals!$D8,$J$5:$J$13,$K$5:$K$13)</f>
        <v>Expense</v>
      </c>
      <c r="G8" s="10">
        <v>449</v>
      </c>
      <c r="J8" s="1" t="s">
        <v>20</v>
      </c>
      <c r="K8" s="1" t="s">
        <v>17</v>
      </c>
    </row>
    <row r="9" spans="2:11" ht="15.6" x14ac:dyDescent="0.3">
      <c r="B9" s="9">
        <v>44572</v>
      </c>
      <c r="C9" s="1" t="str">
        <f>TEXT(Actuals!$B9,"MMMM")</f>
        <v>January</v>
      </c>
      <c r="D9" s="1" t="s">
        <v>5</v>
      </c>
      <c r="E9" s="1" t="s">
        <v>22</v>
      </c>
      <c r="F9" s="1" t="str">
        <f>_xlfn.XLOOKUP(Actuals!$D9,$J$5:$J$13,$K$5:$K$13)</f>
        <v>Expense</v>
      </c>
      <c r="G9" s="10">
        <v>245</v>
      </c>
      <c r="J9" s="1" t="s">
        <v>5</v>
      </c>
      <c r="K9" s="1" t="s">
        <v>17</v>
      </c>
    </row>
    <row r="10" spans="2:11" ht="15.6" x14ac:dyDescent="0.3">
      <c r="B10" s="9">
        <v>44573</v>
      </c>
      <c r="C10" s="1" t="str">
        <f>TEXT(Actuals!$B10,"MMMM")</f>
        <v>January</v>
      </c>
      <c r="D10" s="1" t="s">
        <v>5</v>
      </c>
      <c r="E10" s="1" t="s">
        <v>23</v>
      </c>
      <c r="F10" s="1" t="str">
        <f>_xlfn.XLOOKUP(Actuals!$D10,$J$5:$J$13,$K$5:$K$13)</f>
        <v>Expense</v>
      </c>
      <c r="G10" s="10">
        <v>168</v>
      </c>
      <c r="J10" s="1" t="s">
        <v>6</v>
      </c>
      <c r="K10" s="1" t="s">
        <v>17</v>
      </c>
    </row>
    <row r="11" spans="2:11" ht="15.6" x14ac:dyDescent="0.3">
      <c r="B11" s="9">
        <v>44573</v>
      </c>
      <c r="C11" s="1" t="str">
        <f>TEXT(Actuals!$B11,"MMMM")</f>
        <v>January</v>
      </c>
      <c r="D11" s="1" t="s">
        <v>5</v>
      </c>
      <c r="E11" s="1" t="s">
        <v>24</v>
      </c>
      <c r="F11" s="1" t="str">
        <f>_xlfn.XLOOKUP(Actuals!$D11,$J$5:$J$13,$K$5:$K$13)</f>
        <v>Expense</v>
      </c>
      <c r="G11" s="10">
        <v>149</v>
      </c>
      <c r="J11" s="1" t="s">
        <v>25</v>
      </c>
      <c r="K11" s="1" t="s">
        <v>26</v>
      </c>
    </row>
    <row r="12" spans="2:11" ht="15.6" x14ac:dyDescent="0.3">
      <c r="B12" s="9">
        <v>44575</v>
      </c>
      <c r="C12" s="1" t="str">
        <f>TEXT(Actuals!$B12,"MMMM")</f>
        <v>January</v>
      </c>
      <c r="D12" s="1" t="s">
        <v>6</v>
      </c>
      <c r="E12" s="1" t="s">
        <v>27</v>
      </c>
      <c r="F12" s="1" t="str">
        <f>_xlfn.XLOOKUP(Actuals!$D12,$J$5:$J$13,$K$5:$K$13)</f>
        <v>Expense</v>
      </c>
      <c r="G12" s="10">
        <v>249</v>
      </c>
      <c r="J12" s="1" t="s">
        <v>28</v>
      </c>
      <c r="K12" s="1" t="s">
        <v>26</v>
      </c>
    </row>
    <row r="13" spans="2:11" ht="15.6" x14ac:dyDescent="0.3">
      <c r="B13" s="9">
        <v>44592</v>
      </c>
      <c r="C13" s="1" t="str">
        <f>TEXT(Actuals!$B13,"MMMM")</f>
        <v>January</v>
      </c>
      <c r="D13" s="1" t="s">
        <v>25</v>
      </c>
      <c r="E13" s="1" t="s">
        <v>29</v>
      </c>
      <c r="F13" s="1" t="str">
        <f>_xlfn.XLOOKUP(Actuals!$D13,$J$5:$J$13,$K$5:$K$13)</f>
        <v>Income</v>
      </c>
      <c r="G13" s="10">
        <v>458</v>
      </c>
      <c r="J13" s="1" t="s">
        <v>30</v>
      </c>
      <c r="K13" s="1" t="s">
        <v>26</v>
      </c>
    </row>
    <row r="14" spans="2:11" ht="15.6" x14ac:dyDescent="0.3">
      <c r="B14" s="9">
        <v>44592</v>
      </c>
      <c r="C14" s="1" t="str">
        <f>TEXT(Actuals!$B14,"MMMM")</f>
        <v>January</v>
      </c>
      <c r="D14" s="1" t="s">
        <v>28</v>
      </c>
      <c r="E14" s="1" t="s">
        <v>31</v>
      </c>
      <c r="F14" s="1" t="str">
        <f>_xlfn.XLOOKUP(Actuals!$D14,$J$5:$J$13,$K$5:$K$13)</f>
        <v>Income</v>
      </c>
      <c r="G14" s="10">
        <v>3000</v>
      </c>
    </row>
    <row r="15" spans="2:11" ht="15.6" x14ac:dyDescent="0.3">
      <c r="B15" s="9">
        <v>44592</v>
      </c>
      <c r="C15" s="1" t="str">
        <f>TEXT(Actuals!$B15,"MMMM")</f>
        <v>January</v>
      </c>
      <c r="D15" s="1" t="s">
        <v>30</v>
      </c>
      <c r="E15" s="1" t="s">
        <v>32</v>
      </c>
      <c r="F15" s="1" t="str">
        <f>_xlfn.XLOOKUP(Actuals!$D15,$J$5:$J$13,$K$5:$K$13)</f>
        <v>Income</v>
      </c>
      <c r="G15" s="10">
        <v>184</v>
      </c>
      <c r="J15" s="11"/>
      <c r="K15" s="11"/>
    </row>
    <row r="16" spans="2:11" ht="15.6" x14ac:dyDescent="0.3">
      <c r="B16" s="9">
        <v>44593</v>
      </c>
      <c r="C16" s="1" t="str">
        <f>TEXT(Actuals!$B16,"MMMM")</f>
        <v>February</v>
      </c>
      <c r="D16" s="1" t="s">
        <v>1</v>
      </c>
      <c r="E16" s="1" t="s">
        <v>16</v>
      </c>
      <c r="F16" s="1" t="str">
        <f>_xlfn.XLOOKUP(Actuals!$D16,$J$5:$J$13,$K$5:$K$13)</f>
        <v>Expense</v>
      </c>
      <c r="G16" s="10">
        <v>850</v>
      </c>
    </row>
    <row r="17" spans="2:7" ht="15.6" x14ac:dyDescent="0.3">
      <c r="B17" s="9">
        <v>44593</v>
      </c>
      <c r="C17" s="1" t="str">
        <f>TEXT(Actuals!$B17,"MMMM")</f>
        <v>February</v>
      </c>
      <c r="D17" s="1" t="s">
        <v>4</v>
      </c>
      <c r="E17" s="1" t="s">
        <v>33</v>
      </c>
      <c r="F17" s="1" t="str">
        <f>_xlfn.XLOOKUP(Actuals!$D17,$J$5:$J$13,$K$5:$K$13)</f>
        <v>Expense</v>
      </c>
      <c r="G17" s="10">
        <v>105</v>
      </c>
    </row>
    <row r="18" spans="2:7" ht="15.6" x14ac:dyDescent="0.3">
      <c r="B18" s="9">
        <v>44593</v>
      </c>
      <c r="C18" s="1" t="str">
        <f>TEXT(Actuals!$B18,"MMMM")</f>
        <v>February</v>
      </c>
      <c r="D18" s="1" t="s">
        <v>2</v>
      </c>
      <c r="E18" s="1" t="s">
        <v>19</v>
      </c>
      <c r="F18" s="1" t="str">
        <f>_xlfn.XLOOKUP(Actuals!$D18,$J$5:$J$13,$K$5:$K$13)</f>
        <v>Expense</v>
      </c>
      <c r="G18" s="10">
        <v>55</v>
      </c>
    </row>
    <row r="19" spans="2:7" ht="15.6" x14ac:dyDescent="0.3">
      <c r="B19" s="9">
        <v>44600</v>
      </c>
      <c r="C19" s="1" t="str">
        <f>TEXT(Actuals!$B19,"MMMM")</f>
        <v>February</v>
      </c>
      <c r="D19" s="1" t="s">
        <v>20</v>
      </c>
      <c r="E19" s="1" t="s">
        <v>21</v>
      </c>
      <c r="F19" s="1" t="str">
        <f>_xlfn.XLOOKUP(Actuals!$D19,$J$5:$J$13,$K$5:$K$13)</f>
        <v>Expense</v>
      </c>
      <c r="G19" s="10">
        <v>305</v>
      </c>
    </row>
    <row r="20" spans="2:7" ht="15.6" x14ac:dyDescent="0.3">
      <c r="B20" s="9">
        <v>44603</v>
      </c>
      <c r="C20" s="1" t="str">
        <f>TEXT(Actuals!$B20,"MMMM")</f>
        <v>February</v>
      </c>
      <c r="D20" s="1" t="s">
        <v>5</v>
      </c>
      <c r="E20" s="1" t="s">
        <v>34</v>
      </c>
      <c r="F20" s="1" t="str">
        <f>_xlfn.XLOOKUP(Actuals!$D20,$J$5:$J$13,$K$5:$K$13)</f>
        <v>Expense</v>
      </c>
      <c r="G20" s="10">
        <v>28</v>
      </c>
    </row>
    <row r="21" spans="2:7" ht="15.6" x14ac:dyDescent="0.3">
      <c r="B21" s="9">
        <v>44604</v>
      </c>
      <c r="C21" s="1" t="str">
        <f>TEXT(Actuals!$B21,"MMMM")</f>
        <v>February</v>
      </c>
      <c r="D21" s="1" t="s">
        <v>5</v>
      </c>
      <c r="E21" s="1" t="s">
        <v>35</v>
      </c>
      <c r="F21" s="1" t="str">
        <f>_xlfn.XLOOKUP(Actuals!$D21,$J$5:$J$13,$K$5:$K$13)</f>
        <v>Expense</v>
      </c>
      <c r="G21" s="10">
        <v>99</v>
      </c>
    </row>
    <row r="22" spans="2:7" ht="15.6" x14ac:dyDescent="0.3">
      <c r="B22" s="9">
        <v>44604</v>
      </c>
      <c r="C22" s="1" t="str">
        <f>TEXT(Actuals!$B22,"MMMM")</f>
        <v>February</v>
      </c>
      <c r="D22" s="1" t="s">
        <v>5</v>
      </c>
      <c r="E22" s="1" t="s">
        <v>36</v>
      </c>
      <c r="F22" s="1" t="str">
        <f>_xlfn.XLOOKUP(Actuals!$D22,$J$5:$J$13,$K$5:$K$13)</f>
        <v>Expense</v>
      </c>
      <c r="G22" s="10">
        <v>67</v>
      </c>
    </row>
    <row r="23" spans="2:7" ht="15.6" x14ac:dyDescent="0.3">
      <c r="B23" s="9">
        <v>44606</v>
      </c>
      <c r="C23" s="1" t="str">
        <f>TEXT(Actuals!$B23,"MMMM")</f>
        <v>February</v>
      </c>
      <c r="D23" s="1" t="s">
        <v>6</v>
      </c>
      <c r="E23" s="1" t="s">
        <v>37</v>
      </c>
      <c r="F23" s="1" t="str">
        <f>_xlfn.XLOOKUP(Actuals!$D23,$J$5:$J$13,$K$5:$K$13)</f>
        <v>Expense</v>
      </c>
      <c r="G23" s="10">
        <v>18</v>
      </c>
    </row>
    <row r="24" spans="2:7" ht="15.6" x14ac:dyDescent="0.3">
      <c r="B24" s="9">
        <v>44620</v>
      </c>
      <c r="C24" s="1" t="str">
        <f>TEXT(Actuals!$B24,"MMMM")</f>
        <v>February</v>
      </c>
      <c r="D24" s="1" t="s">
        <v>25</v>
      </c>
      <c r="E24" s="1" t="s">
        <v>29</v>
      </c>
      <c r="F24" s="1" t="str">
        <f>_xlfn.XLOOKUP(Actuals!$D24,$J$5:$J$13,$K$5:$K$13)</f>
        <v>Income</v>
      </c>
      <c r="G24" s="10">
        <v>305</v>
      </c>
    </row>
    <row r="25" spans="2:7" ht="15.6" x14ac:dyDescent="0.3">
      <c r="B25" s="9">
        <v>44620</v>
      </c>
      <c r="C25" s="1" t="str">
        <f>TEXT(Actuals!$B25,"MMMM")</f>
        <v>February</v>
      </c>
      <c r="D25" s="1" t="s">
        <v>28</v>
      </c>
      <c r="E25" s="1" t="s">
        <v>31</v>
      </c>
      <c r="F25" s="1" t="str">
        <f>_xlfn.XLOOKUP(Actuals!$D25,$J$5:$J$13,$K$5:$K$13)</f>
        <v>Income</v>
      </c>
      <c r="G25" s="10">
        <v>3000</v>
      </c>
    </row>
    <row r="26" spans="2:7" ht="15.6" x14ac:dyDescent="0.3">
      <c r="B26" s="9">
        <v>44620</v>
      </c>
      <c r="C26" s="1" t="str">
        <f>TEXT(Actuals!$B26,"MMMM")</f>
        <v>February</v>
      </c>
      <c r="D26" s="1" t="s">
        <v>30</v>
      </c>
      <c r="E26" s="1" t="s">
        <v>32</v>
      </c>
      <c r="F26" s="1" t="str">
        <f>_xlfn.XLOOKUP(Actuals!$D26,$J$5:$J$13,$K$5:$K$13)</f>
        <v>Income</v>
      </c>
      <c r="G26" s="10">
        <v>228</v>
      </c>
    </row>
    <row r="27" spans="2:7" ht="15.6" x14ac:dyDescent="0.3">
      <c r="B27" s="9">
        <v>44621</v>
      </c>
      <c r="C27" s="1" t="str">
        <f>TEXT(Actuals!$B27,"MMMM")</f>
        <v>March</v>
      </c>
      <c r="D27" s="1" t="s">
        <v>1</v>
      </c>
      <c r="E27" s="1" t="s">
        <v>16</v>
      </c>
      <c r="F27" s="1" t="str">
        <f>_xlfn.XLOOKUP(Actuals!$D27,$J$5:$J$13,$K$5:$K$13)</f>
        <v>Expense</v>
      </c>
      <c r="G27" s="10">
        <v>850</v>
      </c>
    </row>
    <row r="28" spans="2:7" ht="15.6" x14ac:dyDescent="0.3">
      <c r="B28" s="9">
        <v>44621</v>
      </c>
      <c r="C28" s="1" t="str">
        <f>TEXT(Actuals!$B28,"MMMM")</f>
        <v>March</v>
      </c>
      <c r="D28" s="1" t="s">
        <v>4</v>
      </c>
      <c r="E28" s="1" t="s">
        <v>33</v>
      </c>
      <c r="F28" s="1" t="str">
        <f>_xlfn.XLOOKUP(Actuals!$D28,$J$5:$J$13,$K$5:$K$13)</f>
        <v>Expense</v>
      </c>
      <c r="G28" s="10">
        <v>110</v>
      </c>
    </row>
    <row r="29" spans="2:7" ht="15.6" x14ac:dyDescent="0.3">
      <c r="B29" s="9">
        <v>44621</v>
      </c>
      <c r="C29" s="1" t="str">
        <f>TEXT(Actuals!$B29,"MMMM")</f>
        <v>March</v>
      </c>
      <c r="D29" s="1" t="s">
        <v>2</v>
      </c>
      <c r="E29" s="1" t="s">
        <v>19</v>
      </c>
      <c r="F29" s="1" t="str">
        <f>_xlfn.XLOOKUP(Actuals!$D29,$J$5:$J$13,$K$5:$K$13)</f>
        <v>Expense</v>
      </c>
      <c r="G29" s="10">
        <v>55</v>
      </c>
    </row>
    <row r="30" spans="2:7" ht="15.6" x14ac:dyDescent="0.3">
      <c r="B30" s="9">
        <v>44628</v>
      </c>
      <c r="C30" s="1" t="str">
        <f>TEXT(Actuals!$B30,"MMMM")</f>
        <v>March</v>
      </c>
      <c r="D30" s="1" t="s">
        <v>20</v>
      </c>
      <c r="E30" s="1" t="s">
        <v>21</v>
      </c>
      <c r="F30" s="1" t="str">
        <f>_xlfn.XLOOKUP(Actuals!$D30,$J$5:$J$13,$K$5:$K$13)</f>
        <v>Expense</v>
      </c>
      <c r="G30" s="10">
        <v>208</v>
      </c>
    </row>
    <row r="31" spans="2:7" ht="15.6" x14ac:dyDescent="0.3">
      <c r="B31" s="9">
        <v>44631</v>
      </c>
      <c r="C31" s="1" t="str">
        <f>TEXT(Actuals!$B31,"MMMM")</f>
        <v>March</v>
      </c>
      <c r="D31" s="1" t="s">
        <v>5</v>
      </c>
      <c r="E31" s="1" t="s">
        <v>38</v>
      </c>
      <c r="F31" s="1" t="str">
        <f>_xlfn.XLOOKUP(Actuals!$D31,$J$5:$J$13,$K$5:$K$13)</f>
        <v>Expense</v>
      </c>
      <c r="G31" s="10">
        <v>188</v>
      </c>
    </row>
    <row r="32" spans="2:7" ht="15.6" x14ac:dyDescent="0.3">
      <c r="B32" s="9">
        <v>44632</v>
      </c>
      <c r="C32" s="1" t="str">
        <f>TEXT(Actuals!$B32,"MMMM")</f>
        <v>March</v>
      </c>
      <c r="D32" s="1" t="s">
        <v>5</v>
      </c>
      <c r="E32" s="1" t="s">
        <v>39</v>
      </c>
      <c r="F32" s="1" t="str">
        <f>_xlfn.XLOOKUP(Actuals!$D32,$J$5:$J$13,$K$5:$K$13)</f>
        <v>Expense</v>
      </c>
      <c r="G32" s="10">
        <v>168</v>
      </c>
    </row>
    <row r="33" spans="2:7" ht="15.6" x14ac:dyDescent="0.3">
      <c r="B33" s="9">
        <v>44632</v>
      </c>
      <c r="C33" s="1" t="str">
        <f>TEXT(Actuals!$B33,"MMMM")</f>
        <v>March</v>
      </c>
      <c r="D33" s="1" t="s">
        <v>5</v>
      </c>
      <c r="E33" s="1" t="s">
        <v>40</v>
      </c>
      <c r="F33" s="1" t="str">
        <f>_xlfn.XLOOKUP(Actuals!$D33,$J$5:$J$13,$K$5:$K$13)</f>
        <v>Expense</v>
      </c>
      <c r="G33" s="10">
        <v>49</v>
      </c>
    </row>
    <row r="34" spans="2:7" ht="15.6" x14ac:dyDescent="0.3">
      <c r="B34" s="9">
        <v>44634</v>
      </c>
      <c r="C34" s="1" t="str">
        <f>TEXT(Actuals!$B34,"MMMM")</f>
        <v>March</v>
      </c>
      <c r="D34" s="1" t="s">
        <v>6</v>
      </c>
      <c r="E34" s="1" t="s">
        <v>27</v>
      </c>
      <c r="F34" s="1" t="str">
        <f>_xlfn.XLOOKUP(Actuals!$D34,$J$5:$J$13,$K$5:$K$13)</f>
        <v>Expense</v>
      </c>
      <c r="G34" s="10">
        <v>199</v>
      </c>
    </row>
    <row r="35" spans="2:7" ht="15.6" x14ac:dyDescent="0.3">
      <c r="B35" s="9">
        <v>44648</v>
      </c>
      <c r="C35" s="1" t="str">
        <f>TEXT(Actuals!$B35,"MMMM")</f>
        <v>March</v>
      </c>
      <c r="D35" s="1" t="s">
        <v>25</v>
      </c>
      <c r="E35" s="1" t="s">
        <v>29</v>
      </c>
      <c r="F35" s="1" t="str">
        <f>_xlfn.XLOOKUP(Actuals!$D35,$J$5:$J$13,$K$5:$K$13)</f>
        <v>Income</v>
      </c>
      <c r="G35" s="10">
        <v>598</v>
      </c>
    </row>
    <row r="36" spans="2:7" ht="15.6" x14ac:dyDescent="0.3">
      <c r="B36" s="9">
        <v>44648</v>
      </c>
      <c r="C36" s="1" t="str">
        <f>TEXT(Actuals!$B36,"MMMM")</f>
        <v>March</v>
      </c>
      <c r="D36" s="1" t="s">
        <v>28</v>
      </c>
      <c r="E36" s="1" t="s">
        <v>31</v>
      </c>
      <c r="F36" s="1" t="str">
        <f>_xlfn.XLOOKUP(Actuals!$D36,$J$5:$J$13,$K$5:$K$13)</f>
        <v>Income</v>
      </c>
      <c r="G36" s="10">
        <v>3000</v>
      </c>
    </row>
    <row r="37" spans="2:7" ht="15.6" x14ac:dyDescent="0.3">
      <c r="B37" s="9">
        <v>44648</v>
      </c>
      <c r="C37" s="1" t="str">
        <f>TEXT(Actuals!$B37,"MMMM")</f>
        <v>March</v>
      </c>
      <c r="D37" s="1" t="s">
        <v>30</v>
      </c>
      <c r="E37" s="1" t="s">
        <v>32</v>
      </c>
      <c r="F37" s="1" t="str">
        <f>_xlfn.XLOOKUP(Actuals!$D37,$J$5:$J$13,$K$5:$K$13)</f>
        <v>Income</v>
      </c>
      <c r="G37" s="10">
        <v>59</v>
      </c>
    </row>
    <row r="38" spans="2:7" ht="15.6" x14ac:dyDescent="0.3">
      <c r="B38" s="9">
        <v>44652</v>
      </c>
      <c r="C38" s="1" t="str">
        <f>TEXT(Actuals!$B38,"MMMM")</f>
        <v>April</v>
      </c>
      <c r="D38" s="1" t="s">
        <v>1</v>
      </c>
      <c r="E38" s="1" t="s">
        <v>16</v>
      </c>
      <c r="F38" s="1" t="str">
        <f>_xlfn.XLOOKUP(Actuals!$D38,$J$5:$J$13,$K$5:$K$13)</f>
        <v>Expense</v>
      </c>
      <c r="G38" s="10">
        <v>850</v>
      </c>
    </row>
    <row r="39" spans="2:7" ht="15.6" x14ac:dyDescent="0.3">
      <c r="B39" s="9">
        <v>44652</v>
      </c>
      <c r="C39" s="1" t="str">
        <f>TEXT(Actuals!$B39,"MMMM")</f>
        <v>April</v>
      </c>
      <c r="D39" s="1" t="s">
        <v>4</v>
      </c>
      <c r="E39" s="1" t="s">
        <v>18</v>
      </c>
      <c r="F39" s="1" t="str">
        <f>_xlfn.XLOOKUP(Actuals!$D39,$J$5:$J$13,$K$5:$K$13)</f>
        <v>Expense</v>
      </c>
      <c r="G39" s="10">
        <v>140</v>
      </c>
    </row>
    <row r="40" spans="2:7" ht="15.6" x14ac:dyDescent="0.3">
      <c r="B40" s="9">
        <v>44652</v>
      </c>
      <c r="C40" s="1" t="str">
        <f>TEXT(Actuals!$B40,"MMMM")</f>
        <v>April</v>
      </c>
      <c r="D40" s="1" t="s">
        <v>2</v>
      </c>
      <c r="E40" s="1" t="s">
        <v>19</v>
      </c>
      <c r="F40" s="1" t="str">
        <f>_xlfn.XLOOKUP(Actuals!$D40,$J$5:$J$13,$K$5:$K$13)</f>
        <v>Expense</v>
      </c>
      <c r="G40" s="10">
        <v>55</v>
      </c>
    </row>
    <row r="41" spans="2:7" ht="15.6" x14ac:dyDescent="0.3">
      <c r="B41" s="9">
        <v>44659</v>
      </c>
      <c r="C41" s="1" t="str">
        <f>TEXT(Actuals!$B41,"MMMM")</f>
        <v>April</v>
      </c>
      <c r="D41" s="1" t="s">
        <v>20</v>
      </c>
      <c r="E41" s="1" t="s">
        <v>21</v>
      </c>
      <c r="F41" s="1" t="str">
        <f>_xlfn.XLOOKUP(Actuals!$D41,$J$5:$J$13,$K$5:$K$13)</f>
        <v>Expense</v>
      </c>
      <c r="G41" s="10">
        <v>449</v>
      </c>
    </row>
    <row r="42" spans="2:7" ht="15.6" x14ac:dyDescent="0.3">
      <c r="B42" s="9">
        <v>44662</v>
      </c>
      <c r="C42" s="1" t="str">
        <f>TEXT(Actuals!$B42,"MMMM")</f>
        <v>April</v>
      </c>
      <c r="D42" s="1" t="s">
        <v>5</v>
      </c>
      <c r="E42" s="1" t="s">
        <v>41</v>
      </c>
      <c r="F42" s="1" t="str">
        <f>_xlfn.XLOOKUP(Actuals!$D42,$J$5:$J$13,$K$5:$K$13)</f>
        <v>Expense</v>
      </c>
      <c r="G42" s="10">
        <v>245</v>
      </c>
    </row>
    <row r="43" spans="2:7" ht="15.6" x14ac:dyDescent="0.3">
      <c r="B43" s="9">
        <v>44663</v>
      </c>
      <c r="C43" s="1" t="str">
        <f>TEXT(Actuals!$B43,"MMMM")</f>
        <v>April</v>
      </c>
      <c r="D43" s="1" t="s">
        <v>5</v>
      </c>
      <c r="E43" s="1" t="s">
        <v>23</v>
      </c>
      <c r="F43" s="1" t="str">
        <f>_xlfn.XLOOKUP(Actuals!$D43,$J$5:$J$13,$K$5:$K$13)</f>
        <v>Expense</v>
      </c>
      <c r="G43" s="10">
        <v>168</v>
      </c>
    </row>
    <row r="44" spans="2:7" ht="15.6" x14ac:dyDescent="0.3">
      <c r="B44" s="9">
        <v>44663</v>
      </c>
      <c r="C44" s="1" t="str">
        <f>TEXT(Actuals!$B44,"MMMM")</f>
        <v>April</v>
      </c>
      <c r="D44" s="1" t="s">
        <v>5</v>
      </c>
      <c r="E44" s="1" t="s">
        <v>42</v>
      </c>
      <c r="F44" s="1" t="str">
        <f>_xlfn.XLOOKUP(Actuals!$D44,$J$5:$J$13,$K$5:$K$13)</f>
        <v>Expense</v>
      </c>
      <c r="G44" s="10">
        <v>49</v>
      </c>
    </row>
    <row r="45" spans="2:7" ht="15.6" x14ac:dyDescent="0.3">
      <c r="B45" s="9">
        <v>44665</v>
      </c>
      <c r="C45" s="1" t="str">
        <f>TEXT(Actuals!$B45,"MMMM")</f>
        <v>April</v>
      </c>
      <c r="D45" s="1" t="s">
        <v>6</v>
      </c>
      <c r="E45" s="1" t="s">
        <v>27</v>
      </c>
      <c r="F45" s="1" t="str">
        <f>_xlfn.XLOOKUP(Actuals!$D45,$J$5:$J$13,$K$5:$K$13)</f>
        <v>Expense</v>
      </c>
      <c r="G45" s="10">
        <v>249</v>
      </c>
    </row>
    <row r="46" spans="2:7" ht="15.6" x14ac:dyDescent="0.3">
      <c r="B46" s="9">
        <v>44679</v>
      </c>
      <c r="C46" s="1" t="str">
        <f>TEXT(Actuals!$B46,"MMMM")</f>
        <v>April</v>
      </c>
      <c r="D46" s="1" t="s">
        <v>25</v>
      </c>
      <c r="E46" s="1" t="s">
        <v>29</v>
      </c>
      <c r="F46" s="1" t="str">
        <f>_xlfn.XLOOKUP(Actuals!$D46,$J$5:$J$13,$K$5:$K$13)</f>
        <v>Income</v>
      </c>
      <c r="G46" s="10">
        <v>669</v>
      </c>
    </row>
    <row r="47" spans="2:7" ht="15.6" x14ac:dyDescent="0.3">
      <c r="B47" s="9">
        <v>44679</v>
      </c>
      <c r="C47" s="1" t="str">
        <f>TEXT(Actuals!$B47,"MMMM")</f>
        <v>April</v>
      </c>
      <c r="D47" s="1" t="s">
        <v>28</v>
      </c>
      <c r="E47" s="1" t="s">
        <v>31</v>
      </c>
      <c r="F47" s="1" t="str">
        <f>_xlfn.XLOOKUP(Actuals!$D47,$J$5:$J$13,$K$5:$K$13)</f>
        <v>Income</v>
      </c>
      <c r="G47" s="10">
        <v>3000</v>
      </c>
    </row>
    <row r="48" spans="2:7" ht="15.6" x14ac:dyDescent="0.3">
      <c r="B48" s="9">
        <v>44679</v>
      </c>
      <c r="C48" s="1" t="str">
        <f>TEXT(Actuals!$B48,"MMMM")</f>
        <v>April</v>
      </c>
      <c r="D48" s="1" t="s">
        <v>30</v>
      </c>
      <c r="E48" s="1" t="s">
        <v>32</v>
      </c>
      <c r="F48" s="1" t="str">
        <f>_xlfn.XLOOKUP(Actuals!$D48,$J$5:$J$13,$K$5:$K$13)</f>
        <v>Income</v>
      </c>
      <c r="G48" s="10">
        <v>258</v>
      </c>
    </row>
    <row r="49" spans="2:7" ht="15.6" x14ac:dyDescent="0.3">
      <c r="B49" s="9">
        <v>44682</v>
      </c>
      <c r="C49" s="1" t="str">
        <f>TEXT(Actuals!$B49,"MMMM")</f>
        <v>May</v>
      </c>
      <c r="D49" s="1" t="s">
        <v>1</v>
      </c>
      <c r="E49" s="1" t="s">
        <v>16</v>
      </c>
      <c r="F49" s="1" t="str">
        <f>_xlfn.XLOOKUP(Actuals!$D49,$J$5:$J$13,$K$5:$K$13)</f>
        <v>Expense</v>
      </c>
      <c r="G49" s="10">
        <v>850</v>
      </c>
    </row>
    <row r="50" spans="2:7" ht="15.6" x14ac:dyDescent="0.3">
      <c r="B50" s="9">
        <v>44682</v>
      </c>
      <c r="C50" s="1" t="str">
        <f>TEXT(Actuals!$B50,"MMMM")</f>
        <v>May</v>
      </c>
      <c r="D50" s="1" t="s">
        <v>4</v>
      </c>
      <c r="E50" s="1" t="s">
        <v>18</v>
      </c>
      <c r="F50" s="1" t="str">
        <f>_xlfn.XLOOKUP(Actuals!$D50,$J$5:$J$13,$K$5:$K$13)</f>
        <v>Expense</v>
      </c>
      <c r="G50" s="10">
        <v>155</v>
      </c>
    </row>
    <row r="51" spans="2:7" ht="15.6" x14ac:dyDescent="0.3">
      <c r="B51" s="9">
        <v>44682</v>
      </c>
      <c r="C51" s="1" t="str">
        <f>TEXT(Actuals!$B51,"MMMM")</f>
        <v>May</v>
      </c>
      <c r="D51" s="1" t="s">
        <v>2</v>
      </c>
      <c r="E51" s="1" t="s">
        <v>19</v>
      </c>
      <c r="F51" s="1" t="str">
        <f>_xlfn.XLOOKUP(Actuals!$D51,$J$5:$J$13,$K$5:$K$13)</f>
        <v>Expense</v>
      </c>
      <c r="G51" s="10">
        <v>55</v>
      </c>
    </row>
    <row r="52" spans="2:7" ht="15.6" x14ac:dyDescent="0.3">
      <c r="B52" s="9">
        <v>44689</v>
      </c>
      <c r="C52" s="1" t="str">
        <f>TEXT(Actuals!$B52,"MMMM")</f>
        <v>May</v>
      </c>
      <c r="D52" s="1" t="s">
        <v>20</v>
      </c>
      <c r="E52" s="1" t="s">
        <v>21</v>
      </c>
      <c r="F52" s="1" t="str">
        <f>_xlfn.XLOOKUP(Actuals!$D52,$J$5:$J$13,$K$5:$K$13)</f>
        <v>Expense</v>
      </c>
      <c r="G52" s="10">
        <v>449</v>
      </c>
    </row>
    <row r="53" spans="2:7" ht="15.6" x14ac:dyDescent="0.3">
      <c r="B53" s="9">
        <v>44692</v>
      </c>
      <c r="C53" s="1" t="str">
        <f>TEXT(Actuals!$B53,"MMMM")</f>
        <v>May</v>
      </c>
      <c r="D53" s="1" t="s">
        <v>5</v>
      </c>
      <c r="E53" s="1" t="s">
        <v>22</v>
      </c>
      <c r="F53" s="1" t="str">
        <f>_xlfn.XLOOKUP(Actuals!$D53,$J$5:$J$13,$K$5:$K$13)</f>
        <v>Expense</v>
      </c>
      <c r="G53" s="10">
        <v>245</v>
      </c>
    </row>
    <row r="54" spans="2:7" ht="15.6" x14ac:dyDescent="0.3">
      <c r="B54" s="9">
        <v>44693</v>
      </c>
      <c r="C54" s="1" t="str">
        <f>TEXT(Actuals!$B54,"MMMM")</f>
        <v>May</v>
      </c>
      <c r="D54" s="1" t="s">
        <v>5</v>
      </c>
      <c r="E54" s="1" t="s">
        <v>23</v>
      </c>
      <c r="F54" s="1" t="str">
        <f>_xlfn.XLOOKUP(Actuals!$D54,$J$5:$J$13,$K$5:$K$13)</f>
        <v>Expense</v>
      </c>
      <c r="G54" s="10">
        <v>168</v>
      </c>
    </row>
    <row r="55" spans="2:7" ht="15.6" x14ac:dyDescent="0.3">
      <c r="B55" s="9">
        <v>44693</v>
      </c>
      <c r="C55" s="1" t="str">
        <f>TEXT(Actuals!$B55,"MMMM")</f>
        <v>May</v>
      </c>
      <c r="D55" s="1" t="s">
        <v>5</v>
      </c>
      <c r="E55" s="1" t="s">
        <v>43</v>
      </c>
      <c r="F55" s="1" t="str">
        <f>_xlfn.XLOOKUP(Actuals!$D55,$J$5:$J$13,$K$5:$K$13)</f>
        <v>Expense</v>
      </c>
      <c r="G55" s="10">
        <v>233</v>
      </c>
    </row>
    <row r="56" spans="2:7" ht="15.6" x14ac:dyDescent="0.3">
      <c r="B56" s="9">
        <v>44695</v>
      </c>
      <c r="C56" s="1" t="str">
        <f>TEXT(Actuals!$B56,"MMMM")</f>
        <v>May</v>
      </c>
      <c r="D56" s="1" t="s">
        <v>6</v>
      </c>
      <c r="E56" s="1" t="s">
        <v>27</v>
      </c>
      <c r="F56" s="1" t="str">
        <f>_xlfn.XLOOKUP(Actuals!$D56,$J$5:$J$13,$K$5:$K$13)</f>
        <v>Expense</v>
      </c>
      <c r="G56" s="10">
        <v>249</v>
      </c>
    </row>
    <row r="57" spans="2:7" ht="15.6" x14ac:dyDescent="0.3">
      <c r="B57" s="9">
        <v>44709</v>
      </c>
      <c r="C57" s="1" t="str">
        <f>TEXT(Actuals!$B57,"MMMM")</f>
        <v>May</v>
      </c>
      <c r="D57" s="1" t="s">
        <v>25</v>
      </c>
      <c r="E57" s="1" t="s">
        <v>29</v>
      </c>
      <c r="F57" s="1" t="str">
        <f>_xlfn.XLOOKUP(Actuals!$D57,$J$5:$J$13,$K$5:$K$13)</f>
        <v>Income</v>
      </c>
      <c r="G57" s="10">
        <v>708</v>
      </c>
    </row>
    <row r="58" spans="2:7" ht="15.6" x14ac:dyDescent="0.3">
      <c r="B58" s="9">
        <v>44709</v>
      </c>
      <c r="C58" s="1" t="str">
        <f>TEXT(Actuals!$B58,"MMMM")</f>
        <v>May</v>
      </c>
      <c r="D58" s="1" t="s">
        <v>28</v>
      </c>
      <c r="E58" s="1" t="s">
        <v>31</v>
      </c>
      <c r="F58" s="1" t="str">
        <f>_xlfn.XLOOKUP(Actuals!$D58,$J$5:$J$13,$K$5:$K$13)</f>
        <v>Income</v>
      </c>
      <c r="G58" s="10">
        <v>3000</v>
      </c>
    </row>
    <row r="59" spans="2:7" ht="15.6" x14ac:dyDescent="0.3">
      <c r="B59" s="9">
        <v>44709</v>
      </c>
      <c r="C59" s="1" t="str">
        <f>TEXT(Actuals!$B59,"MMMM")</f>
        <v>May</v>
      </c>
      <c r="D59" s="1" t="s">
        <v>30</v>
      </c>
      <c r="E59" s="1" t="s">
        <v>32</v>
      </c>
      <c r="F59" s="1" t="str">
        <f>_xlfn.XLOOKUP(Actuals!$D59,$J$5:$J$13,$K$5:$K$13)</f>
        <v>Income</v>
      </c>
      <c r="G59" s="10">
        <v>366</v>
      </c>
    </row>
    <row r="60" spans="2:7" ht="15.6" x14ac:dyDescent="0.3">
      <c r="B60" s="9">
        <v>44710</v>
      </c>
      <c r="C60" s="1" t="str">
        <f>TEXT(Actuals!$B60,"MMMM")</f>
        <v>May</v>
      </c>
      <c r="D60" s="1" t="s">
        <v>30</v>
      </c>
      <c r="E60" s="1" t="s">
        <v>44</v>
      </c>
      <c r="F60" s="1" t="str">
        <f>_xlfn.XLOOKUP(Actuals!$D60,$J$5:$J$13,$K$5:$K$13)</f>
        <v>Income</v>
      </c>
      <c r="G60" s="10">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workbookViewId="0">
      <selection activeCell="I15" sqref="I15"/>
    </sheetView>
  </sheetViews>
  <sheetFormatPr defaultColWidth="11.19921875" defaultRowHeight="15" customHeight="1" x14ac:dyDescent="0.3"/>
  <cols>
    <col min="1" max="26" width="10.59765625" customWidth="1"/>
  </cols>
  <sheetData>
    <row r="1" spans="2:5" ht="15.6" x14ac:dyDescent="0.3"/>
    <row r="2" spans="2:5" ht="21" x14ac:dyDescent="0.4">
      <c r="B2" s="7" t="s">
        <v>45</v>
      </c>
      <c r="C2" s="7"/>
      <c r="D2" s="7"/>
      <c r="E2" s="7"/>
    </row>
    <row r="3" spans="2:5" ht="13.5" customHeight="1" x14ac:dyDescent="0.4">
      <c r="B3" s="12"/>
      <c r="C3" s="12"/>
      <c r="D3" s="12"/>
      <c r="E3" s="12"/>
    </row>
    <row r="4" spans="2:5" ht="15.6" x14ac:dyDescent="0.3">
      <c r="B4" s="13" t="s">
        <v>10</v>
      </c>
      <c r="C4" s="13" t="s">
        <v>11</v>
      </c>
      <c r="D4" s="13" t="s">
        <v>46</v>
      </c>
      <c r="E4" s="13" t="s">
        <v>15</v>
      </c>
    </row>
    <row r="5" spans="2:5" ht="15.6" x14ac:dyDescent="0.3">
      <c r="B5" s="1" t="s">
        <v>47</v>
      </c>
      <c r="C5" s="1" t="s">
        <v>1</v>
      </c>
      <c r="D5" s="14">
        <v>850</v>
      </c>
      <c r="E5" s="1" t="str">
        <f>_xlfn.XLOOKUP(Budget!$C5,Actuals!$J$5:$J$13,Actuals!$K$5:$K$13)</f>
        <v>Expense</v>
      </c>
    </row>
    <row r="6" spans="2:5" ht="15.6" x14ac:dyDescent="0.3">
      <c r="B6" s="1" t="s">
        <v>47</v>
      </c>
      <c r="C6" s="1" t="s">
        <v>4</v>
      </c>
      <c r="D6" s="14">
        <v>200</v>
      </c>
      <c r="E6" s="1" t="str">
        <f>_xlfn.XLOOKUP(Budget!$C6,Actuals!$J$5:$J$13,Actuals!$K$5:$K$13)</f>
        <v>Expense</v>
      </c>
    </row>
    <row r="7" spans="2:5" ht="15.6" x14ac:dyDescent="0.3">
      <c r="B7" s="1" t="s">
        <v>47</v>
      </c>
      <c r="C7" s="1" t="s">
        <v>2</v>
      </c>
      <c r="D7" s="14">
        <v>75</v>
      </c>
      <c r="E7" s="1" t="str">
        <f>_xlfn.XLOOKUP(Budget!$C7,Actuals!$J$5:$J$13,Actuals!$K$5:$K$13)</f>
        <v>Expense</v>
      </c>
    </row>
    <row r="8" spans="2:5" ht="15.6" x14ac:dyDescent="0.3">
      <c r="B8" s="1" t="s">
        <v>47</v>
      </c>
      <c r="C8" s="1" t="s">
        <v>20</v>
      </c>
      <c r="D8" s="14">
        <v>550</v>
      </c>
      <c r="E8" s="1" t="str">
        <f>_xlfn.XLOOKUP(Budget!$C8,Actuals!$J$5:$J$13,Actuals!$K$5:$K$13)</f>
        <v>Expense</v>
      </c>
    </row>
    <row r="9" spans="2:5" ht="15.6" x14ac:dyDescent="0.3">
      <c r="B9" s="1" t="s">
        <v>47</v>
      </c>
      <c r="C9" s="1" t="s">
        <v>5</v>
      </c>
      <c r="D9" s="14">
        <v>400</v>
      </c>
      <c r="E9" s="1" t="str">
        <f>_xlfn.XLOOKUP(Budget!$C9,Actuals!$J$5:$J$13,Actuals!$K$5:$K$13)</f>
        <v>Expense</v>
      </c>
    </row>
    <row r="10" spans="2:5" ht="15.6" x14ac:dyDescent="0.3">
      <c r="B10" s="1" t="s">
        <v>47</v>
      </c>
      <c r="C10" s="1" t="s">
        <v>6</v>
      </c>
      <c r="D10" s="14">
        <v>300</v>
      </c>
      <c r="E10" s="1" t="str">
        <f>_xlfn.XLOOKUP(Budget!$C10,Actuals!$J$5:$J$13,Actuals!$K$5:$K$13)</f>
        <v>Expense</v>
      </c>
    </row>
    <row r="11" spans="2:5" ht="15.6" x14ac:dyDescent="0.3">
      <c r="B11" s="1" t="s">
        <v>47</v>
      </c>
      <c r="C11" s="1" t="s">
        <v>25</v>
      </c>
      <c r="D11" s="14">
        <v>2200</v>
      </c>
      <c r="E11" s="1" t="str">
        <f>_xlfn.XLOOKUP(Budget!$C11,Actuals!$J$5:$J$13,Actuals!$K$5:$K$13)</f>
        <v>Income</v>
      </c>
    </row>
    <row r="12" spans="2:5" ht="15.6" x14ac:dyDescent="0.3">
      <c r="B12" s="1" t="s">
        <v>47</v>
      </c>
      <c r="C12" s="1" t="s">
        <v>28</v>
      </c>
      <c r="D12" s="14">
        <v>500</v>
      </c>
      <c r="E12" s="1" t="str">
        <f>_xlfn.XLOOKUP(Budget!$C12,Actuals!$J$5:$J$13,Actuals!$K$5:$K$13)</f>
        <v>Income</v>
      </c>
    </row>
    <row r="13" spans="2:5" ht="15.6" x14ac:dyDescent="0.3">
      <c r="B13" s="1" t="s">
        <v>47</v>
      </c>
      <c r="C13" s="1" t="s">
        <v>30</v>
      </c>
      <c r="D13" s="14">
        <v>100</v>
      </c>
      <c r="E13" s="1" t="str">
        <f>_xlfn.XLOOKUP(Budget!$C13,Actuals!$J$5:$J$13,Actuals!$K$5:$K$13)</f>
        <v>Income</v>
      </c>
    </row>
    <row r="14" spans="2:5" ht="15.6" x14ac:dyDescent="0.3">
      <c r="B14" s="1" t="s">
        <v>48</v>
      </c>
      <c r="C14" s="1" t="s">
        <v>1</v>
      </c>
      <c r="D14" s="14">
        <v>850</v>
      </c>
      <c r="E14" s="1" t="str">
        <f>_xlfn.XLOOKUP(Budget!$C14,Actuals!$J$5:$J$13,Actuals!$K$5:$K$13)</f>
        <v>Expense</v>
      </c>
    </row>
    <row r="15" spans="2:5" ht="15.6" x14ac:dyDescent="0.3">
      <c r="B15" s="1" t="s">
        <v>48</v>
      </c>
      <c r="C15" s="1" t="s">
        <v>4</v>
      </c>
      <c r="D15" s="14">
        <v>200</v>
      </c>
      <c r="E15" s="1" t="str">
        <f>_xlfn.XLOOKUP(Budget!$C15,Actuals!$J$5:$J$13,Actuals!$K$5:$K$13)</f>
        <v>Expense</v>
      </c>
    </row>
    <row r="16" spans="2:5" ht="15.6" x14ac:dyDescent="0.3">
      <c r="B16" s="1" t="s">
        <v>48</v>
      </c>
      <c r="C16" s="1" t="s">
        <v>2</v>
      </c>
      <c r="D16" s="14">
        <v>75</v>
      </c>
      <c r="E16" s="1" t="str">
        <f>_xlfn.XLOOKUP(Budget!$C16,Actuals!$J$5:$J$13,Actuals!$K$5:$K$13)</f>
        <v>Expense</v>
      </c>
    </row>
    <row r="17" spans="2:5" ht="15.6" x14ac:dyDescent="0.3">
      <c r="B17" s="1" t="s">
        <v>48</v>
      </c>
      <c r="C17" s="1" t="s">
        <v>20</v>
      </c>
      <c r="D17" s="14">
        <v>550</v>
      </c>
      <c r="E17" s="1" t="str">
        <f>_xlfn.XLOOKUP(Budget!$C17,Actuals!$J$5:$J$13,Actuals!$K$5:$K$13)</f>
        <v>Expense</v>
      </c>
    </row>
    <row r="18" spans="2:5" ht="15.6" x14ac:dyDescent="0.3">
      <c r="B18" s="1" t="s">
        <v>48</v>
      </c>
      <c r="C18" s="1" t="s">
        <v>5</v>
      </c>
      <c r="D18" s="14">
        <v>400</v>
      </c>
      <c r="E18" s="1" t="str">
        <f>_xlfn.XLOOKUP(Budget!$C18,Actuals!$J$5:$J$13,Actuals!$K$5:$K$13)</f>
        <v>Expense</v>
      </c>
    </row>
    <row r="19" spans="2:5" ht="15.6" x14ac:dyDescent="0.3">
      <c r="B19" s="1" t="s">
        <v>48</v>
      </c>
      <c r="C19" s="1" t="s">
        <v>6</v>
      </c>
      <c r="D19" s="14">
        <v>300</v>
      </c>
      <c r="E19" s="1" t="str">
        <f>_xlfn.XLOOKUP(Budget!$C19,Actuals!$J$5:$J$13,Actuals!$K$5:$K$13)</f>
        <v>Expense</v>
      </c>
    </row>
    <row r="20" spans="2:5" ht="15.6" x14ac:dyDescent="0.3">
      <c r="B20" s="1" t="s">
        <v>48</v>
      </c>
      <c r="C20" s="1" t="s">
        <v>25</v>
      </c>
      <c r="D20" s="14">
        <v>2200</v>
      </c>
      <c r="E20" s="1" t="str">
        <f>_xlfn.XLOOKUP(Budget!$C20,Actuals!$J$5:$J$13,Actuals!$K$5:$K$13)</f>
        <v>Income</v>
      </c>
    </row>
    <row r="21" spans="2:5" ht="15.6" x14ac:dyDescent="0.3">
      <c r="B21" s="1" t="s">
        <v>48</v>
      </c>
      <c r="C21" s="1" t="s">
        <v>28</v>
      </c>
      <c r="D21" s="14">
        <v>500</v>
      </c>
      <c r="E21" s="1" t="str">
        <f>_xlfn.XLOOKUP(Budget!$C21,Actuals!$J$5:$J$13,Actuals!$K$5:$K$13)</f>
        <v>Income</v>
      </c>
    </row>
    <row r="22" spans="2:5" ht="15.6" x14ac:dyDescent="0.3">
      <c r="B22" s="1" t="s">
        <v>48</v>
      </c>
      <c r="C22" s="1" t="s">
        <v>30</v>
      </c>
      <c r="D22" s="14">
        <v>100</v>
      </c>
      <c r="E22" s="1" t="str">
        <f>_xlfn.XLOOKUP(Budget!$C22,Actuals!$J$5:$J$13,Actuals!$K$5:$K$13)</f>
        <v>Income</v>
      </c>
    </row>
    <row r="23" spans="2:5" ht="15.6" x14ac:dyDescent="0.3">
      <c r="B23" s="1" t="s">
        <v>49</v>
      </c>
      <c r="C23" s="1" t="s">
        <v>1</v>
      </c>
      <c r="D23" s="14">
        <v>850</v>
      </c>
      <c r="E23" s="1" t="str">
        <f>_xlfn.XLOOKUP(Budget!$C23,Actuals!$J$5:$J$13,Actuals!$K$5:$K$13)</f>
        <v>Expense</v>
      </c>
    </row>
    <row r="24" spans="2:5" ht="15.6" x14ac:dyDescent="0.3">
      <c r="B24" s="1" t="s">
        <v>49</v>
      </c>
      <c r="C24" s="1" t="s">
        <v>4</v>
      </c>
      <c r="D24" s="14">
        <v>200</v>
      </c>
      <c r="E24" s="1" t="str">
        <f>_xlfn.XLOOKUP(Budget!$C24,Actuals!$J$5:$J$13,Actuals!$K$5:$K$13)</f>
        <v>Expense</v>
      </c>
    </row>
    <row r="25" spans="2:5" ht="15.6" x14ac:dyDescent="0.3">
      <c r="B25" s="1" t="s">
        <v>49</v>
      </c>
      <c r="C25" s="1" t="s">
        <v>2</v>
      </c>
      <c r="D25" s="14">
        <v>75</v>
      </c>
      <c r="E25" s="1" t="str">
        <f>_xlfn.XLOOKUP(Budget!$C25,Actuals!$J$5:$J$13,Actuals!$K$5:$K$13)</f>
        <v>Expense</v>
      </c>
    </row>
    <row r="26" spans="2:5" ht="15.6" x14ac:dyDescent="0.3">
      <c r="B26" s="1" t="s">
        <v>49</v>
      </c>
      <c r="C26" s="1" t="s">
        <v>20</v>
      </c>
      <c r="D26" s="14">
        <v>550</v>
      </c>
      <c r="E26" s="1" t="str">
        <f>_xlfn.XLOOKUP(Budget!$C26,Actuals!$J$5:$J$13,Actuals!$K$5:$K$13)</f>
        <v>Expense</v>
      </c>
    </row>
    <row r="27" spans="2:5" ht="15.6" x14ac:dyDescent="0.3">
      <c r="B27" s="1" t="s">
        <v>49</v>
      </c>
      <c r="C27" s="1" t="s">
        <v>5</v>
      </c>
      <c r="D27" s="14">
        <v>400</v>
      </c>
      <c r="E27" s="1" t="str">
        <f>_xlfn.XLOOKUP(Budget!$C27,Actuals!$J$5:$J$13,Actuals!$K$5:$K$13)</f>
        <v>Expense</v>
      </c>
    </row>
    <row r="28" spans="2:5" ht="15.6" x14ac:dyDescent="0.3">
      <c r="B28" s="1" t="s">
        <v>49</v>
      </c>
      <c r="C28" s="1" t="s">
        <v>6</v>
      </c>
      <c r="D28" s="14">
        <v>300</v>
      </c>
      <c r="E28" s="1" t="str">
        <f>_xlfn.XLOOKUP(Budget!$C28,Actuals!$J$5:$J$13,Actuals!$K$5:$K$13)</f>
        <v>Expense</v>
      </c>
    </row>
    <row r="29" spans="2:5" ht="15.6" x14ac:dyDescent="0.3">
      <c r="B29" s="1" t="s">
        <v>49</v>
      </c>
      <c r="C29" s="1" t="s">
        <v>25</v>
      </c>
      <c r="D29" s="14">
        <v>2200</v>
      </c>
      <c r="E29" s="1" t="str">
        <f>_xlfn.XLOOKUP(Budget!$C29,Actuals!$J$5:$J$13,Actuals!$K$5:$K$13)</f>
        <v>Income</v>
      </c>
    </row>
    <row r="30" spans="2:5" ht="15.6" x14ac:dyDescent="0.3">
      <c r="B30" s="1" t="s">
        <v>49</v>
      </c>
      <c r="C30" s="1" t="s">
        <v>28</v>
      </c>
      <c r="D30" s="14">
        <v>500</v>
      </c>
      <c r="E30" s="1" t="str">
        <f>_xlfn.XLOOKUP(Budget!$C30,Actuals!$J$5:$J$13,Actuals!$K$5:$K$13)</f>
        <v>Income</v>
      </c>
    </row>
    <row r="31" spans="2:5" ht="15.6" x14ac:dyDescent="0.3">
      <c r="B31" s="1" t="s">
        <v>49</v>
      </c>
      <c r="C31" s="1" t="s">
        <v>30</v>
      </c>
      <c r="D31" s="14">
        <v>100</v>
      </c>
      <c r="E31" s="1" t="str">
        <f>_xlfn.XLOOKUP(Budget!$C31,Actuals!$J$5:$J$13,Actuals!$K$5:$K$13)</f>
        <v>Income</v>
      </c>
    </row>
    <row r="32" spans="2:5" ht="15.6" x14ac:dyDescent="0.3">
      <c r="B32" s="1" t="s">
        <v>50</v>
      </c>
      <c r="C32" s="1" t="s">
        <v>1</v>
      </c>
      <c r="D32" s="14">
        <v>850</v>
      </c>
      <c r="E32" s="1" t="str">
        <f>_xlfn.XLOOKUP(Budget!$C32,Actuals!$J$5:$J$13,Actuals!$K$5:$K$13)</f>
        <v>Expense</v>
      </c>
    </row>
    <row r="33" spans="2:5" ht="15.6" x14ac:dyDescent="0.3">
      <c r="B33" s="1" t="s">
        <v>50</v>
      </c>
      <c r="C33" s="1" t="s">
        <v>4</v>
      </c>
      <c r="D33" s="14">
        <v>200</v>
      </c>
      <c r="E33" s="1" t="str">
        <f>_xlfn.XLOOKUP(Budget!$C33,Actuals!$J$5:$J$13,Actuals!$K$5:$K$13)</f>
        <v>Expense</v>
      </c>
    </row>
    <row r="34" spans="2:5" ht="15.6" x14ac:dyDescent="0.3">
      <c r="B34" s="1" t="s">
        <v>50</v>
      </c>
      <c r="C34" s="1" t="s">
        <v>2</v>
      </c>
      <c r="D34" s="14">
        <v>75</v>
      </c>
      <c r="E34" s="1" t="str">
        <f>_xlfn.XLOOKUP(Budget!$C34,Actuals!$J$5:$J$13,Actuals!$K$5:$K$13)</f>
        <v>Expense</v>
      </c>
    </row>
    <row r="35" spans="2:5" ht="15.6" x14ac:dyDescent="0.3">
      <c r="B35" s="1" t="s">
        <v>50</v>
      </c>
      <c r="C35" s="1" t="s">
        <v>20</v>
      </c>
      <c r="D35" s="14">
        <v>550</v>
      </c>
      <c r="E35" s="1" t="str">
        <f>_xlfn.XLOOKUP(Budget!$C35,Actuals!$J$5:$J$13,Actuals!$K$5:$K$13)</f>
        <v>Expense</v>
      </c>
    </row>
    <row r="36" spans="2:5" ht="15.6" x14ac:dyDescent="0.3">
      <c r="B36" s="1" t="s">
        <v>50</v>
      </c>
      <c r="C36" s="1" t="s">
        <v>5</v>
      </c>
      <c r="D36" s="14">
        <v>400</v>
      </c>
      <c r="E36" s="1" t="str">
        <f>_xlfn.XLOOKUP(Budget!$C36,Actuals!$J$5:$J$13,Actuals!$K$5:$K$13)</f>
        <v>Expense</v>
      </c>
    </row>
    <row r="37" spans="2:5" ht="15.6" x14ac:dyDescent="0.3">
      <c r="B37" s="1" t="s">
        <v>50</v>
      </c>
      <c r="C37" s="1" t="s">
        <v>6</v>
      </c>
      <c r="D37" s="14">
        <v>300</v>
      </c>
      <c r="E37" s="1" t="str">
        <f>_xlfn.XLOOKUP(Budget!$C37,Actuals!$J$5:$J$13,Actuals!$K$5:$K$13)</f>
        <v>Expense</v>
      </c>
    </row>
    <row r="38" spans="2:5" ht="15.6" x14ac:dyDescent="0.3">
      <c r="B38" s="1" t="s">
        <v>50</v>
      </c>
      <c r="C38" s="1" t="s">
        <v>25</v>
      </c>
      <c r="D38" s="14">
        <v>2200</v>
      </c>
      <c r="E38" s="1" t="str">
        <f>_xlfn.XLOOKUP(Budget!$C38,Actuals!$J$5:$J$13,Actuals!$K$5:$K$13)</f>
        <v>Income</v>
      </c>
    </row>
    <row r="39" spans="2:5" ht="15.6" x14ac:dyDescent="0.3">
      <c r="B39" s="1" t="s">
        <v>50</v>
      </c>
      <c r="C39" s="1" t="s">
        <v>28</v>
      </c>
      <c r="D39" s="14">
        <v>500</v>
      </c>
      <c r="E39" s="1" t="str">
        <f>_xlfn.XLOOKUP(Budget!$C39,Actuals!$J$5:$J$13,Actuals!$K$5:$K$13)</f>
        <v>Income</v>
      </c>
    </row>
    <row r="40" spans="2:5" ht="15.6" x14ac:dyDescent="0.3">
      <c r="B40" s="1" t="s">
        <v>50</v>
      </c>
      <c r="C40" s="1" t="s">
        <v>30</v>
      </c>
      <c r="D40" s="14">
        <v>100</v>
      </c>
      <c r="E40" s="1" t="str">
        <f>_xlfn.XLOOKUP(Budget!$C40,Actuals!$J$5:$J$13,Actuals!$K$5:$K$13)</f>
        <v>Income</v>
      </c>
    </row>
    <row r="41" spans="2:5" ht="15.6" x14ac:dyDescent="0.3">
      <c r="B41" s="1" t="s">
        <v>51</v>
      </c>
      <c r="C41" s="1" t="s">
        <v>1</v>
      </c>
      <c r="D41" s="14">
        <v>850</v>
      </c>
      <c r="E41" s="1" t="str">
        <f>_xlfn.XLOOKUP(Budget!$C41,Actuals!$J$5:$J$13,Actuals!$K$5:$K$13)</f>
        <v>Expense</v>
      </c>
    </row>
    <row r="42" spans="2:5" ht="15.6" x14ac:dyDescent="0.3">
      <c r="B42" s="1" t="s">
        <v>51</v>
      </c>
      <c r="C42" s="1" t="s">
        <v>4</v>
      </c>
      <c r="D42" s="14">
        <v>200</v>
      </c>
      <c r="E42" s="1" t="str">
        <f>_xlfn.XLOOKUP(Budget!$C42,Actuals!$J$5:$J$13,Actuals!$K$5:$K$13)</f>
        <v>Expense</v>
      </c>
    </row>
    <row r="43" spans="2:5" ht="15.6" x14ac:dyDescent="0.3">
      <c r="B43" s="1" t="s">
        <v>51</v>
      </c>
      <c r="C43" s="1" t="s">
        <v>2</v>
      </c>
      <c r="D43" s="14">
        <v>75</v>
      </c>
      <c r="E43" s="1" t="str">
        <f>_xlfn.XLOOKUP(Budget!$C43,Actuals!$J$5:$J$13,Actuals!$K$5:$K$13)</f>
        <v>Expense</v>
      </c>
    </row>
    <row r="44" spans="2:5" ht="15.6" x14ac:dyDescent="0.3">
      <c r="B44" s="1" t="s">
        <v>51</v>
      </c>
      <c r="C44" s="1" t="s">
        <v>20</v>
      </c>
      <c r="D44" s="14">
        <v>550</v>
      </c>
      <c r="E44" s="1" t="str">
        <f>_xlfn.XLOOKUP(Budget!$C44,Actuals!$J$5:$J$13,Actuals!$K$5:$K$13)</f>
        <v>Expense</v>
      </c>
    </row>
    <row r="45" spans="2:5" ht="15.6" x14ac:dyDescent="0.3">
      <c r="B45" s="1" t="s">
        <v>51</v>
      </c>
      <c r="C45" s="1" t="s">
        <v>5</v>
      </c>
      <c r="D45" s="14">
        <v>400</v>
      </c>
      <c r="E45" s="1" t="str">
        <f>_xlfn.XLOOKUP(Budget!$C45,Actuals!$J$5:$J$13,Actuals!$K$5:$K$13)</f>
        <v>Expense</v>
      </c>
    </row>
    <row r="46" spans="2:5" ht="15.6" x14ac:dyDescent="0.3">
      <c r="B46" s="1" t="s">
        <v>51</v>
      </c>
      <c r="C46" s="1" t="s">
        <v>6</v>
      </c>
      <c r="D46" s="14">
        <v>300</v>
      </c>
      <c r="E46" s="1" t="str">
        <f>_xlfn.XLOOKUP(Budget!$C46,Actuals!$J$5:$J$13,Actuals!$K$5:$K$13)</f>
        <v>Expense</v>
      </c>
    </row>
    <row r="47" spans="2:5" ht="15.6" x14ac:dyDescent="0.3">
      <c r="B47" s="1" t="s">
        <v>51</v>
      </c>
      <c r="C47" s="1" t="s">
        <v>25</v>
      </c>
      <c r="D47" s="14">
        <v>2200</v>
      </c>
      <c r="E47" s="1" t="str">
        <f>_xlfn.XLOOKUP(Budget!$C47,Actuals!$J$5:$J$13,Actuals!$K$5:$K$13)</f>
        <v>Income</v>
      </c>
    </row>
    <row r="48" spans="2:5" ht="15.6" x14ac:dyDescent="0.3">
      <c r="B48" s="1" t="s">
        <v>51</v>
      </c>
      <c r="C48" s="1" t="s">
        <v>28</v>
      </c>
      <c r="D48" s="14">
        <v>500</v>
      </c>
      <c r="E48" s="1" t="str">
        <f>_xlfn.XLOOKUP(Budget!$C48,Actuals!$J$5:$J$13,Actuals!$K$5:$K$13)</f>
        <v>Income</v>
      </c>
    </row>
    <row r="49" spans="2:5" ht="15.6" x14ac:dyDescent="0.3">
      <c r="B49" s="1" t="s">
        <v>51</v>
      </c>
      <c r="C49" s="1" t="s">
        <v>30</v>
      </c>
      <c r="D49" s="14">
        <v>100</v>
      </c>
      <c r="E49" s="1" t="str">
        <f>_xlfn.XLOOKUP(Budget!$C49,Actuals!$J$5:$J$13,Actuals!$K$5:$K$13)</f>
        <v>Income</v>
      </c>
    </row>
    <row r="50" spans="2:5" ht="15.6" x14ac:dyDescent="0.3">
      <c r="B50" s="1" t="s">
        <v>52</v>
      </c>
      <c r="C50" s="1" t="s">
        <v>1</v>
      </c>
      <c r="D50" s="14">
        <v>850</v>
      </c>
      <c r="E50" s="1" t="str">
        <f>_xlfn.XLOOKUP(Budget!$C50,Actuals!$J$5:$J$13,Actuals!$K$5:$K$13)</f>
        <v>Expense</v>
      </c>
    </row>
    <row r="51" spans="2:5" ht="15.6" x14ac:dyDescent="0.3">
      <c r="B51" s="1" t="s">
        <v>52</v>
      </c>
      <c r="C51" s="1" t="s">
        <v>4</v>
      </c>
      <c r="D51" s="14">
        <v>200</v>
      </c>
      <c r="E51" s="1" t="str">
        <f>_xlfn.XLOOKUP(Budget!$C51,Actuals!$J$5:$J$13,Actuals!$K$5:$K$13)</f>
        <v>Expense</v>
      </c>
    </row>
    <row r="52" spans="2:5" ht="15.6" x14ac:dyDescent="0.3">
      <c r="B52" s="1" t="s">
        <v>52</v>
      </c>
      <c r="C52" s="1" t="s">
        <v>2</v>
      </c>
      <c r="D52" s="14">
        <v>75</v>
      </c>
      <c r="E52" s="1" t="str">
        <f>_xlfn.XLOOKUP(Budget!$C52,Actuals!$J$5:$J$13,Actuals!$K$5:$K$13)</f>
        <v>Expense</v>
      </c>
    </row>
    <row r="53" spans="2:5" ht="15.6" x14ac:dyDescent="0.3">
      <c r="B53" s="1" t="s">
        <v>52</v>
      </c>
      <c r="C53" s="1" t="s">
        <v>20</v>
      </c>
      <c r="D53" s="14">
        <v>550</v>
      </c>
      <c r="E53" s="1" t="str">
        <f>_xlfn.XLOOKUP(Budget!$C53,Actuals!$J$5:$J$13,Actuals!$K$5:$K$13)</f>
        <v>Expense</v>
      </c>
    </row>
    <row r="54" spans="2:5" ht="15.6" x14ac:dyDescent="0.3">
      <c r="B54" s="1" t="s">
        <v>52</v>
      </c>
      <c r="C54" s="1" t="s">
        <v>5</v>
      </c>
      <c r="D54" s="14">
        <v>400</v>
      </c>
      <c r="E54" s="1" t="str">
        <f>_xlfn.XLOOKUP(Budget!$C54,Actuals!$J$5:$J$13,Actuals!$K$5:$K$13)</f>
        <v>Expense</v>
      </c>
    </row>
    <row r="55" spans="2:5" ht="15.6" x14ac:dyDescent="0.3">
      <c r="B55" s="1" t="s">
        <v>52</v>
      </c>
      <c r="C55" s="1" t="s">
        <v>6</v>
      </c>
      <c r="D55" s="14">
        <v>300</v>
      </c>
      <c r="E55" s="1" t="str">
        <f>_xlfn.XLOOKUP(Budget!$C55,Actuals!$J$5:$J$13,Actuals!$K$5:$K$13)</f>
        <v>Expense</v>
      </c>
    </row>
    <row r="56" spans="2:5" ht="15.6" x14ac:dyDescent="0.3">
      <c r="B56" s="1" t="s">
        <v>52</v>
      </c>
      <c r="C56" s="1" t="s">
        <v>25</v>
      </c>
      <c r="D56" s="14">
        <v>2200</v>
      </c>
      <c r="E56" s="1" t="str">
        <f>_xlfn.XLOOKUP(Budget!$C56,Actuals!$J$5:$J$13,Actuals!$K$5:$K$13)</f>
        <v>Income</v>
      </c>
    </row>
    <row r="57" spans="2:5" ht="15.6" x14ac:dyDescent="0.3">
      <c r="B57" s="1" t="s">
        <v>52</v>
      </c>
      <c r="C57" s="1" t="s">
        <v>28</v>
      </c>
      <c r="D57" s="14">
        <v>500</v>
      </c>
      <c r="E57" s="1" t="str">
        <f>_xlfn.XLOOKUP(Budget!$C57,Actuals!$J$5:$J$13,Actuals!$K$5:$K$13)</f>
        <v>Income</v>
      </c>
    </row>
    <row r="58" spans="2:5" ht="15.6" x14ac:dyDescent="0.3">
      <c r="B58" s="1" t="s">
        <v>52</v>
      </c>
      <c r="C58" s="1" t="s">
        <v>30</v>
      </c>
      <c r="D58" s="14">
        <v>100</v>
      </c>
      <c r="E58" s="1" t="str">
        <f>_xlfn.XLOOKUP(Budget!$C58,Actuals!$J$5:$J$13,Actuals!$K$5:$K$13)</f>
        <v>Income</v>
      </c>
    </row>
    <row r="59" spans="2:5" ht="15.6" x14ac:dyDescent="0.3">
      <c r="B59" s="1" t="s">
        <v>53</v>
      </c>
      <c r="C59" s="1" t="s">
        <v>1</v>
      </c>
      <c r="D59" s="14">
        <v>850</v>
      </c>
      <c r="E59" s="1" t="str">
        <f>_xlfn.XLOOKUP(Budget!$C59,Actuals!$J$5:$J$13,Actuals!$K$5:$K$13)</f>
        <v>Expense</v>
      </c>
    </row>
    <row r="60" spans="2:5" ht="15.6" x14ac:dyDescent="0.3">
      <c r="B60" s="1" t="s">
        <v>53</v>
      </c>
      <c r="C60" s="1" t="s">
        <v>4</v>
      </c>
      <c r="D60" s="14">
        <v>200</v>
      </c>
      <c r="E60" s="1" t="str">
        <f>_xlfn.XLOOKUP(Budget!$C60,Actuals!$J$5:$J$13,Actuals!$K$5:$K$13)</f>
        <v>Expense</v>
      </c>
    </row>
    <row r="61" spans="2:5" ht="15.6" x14ac:dyDescent="0.3">
      <c r="B61" s="1" t="s">
        <v>53</v>
      </c>
      <c r="C61" s="1" t="s">
        <v>2</v>
      </c>
      <c r="D61" s="14">
        <v>75</v>
      </c>
      <c r="E61" s="1" t="str">
        <f>_xlfn.XLOOKUP(Budget!$C61,Actuals!$J$5:$J$13,Actuals!$K$5:$K$13)</f>
        <v>Expense</v>
      </c>
    </row>
    <row r="62" spans="2:5" ht="15.6" x14ac:dyDescent="0.3">
      <c r="B62" s="1" t="s">
        <v>53</v>
      </c>
      <c r="C62" s="1" t="s">
        <v>20</v>
      </c>
      <c r="D62" s="14">
        <v>550</v>
      </c>
      <c r="E62" s="1" t="str">
        <f>_xlfn.XLOOKUP(Budget!$C62,Actuals!$J$5:$J$13,Actuals!$K$5:$K$13)</f>
        <v>Expense</v>
      </c>
    </row>
    <row r="63" spans="2:5" ht="15.6" x14ac:dyDescent="0.3">
      <c r="B63" s="1" t="s">
        <v>53</v>
      </c>
      <c r="C63" s="1" t="s">
        <v>5</v>
      </c>
      <c r="D63" s="14">
        <v>400</v>
      </c>
      <c r="E63" s="1" t="str">
        <f>_xlfn.XLOOKUP(Budget!$C63,Actuals!$J$5:$J$13,Actuals!$K$5:$K$13)</f>
        <v>Expense</v>
      </c>
    </row>
    <row r="64" spans="2:5" ht="15.6" x14ac:dyDescent="0.3">
      <c r="B64" s="1" t="s">
        <v>53</v>
      </c>
      <c r="C64" s="1" t="s">
        <v>6</v>
      </c>
      <c r="D64" s="14">
        <v>300</v>
      </c>
      <c r="E64" s="1" t="str">
        <f>_xlfn.XLOOKUP(Budget!$C64,Actuals!$J$5:$J$13,Actuals!$K$5:$K$13)</f>
        <v>Expense</v>
      </c>
    </row>
    <row r="65" spans="2:5" ht="15.6" x14ac:dyDescent="0.3">
      <c r="B65" s="1" t="s">
        <v>53</v>
      </c>
      <c r="C65" s="1" t="s">
        <v>25</v>
      </c>
      <c r="D65" s="14">
        <v>2200</v>
      </c>
      <c r="E65" s="1" t="str">
        <f>_xlfn.XLOOKUP(Budget!$C65,Actuals!$J$5:$J$13,Actuals!$K$5:$K$13)</f>
        <v>Income</v>
      </c>
    </row>
    <row r="66" spans="2:5" ht="15.6" x14ac:dyDescent="0.3">
      <c r="B66" s="1" t="s">
        <v>53</v>
      </c>
      <c r="C66" s="1" t="s">
        <v>28</v>
      </c>
      <c r="D66" s="14">
        <v>500</v>
      </c>
      <c r="E66" s="1" t="str">
        <f>_xlfn.XLOOKUP(Budget!$C66,Actuals!$J$5:$J$13,Actuals!$K$5:$K$13)</f>
        <v>Income</v>
      </c>
    </row>
    <row r="67" spans="2:5" ht="15.6" x14ac:dyDescent="0.3">
      <c r="B67" s="1" t="s">
        <v>53</v>
      </c>
      <c r="C67" s="1" t="s">
        <v>30</v>
      </c>
      <c r="D67" s="14">
        <v>100</v>
      </c>
      <c r="E67" s="1" t="str">
        <f>_xlfn.XLOOKUP(Budget!$C67,Actuals!$J$5:$J$13,Actuals!$K$5:$K$13)</f>
        <v>Income</v>
      </c>
    </row>
    <row r="68" spans="2:5" ht="15.6" x14ac:dyDescent="0.3">
      <c r="B68" s="1" t="s">
        <v>54</v>
      </c>
      <c r="C68" s="1" t="s">
        <v>1</v>
      </c>
      <c r="D68" s="14">
        <v>850</v>
      </c>
      <c r="E68" s="1" t="str">
        <f>_xlfn.XLOOKUP(Budget!$C68,Actuals!$J$5:$J$13,Actuals!$K$5:$K$13)</f>
        <v>Expense</v>
      </c>
    </row>
    <row r="69" spans="2:5" ht="15.6" x14ac:dyDescent="0.3">
      <c r="B69" s="1" t="s">
        <v>54</v>
      </c>
      <c r="C69" s="1" t="s">
        <v>4</v>
      </c>
      <c r="D69" s="14">
        <v>200</v>
      </c>
      <c r="E69" s="1" t="str">
        <f>_xlfn.XLOOKUP(Budget!$C69,Actuals!$J$5:$J$13,Actuals!$K$5:$K$13)</f>
        <v>Expense</v>
      </c>
    </row>
    <row r="70" spans="2:5" ht="15.6" x14ac:dyDescent="0.3">
      <c r="B70" s="1" t="s">
        <v>54</v>
      </c>
      <c r="C70" s="1" t="s">
        <v>2</v>
      </c>
      <c r="D70" s="14">
        <v>75</v>
      </c>
      <c r="E70" s="1" t="str">
        <f>_xlfn.XLOOKUP(Budget!$C70,Actuals!$J$5:$J$13,Actuals!$K$5:$K$13)</f>
        <v>Expense</v>
      </c>
    </row>
    <row r="71" spans="2:5" ht="15.6" x14ac:dyDescent="0.3">
      <c r="B71" s="1" t="s">
        <v>54</v>
      </c>
      <c r="C71" s="1" t="s">
        <v>20</v>
      </c>
      <c r="D71" s="14">
        <v>550</v>
      </c>
      <c r="E71" s="1" t="str">
        <f>_xlfn.XLOOKUP(Budget!$C71,Actuals!$J$5:$J$13,Actuals!$K$5:$K$13)</f>
        <v>Expense</v>
      </c>
    </row>
    <row r="72" spans="2:5" ht="15.6" x14ac:dyDescent="0.3">
      <c r="B72" s="1" t="s">
        <v>54</v>
      </c>
      <c r="C72" s="1" t="s">
        <v>5</v>
      </c>
      <c r="D72" s="14">
        <v>400</v>
      </c>
      <c r="E72" s="1" t="str">
        <f>_xlfn.XLOOKUP(Budget!$C72,Actuals!$J$5:$J$13,Actuals!$K$5:$K$13)</f>
        <v>Expense</v>
      </c>
    </row>
    <row r="73" spans="2:5" ht="15.6" x14ac:dyDescent="0.3">
      <c r="B73" s="1" t="s">
        <v>54</v>
      </c>
      <c r="C73" s="1" t="s">
        <v>6</v>
      </c>
      <c r="D73" s="14">
        <v>300</v>
      </c>
      <c r="E73" s="1" t="str">
        <f>_xlfn.XLOOKUP(Budget!$C73,Actuals!$J$5:$J$13,Actuals!$K$5:$K$13)</f>
        <v>Expense</v>
      </c>
    </row>
    <row r="74" spans="2:5" ht="15.6" x14ac:dyDescent="0.3">
      <c r="B74" s="1" t="s">
        <v>54</v>
      </c>
      <c r="C74" s="1" t="s">
        <v>25</v>
      </c>
      <c r="D74" s="14">
        <v>2200</v>
      </c>
      <c r="E74" s="1" t="str">
        <f>_xlfn.XLOOKUP(Budget!$C74,Actuals!$J$5:$J$13,Actuals!$K$5:$K$13)</f>
        <v>Income</v>
      </c>
    </row>
    <row r="75" spans="2:5" ht="15.6" x14ac:dyDescent="0.3">
      <c r="B75" s="1" t="s">
        <v>54</v>
      </c>
      <c r="C75" s="1" t="s">
        <v>28</v>
      </c>
      <c r="D75" s="14">
        <v>500</v>
      </c>
      <c r="E75" s="1" t="str">
        <f>_xlfn.XLOOKUP(Budget!$C75,Actuals!$J$5:$J$13,Actuals!$K$5:$K$13)</f>
        <v>Income</v>
      </c>
    </row>
    <row r="76" spans="2:5" ht="15.6" x14ac:dyDescent="0.3">
      <c r="B76" s="1" t="s">
        <v>54</v>
      </c>
      <c r="C76" s="1" t="s">
        <v>30</v>
      </c>
      <c r="D76" s="14">
        <v>100</v>
      </c>
      <c r="E76" s="1" t="str">
        <f>_xlfn.XLOOKUP(Budget!$C76,Actuals!$J$5:$J$13,Actuals!$K$5:$K$13)</f>
        <v>Income</v>
      </c>
    </row>
    <row r="77" spans="2:5" ht="15.6" x14ac:dyDescent="0.3">
      <c r="B77" s="1" t="s">
        <v>55</v>
      </c>
      <c r="C77" s="1" t="s">
        <v>1</v>
      </c>
      <c r="D77" s="14">
        <v>850</v>
      </c>
      <c r="E77" s="1" t="str">
        <f>_xlfn.XLOOKUP(Budget!$C77,Actuals!$J$5:$J$13,Actuals!$K$5:$K$13)</f>
        <v>Expense</v>
      </c>
    </row>
    <row r="78" spans="2:5" ht="15.6" x14ac:dyDescent="0.3">
      <c r="B78" s="1" t="s">
        <v>55</v>
      </c>
      <c r="C78" s="1" t="s">
        <v>4</v>
      </c>
      <c r="D78" s="14">
        <v>200</v>
      </c>
      <c r="E78" s="1" t="str">
        <f>_xlfn.XLOOKUP(Budget!$C78,Actuals!$J$5:$J$13,Actuals!$K$5:$K$13)</f>
        <v>Expense</v>
      </c>
    </row>
    <row r="79" spans="2:5" ht="15.6" x14ac:dyDescent="0.3">
      <c r="B79" s="1" t="s">
        <v>55</v>
      </c>
      <c r="C79" s="1" t="s">
        <v>2</v>
      </c>
      <c r="D79" s="14">
        <v>75</v>
      </c>
      <c r="E79" s="1" t="str">
        <f>_xlfn.XLOOKUP(Budget!$C79,Actuals!$J$5:$J$13,Actuals!$K$5:$K$13)</f>
        <v>Expense</v>
      </c>
    </row>
    <row r="80" spans="2:5" ht="15.6" x14ac:dyDescent="0.3">
      <c r="B80" s="1" t="s">
        <v>55</v>
      </c>
      <c r="C80" s="1" t="s">
        <v>20</v>
      </c>
      <c r="D80" s="14">
        <v>550</v>
      </c>
      <c r="E80" s="1" t="str">
        <f>_xlfn.XLOOKUP(Budget!$C80,Actuals!$J$5:$J$13,Actuals!$K$5:$K$13)</f>
        <v>Expense</v>
      </c>
    </row>
    <row r="81" spans="2:5" ht="15.6" x14ac:dyDescent="0.3">
      <c r="B81" s="1" t="s">
        <v>55</v>
      </c>
      <c r="C81" s="1" t="s">
        <v>5</v>
      </c>
      <c r="D81" s="14">
        <v>400</v>
      </c>
      <c r="E81" s="1" t="str">
        <f>_xlfn.XLOOKUP(Budget!$C81,Actuals!$J$5:$J$13,Actuals!$K$5:$K$13)</f>
        <v>Expense</v>
      </c>
    </row>
    <row r="82" spans="2:5" ht="15.6" x14ac:dyDescent="0.3">
      <c r="B82" s="1" t="s">
        <v>55</v>
      </c>
      <c r="C82" s="1" t="s">
        <v>6</v>
      </c>
      <c r="D82" s="14">
        <v>300</v>
      </c>
      <c r="E82" s="1" t="str">
        <f>_xlfn.XLOOKUP(Budget!$C82,Actuals!$J$5:$J$13,Actuals!$K$5:$K$13)</f>
        <v>Expense</v>
      </c>
    </row>
    <row r="83" spans="2:5" ht="15.6" x14ac:dyDescent="0.3">
      <c r="B83" s="1" t="s">
        <v>55</v>
      </c>
      <c r="C83" s="1" t="s">
        <v>25</v>
      </c>
      <c r="D83" s="14">
        <v>2200</v>
      </c>
      <c r="E83" s="1" t="str">
        <f>_xlfn.XLOOKUP(Budget!$C83,Actuals!$J$5:$J$13,Actuals!$K$5:$K$13)</f>
        <v>Income</v>
      </c>
    </row>
    <row r="84" spans="2:5" ht="15.6" x14ac:dyDescent="0.3">
      <c r="B84" s="1" t="s">
        <v>55</v>
      </c>
      <c r="C84" s="1" t="s">
        <v>28</v>
      </c>
      <c r="D84" s="14">
        <v>500</v>
      </c>
      <c r="E84" s="1" t="str">
        <f>_xlfn.XLOOKUP(Budget!$C84,Actuals!$J$5:$J$13,Actuals!$K$5:$K$13)</f>
        <v>Income</v>
      </c>
    </row>
    <row r="85" spans="2:5" ht="15.6" x14ac:dyDescent="0.3">
      <c r="B85" s="1" t="s">
        <v>55</v>
      </c>
      <c r="C85" s="1" t="s">
        <v>30</v>
      </c>
      <c r="D85" s="14">
        <v>100</v>
      </c>
      <c r="E85" s="1" t="str">
        <f>_xlfn.XLOOKUP(Budget!$C85,Actuals!$J$5:$J$13,Actuals!$K$5:$K$13)</f>
        <v>Income</v>
      </c>
    </row>
    <row r="86" spans="2:5" ht="15.6" x14ac:dyDescent="0.3">
      <c r="B86" s="1" t="s">
        <v>56</v>
      </c>
      <c r="C86" s="1" t="s">
        <v>1</v>
      </c>
      <c r="D86" s="14">
        <v>850</v>
      </c>
      <c r="E86" s="1" t="str">
        <f>_xlfn.XLOOKUP(Budget!$C86,Actuals!$J$5:$J$13,Actuals!$K$5:$K$13)</f>
        <v>Expense</v>
      </c>
    </row>
    <row r="87" spans="2:5" ht="15.6" x14ac:dyDescent="0.3">
      <c r="B87" s="1" t="s">
        <v>56</v>
      </c>
      <c r="C87" s="1" t="s">
        <v>4</v>
      </c>
      <c r="D87" s="14">
        <v>200</v>
      </c>
      <c r="E87" s="1" t="str">
        <f>_xlfn.XLOOKUP(Budget!$C87,Actuals!$J$5:$J$13,Actuals!$K$5:$K$13)</f>
        <v>Expense</v>
      </c>
    </row>
    <row r="88" spans="2:5" ht="15.6" x14ac:dyDescent="0.3">
      <c r="B88" s="1" t="s">
        <v>56</v>
      </c>
      <c r="C88" s="1" t="s">
        <v>2</v>
      </c>
      <c r="D88" s="14">
        <v>75</v>
      </c>
      <c r="E88" s="1" t="str">
        <f>_xlfn.XLOOKUP(Budget!$C88,Actuals!$J$5:$J$13,Actuals!$K$5:$K$13)</f>
        <v>Expense</v>
      </c>
    </row>
    <row r="89" spans="2:5" ht="15.6" x14ac:dyDescent="0.3">
      <c r="B89" s="1" t="s">
        <v>56</v>
      </c>
      <c r="C89" s="1" t="s">
        <v>20</v>
      </c>
      <c r="D89" s="14">
        <v>550</v>
      </c>
      <c r="E89" s="1" t="str">
        <f>_xlfn.XLOOKUP(Budget!$C89,Actuals!$J$5:$J$13,Actuals!$K$5:$K$13)</f>
        <v>Expense</v>
      </c>
    </row>
    <row r="90" spans="2:5" ht="15.6" x14ac:dyDescent="0.3">
      <c r="B90" s="1" t="s">
        <v>56</v>
      </c>
      <c r="C90" s="1" t="s">
        <v>5</v>
      </c>
      <c r="D90" s="14">
        <v>400</v>
      </c>
      <c r="E90" s="1" t="str">
        <f>_xlfn.XLOOKUP(Budget!$C90,Actuals!$J$5:$J$13,Actuals!$K$5:$K$13)</f>
        <v>Expense</v>
      </c>
    </row>
    <row r="91" spans="2:5" ht="15.6" x14ac:dyDescent="0.3">
      <c r="B91" s="1" t="s">
        <v>56</v>
      </c>
      <c r="C91" s="1" t="s">
        <v>6</v>
      </c>
      <c r="D91" s="14">
        <v>300</v>
      </c>
      <c r="E91" s="1" t="str">
        <f>_xlfn.XLOOKUP(Budget!$C91,Actuals!$J$5:$J$13,Actuals!$K$5:$K$13)</f>
        <v>Expense</v>
      </c>
    </row>
    <row r="92" spans="2:5" ht="15.6" x14ac:dyDescent="0.3">
      <c r="B92" s="1" t="s">
        <v>56</v>
      </c>
      <c r="C92" s="1" t="s">
        <v>25</v>
      </c>
      <c r="D92" s="14">
        <v>2200</v>
      </c>
      <c r="E92" s="1" t="str">
        <f>_xlfn.XLOOKUP(Budget!$C92,Actuals!$J$5:$J$13,Actuals!$K$5:$K$13)</f>
        <v>Income</v>
      </c>
    </row>
    <row r="93" spans="2:5" ht="15.6" x14ac:dyDescent="0.3">
      <c r="B93" s="1" t="s">
        <v>56</v>
      </c>
      <c r="C93" s="1" t="s">
        <v>28</v>
      </c>
      <c r="D93" s="14">
        <v>500</v>
      </c>
      <c r="E93" s="1" t="str">
        <f>_xlfn.XLOOKUP(Budget!$C93,Actuals!$J$5:$J$13,Actuals!$K$5:$K$13)</f>
        <v>Income</v>
      </c>
    </row>
    <row r="94" spans="2:5" ht="15.6" x14ac:dyDescent="0.3">
      <c r="B94" s="1" t="s">
        <v>56</v>
      </c>
      <c r="C94" s="1" t="s">
        <v>30</v>
      </c>
      <c r="D94" s="14">
        <v>100</v>
      </c>
      <c r="E94" s="1" t="str">
        <f>_xlfn.XLOOKUP(Budget!$C94,Actuals!$J$5:$J$13,Actuals!$K$5:$K$13)</f>
        <v>Income</v>
      </c>
    </row>
    <row r="95" spans="2:5" ht="15.6" x14ac:dyDescent="0.3">
      <c r="B95" s="1" t="s">
        <v>57</v>
      </c>
      <c r="C95" s="1" t="s">
        <v>1</v>
      </c>
      <c r="D95" s="14">
        <v>850</v>
      </c>
      <c r="E95" s="1" t="str">
        <f>_xlfn.XLOOKUP(Budget!$C95,Actuals!$J$5:$J$13,Actuals!$K$5:$K$13)</f>
        <v>Expense</v>
      </c>
    </row>
    <row r="96" spans="2:5" ht="15.6" x14ac:dyDescent="0.3">
      <c r="B96" s="1" t="s">
        <v>57</v>
      </c>
      <c r="C96" s="1" t="s">
        <v>4</v>
      </c>
      <c r="D96" s="14">
        <v>200</v>
      </c>
      <c r="E96" s="1" t="str">
        <f>_xlfn.XLOOKUP(Budget!$C96,Actuals!$J$5:$J$13,Actuals!$K$5:$K$13)</f>
        <v>Expense</v>
      </c>
    </row>
    <row r="97" spans="2:5" ht="15.6" x14ac:dyDescent="0.3">
      <c r="B97" s="1" t="s">
        <v>57</v>
      </c>
      <c r="C97" s="1" t="s">
        <v>2</v>
      </c>
      <c r="D97" s="14">
        <v>75</v>
      </c>
      <c r="E97" s="1" t="str">
        <f>_xlfn.XLOOKUP(Budget!$C97,Actuals!$J$5:$J$13,Actuals!$K$5:$K$13)</f>
        <v>Expense</v>
      </c>
    </row>
    <row r="98" spans="2:5" ht="15.6" x14ac:dyDescent="0.3">
      <c r="B98" s="1" t="s">
        <v>57</v>
      </c>
      <c r="C98" s="1" t="s">
        <v>20</v>
      </c>
      <c r="D98" s="14">
        <v>550</v>
      </c>
      <c r="E98" s="1" t="str">
        <f>_xlfn.XLOOKUP(Budget!$C98,Actuals!$J$5:$J$13,Actuals!$K$5:$K$13)</f>
        <v>Expense</v>
      </c>
    </row>
    <row r="99" spans="2:5" ht="15.6" x14ac:dyDescent="0.3">
      <c r="B99" s="1" t="s">
        <v>57</v>
      </c>
      <c r="C99" s="1" t="s">
        <v>5</v>
      </c>
      <c r="D99" s="14">
        <v>400</v>
      </c>
      <c r="E99" s="1" t="str">
        <f>_xlfn.XLOOKUP(Budget!$C99,Actuals!$J$5:$J$13,Actuals!$K$5:$K$13)</f>
        <v>Expense</v>
      </c>
    </row>
    <row r="100" spans="2:5" ht="15.6" x14ac:dyDescent="0.3">
      <c r="B100" s="1" t="s">
        <v>57</v>
      </c>
      <c r="C100" s="1" t="s">
        <v>6</v>
      </c>
      <c r="D100" s="14">
        <v>300</v>
      </c>
      <c r="E100" s="1" t="str">
        <f>_xlfn.XLOOKUP(Budget!$C100,Actuals!$J$5:$J$13,Actuals!$K$5:$K$13)</f>
        <v>Expense</v>
      </c>
    </row>
    <row r="101" spans="2:5" ht="15.6" x14ac:dyDescent="0.3">
      <c r="B101" s="1" t="s">
        <v>57</v>
      </c>
      <c r="C101" s="1" t="s">
        <v>25</v>
      </c>
      <c r="D101" s="14">
        <v>2200</v>
      </c>
      <c r="E101" s="1" t="str">
        <f>_xlfn.XLOOKUP(Budget!$C101,Actuals!$J$5:$J$13,Actuals!$K$5:$K$13)</f>
        <v>Income</v>
      </c>
    </row>
    <row r="102" spans="2:5" ht="15.6" x14ac:dyDescent="0.3">
      <c r="B102" s="1" t="s">
        <v>57</v>
      </c>
      <c r="C102" s="1" t="s">
        <v>28</v>
      </c>
      <c r="D102" s="14">
        <v>500</v>
      </c>
      <c r="E102" s="1" t="str">
        <f>_xlfn.XLOOKUP(Budget!$C102,Actuals!$J$5:$J$13,Actuals!$K$5:$K$13)</f>
        <v>Income</v>
      </c>
    </row>
    <row r="103" spans="2:5" ht="15.6" x14ac:dyDescent="0.3">
      <c r="B103" s="1" t="s">
        <v>57</v>
      </c>
      <c r="C103" s="1" t="s">
        <v>30</v>
      </c>
      <c r="D103" s="14">
        <v>100</v>
      </c>
      <c r="E103" s="1" t="str">
        <f>_xlfn.XLOOKUP(Budget!$C103,Actuals!$J$5:$J$13,Actuals!$K$5:$K$13)</f>
        <v>Income</v>
      </c>
    </row>
    <row r="104" spans="2:5" ht="15.6" x14ac:dyDescent="0.3">
      <c r="B104" s="1" t="s">
        <v>58</v>
      </c>
      <c r="C104" s="1" t="s">
        <v>1</v>
      </c>
      <c r="D104" s="14">
        <v>850</v>
      </c>
      <c r="E104" s="1" t="str">
        <f>_xlfn.XLOOKUP(Budget!$C104,Actuals!$J$5:$J$13,Actuals!$K$5:$K$13)</f>
        <v>Expense</v>
      </c>
    </row>
    <row r="105" spans="2:5" ht="15.6" x14ac:dyDescent="0.3">
      <c r="B105" s="1" t="s">
        <v>58</v>
      </c>
      <c r="C105" s="1" t="s">
        <v>4</v>
      </c>
      <c r="D105" s="14">
        <v>200</v>
      </c>
      <c r="E105" s="1" t="str">
        <f>_xlfn.XLOOKUP(Budget!$C105,Actuals!$J$5:$J$13,Actuals!$K$5:$K$13)</f>
        <v>Expense</v>
      </c>
    </row>
    <row r="106" spans="2:5" ht="15.6" x14ac:dyDescent="0.3">
      <c r="B106" s="1" t="s">
        <v>58</v>
      </c>
      <c r="C106" s="1" t="s">
        <v>2</v>
      </c>
      <c r="D106" s="14">
        <v>75</v>
      </c>
      <c r="E106" s="1" t="str">
        <f>_xlfn.XLOOKUP(Budget!$C106,Actuals!$J$5:$J$13,Actuals!$K$5:$K$13)</f>
        <v>Expense</v>
      </c>
    </row>
    <row r="107" spans="2:5" ht="15.6" x14ac:dyDescent="0.3">
      <c r="B107" s="1" t="s">
        <v>58</v>
      </c>
      <c r="C107" s="1" t="s">
        <v>20</v>
      </c>
      <c r="D107" s="14">
        <v>550</v>
      </c>
      <c r="E107" s="1" t="str">
        <f>_xlfn.XLOOKUP(Budget!$C107,Actuals!$J$5:$J$13,Actuals!$K$5:$K$13)</f>
        <v>Expense</v>
      </c>
    </row>
    <row r="108" spans="2:5" ht="15.6" x14ac:dyDescent="0.3">
      <c r="B108" s="1" t="s">
        <v>58</v>
      </c>
      <c r="C108" s="1" t="s">
        <v>5</v>
      </c>
      <c r="D108" s="14">
        <v>400</v>
      </c>
      <c r="E108" s="1" t="str">
        <f>_xlfn.XLOOKUP(Budget!$C108,Actuals!$J$5:$J$13,Actuals!$K$5:$K$13)</f>
        <v>Expense</v>
      </c>
    </row>
    <row r="109" spans="2:5" ht="15.6" x14ac:dyDescent="0.3">
      <c r="B109" s="1" t="s">
        <v>58</v>
      </c>
      <c r="C109" s="1" t="s">
        <v>6</v>
      </c>
      <c r="D109" s="14">
        <v>300</v>
      </c>
      <c r="E109" s="1" t="str">
        <f>_xlfn.XLOOKUP(Budget!$C109,Actuals!$J$5:$J$13,Actuals!$K$5:$K$13)</f>
        <v>Expense</v>
      </c>
    </row>
    <row r="110" spans="2:5" ht="15.6" x14ac:dyDescent="0.3">
      <c r="B110" s="1" t="s">
        <v>58</v>
      </c>
      <c r="C110" s="1" t="s">
        <v>25</v>
      </c>
      <c r="D110" s="14">
        <v>2200</v>
      </c>
      <c r="E110" s="1" t="str">
        <f>_xlfn.XLOOKUP(Budget!$C110,Actuals!$J$5:$J$13,Actuals!$K$5:$K$13)</f>
        <v>Income</v>
      </c>
    </row>
    <row r="111" spans="2:5" ht="15.6" x14ac:dyDescent="0.3">
      <c r="B111" s="1" t="s">
        <v>58</v>
      </c>
      <c r="C111" s="1" t="s">
        <v>28</v>
      </c>
      <c r="D111" s="14">
        <v>500</v>
      </c>
      <c r="E111" s="1" t="str">
        <f>_xlfn.XLOOKUP(Budget!$C111,Actuals!$J$5:$J$13,Actuals!$K$5:$K$13)</f>
        <v>Income</v>
      </c>
    </row>
    <row r="112" spans="2:5" ht="15.6" x14ac:dyDescent="0.3">
      <c r="B112" s="1" t="s">
        <v>58</v>
      </c>
      <c r="C112" s="1" t="s">
        <v>30</v>
      </c>
      <c r="D112" s="14">
        <v>100</v>
      </c>
      <c r="E112" s="1" t="str">
        <f>_xlfn.XLOOKUP(Budget!$C112,Actuals!$J$5:$J$13,Actuals!$K$5:$K$13)</f>
        <v>Income</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Yascnay Patricia Izquierdo Carrillo</cp:lastModifiedBy>
  <dcterms:created xsi:type="dcterms:W3CDTF">2022-05-23T20:46:49Z</dcterms:created>
  <dcterms:modified xsi:type="dcterms:W3CDTF">2025-03-11T18:14:15Z</dcterms:modified>
</cp:coreProperties>
</file>